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600" windowHeight="9135" tabRatio="762"/>
  </bookViews>
  <sheets>
    <sheet name="Plan 2019 consolidé" sheetId="8" r:id="rId1"/>
    <sheet name="Service" sheetId="1" r:id="rId2"/>
    <sheet name="Tableaux IRP" sheetId="9" r:id="rId3"/>
    <sheet name="Graphiques" sheetId="11" r:id="rId4"/>
    <sheet name="Indicateurs" sheetId="18" r:id="rId5"/>
    <sheet name="Calcul Indicateurs" sheetId="16" r:id="rId6"/>
    <sheet name="Tables" sheetId="5" r:id="rId7"/>
    <sheet name="DATA" sheetId="19" r:id="rId8"/>
    <sheet name="Date Formation" sheetId="21" r:id="rId9"/>
    <sheet name="Ex Date Formation" sheetId="20" r:id="rId10"/>
  </sheets>
  <definedNames>
    <definedName name="_xlnm._FilterDatabase" localSheetId="7" hidden="1">DATA!$A$1:$T$237</definedName>
    <definedName name="_xlnm._FilterDatabase" localSheetId="9" hidden="1">'Ex Date Formation'!$A$2:$G$212</definedName>
    <definedName name="_xlnm._FilterDatabase" localSheetId="0" hidden="1">'Plan 2019 consolidé'!#REF!</definedName>
    <definedName name="_xlnm._FilterDatabase" localSheetId="1" hidden="1">Service!$A$11:$O$319</definedName>
    <definedName name="_xlnm._FilterDatabase" localSheetId="6" hidden="1">Tables!$A$16:$N$155</definedName>
    <definedName name="Avancement">Tables!$AA$2:$AA$6</definedName>
    <definedName name="Axe_Filieres">Tables!$U$2:$U$8</definedName>
    <definedName name="Axe_Note_Cadrage">Tables!$X$2:$X$7</definedName>
    <definedName name="Base">Tables!$A$17:$N$155</definedName>
    <definedName name="BASEDATA">DATA!$C$2:$T$298</definedName>
    <definedName name="BASESERVICE">Tableau1[[Matricule]:[Calendrier
de réalisation]]</definedName>
    <definedName name="Calendrier">Tables!$Y$2:$Y$5</definedName>
    <definedName name="Intitulé">OFFSET(Tables!$V:$V,1,,COUNTA(Tables!$V:$V)-1)</definedName>
    <definedName name="Managers">Tables!$S$2:$T$27</definedName>
    <definedName name="noms">INDEX(Tableau5[],,1)</definedName>
    <definedName name="Priorité_mger">Tables!$W$2:$W$4</definedName>
    <definedName name="Service">Tables!$Q$2:$R$27</definedName>
    <definedName name="Typologie">Tables!$Z$2:$Z$3</definedName>
  </definedNames>
  <calcPr calcId="152511"/>
  <pivotCaches>
    <pivotCache cacheId="0" r:id="rId11"/>
    <pivotCache cacheId="1" r:id="rId12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1" l="1"/>
  <c r="D3" i="21"/>
  <c r="D4" i="21"/>
  <c r="D5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D127" i="21"/>
  <c r="D128" i="21"/>
  <c r="D129" i="21"/>
  <c r="D130" i="21"/>
  <c r="D131" i="21"/>
  <c r="D132" i="21"/>
  <c r="D133" i="21"/>
  <c r="D134" i="21"/>
  <c r="D135" i="21"/>
  <c r="D136" i="21"/>
  <c r="D137" i="21"/>
  <c r="D138" i="21"/>
  <c r="D139" i="21"/>
  <c r="D140" i="21"/>
  <c r="D141" i="21"/>
  <c r="D142" i="21"/>
  <c r="D143" i="21"/>
  <c r="D144" i="21"/>
  <c r="D145" i="21"/>
  <c r="D146" i="21"/>
  <c r="D147" i="21"/>
  <c r="D148" i="21"/>
  <c r="D149" i="21"/>
  <c r="D150" i="21"/>
  <c r="D151" i="21"/>
  <c r="D152" i="21"/>
  <c r="D153" i="21"/>
  <c r="D154" i="21"/>
  <c r="D155" i="21"/>
  <c r="D156" i="21"/>
  <c r="D157" i="21"/>
  <c r="D158" i="21"/>
  <c r="D159" i="21"/>
  <c r="D160" i="21"/>
  <c r="D161" i="21"/>
  <c r="D162" i="21"/>
  <c r="D163" i="21"/>
  <c r="D164" i="21"/>
  <c r="D165" i="21"/>
  <c r="D166" i="21"/>
  <c r="D167" i="21"/>
  <c r="D168" i="21"/>
  <c r="D169" i="21"/>
  <c r="D170" i="21"/>
  <c r="D171" i="21"/>
  <c r="D172" i="21"/>
  <c r="D173" i="21"/>
  <c r="D174" i="21"/>
  <c r="D175" i="21"/>
  <c r="D176" i="21"/>
  <c r="D177" i="21"/>
  <c r="D178" i="21"/>
  <c r="D179" i="21"/>
  <c r="D180" i="21"/>
  <c r="D181" i="21"/>
  <c r="D182" i="21"/>
  <c r="D183" i="21"/>
  <c r="D184" i="21"/>
  <c r="D185" i="21"/>
  <c r="D186" i="21"/>
  <c r="D187" i="21"/>
  <c r="D188" i="21"/>
  <c r="D189" i="21"/>
  <c r="D190" i="21"/>
  <c r="D191" i="21"/>
  <c r="D192" i="21"/>
  <c r="D193" i="21"/>
  <c r="D194" i="21"/>
  <c r="D195" i="21"/>
  <c r="D196" i="21"/>
  <c r="D197" i="21"/>
  <c r="D198" i="21"/>
  <c r="D199" i="21"/>
  <c r="D200" i="21"/>
  <c r="D201" i="21"/>
  <c r="D202" i="21"/>
  <c r="D203" i="21"/>
  <c r="D204" i="21"/>
  <c r="D205" i="21"/>
  <c r="D206" i="21"/>
  <c r="D207" i="21"/>
  <c r="D208" i="21"/>
  <c r="D209" i="21"/>
  <c r="D210" i="21"/>
  <c r="D211" i="21"/>
  <c r="D212" i="21"/>
  <c r="D213" i="21"/>
  <c r="D214" i="21"/>
  <c r="D215" i="21"/>
  <c r="D216" i="21"/>
  <c r="D217" i="21"/>
  <c r="D218" i="21"/>
  <c r="D219" i="21"/>
  <c r="D220" i="21"/>
  <c r="D221" i="21"/>
  <c r="D222" i="21"/>
  <c r="C2" i="21"/>
  <c r="C3" i="21"/>
  <c r="C4" i="21"/>
  <c r="C5" i="21"/>
  <c r="C6" i="21"/>
  <c r="C7" i="21"/>
  <c r="C8" i="21"/>
  <c r="C9" i="21"/>
  <c r="C10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C39" i="2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C74" i="21"/>
  <c r="C75" i="21"/>
  <c r="C76" i="21"/>
  <c r="C77" i="21"/>
  <c r="C78" i="21"/>
  <c r="C79" i="2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C93" i="21"/>
  <c r="C94" i="21"/>
  <c r="C95" i="21"/>
  <c r="C96" i="21"/>
  <c r="C97" i="21"/>
  <c r="C98" i="21"/>
  <c r="C99" i="21"/>
  <c r="C100" i="21"/>
  <c r="C101" i="21"/>
  <c r="C102" i="21"/>
  <c r="C103" i="21"/>
  <c r="C104" i="21"/>
  <c r="C105" i="21"/>
  <c r="C106" i="21"/>
  <c r="C107" i="21"/>
  <c r="C108" i="21"/>
  <c r="C109" i="21"/>
  <c r="C110" i="21"/>
  <c r="C111" i="21"/>
  <c r="C112" i="21"/>
  <c r="C113" i="21"/>
  <c r="C114" i="21"/>
  <c r="C115" i="21"/>
  <c r="C116" i="21"/>
  <c r="C117" i="21"/>
  <c r="C118" i="21"/>
  <c r="C119" i="21"/>
  <c r="C120" i="21"/>
  <c r="C121" i="21"/>
  <c r="C122" i="21"/>
  <c r="C123" i="21"/>
  <c r="C124" i="21"/>
  <c r="C125" i="21"/>
  <c r="C126" i="21"/>
  <c r="C127" i="21"/>
  <c r="C128" i="21"/>
  <c r="C129" i="21"/>
  <c r="C130" i="21"/>
  <c r="C131" i="21"/>
  <c r="C132" i="21"/>
  <c r="C133" i="21"/>
  <c r="C134" i="21"/>
  <c r="C135" i="21"/>
  <c r="C136" i="21"/>
  <c r="C137" i="21"/>
  <c r="C138" i="21"/>
  <c r="C139" i="21"/>
  <c r="C140" i="21"/>
  <c r="C141" i="21"/>
  <c r="C142" i="21"/>
  <c r="C143" i="21"/>
  <c r="C144" i="21"/>
  <c r="C145" i="21"/>
  <c r="C146" i="21"/>
  <c r="C147" i="21"/>
  <c r="C148" i="21"/>
  <c r="C149" i="21"/>
  <c r="C150" i="21"/>
  <c r="C151" i="21"/>
  <c r="C152" i="21"/>
  <c r="C153" i="21"/>
  <c r="C154" i="21"/>
  <c r="C155" i="21"/>
  <c r="C156" i="21"/>
  <c r="C157" i="21"/>
  <c r="C158" i="21"/>
  <c r="C159" i="21"/>
  <c r="C160" i="21"/>
  <c r="C161" i="21"/>
  <c r="C162" i="21"/>
  <c r="C163" i="21"/>
  <c r="C164" i="21"/>
  <c r="C165" i="21"/>
  <c r="C166" i="21"/>
  <c r="C167" i="21"/>
  <c r="C168" i="21"/>
  <c r="C169" i="21"/>
  <c r="C170" i="21"/>
  <c r="C171" i="21"/>
  <c r="C172" i="21"/>
  <c r="C173" i="21"/>
  <c r="C174" i="21"/>
  <c r="C175" i="21"/>
  <c r="C176" i="21"/>
  <c r="C177" i="21"/>
  <c r="C178" i="21"/>
  <c r="C179" i="21"/>
  <c r="C180" i="21"/>
  <c r="C181" i="21"/>
  <c r="C182" i="21"/>
  <c r="C183" i="21"/>
  <c r="C184" i="21"/>
  <c r="C185" i="21"/>
  <c r="C186" i="21"/>
  <c r="C187" i="21"/>
  <c r="C188" i="21"/>
  <c r="C189" i="21"/>
  <c r="C190" i="21"/>
  <c r="C191" i="21"/>
  <c r="C192" i="21"/>
  <c r="C193" i="21"/>
  <c r="C194" i="21"/>
  <c r="C195" i="21"/>
  <c r="C196" i="21"/>
  <c r="C197" i="21"/>
  <c r="C198" i="21"/>
  <c r="C199" i="21"/>
  <c r="C200" i="21"/>
  <c r="C201" i="21"/>
  <c r="C202" i="21"/>
  <c r="C203" i="21"/>
  <c r="C204" i="21"/>
  <c r="C205" i="21"/>
  <c r="C206" i="21"/>
  <c r="C207" i="21"/>
  <c r="C208" i="21"/>
  <c r="C209" i="21"/>
  <c r="C210" i="21"/>
  <c r="C211" i="21"/>
  <c r="C212" i="21"/>
  <c r="C213" i="21"/>
  <c r="C214" i="21"/>
  <c r="C215" i="21"/>
  <c r="C216" i="21"/>
  <c r="C217" i="21"/>
  <c r="C218" i="21"/>
  <c r="C219" i="21"/>
  <c r="C220" i="21"/>
  <c r="C221" i="21"/>
  <c r="C222" i="21"/>
  <c r="B2" i="21"/>
  <c r="B3" i="21"/>
  <c r="B4" i="21"/>
  <c r="B5" i="21"/>
  <c r="B6" i="21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98" i="21"/>
  <c r="B99" i="21"/>
  <c r="B100" i="21"/>
  <c r="B101" i="21"/>
  <c r="B102" i="21"/>
  <c r="B103" i="21"/>
  <c r="B104" i="21"/>
  <c r="B105" i="21"/>
  <c r="B106" i="21"/>
  <c r="B107" i="21"/>
  <c r="B108" i="21"/>
  <c r="B109" i="21"/>
  <c r="B110" i="21"/>
  <c r="B111" i="21"/>
  <c r="B112" i="21"/>
  <c r="B113" i="21"/>
  <c r="B114" i="21"/>
  <c r="B115" i="21"/>
  <c r="B116" i="21"/>
  <c r="B117" i="21"/>
  <c r="B118" i="21"/>
  <c r="B119" i="21"/>
  <c r="B120" i="21"/>
  <c r="B121" i="21"/>
  <c r="B122" i="21"/>
  <c r="B123" i="21"/>
  <c r="B124" i="21"/>
  <c r="B125" i="21"/>
  <c r="B126" i="21"/>
  <c r="B127" i="21"/>
  <c r="B128" i="21"/>
  <c r="B129" i="21"/>
  <c r="B130" i="21"/>
  <c r="B131" i="21"/>
  <c r="B132" i="21"/>
  <c r="B133" i="21"/>
  <c r="B134" i="21"/>
  <c r="B135" i="21"/>
  <c r="B136" i="21"/>
  <c r="B137" i="21"/>
  <c r="B138" i="21"/>
  <c r="B139" i="21"/>
  <c r="B140" i="21"/>
  <c r="B141" i="21"/>
  <c r="B142" i="21"/>
  <c r="B143" i="21"/>
  <c r="B144" i="21"/>
  <c r="B145" i="21"/>
  <c r="B146" i="21"/>
  <c r="B147" i="21"/>
  <c r="B148" i="21"/>
  <c r="B149" i="21"/>
  <c r="B150" i="21"/>
  <c r="B151" i="21"/>
  <c r="B152" i="21"/>
  <c r="B153" i="21"/>
  <c r="B154" i="21"/>
  <c r="B155" i="21"/>
  <c r="B156" i="21"/>
  <c r="B157" i="21"/>
  <c r="B158" i="21"/>
  <c r="B159" i="21"/>
  <c r="B160" i="21"/>
  <c r="B161" i="21"/>
  <c r="B162" i="21"/>
  <c r="B163" i="21"/>
  <c r="B164" i="21"/>
  <c r="B165" i="21"/>
  <c r="B166" i="21"/>
  <c r="B167" i="21"/>
  <c r="B168" i="21"/>
  <c r="B169" i="21"/>
  <c r="B170" i="21"/>
  <c r="B171" i="21"/>
  <c r="B172" i="21"/>
  <c r="B173" i="21"/>
  <c r="B174" i="21"/>
  <c r="B175" i="21"/>
  <c r="B176" i="21"/>
  <c r="B177" i="21"/>
  <c r="B178" i="21"/>
  <c r="B179" i="21"/>
  <c r="B180" i="21"/>
  <c r="B181" i="21"/>
  <c r="B182" i="21"/>
  <c r="B183" i="21"/>
  <c r="B184" i="21"/>
  <c r="B185" i="21"/>
  <c r="B186" i="21"/>
  <c r="B187" i="21"/>
  <c r="B188" i="21"/>
  <c r="B189" i="21"/>
  <c r="B190" i="21"/>
  <c r="B191" i="21"/>
  <c r="B192" i="21"/>
  <c r="B193" i="21"/>
  <c r="B194" i="21"/>
  <c r="B195" i="21"/>
  <c r="B196" i="21"/>
  <c r="B197" i="21"/>
  <c r="B198" i="21"/>
  <c r="B199" i="21"/>
  <c r="B200" i="21"/>
  <c r="B201" i="21"/>
  <c r="B202" i="21"/>
  <c r="B203" i="21"/>
  <c r="B204" i="21"/>
  <c r="B205" i="21"/>
  <c r="B206" i="21"/>
  <c r="B207" i="21"/>
  <c r="B208" i="21"/>
  <c r="B209" i="21"/>
  <c r="B210" i="21"/>
  <c r="B211" i="21"/>
  <c r="B212" i="21"/>
  <c r="B213" i="21"/>
  <c r="B214" i="21"/>
  <c r="B215" i="21"/>
  <c r="B216" i="21"/>
  <c r="B217" i="21"/>
  <c r="B218" i="21"/>
  <c r="B219" i="21"/>
  <c r="B220" i="21"/>
  <c r="B221" i="21"/>
  <c r="B222" i="2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H6" i="21" l="1"/>
  <c r="H11" i="21"/>
  <c r="H14" i="21"/>
  <c r="H15" i="21"/>
  <c r="H16" i="21"/>
  <c r="H19" i="21"/>
  <c r="H22" i="21"/>
  <c r="H30" i="21"/>
  <c r="H31" i="21"/>
  <c r="H32" i="21"/>
  <c r="H38" i="21"/>
  <c r="H46" i="21"/>
  <c r="H54" i="21"/>
  <c r="H55" i="21"/>
  <c r="H62" i="21"/>
  <c r="H63" i="21"/>
  <c r="H70" i="21"/>
  <c r="H71" i="21"/>
  <c r="H75" i="21"/>
  <c r="H83" i="21"/>
  <c r="H87" i="21"/>
  <c r="H91" i="21"/>
  <c r="H99" i="21"/>
  <c r="H103" i="21"/>
  <c r="H107" i="21"/>
  <c r="H115" i="21"/>
  <c r="H119" i="21"/>
  <c r="H123" i="21"/>
  <c r="H131" i="21"/>
  <c r="H135" i="21"/>
  <c r="H139" i="21"/>
  <c r="H147" i="21"/>
  <c r="H151" i="21"/>
  <c r="H155" i="21"/>
  <c r="H163" i="21"/>
  <c r="H167" i="21"/>
  <c r="H171" i="21"/>
  <c r="H179" i="21"/>
  <c r="H183" i="21"/>
  <c r="H187" i="21"/>
  <c r="H195" i="21"/>
  <c r="H199" i="21"/>
  <c r="H203" i="21"/>
  <c r="H211" i="21"/>
  <c r="H215" i="21"/>
  <c r="H219" i="21"/>
  <c r="H3" i="21"/>
  <c r="H4" i="21"/>
  <c r="H5" i="21"/>
  <c r="H7" i="21"/>
  <c r="H12" i="21"/>
  <c r="H13" i="21"/>
  <c r="H20" i="21"/>
  <c r="H21" i="21"/>
  <c r="H23" i="21"/>
  <c r="H24" i="21"/>
  <c r="H27" i="21"/>
  <c r="H28" i="21"/>
  <c r="H29" i="21"/>
  <c r="H35" i="21"/>
  <c r="H36" i="21"/>
  <c r="H37" i="21"/>
  <c r="H43" i="21"/>
  <c r="H44" i="21"/>
  <c r="H45" i="21"/>
  <c r="H51" i="21"/>
  <c r="H52" i="21"/>
  <c r="H53" i="21"/>
  <c r="H59" i="21"/>
  <c r="H60" i="21"/>
  <c r="H61" i="21"/>
  <c r="H67" i="21"/>
  <c r="H68" i="21"/>
  <c r="H69" i="21"/>
  <c r="H76" i="21"/>
  <c r="H77" i="21"/>
  <c r="H78" i="21"/>
  <c r="H79" i="21"/>
  <c r="H84" i="21"/>
  <c r="H85" i="21"/>
  <c r="H86" i="21"/>
  <c r="H92" i="21"/>
  <c r="H93" i="21"/>
  <c r="H94" i="21"/>
  <c r="H95" i="21"/>
  <c r="H100" i="21"/>
  <c r="H101" i="21"/>
  <c r="H102" i="21"/>
  <c r="H108" i="21"/>
  <c r="H109" i="21"/>
  <c r="H110" i="21"/>
  <c r="H111" i="21"/>
  <c r="H116" i="21"/>
  <c r="H117" i="21"/>
  <c r="H118" i="21"/>
  <c r="H124" i="21"/>
  <c r="H125" i="21"/>
  <c r="H126" i="21"/>
  <c r="H127" i="21"/>
  <c r="H132" i="21"/>
  <c r="H133" i="21"/>
  <c r="H134" i="21"/>
  <c r="H140" i="21"/>
  <c r="H141" i="21"/>
  <c r="H142" i="21"/>
  <c r="H143" i="21"/>
  <c r="H148" i="21"/>
  <c r="H149" i="21"/>
  <c r="H150" i="21"/>
  <c r="H156" i="21"/>
  <c r="H157" i="21"/>
  <c r="H158" i="21"/>
  <c r="H159" i="21"/>
  <c r="H164" i="21"/>
  <c r="H165" i="21"/>
  <c r="H166" i="21"/>
  <c r="H172" i="21"/>
  <c r="H173" i="21"/>
  <c r="H174" i="21"/>
  <c r="H175" i="21"/>
  <c r="H180" i="21"/>
  <c r="H181" i="21"/>
  <c r="H182" i="21"/>
  <c r="H188" i="21"/>
  <c r="H189" i="21"/>
  <c r="H190" i="21"/>
  <c r="H191" i="21"/>
  <c r="H196" i="21"/>
  <c r="H197" i="21"/>
  <c r="H198" i="21"/>
  <c r="H204" i="21"/>
  <c r="H205" i="21"/>
  <c r="H206" i="21"/>
  <c r="H207" i="21"/>
  <c r="H212" i="21"/>
  <c r="H213" i="21"/>
  <c r="H214" i="21"/>
  <c r="H220" i="21"/>
  <c r="H221" i="21"/>
  <c r="H222" i="21"/>
  <c r="H202" i="21" l="1"/>
  <c r="H170" i="21"/>
  <c r="H138" i="21"/>
  <c r="H106" i="21"/>
  <c r="H74" i="21"/>
  <c r="H25" i="21"/>
  <c r="H210" i="21"/>
  <c r="H178" i="21"/>
  <c r="H146" i="21"/>
  <c r="H114" i="21"/>
  <c r="H82" i="21"/>
  <c r="H10" i="21"/>
  <c r="H169" i="21"/>
  <c r="H50" i="21"/>
  <c r="H218" i="21"/>
  <c r="H194" i="21"/>
  <c r="H162" i="21"/>
  <c r="H130" i="21"/>
  <c r="H90" i="21"/>
  <c r="H58" i="21"/>
  <c r="H18" i="21"/>
  <c r="H42" i="21"/>
  <c r="H209" i="21"/>
  <c r="H201" i="21"/>
  <c r="H185" i="21"/>
  <c r="H161" i="21"/>
  <c r="H145" i="21"/>
  <c r="H137" i="21"/>
  <c r="H121" i="21"/>
  <c r="H105" i="21"/>
  <c r="H89" i="21"/>
  <c r="H73" i="21"/>
  <c r="H57" i="21"/>
  <c r="H9" i="21"/>
  <c r="H34" i="21"/>
  <c r="H186" i="21"/>
  <c r="H154" i="21"/>
  <c r="H122" i="21"/>
  <c r="H98" i="21"/>
  <c r="H66" i="21"/>
  <c r="H26" i="21"/>
  <c r="H217" i="21"/>
  <c r="H193" i="21"/>
  <c r="H177" i="21"/>
  <c r="H153" i="21"/>
  <c r="H129" i="21"/>
  <c r="H113" i="21"/>
  <c r="H97" i="21"/>
  <c r="H81" i="21"/>
  <c r="H65" i="21"/>
  <c r="H49" i="21"/>
  <c r="H17" i="21"/>
  <c r="H41" i="21"/>
  <c r="H33" i="21"/>
  <c r="H40" i="21"/>
  <c r="H48" i="21"/>
  <c r="H39" i="21"/>
  <c r="H56" i="21"/>
  <c r="H47" i="21"/>
  <c r="H64" i="21"/>
  <c r="H216" i="21"/>
  <c r="H208" i="21"/>
  <c r="H200" i="21"/>
  <c r="H192" i="21"/>
  <c r="H184" i="21"/>
  <c r="H176" i="21"/>
  <c r="H168" i="21"/>
  <c r="H160" i="21"/>
  <c r="H152" i="21"/>
  <c r="H144" i="21"/>
  <c r="H136" i="21"/>
  <c r="H128" i="21"/>
  <c r="H120" i="21"/>
  <c r="H112" i="21"/>
  <c r="H104" i="21"/>
  <c r="H96" i="21"/>
  <c r="H88" i="21"/>
  <c r="H80" i="21"/>
  <c r="H72" i="21"/>
  <c r="H8" i="21"/>
  <c r="H2" i="21"/>
  <c r="H4" i="1"/>
  <c r="G6" i="1"/>
  <c r="F6" i="1"/>
  <c r="E6" i="1"/>
  <c r="F4" i="1"/>
  <c r="G4" i="1"/>
  <c r="I4" i="1" s="1"/>
  <c r="E4" i="1"/>
  <c r="D4" i="1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E14" i="8"/>
  <c r="E15" i="8"/>
  <c r="E16" i="8"/>
  <c r="E17" i="8"/>
  <c r="E18" i="8"/>
  <c r="E19" i="8"/>
  <c r="E20" i="8"/>
  <c r="W20" i="8" s="1"/>
  <c r="E21" i="8"/>
  <c r="W21" i="8" s="1"/>
  <c r="E22" i="8"/>
  <c r="E23" i="8"/>
  <c r="E24" i="8"/>
  <c r="E25" i="8"/>
  <c r="E26" i="8"/>
  <c r="E27" i="8"/>
  <c r="E28" i="8"/>
  <c r="W28" i="8" s="1"/>
  <c r="E29" i="8"/>
  <c r="W29" i="8" s="1"/>
  <c r="E30" i="8"/>
  <c r="E31" i="8"/>
  <c r="E32" i="8"/>
  <c r="E33" i="8"/>
  <c r="E34" i="8"/>
  <c r="E35" i="8"/>
  <c r="E36" i="8"/>
  <c r="W36" i="8" s="1"/>
  <c r="E37" i="8"/>
  <c r="W37" i="8" s="1"/>
  <c r="E38" i="8"/>
  <c r="E39" i="8"/>
  <c r="E40" i="8"/>
  <c r="E41" i="8"/>
  <c r="E42" i="8"/>
  <c r="E43" i="8"/>
  <c r="E44" i="8"/>
  <c r="W44" i="8" s="1"/>
  <c r="E45" i="8"/>
  <c r="W45" i="8" s="1"/>
  <c r="E46" i="8"/>
  <c r="E47" i="8"/>
  <c r="E48" i="8"/>
  <c r="E49" i="8"/>
  <c r="E50" i="8"/>
  <c r="E51" i="8"/>
  <c r="E52" i="8"/>
  <c r="W52" i="8" s="1"/>
  <c r="E53" i="8"/>
  <c r="W53" i="8" s="1"/>
  <c r="E54" i="8"/>
  <c r="E55" i="8"/>
  <c r="E56" i="8"/>
  <c r="E57" i="8"/>
  <c r="E58" i="8"/>
  <c r="E59" i="8"/>
  <c r="E60" i="8"/>
  <c r="W60" i="8" s="1"/>
  <c r="E61" i="8"/>
  <c r="W61" i="8" s="1"/>
  <c r="E62" i="8"/>
  <c r="E63" i="8"/>
  <c r="E64" i="8"/>
  <c r="E65" i="8"/>
  <c r="E66" i="8"/>
  <c r="E67" i="8"/>
  <c r="E68" i="8"/>
  <c r="W68" i="8" s="1"/>
  <c r="E69" i="8"/>
  <c r="W69" i="8" s="1"/>
  <c r="E70" i="8"/>
  <c r="E71" i="8"/>
  <c r="E72" i="8"/>
  <c r="E73" i="8"/>
  <c r="E74" i="8"/>
  <c r="E75" i="8"/>
  <c r="E76" i="8"/>
  <c r="W76" i="8" s="1"/>
  <c r="E77" i="8"/>
  <c r="W77" i="8" s="1"/>
  <c r="E78" i="8"/>
  <c r="E79" i="8"/>
  <c r="E80" i="8"/>
  <c r="E81" i="8"/>
  <c r="E82" i="8"/>
  <c r="E83" i="8"/>
  <c r="E84" i="8"/>
  <c r="W84" i="8" s="1"/>
  <c r="E85" i="8"/>
  <c r="W85" i="8" s="1"/>
  <c r="E86" i="8"/>
  <c r="E87" i="8"/>
  <c r="E88" i="8"/>
  <c r="E89" i="8"/>
  <c r="E90" i="8"/>
  <c r="E91" i="8"/>
  <c r="E92" i="8"/>
  <c r="W92" i="8" s="1"/>
  <c r="E93" i="8"/>
  <c r="W93" i="8" s="1"/>
  <c r="E94" i="8"/>
  <c r="E95" i="8"/>
  <c r="E96" i="8"/>
  <c r="E97" i="8"/>
  <c r="E98" i="8"/>
  <c r="E99" i="8"/>
  <c r="E100" i="8"/>
  <c r="W100" i="8" s="1"/>
  <c r="E101" i="8"/>
  <c r="W101" i="8" s="1"/>
  <c r="E102" i="8"/>
  <c r="E103" i="8"/>
  <c r="E104" i="8"/>
  <c r="E105" i="8"/>
  <c r="E106" i="8"/>
  <c r="E107" i="8"/>
  <c r="E108" i="8"/>
  <c r="W108" i="8" s="1"/>
  <c r="E109" i="8"/>
  <c r="W109" i="8" s="1"/>
  <c r="E110" i="8"/>
  <c r="E111" i="8"/>
  <c r="E112" i="8"/>
  <c r="E113" i="8"/>
  <c r="E114" i="8"/>
  <c r="E115" i="8"/>
  <c r="E116" i="8"/>
  <c r="W116" i="8" s="1"/>
  <c r="E117" i="8"/>
  <c r="W117" i="8" s="1"/>
  <c r="E118" i="8"/>
  <c r="E119" i="8"/>
  <c r="E120" i="8"/>
  <c r="E121" i="8"/>
  <c r="E122" i="8"/>
  <c r="E123" i="8"/>
  <c r="E124" i="8"/>
  <c r="W124" i="8" s="1"/>
  <c r="E125" i="8"/>
  <c r="W125" i="8" s="1"/>
  <c r="E126" i="8"/>
  <c r="E127" i="8"/>
  <c r="E128" i="8"/>
  <c r="E129" i="8"/>
  <c r="E130" i="8"/>
  <c r="E131" i="8"/>
  <c r="E132" i="8"/>
  <c r="W132" i="8" s="1"/>
  <c r="E133" i="8"/>
  <c r="W133" i="8" s="1"/>
  <c r="E134" i="8"/>
  <c r="E135" i="8"/>
  <c r="E136" i="8"/>
  <c r="E137" i="8"/>
  <c r="E138" i="8"/>
  <c r="E139" i="8"/>
  <c r="E140" i="8"/>
  <c r="W140" i="8" s="1"/>
  <c r="E141" i="8"/>
  <c r="W141" i="8" s="1"/>
  <c r="E142" i="8"/>
  <c r="E143" i="8"/>
  <c r="E144" i="8"/>
  <c r="E145" i="8"/>
  <c r="E146" i="8"/>
  <c r="E147" i="8"/>
  <c r="E148" i="8"/>
  <c r="W148" i="8" s="1"/>
  <c r="E149" i="8"/>
  <c r="W149" i="8" s="1"/>
  <c r="E150" i="8"/>
  <c r="E151" i="8"/>
  <c r="E152" i="8"/>
  <c r="E153" i="8"/>
  <c r="E154" i="8"/>
  <c r="E155" i="8"/>
  <c r="E156" i="8"/>
  <c r="W156" i="8" s="1"/>
  <c r="E157" i="8"/>
  <c r="W157" i="8" s="1"/>
  <c r="E158" i="8"/>
  <c r="E159" i="8"/>
  <c r="E160" i="8"/>
  <c r="E161" i="8"/>
  <c r="E162" i="8"/>
  <c r="E163" i="8"/>
  <c r="E164" i="8"/>
  <c r="W164" i="8" s="1"/>
  <c r="E165" i="8"/>
  <c r="W165" i="8" s="1"/>
  <c r="E166" i="8"/>
  <c r="E167" i="8"/>
  <c r="E168" i="8"/>
  <c r="E169" i="8"/>
  <c r="E170" i="8"/>
  <c r="E171" i="8"/>
  <c r="E172" i="8"/>
  <c r="W172" i="8" s="1"/>
  <c r="E173" i="8"/>
  <c r="W173" i="8" s="1"/>
  <c r="E174" i="8"/>
  <c r="E175" i="8"/>
  <c r="E176" i="8"/>
  <c r="E177" i="8"/>
  <c r="E178" i="8"/>
  <c r="E179" i="8"/>
  <c r="E180" i="8"/>
  <c r="W180" i="8" s="1"/>
  <c r="E181" i="8"/>
  <c r="W181" i="8" s="1"/>
  <c r="E182" i="8"/>
  <c r="E183" i="8"/>
  <c r="E184" i="8"/>
  <c r="E185" i="8"/>
  <c r="E186" i="8"/>
  <c r="E187" i="8"/>
  <c r="E188" i="8"/>
  <c r="W188" i="8" s="1"/>
  <c r="E189" i="8"/>
  <c r="W189" i="8" s="1"/>
  <c r="E190" i="8"/>
  <c r="E191" i="8"/>
  <c r="E192" i="8"/>
  <c r="E193" i="8"/>
  <c r="E194" i="8"/>
  <c r="E195" i="8"/>
  <c r="E196" i="8"/>
  <c r="W196" i="8" s="1"/>
  <c r="E197" i="8"/>
  <c r="W197" i="8" s="1"/>
  <c r="E198" i="8"/>
  <c r="E199" i="8"/>
  <c r="E200" i="8"/>
  <c r="E201" i="8"/>
  <c r="E202" i="8"/>
  <c r="E203" i="8"/>
  <c r="E204" i="8"/>
  <c r="W204" i="8" s="1"/>
  <c r="E205" i="8"/>
  <c r="W205" i="8" s="1"/>
  <c r="E206" i="8"/>
  <c r="E207" i="8"/>
  <c r="E208" i="8"/>
  <c r="E209" i="8"/>
  <c r="E210" i="8"/>
  <c r="E211" i="8"/>
  <c r="E212" i="8"/>
  <c r="W212" i="8" s="1"/>
  <c r="E213" i="8"/>
  <c r="W213" i="8" s="1"/>
  <c r="E214" i="8"/>
  <c r="E215" i="8"/>
  <c r="E216" i="8"/>
  <c r="E217" i="8"/>
  <c r="E218" i="8"/>
  <c r="E219" i="8"/>
  <c r="E220" i="8"/>
  <c r="W220" i="8" s="1"/>
  <c r="E221" i="8"/>
  <c r="W221" i="8" s="1"/>
  <c r="E222" i="8"/>
  <c r="E223" i="8"/>
  <c r="E224" i="8"/>
  <c r="E225" i="8"/>
  <c r="E226" i="8"/>
  <c r="E227" i="8"/>
  <c r="E228" i="8"/>
  <c r="W228" i="8" s="1"/>
  <c r="E229" i="8"/>
  <c r="W229" i="8" s="1"/>
  <c r="E230" i="8"/>
  <c r="E231" i="8"/>
  <c r="E232" i="8"/>
  <c r="E233" i="8"/>
  <c r="E234" i="8"/>
  <c r="E235" i="8"/>
  <c r="E236" i="8"/>
  <c r="W236" i="8" s="1"/>
  <c r="E237" i="8"/>
  <c r="W237" i="8" s="1"/>
  <c r="E238" i="8"/>
  <c r="S238" i="8" s="1"/>
  <c r="E239" i="8"/>
  <c r="E240" i="8"/>
  <c r="E241" i="8"/>
  <c r="E242" i="8"/>
  <c r="E243" i="8"/>
  <c r="E244" i="8"/>
  <c r="W244" i="8" s="1"/>
  <c r="E245" i="8"/>
  <c r="W245" i="8" s="1"/>
  <c r="E246" i="8"/>
  <c r="E247" i="8"/>
  <c r="E248" i="8"/>
  <c r="E249" i="8"/>
  <c r="E250" i="8"/>
  <c r="E251" i="8"/>
  <c r="E252" i="8"/>
  <c r="W252" i="8" s="1"/>
  <c r="E253" i="8"/>
  <c r="W253" i="8" s="1"/>
  <c r="E254" i="8"/>
  <c r="E255" i="8"/>
  <c r="E256" i="8"/>
  <c r="E257" i="8"/>
  <c r="E258" i="8"/>
  <c r="E259" i="8"/>
  <c r="E260" i="8"/>
  <c r="W260" i="8" s="1"/>
  <c r="E261" i="8"/>
  <c r="W261" i="8" s="1"/>
  <c r="E262" i="8"/>
  <c r="E263" i="8"/>
  <c r="E264" i="8"/>
  <c r="E265" i="8"/>
  <c r="E266" i="8"/>
  <c r="E267" i="8"/>
  <c r="E268" i="8"/>
  <c r="W268" i="8" s="1"/>
  <c r="E269" i="8"/>
  <c r="W269" i="8" s="1"/>
  <c r="E270" i="8"/>
  <c r="E271" i="8"/>
  <c r="E272" i="8"/>
  <c r="E273" i="8"/>
  <c r="E274" i="8"/>
  <c r="E275" i="8"/>
  <c r="E276" i="8"/>
  <c r="W276" i="8" s="1"/>
  <c r="E277" i="8"/>
  <c r="W277" i="8" s="1"/>
  <c r="E278" i="8"/>
  <c r="E279" i="8"/>
  <c r="E280" i="8"/>
  <c r="E281" i="8"/>
  <c r="E282" i="8"/>
  <c r="E283" i="8"/>
  <c r="E284" i="8"/>
  <c r="W284" i="8" s="1"/>
  <c r="E285" i="8"/>
  <c r="W285" i="8" s="1"/>
  <c r="E286" i="8"/>
  <c r="E287" i="8"/>
  <c r="E288" i="8"/>
  <c r="E289" i="8"/>
  <c r="E290" i="8"/>
  <c r="E291" i="8"/>
  <c r="E292" i="8"/>
  <c r="W292" i="8" s="1"/>
  <c r="E293" i="8"/>
  <c r="W293" i="8" s="1"/>
  <c r="E294" i="8"/>
  <c r="E295" i="8"/>
  <c r="E296" i="8"/>
  <c r="E297" i="8"/>
  <c r="E298" i="8"/>
  <c r="E299" i="8"/>
  <c r="E300" i="8"/>
  <c r="W300" i="8" s="1"/>
  <c r="E301" i="8"/>
  <c r="W301" i="8" s="1"/>
  <c r="E302" i="8"/>
  <c r="E303" i="8"/>
  <c r="E304" i="8"/>
  <c r="E305" i="8"/>
  <c r="E306" i="8"/>
  <c r="E307" i="8"/>
  <c r="E308" i="8"/>
  <c r="W308" i="8" s="1"/>
  <c r="E309" i="8"/>
  <c r="W309" i="8" s="1"/>
  <c r="E310" i="8"/>
  <c r="E311" i="8"/>
  <c r="E312" i="8"/>
  <c r="E313" i="8"/>
  <c r="E314" i="8"/>
  <c r="E315" i="8"/>
  <c r="E316" i="8"/>
  <c r="W316" i="8" s="1"/>
  <c r="E317" i="8"/>
  <c r="W317" i="8" s="1"/>
  <c r="E318" i="8"/>
  <c r="E319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G247" i="8"/>
  <c r="G248" i="8"/>
  <c r="G249" i="8"/>
  <c r="G250" i="8"/>
  <c r="G251" i="8"/>
  <c r="G252" i="8"/>
  <c r="G253" i="8"/>
  <c r="G254" i="8"/>
  <c r="G255" i="8"/>
  <c r="G256" i="8"/>
  <c r="G257" i="8"/>
  <c r="G258" i="8"/>
  <c r="G259" i="8"/>
  <c r="G260" i="8"/>
  <c r="G261" i="8"/>
  <c r="G262" i="8"/>
  <c r="G263" i="8"/>
  <c r="G264" i="8"/>
  <c r="G265" i="8"/>
  <c r="G266" i="8"/>
  <c r="G267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82" i="8"/>
  <c r="G283" i="8"/>
  <c r="G284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8" i="8"/>
  <c r="G299" i="8"/>
  <c r="G300" i="8"/>
  <c r="G301" i="8"/>
  <c r="G302" i="8"/>
  <c r="G303" i="8"/>
  <c r="G304" i="8"/>
  <c r="G305" i="8"/>
  <c r="G306" i="8"/>
  <c r="G307" i="8"/>
  <c r="G308" i="8"/>
  <c r="G309" i="8"/>
  <c r="G310" i="8"/>
  <c r="G311" i="8"/>
  <c r="G312" i="8"/>
  <c r="G313" i="8"/>
  <c r="G314" i="8"/>
  <c r="G315" i="8"/>
  <c r="G316" i="8"/>
  <c r="G317" i="8"/>
  <c r="G318" i="8"/>
  <c r="G319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239" i="8"/>
  <c r="H240" i="8"/>
  <c r="H241" i="8"/>
  <c r="H242" i="8"/>
  <c r="H243" i="8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H264" i="8"/>
  <c r="H265" i="8"/>
  <c r="H266" i="8"/>
  <c r="H267" i="8"/>
  <c r="H268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H281" i="8"/>
  <c r="H282" i="8"/>
  <c r="H283" i="8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278" i="8"/>
  <c r="J279" i="8"/>
  <c r="J280" i="8"/>
  <c r="J281" i="8"/>
  <c r="J282" i="8"/>
  <c r="J283" i="8"/>
  <c r="J284" i="8"/>
  <c r="J285" i="8"/>
  <c r="J286" i="8"/>
  <c r="J287" i="8"/>
  <c r="J288" i="8"/>
  <c r="J289" i="8"/>
  <c r="J290" i="8"/>
  <c r="J291" i="8"/>
  <c r="J292" i="8"/>
  <c r="J293" i="8"/>
  <c r="J294" i="8"/>
  <c r="J295" i="8"/>
  <c r="J296" i="8"/>
  <c r="J297" i="8"/>
  <c r="J298" i="8"/>
  <c r="J299" i="8"/>
  <c r="J300" i="8"/>
  <c r="J301" i="8"/>
  <c r="J302" i="8"/>
  <c r="J303" i="8"/>
  <c r="J304" i="8"/>
  <c r="J305" i="8"/>
  <c r="J306" i="8"/>
  <c r="J307" i="8"/>
  <c r="J308" i="8"/>
  <c r="J309" i="8"/>
  <c r="J310" i="8"/>
  <c r="J311" i="8"/>
  <c r="J312" i="8"/>
  <c r="J313" i="8"/>
  <c r="J314" i="8"/>
  <c r="J315" i="8"/>
  <c r="J316" i="8"/>
  <c r="J317" i="8"/>
  <c r="J318" i="8"/>
  <c r="J319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180" i="8"/>
  <c r="K181" i="8"/>
  <c r="K182" i="8"/>
  <c r="K183" i="8"/>
  <c r="K184" i="8"/>
  <c r="K185" i="8"/>
  <c r="K186" i="8"/>
  <c r="K187" i="8"/>
  <c r="K188" i="8"/>
  <c r="K189" i="8"/>
  <c r="K190" i="8"/>
  <c r="K191" i="8"/>
  <c r="K192" i="8"/>
  <c r="K193" i="8"/>
  <c r="K194" i="8"/>
  <c r="K195" i="8"/>
  <c r="K196" i="8"/>
  <c r="K197" i="8"/>
  <c r="K198" i="8"/>
  <c r="K199" i="8"/>
  <c r="K200" i="8"/>
  <c r="K201" i="8"/>
  <c r="K202" i="8"/>
  <c r="K203" i="8"/>
  <c r="K204" i="8"/>
  <c r="K205" i="8"/>
  <c r="K206" i="8"/>
  <c r="K207" i="8"/>
  <c r="K208" i="8"/>
  <c r="K209" i="8"/>
  <c r="K210" i="8"/>
  <c r="K211" i="8"/>
  <c r="K212" i="8"/>
  <c r="K213" i="8"/>
  <c r="K214" i="8"/>
  <c r="K215" i="8"/>
  <c r="K216" i="8"/>
  <c r="K217" i="8"/>
  <c r="K218" i="8"/>
  <c r="K219" i="8"/>
  <c r="K220" i="8"/>
  <c r="K221" i="8"/>
  <c r="K222" i="8"/>
  <c r="K223" i="8"/>
  <c r="K224" i="8"/>
  <c r="K225" i="8"/>
  <c r="K226" i="8"/>
  <c r="K227" i="8"/>
  <c r="K228" i="8"/>
  <c r="K229" i="8"/>
  <c r="K230" i="8"/>
  <c r="K231" i="8"/>
  <c r="K232" i="8"/>
  <c r="K233" i="8"/>
  <c r="K234" i="8"/>
  <c r="K235" i="8"/>
  <c r="K236" i="8"/>
  <c r="K237" i="8"/>
  <c r="K238" i="8"/>
  <c r="K239" i="8"/>
  <c r="K240" i="8"/>
  <c r="K241" i="8"/>
  <c r="K242" i="8"/>
  <c r="K243" i="8"/>
  <c r="K244" i="8"/>
  <c r="K245" i="8"/>
  <c r="K246" i="8"/>
  <c r="K247" i="8"/>
  <c r="K248" i="8"/>
  <c r="K249" i="8"/>
  <c r="K250" i="8"/>
  <c r="K251" i="8"/>
  <c r="K252" i="8"/>
  <c r="K253" i="8"/>
  <c r="K254" i="8"/>
  <c r="K255" i="8"/>
  <c r="K256" i="8"/>
  <c r="K257" i="8"/>
  <c r="K258" i="8"/>
  <c r="K259" i="8"/>
  <c r="K260" i="8"/>
  <c r="K261" i="8"/>
  <c r="K262" i="8"/>
  <c r="K263" i="8"/>
  <c r="K264" i="8"/>
  <c r="K265" i="8"/>
  <c r="K266" i="8"/>
  <c r="K267" i="8"/>
  <c r="K268" i="8"/>
  <c r="K269" i="8"/>
  <c r="K270" i="8"/>
  <c r="K271" i="8"/>
  <c r="K272" i="8"/>
  <c r="K273" i="8"/>
  <c r="K274" i="8"/>
  <c r="K275" i="8"/>
  <c r="K276" i="8"/>
  <c r="K277" i="8"/>
  <c r="K278" i="8"/>
  <c r="K279" i="8"/>
  <c r="K280" i="8"/>
  <c r="K281" i="8"/>
  <c r="K282" i="8"/>
  <c r="K283" i="8"/>
  <c r="K284" i="8"/>
  <c r="K285" i="8"/>
  <c r="K286" i="8"/>
  <c r="K287" i="8"/>
  <c r="K288" i="8"/>
  <c r="K289" i="8"/>
  <c r="K290" i="8"/>
  <c r="K291" i="8"/>
  <c r="K292" i="8"/>
  <c r="K293" i="8"/>
  <c r="K294" i="8"/>
  <c r="K295" i="8"/>
  <c r="K296" i="8"/>
  <c r="K297" i="8"/>
  <c r="K298" i="8"/>
  <c r="K299" i="8"/>
  <c r="K300" i="8"/>
  <c r="K301" i="8"/>
  <c r="K302" i="8"/>
  <c r="K303" i="8"/>
  <c r="K304" i="8"/>
  <c r="K305" i="8"/>
  <c r="K306" i="8"/>
  <c r="K307" i="8"/>
  <c r="K308" i="8"/>
  <c r="K309" i="8"/>
  <c r="K310" i="8"/>
  <c r="K311" i="8"/>
  <c r="K312" i="8"/>
  <c r="K313" i="8"/>
  <c r="K314" i="8"/>
  <c r="K315" i="8"/>
  <c r="K316" i="8"/>
  <c r="K317" i="8"/>
  <c r="K318" i="8"/>
  <c r="K319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0" i="8"/>
  <c r="L81" i="8"/>
  <c r="L82" i="8"/>
  <c r="L83" i="8"/>
  <c r="L84" i="8"/>
  <c r="L85" i="8"/>
  <c r="L86" i="8"/>
  <c r="L87" i="8"/>
  <c r="L88" i="8"/>
  <c r="L89" i="8"/>
  <c r="L90" i="8"/>
  <c r="L91" i="8"/>
  <c r="L92" i="8"/>
  <c r="L93" i="8"/>
  <c r="L94" i="8"/>
  <c r="L95" i="8"/>
  <c r="L96" i="8"/>
  <c r="L97" i="8"/>
  <c r="L98" i="8"/>
  <c r="L99" i="8"/>
  <c r="L100" i="8"/>
  <c r="L101" i="8"/>
  <c r="L102" i="8"/>
  <c r="L103" i="8"/>
  <c r="L104" i="8"/>
  <c r="L105" i="8"/>
  <c r="L106" i="8"/>
  <c r="L107" i="8"/>
  <c r="L108" i="8"/>
  <c r="L109" i="8"/>
  <c r="L110" i="8"/>
  <c r="L111" i="8"/>
  <c r="L112" i="8"/>
  <c r="L113" i="8"/>
  <c r="L114" i="8"/>
  <c r="L115" i="8"/>
  <c r="L116" i="8"/>
  <c r="L117" i="8"/>
  <c r="L118" i="8"/>
  <c r="L119" i="8"/>
  <c r="L120" i="8"/>
  <c r="L121" i="8"/>
  <c r="L122" i="8"/>
  <c r="L123" i="8"/>
  <c r="L124" i="8"/>
  <c r="L125" i="8"/>
  <c r="L126" i="8"/>
  <c r="L127" i="8"/>
  <c r="L128" i="8"/>
  <c r="L129" i="8"/>
  <c r="L130" i="8"/>
  <c r="L131" i="8"/>
  <c r="L132" i="8"/>
  <c r="L133" i="8"/>
  <c r="L134" i="8"/>
  <c r="L135" i="8"/>
  <c r="L136" i="8"/>
  <c r="L137" i="8"/>
  <c r="L138" i="8"/>
  <c r="L139" i="8"/>
  <c r="L140" i="8"/>
  <c r="L141" i="8"/>
  <c r="L142" i="8"/>
  <c r="L143" i="8"/>
  <c r="L144" i="8"/>
  <c r="L145" i="8"/>
  <c r="L146" i="8"/>
  <c r="L147" i="8"/>
  <c r="L148" i="8"/>
  <c r="L149" i="8"/>
  <c r="L150" i="8"/>
  <c r="L151" i="8"/>
  <c r="L152" i="8"/>
  <c r="L153" i="8"/>
  <c r="L154" i="8"/>
  <c r="L155" i="8"/>
  <c r="L156" i="8"/>
  <c r="L157" i="8"/>
  <c r="L158" i="8"/>
  <c r="L159" i="8"/>
  <c r="L160" i="8"/>
  <c r="L161" i="8"/>
  <c r="L162" i="8"/>
  <c r="L163" i="8"/>
  <c r="L164" i="8"/>
  <c r="L165" i="8"/>
  <c r="L166" i="8"/>
  <c r="L167" i="8"/>
  <c r="L168" i="8"/>
  <c r="L169" i="8"/>
  <c r="L170" i="8"/>
  <c r="L171" i="8"/>
  <c r="L172" i="8"/>
  <c r="L173" i="8"/>
  <c r="L174" i="8"/>
  <c r="L175" i="8"/>
  <c r="L176" i="8"/>
  <c r="L177" i="8"/>
  <c r="L178" i="8"/>
  <c r="L179" i="8"/>
  <c r="L180" i="8"/>
  <c r="L181" i="8"/>
  <c r="L182" i="8"/>
  <c r="L183" i="8"/>
  <c r="L184" i="8"/>
  <c r="L185" i="8"/>
  <c r="L186" i="8"/>
  <c r="L187" i="8"/>
  <c r="L188" i="8"/>
  <c r="L189" i="8"/>
  <c r="L190" i="8"/>
  <c r="L191" i="8"/>
  <c r="L192" i="8"/>
  <c r="L193" i="8"/>
  <c r="L194" i="8"/>
  <c r="L195" i="8"/>
  <c r="L196" i="8"/>
  <c r="L197" i="8"/>
  <c r="L198" i="8"/>
  <c r="L199" i="8"/>
  <c r="L200" i="8"/>
  <c r="L201" i="8"/>
  <c r="L202" i="8"/>
  <c r="L203" i="8"/>
  <c r="L204" i="8"/>
  <c r="L205" i="8"/>
  <c r="L206" i="8"/>
  <c r="L207" i="8"/>
  <c r="L208" i="8"/>
  <c r="L209" i="8"/>
  <c r="L210" i="8"/>
  <c r="L211" i="8"/>
  <c r="L212" i="8"/>
  <c r="L213" i="8"/>
  <c r="L214" i="8"/>
  <c r="L215" i="8"/>
  <c r="L216" i="8"/>
  <c r="L217" i="8"/>
  <c r="L218" i="8"/>
  <c r="L219" i="8"/>
  <c r="L220" i="8"/>
  <c r="L221" i="8"/>
  <c r="L222" i="8"/>
  <c r="L223" i="8"/>
  <c r="L224" i="8"/>
  <c r="L225" i="8"/>
  <c r="L226" i="8"/>
  <c r="L227" i="8"/>
  <c r="L228" i="8"/>
  <c r="L229" i="8"/>
  <c r="L230" i="8"/>
  <c r="L231" i="8"/>
  <c r="L232" i="8"/>
  <c r="L233" i="8"/>
  <c r="L234" i="8"/>
  <c r="L235" i="8"/>
  <c r="L236" i="8"/>
  <c r="L237" i="8"/>
  <c r="L238" i="8"/>
  <c r="L239" i="8"/>
  <c r="L240" i="8"/>
  <c r="L241" i="8"/>
  <c r="L242" i="8"/>
  <c r="L243" i="8"/>
  <c r="L244" i="8"/>
  <c r="L245" i="8"/>
  <c r="L246" i="8"/>
  <c r="L247" i="8"/>
  <c r="L248" i="8"/>
  <c r="L249" i="8"/>
  <c r="L250" i="8"/>
  <c r="L251" i="8"/>
  <c r="L252" i="8"/>
  <c r="L253" i="8"/>
  <c r="L254" i="8"/>
  <c r="L255" i="8"/>
  <c r="L256" i="8"/>
  <c r="L257" i="8"/>
  <c r="L258" i="8"/>
  <c r="L259" i="8"/>
  <c r="L260" i="8"/>
  <c r="L261" i="8"/>
  <c r="L262" i="8"/>
  <c r="L263" i="8"/>
  <c r="L264" i="8"/>
  <c r="L265" i="8"/>
  <c r="L266" i="8"/>
  <c r="L267" i="8"/>
  <c r="L268" i="8"/>
  <c r="L269" i="8"/>
  <c r="L270" i="8"/>
  <c r="L271" i="8"/>
  <c r="L272" i="8"/>
  <c r="L273" i="8"/>
  <c r="L274" i="8"/>
  <c r="L275" i="8"/>
  <c r="L276" i="8"/>
  <c r="L277" i="8"/>
  <c r="L278" i="8"/>
  <c r="L279" i="8"/>
  <c r="L280" i="8"/>
  <c r="L281" i="8"/>
  <c r="L282" i="8"/>
  <c r="L283" i="8"/>
  <c r="L284" i="8"/>
  <c r="L285" i="8"/>
  <c r="L286" i="8"/>
  <c r="L287" i="8"/>
  <c r="L288" i="8"/>
  <c r="L289" i="8"/>
  <c r="L290" i="8"/>
  <c r="L291" i="8"/>
  <c r="L292" i="8"/>
  <c r="L293" i="8"/>
  <c r="L294" i="8"/>
  <c r="L295" i="8"/>
  <c r="L296" i="8"/>
  <c r="L297" i="8"/>
  <c r="L298" i="8"/>
  <c r="L299" i="8"/>
  <c r="L300" i="8"/>
  <c r="L301" i="8"/>
  <c r="L302" i="8"/>
  <c r="L303" i="8"/>
  <c r="L304" i="8"/>
  <c r="L305" i="8"/>
  <c r="L306" i="8"/>
  <c r="L307" i="8"/>
  <c r="L308" i="8"/>
  <c r="L309" i="8"/>
  <c r="L310" i="8"/>
  <c r="L311" i="8"/>
  <c r="L312" i="8"/>
  <c r="L313" i="8"/>
  <c r="L314" i="8"/>
  <c r="L315" i="8"/>
  <c r="L316" i="8"/>
  <c r="L317" i="8"/>
  <c r="L318" i="8"/>
  <c r="L319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129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7" i="8"/>
  <c r="N148" i="8"/>
  <c r="N149" i="8"/>
  <c r="N150" i="8"/>
  <c r="N151" i="8"/>
  <c r="N152" i="8"/>
  <c r="N153" i="8"/>
  <c r="N154" i="8"/>
  <c r="N155" i="8"/>
  <c r="N156" i="8"/>
  <c r="N157" i="8"/>
  <c r="N158" i="8"/>
  <c r="N159" i="8"/>
  <c r="N160" i="8"/>
  <c r="N161" i="8"/>
  <c r="N162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0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3" i="8"/>
  <c r="N264" i="8"/>
  <c r="N265" i="8"/>
  <c r="N266" i="8"/>
  <c r="N267" i="8"/>
  <c r="N268" i="8"/>
  <c r="N269" i="8"/>
  <c r="N270" i="8"/>
  <c r="N271" i="8"/>
  <c r="N272" i="8"/>
  <c r="N273" i="8"/>
  <c r="N274" i="8"/>
  <c r="N275" i="8"/>
  <c r="N276" i="8"/>
  <c r="N277" i="8"/>
  <c r="N278" i="8"/>
  <c r="N279" i="8"/>
  <c r="N280" i="8"/>
  <c r="N281" i="8"/>
  <c r="N282" i="8"/>
  <c r="N283" i="8"/>
  <c r="N284" i="8"/>
  <c r="N285" i="8"/>
  <c r="N286" i="8"/>
  <c r="N287" i="8"/>
  <c r="N288" i="8"/>
  <c r="N289" i="8"/>
  <c r="N290" i="8"/>
  <c r="N291" i="8"/>
  <c r="N292" i="8"/>
  <c r="N293" i="8"/>
  <c r="N294" i="8"/>
  <c r="N295" i="8"/>
  <c r="N296" i="8"/>
  <c r="N297" i="8"/>
  <c r="N298" i="8"/>
  <c r="N299" i="8"/>
  <c r="N300" i="8"/>
  <c r="N301" i="8"/>
  <c r="N302" i="8"/>
  <c r="N303" i="8"/>
  <c r="N304" i="8"/>
  <c r="N305" i="8"/>
  <c r="N306" i="8"/>
  <c r="N307" i="8"/>
  <c r="N308" i="8"/>
  <c r="N309" i="8"/>
  <c r="N310" i="8"/>
  <c r="N311" i="8"/>
  <c r="N312" i="8"/>
  <c r="N313" i="8"/>
  <c r="N314" i="8"/>
  <c r="N315" i="8"/>
  <c r="N316" i="8"/>
  <c r="N317" i="8"/>
  <c r="N318" i="8"/>
  <c r="N319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101" i="8"/>
  <c r="S102" i="8"/>
  <c r="S103" i="8"/>
  <c r="S104" i="8"/>
  <c r="S105" i="8"/>
  <c r="S106" i="8"/>
  <c r="S107" i="8"/>
  <c r="S108" i="8"/>
  <c r="S109" i="8"/>
  <c r="S110" i="8"/>
  <c r="S111" i="8"/>
  <c r="S112" i="8"/>
  <c r="S113" i="8"/>
  <c r="S114" i="8"/>
  <c r="S115" i="8"/>
  <c r="S116" i="8"/>
  <c r="S117" i="8"/>
  <c r="S118" i="8"/>
  <c r="S119" i="8"/>
  <c r="S120" i="8"/>
  <c r="S121" i="8"/>
  <c r="S122" i="8"/>
  <c r="S123" i="8"/>
  <c r="S124" i="8"/>
  <c r="S125" i="8"/>
  <c r="S126" i="8"/>
  <c r="S127" i="8"/>
  <c r="S128" i="8"/>
  <c r="S129" i="8"/>
  <c r="S130" i="8"/>
  <c r="S131" i="8"/>
  <c r="S132" i="8"/>
  <c r="S133" i="8"/>
  <c r="S134" i="8"/>
  <c r="S135" i="8"/>
  <c r="S136" i="8"/>
  <c r="S137" i="8"/>
  <c r="S138" i="8"/>
  <c r="S139" i="8"/>
  <c r="S140" i="8"/>
  <c r="S141" i="8"/>
  <c r="S142" i="8"/>
  <c r="S143" i="8"/>
  <c r="S144" i="8"/>
  <c r="S145" i="8"/>
  <c r="S146" i="8"/>
  <c r="S147" i="8"/>
  <c r="S148" i="8"/>
  <c r="S149" i="8"/>
  <c r="S150" i="8"/>
  <c r="S151" i="8"/>
  <c r="S152" i="8"/>
  <c r="S153" i="8"/>
  <c r="S154" i="8"/>
  <c r="S155" i="8"/>
  <c r="S156" i="8"/>
  <c r="S157" i="8"/>
  <c r="S158" i="8"/>
  <c r="S159" i="8"/>
  <c r="S160" i="8"/>
  <c r="S161" i="8"/>
  <c r="S162" i="8"/>
  <c r="S163" i="8"/>
  <c r="S164" i="8"/>
  <c r="S165" i="8"/>
  <c r="S166" i="8"/>
  <c r="S167" i="8"/>
  <c r="S168" i="8"/>
  <c r="S169" i="8"/>
  <c r="S170" i="8"/>
  <c r="S171" i="8"/>
  <c r="S172" i="8"/>
  <c r="S173" i="8"/>
  <c r="S174" i="8"/>
  <c r="S175" i="8"/>
  <c r="S176" i="8"/>
  <c r="S177" i="8"/>
  <c r="S178" i="8"/>
  <c r="S179" i="8"/>
  <c r="S180" i="8"/>
  <c r="S181" i="8"/>
  <c r="S182" i="8"/>
  <c r="S183" i="8"/>
  <c r="S184" i="8"/>
  <c r="S185" i="8"/>
  <c r="S186" i="8"/>
  <c r="S187" i="8"/>
  <c r="S188" i="8"/>
  <c r="S189" i="8"/>
  <c r="S190" i="8"/>
  <c r="S191" i="8"/>
  <c r="S192" i="8"/>
  <c r="S193" i="8"/>
  <c r="S194" i="8"/>
  <c r="S195" i="8"/>
  <c r="S196" i="8"/>
  <c r="S197" i="8"/>
  <c r="S198" i="8"/>
  <c r="S199" i="8"/>
  <c r="S200" i="8"/>
  <c r="S201" i="8"/>
  <c r="S202" i="8"/>
  <c r="S203" i="8"/>
  <c r="S204" i="8"/>
  <c r="S205" i="8"/>
  <c r="S206" i="8"/>
  <c r="S207" i="8"/>
  <c r="S208" i="8"/>
  <c r="S209" i="8"/>
  <c r="S210" i="8"/>
  <c r="S211" i="8"/>
  <c r="S212" i="8"/>
  <c r="S213" i="8"/>
  <c r="S214" i="8"/>
  <c r="S215" i="8"/>
  <c r="S216" i="8"/>
  <c r="S217" i="8"/>
  <c r="S218" i="8"/>
  <c r="S219" i="8"/>
  <c r="S220" i="8"/>
  <c r="S221" i="8"/>
  <c r="S222" i="8"/>
  <c r="S223" i="8"/>
  <c r="S224" i="8"/>
  <c r="S225" i="8"/>
  <c r="S226" i="8"/>
  <c r="S227" i="8"/>
  <c r="S228" i="8"/>
  <c r="S229" i="8"/>
  <c r="S230" i="8"/>
  <c r="S231" i="8"/>
  <c r="S232" i="8"/>
  <c r="S233" i="8"/>
  <c r="S234" i="8"/>
  <c r="S235" i="8"/>
  <c r="S236" i="8"/>
  <c r="S237" i="8"/>
  <c r="S239" i="8"/>
  <c r="S240" i="8"/>
  <c r="S241" i="8"/>
  <c r="S242" i="8"/>
  <c r="S243" i="8"/>
  <c r="S244" i="8"/>
  <c r="S245" i="8"/>
  <c r="S246" i="8"/>
  <c r="S247" i="8"/>
  <c r="S248" i="8"/>
  <c r="S249" i="8"/>
  <c r="S250" i="8"/>
  <c r="S251" i="8"/>
  <c r="S252" i="8"/>
  <c r="S253" i="8"/>
  <c r="S254" i="8"/>
  <c r="S255" i="8"/>
  <c r="S256" i="8"/>
  <c r="S257" i="8"/>
  <c r="S258" i="8"/>
  <c r="S259" i="8"/>
  <c r="S260" i="8"/>
  <c r="S261" i="8"/>
  <c r="S262" i="8"/>
  <c r="S263" i="8"/>
  <c r="S264" i="8"/>
  <c r="S265" i="8"/>
  <c r="S266" i="8"/>
  <c r="S267" i="8"/>
  <c r="S268" i="8"/>
  <c r="S269" i="8"/>
  <c r="S270" i="8"/>
  <c r="S271" i="8"/>
  <c r="S272" i="8"/>
  <c r="S273" i="8"/>
  <c r="S274" i="8"/>
  <c r="S275" i="8"/>
  <c r="S276" i="8"/>
  <c r="S277" i="8"/>
  <c r="S278" i="8"/>
  <c r="S279" i="8"/>
  <c r="S280" i="8"/>
  <c r="S281" i="8"/>
  <c r="S282" i="8"/>
  <c r="S283" i="8"/>
  <c r="S284" i="8"/>
  <c r="S285" i="8"/>
  <c r="S286" i="8"/>
  <c r="S287" i="8"/>
  <c r="S288" i="8"/>
  <c r="S289" i="8"/>
  <c r="S290" i="8"/>
  <c r="S291" i="8"/>
  <c r="S292" i="8"/>
  <c r="S293" i="8"/>
  <c r="S294" i="8"/>
  <c r="S295" i="8"/>
  <c r="S296" i="8"/>
  <c r="S297" i="8"/>
  <c r="S298" i="8"/>
  <c r="S299" i="8"/>
  <c r="S300" i="8"/>
  <c r="S301" i="8"/>
  <c r="S302" i="8"/>
  <c r="S303" i="8"/>
  <c r="S304" i="8"/>
  <c r="S305" i="8"/>
  <c r="S306" i="8"/>
  <c r="S307" i="8"/>
  <c r="S308" i="8"/>
  <c r="S309" i="8"/>
  <c r="S310" i="8"/>
  <c r="S311" i="8"/>
  <c r="S312" i="8"/>
  <c r="S313" i="8"/>
  <c r="S314" i="8"/>
  <c r="S315" i="8"/>
  <c r="S316" i="8"/>
  <c r="S317" i="8"/>
  <c r="S318" i="8"/>
  <c r="S319" i="8"/>
  <c r="W14" i="8"/>
  <c r="W15" i="8"/>
  <c r="W16" i="8"/>
  <c r="W17" i="8"/>
  <c r="W18" i="8"/>
  <c r="W19" i="8"/>
  <c r="W22" i="8"/>
  <c r="W23" i="8"/>
  <c r="W24" i="8"/>
  <c r="W25" i="8"/>
  <c r="W26" i="8"/>
  <c r="W27" i="8"/>
  <c r="W30" i="8"/>
  <c r="W31" i="8"/>
  <c r="W32" i="8"/>
  <c r="W33" i="8"/>
  <c r="W34" i="8"/>
  <c r="W35" i="8"/>
  <c r="W38" i="8"/>
  <c r="W39" i="8"/>
  <c r="W40" i="8"/>
  <c r="W41" i="8"/>
  <c r="W42" i="8"/>
  <c r="W43" i="8"/>
  <c r="W46" i="8"/>
  <c r="W47" i="8"/>
  <c r="W48" i="8"/>
  <c r="W49" i="8"/>
  <c r="W50" i="8"/>
  <c r="W51" i="8"/>
  <c r="W54" i="8"/>
  <c r="W55" i="8"/>
  <c r="W56" i="8"/>
  <c r="W57" i="8"/>
  <c r="W58" i="8"/>
  <c r="W59" i="8"/>
  <c r="W62" i="8"/>
  <c r="W63" i="8"/>
  <c r="W64" i="8"/>
  <c r="W65" i="8"/>
  <c r="W66" i="8"/>
  <c r="W67" i="8"/>
  <c r="W70" i="8"/>
  <c r="W71" i="8"/>
  <c r="W72" i="8"/>
  <c r="W73" i="8"/>
  <c r="W74" i="8"/>
  <c r="W75" i="8"/>
  <c r="W78" i="8"/>
  <c r="W79" i="8"/>
  <c r="W80" i="8"/>
  <c r="W81" i="8"/>
  <c r="W82" i="8"/>
  <c r="W83" i="8"/>
  <c r="W86" i="8"/>
  <c r="W87" i="8"/>
  <c r="W88" i="8"/>
  <c r="W89" i="8"/>
  <c r="W90" i="8"/>
  <c r="W91" i="8"/>
  <c r="W94" i="8"/>
  <c r="W95" i="8"/>
  <c r="W96" i="8"/>
  <c r="W97" i="8"/>
  <c r="W98" i="8"/>
  <c r="W99" i="8"/>
  <c r="W102" i="8"/>
  <c r="W103" i="8"/>
  <c r="W104" i="8"/>
  <c r="W105" i="8"/>
  <c r="W106" i="8"/>
  <c r="W107" i="8"/>
  <c r="W110" i="8"/>
  <c r="W111" i="8"/>
  <c r="W112" i="8"/>
  <c r="W113" i="8"/>
  <c r="W114" i="8"/>
  <c r="W115" i="8"/>
  <c r="W118" i="8"/>
  <c r="W119" i="8"/>
  <c r="W120" i="8"/>
  <c r="W121" i="8"/>
  <c r="W122" i="8"/>
  <c r="W123" i="8"/>
  <c r="W126" i="8"/>
  <c r="W127" i="8"/>
  <c r="W128" i="8"/>
  <c r="W129" i="8"/>
  <c r="W130" i="8"/>
  <c r="W131" i="8"/>
  <c r="W134" i="8"/>
  <c r="W135" i="8"/>
  <c r="W136" i="8"/>
  <c r="W137" i="8"/>
  <c r="W138" i="8"/>
  <c r="W139" i="8"/>
  <c r="W142" i="8"/>
  <c r="W143" i="8"/>
  <c r="W144" i="8"/>
  <c r="W145" i="8"/>
  <c r="W146" i="8"/>
  <c r="W147" i="8"/>
  <c r="W150" i="8"/>
  <c r="W151" i="8"/>
  <c r="W152" i="8"/>
  <c r="W153" i="8"/>
  <c r="W154" i="8"/>
  <c r="W155" i="8"/>
  <c r="W158" i="8"/>
  <c r="W159" i="8"/>
  <c r="W160" i="8"/>
  <c r="W161" i="8"/>
  <c r="W162" i="8"/>
  <c r="W163" i="8"/>
  <c r="W166" i="8"/>
  <c r="W167" i="8"/>
  <c r="W168" i="8"/>
  <c r="W169" i="8"/>
  <c r="W170" i="8"/>
  <c r="W171" i="8"/>
  <c r="W174" i="8"/>
  <c r="W175" i="8"/>
  <c r="W176" i="8"/>
  <c r="W177" i="8"/>
  <c r="W178" i="8"/>
  <c r="W179" i="8"/>
  <c r="W182" i="8"/>
  <c r="W183" i="8"/>
  <c r="W184" i="8"/>
  <c r="W185" i="8"/>
  <c r="W186" i="8"/>
  <c r="W187" i="8"/>
  <c r="W190" i="8"/>
  <c r="W191" i="8"/>
  <c r="W192" i="8"/>
  <c r="W193" i="8"/>
  <c r="W194" i="8"/>
  <c r="W195" i="8"/>
  <c r="W198" i="8"/>
  <c r="W199" i="8"/>
  <c r="W200" i="8"/>
  <c r="W201" i="8"/>
  <c r="W202" i="8"/>
  <c r="W203" i="8"/>
  <c r="W206" i="8"/>
  <c r="W207" i="8"/>
  <c r="W208" i="8"/>
  <c r="W209" i="8"/>
  <c r="W210" i="8"/>
  <c r="W211" i="8"/>
  <c r="W214" i="8"/>
  <c r="W215" i="8"/>
  <c r="W216" i="8"/>
  <c r="W217" i="8"/>
  <c r="W218" i="8"/>
  <c r="W219" i="8"/>
  <c r="W222" i="8"/>
  <c r="W223" i="8"/>
  <c r="W224" i="8"/>
  <c r="W225" i="8"/>
  <c r="W226" i="8"/>
  <c r="W227" i="8"/>
  <c r="W230" i="8"/>
  <c r="W231" i="8"/>
  <c r="W232" i="8"/>
  <c r="W233" i="8"/>
  <c r="W234" i="8"/>
  <c r="W235" i="8"/>
  <c r="W239" i="8"/>
  <c r="W240" i="8"/>
  <c r="W241" i="8"/>
  <c r="W242" i="8"/>
  <c r="W243" i="8"/>
  <c r="W246" i="8"/>
  <c r="W247" i="8"/>
  <c r="W248" i="8"/>
  <c r="W249" i="8"/>
  <c r="W250" i="8"/>
  <c r="W251" i="8"/>
  <c r="W254" i="8"/>
  <c r="W255" i="8"/>
  <c r="W256" i="8"/>
  <c r="W257" i="8"/>
  <c r="W258" i="8"/>
  <c r="W259" i="8"/>
  <c r="W262" i="8"/>
  <c r="W263" i="8"/>
  <c r="W264" i="8"/>
  <c r="W265" i="8"/>
  <c r="W266" i="8"/>
  <c r="W267" i="8"/>
  <c r="W270" i="8"/>
  <c r="W271" i="8"/>
  <c r="W272" i="8"/>
  <c r="W273" i="8"/>
  <c r="W274" i="8"/>
  <c r="W275" i="8"/>
  <c r="W278" i="8"/>
  <c r="W279" i="8"/>
  <c r="W280" i="8"/>
  <c r="W281" i="8"/>
  <c r="W282" i="8"/>
  <c r="W283" i="8"/>
  <c r="W286" i="8"/>
  <c r="W287" i="8"/>
  <c r="W288" i="8"/>
  <c r="W289" i="8"/>
  <c r="W290" i="8"/>
  <c r="W291" i="8"/>
  <c r="W294" i="8"/>
  <c r="W295" i="8"/>
  <c r="W296" i="8"/>
  <c r="W297" i="8"/>
  <c r="W298" i="8"/>
  <c r="W299" i="8"/>
  <c r="W302" i="8"/>
  <c r="W303" i="8"/>
  <c r="W304" i="8"/>
  <c r="W305" i="8"/>
  <c r="W306" i="8"/>
  <c r="W307" i="8"/>
  <c r="W310" i="8"/>
  <c r="W311" i="8"/>
  <c r="W312" i="8"/>
  <c r="W313" i="8"/>
  <c r="W314" i="8"/>
  <c r="W315" i="8"/>
  <c r="W318" i="8"/>
  <c r="W319" i="8"/>
  <c r="X14" i="8"/>
  <c r="X15" i="8"/>
  <c r="X16" i="8"/>
  <c r="X17" i="8"/>
  <c r="X18" i="8"/>
  <c r="X19" i="8"/>
  <c r="X22" i="8"/>
  <c r="X23" i="8"/>
  <c r="X24" i="8"/>
  <c r="X25" i="8"/>
  <c r="X26" i="8"/>
  <c r="X27" i="8"/>
  <c r="X30" i="8"/>
  <c r="X31" i="8"/>
  <c r="X32" i="8"/>
  <c r="X33" i="8"/>
  <c r="X34" i="8"/>
  <c r="X35" i="8"/>
  <c r="X38" i="8"/>
  <c r="X39" i="8"/>
  <c r="X40" i="8"/>
  <c r="X41" i="8"/>
  <c r="X42" i="8"/>
  <c r="X43" i="8"/>
  <c r="X46" i="8"/>
  <c r="X47" i="8"/>
  <c r="X48" i="8"/>
  <c r="X49" i="8"/>
  <c r="X50" i="8"/>
  <c r="X51" i="8"/>
  <c r="X54" i="8"/>
  <c r="X55" i="8"/>
  <c r="X56" i="8"/>
  <c r="X57" i="8"/>
  <c r="X58" i="8"/>
  <c r="X59" i="8"/>
  <c r="X62" i="8"/>
  <c r="X63" i="8"/>
  <c r="X64" i="8"/>
  <c r="X65" i="8"/>
  <c r="X66" i="8"/>
  <c r="X67" i="8"/>
  <c r="X70" i="8"/>
  <c r="X71" i="8"/>
  <c r="X72" i="8"/>
  <c r="X73" i="8"/>
  <c r="X74" i="8"/>
  <c r="X75" i="8"/>
  <c r="X78" i="8"/>
  <c r="X79" i="8"/>
  <c r="X80" i="8"/>
  <c r="X81" i="8"/>
  <c r="X82" i="8"/>
  <c r="X83" i="8"/>
  <c r="X86" i="8"/>
  <c r="X87" i="8"/>
  <c r="X88" i="8"/>
  <c r="X89" i="8"/>
  <c r="X90" i="8"/>
  <c r="X91" i="8"/>
  <c r="X94" i="8"/>
  <c r="X95" i="8"/>
  <c r="X96" i="8"/>
  <c r="X97" i="8"/>
  <c r="X98" i="8"/>
  <c r="X99" i="8"/>
  <c r="X102" i="8"/>
  <c r="X103" i="8"/>
  <c r="X104" i="8"/>
  <c r="X105" i="8"/>
  <c r="X106" i="8"/>
  <c r="X107" i="8"/>
  <c r="X110" i="8"/>
  <c r="X111" i="8"/>
  <c r="X112" i="8"/>
  <c r="X113" i="8"/>
  <c r="X114" i="8"/>
  <c r="X115" i="8"/>
  <c r="X118" i="8"/>
  <c r="X119" i="8"/>
  <c r="X120" i="8"/>
  <c r="X121" i="8"/>
  <c r="X122" i="8"/>
  <c r="X123" i="8"/>
  <c r="X126" i="8"/>
  <c r="X127" i="8"/>
  <c r="X128" i="8"/>
  <c r="X129" i="8"/>
  <c r="X130" i="8"/>
  <c r="X131" i="8"/>
  <c r="X134" i="8"/>
  <c r="X135" i="8"/>
  <c r="X136" i="8"/>
  <c r="X137" i="8"/>
  <c r="X138" i="8"/>
  <c r="X139" i="8"/>
  <c r="X142" i="8"/>
  <c r="X143" i="8"/>
  <c r="X144" i="8"/>
  <c r="X145" i="8"/>
  <c r="X146" i="8"/>
  <c r="X147" i="8"/>
  <c r="X150" i="8"/>
  <c r="X151" i="8"/>
  <c r="X152" i="8"/>
  <c r="X153" i="8"/>
  <c r="X154" i="8"/>
  <c r="X155" i="8"/>
  <c r="X158" i="8"/>
  <c r="X159" i="8"/>
  <c r="X160" i="8"/>
  <c r="X161" i="8"/>
  <c r="X162" i="8"/>
  <c r="X163" i="8"/>
  <c r="X166" i="8"/>
  <c r="X167" i="8"/>
  <c r="X168" i="8"/>
  <c r="X169" i="8"/>
  <c r="X170" i="8"/>
  <c r="X171" i="8"/>
  <c r="X174" i="8"/>
  <c r="X175" i="8"/>
  <c r="X176" i="8"/>
  <c r="X177" i="8"/>
  <c r="X178" i="8"/>
  <c r="X179" i="8"/>
  <c r="X182" i="8"/>
  <c r="X183" i="8"/>
  <c r="X184" i="8"/>
  <c r="X185" i="8"/>
  <c r="X186" i="8"/>
  <c r="X187" i="8"/>
  <c r="X190" i="8"/>
  <c r="X191" i="8"/>
  <c r="X192" i="8"/>
  <c r="X193" i="8"/>
  <c r="X194" i="8"/>
  <c r="X195" i="8"/>
  <c r="X198" i="8"/>
  <c r="X199" i="8"/>
  <c r="X200" i="8"/>
  <c r="X201" i="8"/>
  <c r="X202" i="8"/>
  <c r="X203" i="8"/>
  <c r="X206" i="8"/>
  <c r="X207" i="8"/>
  <c r="X208" i="8"/>
  <c r="X209" i="8"/>
  <c r="X210" i="8"/>
  <c r="X211" i="8"/>
  <c r="X214" i="8"/>
  <c r="X215" i="8"/>
  <c r="X216" i="8"/>
  <c r="X217" i="8"/>
  <c r="X218" i="8"/>
  <c r="X219" i="8"/>
  <c r="X222" i="8"/>
  <c r="X223" i="8"/>
  <c r="X224" i="8"/>
  <c r="X225" i="8"/>
  <c r="X226" i="8"/>
  <c r="X227" i="8"/>
  <c r="X230" i="8"/>
  <c r="X231" i="8"/>
  <c r="X232" i="8"/>
  <c r="X233" i="8"/>
  <c r="X234" i="8"/>
  <c r="X235" i="8"/>
  <c r="X239" i="8"/>
  <c r="X240" i="8"/>
  <c r="X241" i="8"/>
  <c r="X242" i="8"/>
  <c r="X243" i="8"/>
  <c r="X246" i="8"/>
  <c r="X247" i="8"/>
  <c r="X248" i="8"/>
  <c r="X249" i="8"/>
  <c r="X250" i="8"/>
  <c r="X251" i="8"/>
  <c r="X254" i="8"/>
  <c r="X255" i="8"/>
  <c r="X256" i="8"/>
  <c r="X257" i="8"/>
  <c r="X258" i="8"/>
  <c r="X259" i="8"/>
  <c r="X262" i="8"/>
  <c r="X263" i="8"/>
  <c r="X264" i="8"/>
  <c r="X265" i="8"/>
  <c r="X266" i="8"/>
  <c r="X267" i="8"/>
  <c r="X270" i="8"/>
  <c r="X271" i="8"/>
  <c r="X272" i="8"/>
  <c r="X273" i="8"/>
  <c r="X274" i="8"/>
  <c r="X275" i="8"/>
  <c r="X278" i="8"/>
  <c r="X279" i="8"/>
  <c r="X280" i="8"/>
  <c r="X281" i="8"/>
  <c r="X282" i="8"/>
  <c r="X283" i="8"/>
  <c r="X286" i="8"/>
  <c r="X287" i="8"/>
  <c r="X288" i="8"/>
  <c r="X289" i="8"/>
  <c r="X290" i="8"/>
  <c r="X291" i="8"/>
  <c r="X294" i="8"/>
  <c r="X295" i="8"/>
  <c r="X296" i="8"/>
  <c r="X297" i="8"/>
  <c r="X298" i="8"/>
  <c r="X299" i="8"/>
  <c r="X302" i="8"/>
  <c r="X303" i="8"/>
  <c r="X304" i="8"/>
  <c r="X305" i="8"/>
  <c r="X306" i="8"/>
  <c r="X307" i="8"/>
  <c r="X310" i="8"/>
  <c r="X311" i="8"/>
  <c r="X312" i="8"/>
  <c r="X313" i="8"/>
  <c r="X314" i="8"/>
  <c r="X315" i="8"/>
  <c r="X318" i="8"/>
  <c r="X319" i="8"/>
  <c r="P17" i="1" l="1"/>
  <c r="P25" i="1"/>
  <c r="P33" i="1"/>
  <c r="P41" i="1"/>
  <c r="P49" i="1"/>
  <c r="P57" i="1"/>
  <c r="P65" i="1"/>
  <c r="P73" i="1"/>
  <c r="P81" i="1"/>
  <c r="P89" i="1"/>
  <c r="P97" i="1"/>
  <c r="P105" i="1"/>
  <c r="P113" i="1"/>
  <c r="P121" i="1"/>
  <c r="P129" i="1"/>
  <c r="P137" i="1"/>
  <c r="P145" i="1"/>
  <c r="P153" i="1"/>
  <c r="P161" i="1"/>
  <c r="P169" i="1"/>
  <c r="P177" i="1"/>
  <c r="P185" i="1"/>
  <c r="P193" i="1"/>
  <c r="P201" i="1"/>
  <c r="P209" i="1"/>
  <c r="P217" i="1"/>
  <c r="P225" i="1"/>
  <c r="P233" i="1"/>
  <c r="P241" i="1"/>
  <c r="P241" i="8" s="1"/>
  <c r="P249" i="1"/>
  <c r="P249" i="8" s="1"/>
  <c r="P257" i="1"/>
  <c r="P257" i="8" s="1"/>
  <c r="P265" i="1"/>
  <c r="P265" i="8" s="1"/>
  <c r="P273" i="1"/>
  <c r="P281" i="1"/>
  <c r="P289" i="1"/>
  <c r="P289" i="8" s="1"/>
  <c r="P297" i="1"/>
  <c r="P297" i="8" s="1"/>
  <c r="P305" i="1"/>
  <c r="P305" i="8" s="1"/>
  <c r="P313" i="1"/>
  <c r="P313" i="8" s="1"/>
  <c r="P18" i="1"/>
  <c r="P26" i="1"/>
  <c r="P34" i="1"/>
  <c r="P42" i="1"/>
  <c r="P50" i="1"/>
  <c r="P58" i="1"/>
  <c r="P66" i="1"/>
  <c r="P74" i="1"/>
  <c r="P82" i="1"/>
  <c r="P90" i="1"/>
  <c r="P98" i="1"/>
  <c r="P106" i="1"/>
  <c r="P114" i="1"/>
  <c r="P122" i="1"/>
  <c r="P130" i="1"/>
  <c r="P138" i="1"/>
  <c r="P146" i="1"/>
  <c r="P154" i="1"/>
  <c r="P162" i="1"/>
  <c r="P170" i="1"/>
  <c r="P178" i="1"/>
  <c r="P186" i="1"/>
  <c r="P194" i="1"/>
  <c r="P202" i="1"/>
  <c r="P210" i="1"/>
  <c r="P218" i="1"/>
  <c r="P226" i="1"/>
  <c r="P234" i="1"/>
  <c r="P234" i="8" s="1"/>
  <c r="P242" i="1"/>
  <c r="P250" i="1"/>
  <c r="P258" i="1"/>
  <c r="P258" i="8" s="1"/>
  <c r="P266" i="1"/>
  <c r="P266" i="8" s="1"/>
  <c r="P274" i="1"/>
  <c r="P274" i="8" s="1"/>
  <c r="P282" i="1"/>
  <c r="P282" i="8" s="1"/>
  <c r="P290" i="1"/>
  <c r="P298" i="1"/>
  <c r="P306" i="1"/>
  <c r="P314" i="1"/>
  <c r="P314" i="8" s="1"/>
  <c r="P12" i="1"/>
  <c r="P20" i="1"/>
  <c r="P28" i="1"/>
  <c r="P36" i="1"/>
  <c r="P44" i="1"/>
  <c r="P52" i="1"/>
  <c r="P60" i="1"/>
  <c r="P68" i="1"/>
  <c r="P76" i="1"/>
  <c r="P84" i="1"/>
  <c r="P92" i="1"/>
  <c r="P100" i="1"/>
  <c r="P108" i="1"/>
  <c r="P116" i="1"/>
  <c r="P124" i="1"/>
  <c r="P132" i="1"/>
  <c r="P140" i="1"/>
  <c r="P148" i="1"/>
  <c r="P156" i="1"/>
  <c r="P164" i="1"/>
  <c r="P172" i="1"/>
  <c r="P180" i="1"/>
  <c r="P188" i="1"/>
  <c r="P196" i="1"/>
  <c r="P204" i="1"/>
  <c r="P212" i="1"/>
  <c r="P220" i="1"/>
  <c r="P228" i="1"/>
  <c r="P228" i="8" s="1"/>
  <c r="P236" i="1"/>
  <c r="P244" i="1"/>
  <c r="P244" i="8" s="1"/>
  <c r="P252" i="1"/>
  <c r="P260" i="1"/>
  <c r="P260" i="8" s="1"/>
  <c r="P268" i="1"/>
  <c r="P268" i="8" s="1"/>
  <c r="P276" i="1"/>
  <c r="P276" i="8" s="1"/>
  <c r="P284" i="1"/>
  <c r="P284" i="8" s="1"/>
  <c r="P292" i="1"/>
  <c r="P292" i="8" s="1"/>
  <c r="P300" i="1"/>
  <c r="P308" i="1"/>
  <c r="P308" i="8" s="1"/>
  <c r="P316" i="1"/>
  <c r="P316" i="8" s="1"/>
  <c r="P13" i="1"/>
  <c r="P21" i="1"/>
  <c r="P29" i="1"/>
  <c r="P37" i="1"/>
  <c r="P45" i="1"/>
  <c r="P53" i="1"/>
  <c r="P61" i="1"/>
  <c r="P69" i="1"/>
  <c r="P77" i="1"/>
  <c r="P85" i="1"/>
  <c r="P93" i="1"/>
  <c r="P101" i="1"/>
  <c r="P109" i="1"/>
  <c r="P117" i="1"/>
  <c r="P125" i="1"/>
  <c r="P133" i="1"/>
  <c r="P141" i="1"/>
  <c r="P149" i="1"/>
  <c r="P157" i="1"/>
  <c r="P165" i="1"/>
  <c r="P173" i="1"/>
  <c r="P181" i="1"/>
  <c r="P189" i="1"/>
  <c r="P197" i="1"/>
  <c r="P205" i="1"/>
  <c r="P213" i="1"/>
  <c r="P221" i="1"/>
  <c r="P229" i="1"/>
  <c r="P229" i="8" s="1"/>
  <c r="P237" i="1"/>
  <c r="P237" i="8" s="1"/>
  <c r="P245" i="1"/>
  <c r="P253" i="1"/>
  <c r="P253" i="8" s="1"/>
  <c r="P261" i="1"/>
  <c r="P269" i="1"/>
  <c r="P269" i="8" s="1"/>
  <c r="P277" i="1"/>
  <c r="P277" i="8" s="1"/>
  <c r="P285" i="1"/>
  <c r="P285" i="8" s="1"/>
  <c r="P293" i="1"/>
  <c r="P293" i="8" s="1"/>
  <c r="P301" i="1"/>
  <c r="P301" i="8" s="1"/>
  <c r="P309" i="1"/>
  <c r="P309" i="8" s="1"/>
  <c r="P317" i="1"/>
  <c r="P317" i="8" s="1"/>
  <c r="P14" i="1"/>
  <c r="P22" i="1"/>
  <c r="P30" i="1"/>
  <c r="P38" i="1"/>
  <c r="P46" i="1"/>
  <c r="P54" i="1"/>
  <c r="P62" i="1"/>
  <c r="P70" i="1"/>
  <c r="P78" i="1"/>
  <c r="P86" i="1"/>
  <c r="P94" i="1"/>
  <c r="P102" i="1"/>
  <c r="P110" i="1"/>
  <c r="P118" i="1"/>
  <c r="P126" i="1"/>
  <c r="P134" i="1"/>
  <c r="P142" i="1"/>
  <c r="P150" i="1"/>
  <c r="P158" i="1"/>
  <c r="P166" i="1"/>
  <c r="P174" i="1"/>
  <c r="P182" i="1"/>
  <c r="P190" i="1"/>
  <c r="P198" i="1"/>
  <c r="P206" i="1"/>
  <c r="P214" i="1"/>
  <c r="P222" i="1"/>
  <c r="P230" i="1"/>
  <c r="P230" i="8" s="1"/>
  <c r="P238" i="1"/>
  <c r="P238" i="8" s="1"/>
  <c r="P246" i="1"/>
  <c r="P246" i="8" s="1"/>
  <c r="P254" i="1"/>
  <c r="P262" i="1"/>
  <c r="P262" i="8" s="1"/>
  <c r="P270" i="1"/>
  <c r="P278" i="1"/>
  <c r="P278" i="8" s="1"/>
  <c r="P286" i="1"/>
  <c r="P286" i="8" s="1"/>
  <c r="P294" i="1"/>
  <c r="P294" i="8" s="1"/>
  <c r="P302" i="1"/>
  <c r="P302" i="8" s="1"/>
  <c r="P310" i="1"/>
  <c r="P310" i="8" s="1"/>
  <c r="P318" i="1"/>
  <c r="P15" i="1"/>
  <c r="P23" i="1"/>
  <c r="P31" i="1"/>
  <c r="P39" i="1"/>
  <c r="P47" i="1"/>
  <c r="P55" i="1"/>
  <c r="P63" i="1"/>
  <c r="P71" i="1"/>
  <c r="P79" i="1"/>
  <c r="P87" i="1"/>
  <c r="P95" i="1"/>
  <c r="P103" i="1"/>
  <c r="P111" i="1"/>
  <c r="P119" i="1"/>
  <c r="P127" i="1"/>
  <c r="P135" i="1"/>
  <c r="P143" i="1"/>
  <c r="P151" i="1"/>
  <c r="P159" i="1"/>
  <c r="P167" i="1"/>
  <c r="P175" i="1"/>
  <c r="P183" i="1"/>
  <c r="P191" i="1"/>
  <c r="P199" i="1"/>
  <c r="P207" i="1"/>
  <c r="P215" i="1"/>
  <c r="P223" i="1"/>
  <c r="P231" i="1"/>
  <c r="P231" i="8" s="1"/>
  <c r="P239" i="1"/>
  <c r="P239" i="8" s="1"/>
  <c r="P247" i="1"/>
  <c r="P247" i="8" s="1"/>
  <c r="P255" i="1"/>
  <c r="P255" i="8" s="1"/>
  <c r="P263" i="1"/>
  <c r="P271" i="1"/>
  <c r="P271" i="8" s="1"/>
  <c r="P279" i="1"/>
  <c r="P287" i="1"/>
  <c r="P287" i="8" s="1"/>
  <c r="P295" i="1"/>
  <c r="P295" i="8" s="1"/>
  <c r="P303" i="1"/>
  <c r="P303" i="8" s="1"/>
  <c r="P311" i="1"/>
  <c r="P311" i="8" s="1"/>
  <c r="P319" i="1"/>
  <c r="P319" i="8" s="1"/>
  <c r="P16" i="1"/>
  <c r="P24" i="1"/>
  <c r="P32" i="1"/>
  <c r="P40" i="1"/>
  <c r="P48" i="1"/>
  <c r="P56" i="1"/>
  <c r="P64" i="1"/>
  <c r="P51" i="1"/>
  <c r="P91" i="1"/>
  <c r="P123" i="1"/>
  <c r="P155" i="1"/>
  <c r="P187" i="1"/>
  <c r="P219" i="1"/>
  <c r="P251" i="1"/>
  <c r="P251" i="8" s="1"/>
  <c r="P283" i="1"/>
  <c r="P283" i="8" s="1"/>
  <c r="P315" i="1"/>
  <c r="P315" i="8" s="1"/>
  <c r="P59" i="1"/>
  <c r="P96" i="1"/>
  <c r="P128" i="1"/>
  <c r="P160" i="1"/>
  <c r="P192" i="1"/>
  <c r="P224" i="1"/>
  <c r="P224" i="8" s="1"/>
  <c r="P256" i="1"/>
  <c r="P256" i="8" s="1"/>
  <c r="P288" i="1"/>
  <c r="P288" i="8" s="1"/>
  <c r="P67" i="1"/>
  <c r="P99" i="1"/>
  <c r="P131" i="1"/>
  <c r="P163" i="1"/>
  <c r="P195" i="1"/>
  <c r="P227" i="1"/>
  <c r="P227" i="8" s="1"/>
  <c r="P259" i="1"/>
  <c r="P259" i="8" s="1"/>
  <c r="P291" i="1"/>
  <c r="P291" i="8" s="1"/>
  <c r="P168" i="1"/>
  <c r="P232" i="1"/>
  <c r="P232" i="8" s="1"/>
  <c r="P19" i="1"/>
  <c r="P171" i="1"/>
  <c r="P299" i="1"/>
  <c r="P299" i="8" s="1"/>
  <c r="P112" i="1"/>
  <c r="P208" i="1"/>
  <c r="P304" i="1"/>
  <c r="P304" i="8" s="1"/>
  <c r="P35" i="1"/>
  <c r="P211" i="1"/>
  <c r="P307" i="1"/>
  <c r="P307" i="8" s="1"/>
  <c r="P120" i="1"/>
  <c r="P216" i="1"/>
  <c r="P312" i="1"/>
  <c r="P72" i="1"/>
  <c r="P104" i="1"/>
  <c r="P136" i="1"/>
  <c r="P200" i="1"/>
  <c r="P264" i="1"/>
  <c r="P264" i="8" s="1"/>
  <c r="P296" i="1"/>
  <c r="P296" i="8" s="1"/>
  <c r="P75" i="1"/>
  <c r="P139" i="1"/>
  <c r="P235" i="1"/>
  <c r="P235" i="8" s="1"/>
  <c r="P27" i="1"/>
  <c r="P176" i="1"/>
  <c r="P272" i="1"/>
  <c r="P272" i="8" s="1"/>
  <c r="P83" i="1"/>
  <c r="P147" i="1"/>
  <c r="P275" i="1"/>
  <c r="P275" i="8" s="1"/>
  <c r="P43" i="1"/>
  <c r="P152" i="1"/>
  <c r="P280" i="1"/>
  <c r="P280" i="8" s="1"/>
  <c r="P107" i="1"/>
  <c r="P203" i="1"/>
  <c r="P267" i="1"/>
  <c r="P267" i="8" s="1"/>
  <c r="P80" i="1"/>
  <c r="P144" i="1"/>
  <c r="P240" i="1"/>
  <c r="P240" i="8" s="1"/>
  <c r="P115" i="1"/>
  <c r="P179" i="1"/>
  <c r="P243" i="1"/>
  <c r="P243" i="8" s="1"/>
  <c r="P88" i="1"/>
  <c r="P184" i="1"/>
  <c r="P248" i="1"/>
  <c r="P248" i="8" s="1"/>
  <c r="W238" i="8"/>
  <c r="X238" i="8"/>
  <c r="P312" i="8"/>
  <c r="P318" i="8"/>
  <c r="P300" i="8"/>
  <c r="P252" i="8"/>
  <c r="P236" i="8"/>
  <c r="P306" i="8"/>
  <c r="P298" i="8"/>
  <c r="P290" i="8"/>
  <c r="P250" i="8"/>
  <c r="P242" i="8"/>
  <c r="P226" i="8"/>
  <c r="P281" i="8"/>
  <c r="P273" i="8"/>
  <c r="P233" i="8"/>
  <c r="P225" i="8"/>
  <c r="P270" i="8"/>
  <c r="P254" i="8"/>
  <c r="P279" i="8"/>
  <c r="P263" i="8"/>
  <c r="P261" i="8"/>
  <c r="P245" i="8"/>
  <c r="X301" i="8"/>
  <c r="X261" i="8"/>
  <c r="X221" i="8"/>
  <c r="X181" i="8"/>
  <c r="X141" i="8"/>
  <c r="X117" i="8"/>
  <c r="X101" i="8"/>
  <c r="X77" i="8"/>
  <c r="X61" i="8"/>
  <c r="X53" i="8"/>
  <c r="X45" i="8"/>
  <c r="X37" i="8"/>
  <c r="X21" i="8"/>
  <c r="X309" i="8"/>
  <c r="X285" i="8"/>
  <c r="X269" i="8"/>
  <c r="X245" i="8"/>
  <c r="X229" i="8"/>
  <c r="X205" i="8"/>
  <c r="X189" i="8"/>
  <c r="X173" i="8"/>
  <c r="X157" i="8"/>
  <c r="X133" i="8"/>
  <c r="X69" i="8"/>
  <c r="X308" i="8"/>
  <c r="X284" i="8"/>
  <c r="X268" i="8"/>
  <c r="X252" i="8"/>
  <c r="X236" i="8"/>
  <c r="X220" i="8"/>
  <c r="X204" i="8"/>
  <c r="X188" i="8"/>
  <c r="X172" i="8"/>
  <c r="X156" i="8"/>
  <c r="X140" i="8"/>
  <c r="X132" i="8"/>
  <c r="X116" i="8"/>
  <c r="X100" i="8"/>
  <c r="X84" i="8"/>
  <c r="X68" i="8"/>
  <c r="X52" i="8"/>
  <c r="X36" i="8"/>
  <c r="X20" i="8"/>
  <c r="X317" i="8"/>
  <c r="X293" i="8"/>
  <c r="X277" i="8"/>
  <c r="X253" i="8"/>
  <c r="X237" i="8"/>
  <c r="X213" i="8"/>
  <c r="X197" i="8"/>
  <c r="X165" i="8"/>
  <c r="X149" i="8"/>
  <c r="X125" i="8"/>
  <c r="X109" i="8"/>
  <c r="X93" i="8"/>
  <c r="X85" i="8"/>
  <c r="X29" i="8"/>
  <c r="X316" i="8"/>
  <c r="X300" i="8"/>
  <c r="X292" i="8"/>
  <c r="X276" i="8"/>
  <c r="X260" i="8"/>
  <c r="X244" i="8"/>
  <c r="X228" i="8"/>
  <c r="X212" i="8"/>
  <c r="X196" i="8"/>
  <c r="X180" i="8"/>
  <c r="X164" i="8"/>
  <c r="X148" i="8"/>
  <c r="X124" i="8"/>
  <c r="X108" i="8"/>
  <c r="X92" i="8"/>
  <c r="X76" i="8"/>
  <c r="X60" i="8"/>
  <c r="X44" i="8"/>
  <c r="X28" i="8"/>
  <c r="O12" i="8"/>
  <c r="O13" i="8"/>
  <c r="N12" i="8"/>
  <c r="N13" i="8"/>
  <c r="M12" i="8"/>
  <c r="M13" i="8"/>
  <c r="L12" i="8"/>
  <c r="L13" i="8"/>
  <c r="K12" i="8"/>
  <c r="K13" i="8"/>
  <c r="K6" i="8"/>
  <c r="J12" i="8"/>
  <c r="J13" i="8"/>
  <c r="I12" i="8"/>
  <c r="I13" i="8"/>
  <c r="H12" i="8"/>
  <c r="H13" i="8"/>
  <c r="G12" i="8"/>
  <c r="G13" i="8"/>
  <c r="F12" i="8"/>
  <c r="F13" i="8"/>
  <c r="E12" i="8"/>
  <c r="X12" i="8" s="1"/>
  <c r="E13" i="8"/>
  <c r="X13" i="8" s="1"/>
  <c r="D12" i="8"/>
  <c r="V12" i="8" s="1"/>
  <c r="D13" i="8"/>
  <c r="S13" i="8" l="1"/>
  <c r="W13" i="8"/>
  <c r="H4" i="8"/>
  <c r="L6" i="8"/>
  <c r="S12" i="8"/>
  <c r="W12" i="8"/>
  <c r="H6" i="8"/>
  <c r="L4" i="8"/>
  <c r="T12" i="8"/>
  <c r="K4" i="8"/>
  <c r="U12" i="8"/>
  <c r="D4" i="8"/>
  <c r="M4" i="8"/>
  <c r="M6" i="8"/>
  <c r="AB5" i="8"/>
  <c r="AA5" i="8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P12" i="8" l="1"/>
  <c r="P20" i="8"/>
  <c r="P28" i="8"/>
  <c r="P36" i="8"/>
  <c r="P44" i="8"/>
  <c r="P52" i="8"/>
  <c r="P60" i="8"/>
  <c r="P68" i="8"/>
  <c r="P76" i="8"/>
  <c r="P84" i="8"/>
  <c r="P92" i="8"/>
  <c r="P100" i="8"/>
  <c r="P108" i="8"/>
  <c r="P116" i="8"/>
  <c r="P124" i="8"/>
  <c r="P132" i="8"/>
  <c r="P140" i="8"/>
  <c r="P148" i="8"/>
  <c r="P156" i="8"/>
  <c r="P164" i="8"/>
  <c r="P172" i="8"/>
  <c r="P180" i="8"/>
  <c r="P188" i="8"/>
  <c r="P196" i="8"/>
  <c r="P204" i="8"/>
  <c r="P212" i="8"/>
  <c r="P220" i="8"/>
  <c r="P13" i="8"/>
  <c r="P21" i="8"/>
  <c r="P29" i="8"/>
  <c r="P37" i="8"/>
  <c r="P45" i="8"/>
  <c r="P53" i="8"/>
  <c r="P61" i="8"/>
  <c r="P69" i="8"/>
  <c r="P77" i="8"/>
  <c r="P85" i="8"/>
  <c r="P93" i="8"/>
  <c r="P101" i="8"/>
  <c r="P109" i="8"/>
  <c r="P117" i="8"/>
  <c r="P125" i="8"/>
  <c r="P133" i="8"/>
  <c r="P141" i="8"/>
  <c r="P149" i="8"/>
  <c r="P157" i="8"/>
  <c r="P165" i="8"/>
  <c r="P173" i="8"/>
  <c r="P181" i="8"/>
  <c r="P189" i="8"/>
  <c r="P197" i="8"/>
  <c r="P205" i="8"/>
  <c r="P213" i="8"/>
  <c r="P221" i="8"/>
  <c r="P14" i="8"/>
  <c r="P24" i="8"/>
  <c r="P34" i="8"/>
  <c r="P46" i="8"/>
  <c r="P56" i="8"/>
  <c r="P66" i="8"/>
  <c r="P78" i="8"/>
  <c r="P88" i="8"/>
  <c r="P98" i="8"/>
  <c r="P110" i="8"/>
  <c r="P120" i="8"/>
  <c r="P130" i="8"/>
  <c r="P142" i="8"/>
  <c r="P152" i="8"/>
  <c r="P162" i="8"/>
  <c r="P174" i="8"/>
  <c r="P184" i="8"/>
  <c r="P194" i="8"/>
  <c r="P206" i="8"/>
  <c r="P216" i="8"/>
  <c r="P153" i="8"/>
  <c r="P175" i="8"/>
  <c r="P195" i="8"/>
  <c r="P217" i="8"/>
  <c r="P17" i="8"/>
  <c r="P71" i="8"/>
  <c r="P103" i="8"/>
  <c r="P135" i="8"/>
  <c r="P167" i="8"/>
  <c r="P199" i="8"/>
  <c r="P30" i="8"/>
  <c r="P62" i="8"/>
  <c r="P104" i="8"/>
  <c r="P136" i="8"/>
  <c r="P168" i="8"/>
  <c r="P178" i="8"/>
  <c r="P210" i="8"/>
  <c r="P31" i="8"/>
  <c r="P41" i="8"/>
  <c r="P73" i="8"/>
  <c r="P83" i="8"/>
  <c r="P105" i="8"/>
  <c r="P137" i="8"/>
  <c r="P159" i="8"/>
  <c r="P179" i="8"/>
  <c r="P15" i="8"/>
  <c r="P25" i="8"/>
  <c r="P35" i="8"/>
  <c r="P47" i="8"/>
  <c r="P57" i="8"/>
  <c r="P67" i="8"/>
  <c r="P79" i="8"/>
  <c r="P89" i="8"/>
  <c r="P99" i="8"/>
  <c r="P111" i="8"/>
  <c r="P121" i="8"/>
  <c r="P131" i="8"/>
  <c r="P143" i="8"/>
  <c r="P163" i="8"/>
  <c r="P185" i="8"/>
  <c r="P207" i="8"/>
  <c r="P27" i="8"/>
  <c r="P59" i="8"/>
  <c r="P91" i="8"/>
  <c r="P113" i="8"/>
  <c r="P145" i="8"/>
  <c r="P177" i="8"/>
  <c r="P209" i="8"/>
  <c r="P18" i="8"/>
  <c r="P50" i="8"/>
  <c r="P82" i="8"/>
  <c r="P114" i="8"/>
  <c r="P146" i="8"/>
  <c r="P190" i="8"/>
  <c r="P16" i="8"/>
  <c r="P26" i="8"/>
  <c r="P38" i="8"/>
  <c r="P48" i="8"/>
  <c r="P58" i="8"/>
  <c r="P70" i="8"/>
  <c r="P80" i="8"/>
  <c r="P90" i="8"/>
  <c r="P102" i="8"/>
  <c r="P112" i="8"/>
  <c r="P122" i="8"/>
  <c r="P134" i="8"/>
  <c r="P144" i="8"/>
  <c r="P154" i="8"/>
  <c r="P166" i="8"/>
  <c r="P176" i="8"/>
  <c r="P186" i="8"/>
  <c r="P198" i="8"/>
  <c r="P208" i="8"/>
  <c r="P218" i="8"/>
  <c r="P39" i="8"/>
  <c r="P49" i="8"/>
  <c r="P81" i="8"/>
  <c r="P123" i="8"/>
  <c r="P155" i="8"/>
  <c r="P187" i="8"/>
  <c r="P219" i="8"/>
  <c r="P40" i="8"/>
  <c r="P72" i="8"/>
  <c r="P94" i="8"/>
  <c r="P126" i="8"/>
  <c r="P158" i="8"/>
  <c r="P200" i="8"/>
  <c r="P222" i="8"/>
  <c r="P19" i="8"/>
  <c r="P51" i="8"/>
  <c r="P63" i="8"/>
  <c r="P95" i="8"/>
  <c r="P115" i="8"/>
  <c r="P127" i="8"/>
  <c r="P147" i="8"/>
  <c r="P169" i="8"/>
  <c r="P23" i="8"/>
  <c r="P65" i="8"/>
  <c r="P107" i="8"/>
  <c r="P151" i="8"/>
  <c r="P192" i="8"/>
  <c r="P223" i="8"/>
  <c r="P33" i="8"/>
  <c r="P161" i="8"/>
  <c r="P42" i="8"/>
  <c r="P170" i="8"/>
  <c r="P202" i="8"/>
  <c r="P43" i="8"/>
  <c r="P171" i="8"/>
  <c r="P138" i="8"/>
  <c r="P211" i="8"/>
  <c r="P139" i="8"/>
  <c r="P214" i="8"/>
  <c r="P64" i="8"/>
  <c r="P191" i="8"/>
  <c r="P32" i="8"/>
  <c r="P74" i="8"/>
  <c r="P118" i="8"/>
  <c r="P160" i="8"/>
  <c r="P193" i="8"/>
  <c r="P75" i="8"/>
  <c r="P119" i="8"/>
  <c r="P201" i="8"/>
  <c r="P86" i="8"/>
  <c r="P128" i="8"/>
  <c r="P87" i="8"/>
  <c r="P203" i="8"/>
  <c r="P96" i="8"/>
  <c r="P182" i="8"/>
  <c r="P55" i="8"/>
  <c r="P183" i="8"/>
  <c r="P22" i="8"/>
  <c r="P150" i="8"/>
  <c r="P129" i="8"/>
  <c r="P54" i="8"/>
  <c r="P97" i="8"/>
  <c r="P106" i="8"/>
  <c r="P215" i="8"/>
  <c r="R7" i="8"/>
  <c r="A17" i="8" l="1"/>
  <c r="A25" i="8"/>
  <c r="A41" i="8"/>
  <c r="A49" i="8"/>
  <c r="A57" i="8"/>
  <c r="A61" i="8"/>
  <c r="A69" i="8"/>
  <c r="A70" i="8"/>
  <c r="A73" i="8"/>
  <c r="A81" i="8"/>
  <c r="A86" i="8"/>
  <c r="A89" i="8"/>
  <c r="A102" i="8"/>
  <c r="A104" i="8"/>
  <c r="A105" i="8"/>
  <c r="A113" i="8"/>
  <c r="A120" i="8"/>
  <c r="A121" i="8"/>
  <c r="A125" i="8"/>
  <c r="A130" i="8"/>
  <c r="A134" i="8"/>
  <c r="A137" i="8"/>
  <c r="A145" i="8"/>
  <c r="A153" i="8"/>
  <c r="A157" i="8"/>
  <c r="A166" i="8"/>
  <c r="A169" i="8"/>
  <c r="A177" i="8"/>
  <c r="A182" i="8"/>
  <c r="A185" i="8"/>
  <c r="A194" i="8"/>
  <c r="A198" i="8"/>
  <c r="A201" i="8"/>
  <c r="A209" i="8"/>
  <c r="A217" i="8"/>
  <c r="A232" i="8"/>
  <c r="A233" i="8"/>
  <c r="A241" i="8"/>
  <c r="A248" i="8"/>
  <c r="A249" i="8"/>
  <c r="A253" i="8"/>
  <c r="A262" i="8"/>
  <c r="A265" i="8"/>
  <c r="A269" i="8"/>
  <c r="A273" i="8"/>
  <c r="A281" i="8"/>
  <c r="A290" i="8"/>
  <c r="A294" i="8"/>
  <c r="A297" i="8"/>
  <c r="A301" i="8"/>
  <c r="A305" i="8"/>
  <c r="A313" i="8"/>
  <c r="C312" i="8" l="1"/>
  <c r="C287" i="8"/>
  <c r="C263" i="8"/>
  <c r="C239" i="8"/>
  <c r="C215" i="8"/>
  <c r="C207" i="8"/>
  <c r="C183" i="8"/>
  <c r="C159" i="8"/>
  <c r="C127" i="8"/>
  <c r="C103" i="8"/>
  <c r="C87" i="8"/>
  <c r="C71" i="8"/>
  <c r="C47" i="8"/>
  <c r="C31" i="8"/>
  <c r="C303" i="8"/>
  <c r="C278" i="8"/>
  <c r="B254" i="8"/>
  <c r="C230" i="8"/>
  <c r="B206" i="8"/>
  <c r="C190" i="8"/>
  <c r="B174" i="8"/>
  <c r="C150" i="8"/>
  <c r="C126" i="8"/>
  <c r="B110" i="8"/>
  <c r="B62" i="8"/>
  <c r="B46" i="8"/>
  <c r="C22" i="8"/>
  <c r="B302" i="8"/>
  <c r="C277" i="8"/>
  <c r="C261" i="8"/>
  <c r="C237" i="8"/>
  <c r="C213" i="8"/>
  <c r="B189" i="8"/>
  <c r="C101" i="8"/>
  <c r="C85" i="8"/>
  <c r="C45" i="8"/>
  <c r="C21" i="8"/>
  <c r="C309" i="8"/>
  <c r="C276" i="8"/>
  <c r="C252" i="8"/>
  <c r="C236" i="8"/>
  <c r="C212" i="8"/>
  <c r="C188" i="8"/>
  <c r="C164" i="8"/>
  <c r="C140" i="8"/>
  <c r="C124" i="8"/>
  <c r="C92" i="8"/>
  <c r="C76" i="8"/>
  <c r="C44" i="8"/>
  <c r="C28" i="8"/>
  <c r="C316" i="8"/>
  <c r="C291" i="8"/>
  <c r="C259" i="8"/>
  <c r="C235" i="8"/>
  <c r="C211" i="8"/>
  <c r="C187" i="8"/>
  <c r="C171" i="8"/>
  <c r="C147" i="8"/>
  <c r="C123" i="8"/>
  <c r="C107" i="8"/>
  <c r="C91" i="8"/>
  <c r="C83" i="8"/>
  <c r="C75" i="8"/>
  <c r="C67" i="8"/>
  <c r="C59" i="8"/>
  <c r="C51" i="8"/>
  <c r="C43" i="8"/>
  <c r="C35" i="8"/>
  <c r="C27" i="8"/>
  <c r="C19" i="8"/>
  <c r="C315" i="8"/>
  <c r="C307" i="8"/>
  <c r="C299" i="8"/>
  <c r="C282" i="8"/>
  <c r="C274" i="8"/>
  <c r="C266" i="8"/>
  <c r="C258" i="8"/>
  <c r="C250" i="8"/>
  <c r="B242" i="8"/>
  <c r="C234" i="8"/>
  <c r="B226" i="8"/>
  <c r="B218" i="8"/>
  <c r="B210" i="8"/>
  <c r="B202" i="8"/>
  <c r="B186" i="8"/>
  <c r="B178" i="8"/>
  <c r="C170" i="8"/>
  <c r="B162" i="8"/>
  <c r="B154" i="8"/>
  <c r="B146" i="8"/>
  <c r="B138" i="8"/>
  <c r="B122" i="8"/>
  <c r="B114" i="8"/>
  <c r="C106" i="8"/>
  <c r="B98" i="8"/>
  <c r="B90" i="8"/>
  <c r="B82" i="8"/>
  <c r="B74" i="8"/>
  <c r="C66" i="8"/>
  <c r="C58" i="8"/>
  <c r="B50" i="8"/>
  <c r="B42" i="8"/>
  <c r="C34" i="8"/>
  <c r="B26" i="8"/>
  <c r="B18" i="8"/>
  <c r="C304" i="8"/>
  <c r="C279" i="8"/>
  <c r="C247" i="8"/>
  <c r="C223" i="8"/>
  <c r="C191" i="8"/>
  <c r="C167" i="8"/>
  <c r="C143" i="8"/>
  <c r="C119" i="8"/>
  <c r="C95" i="8"/>
  <c r="C55" i="8"/>
  <c r="C319" i="8"/>
  <c r="C295" i="8"/>
  <c r="B270" i="8"/>
  <c r="C246" i="8"/>
  <c r="C222" i="8"/>
  <c r="C30" i="8"/>
  <c r="C310" i="8"/>
  <c r="C285" i="8"/>
  <c r="C229" i="8"/>
  <c r="C205" i="8"/>
  <c r="B181" i="8"/>
  <c r="B165" i="8"/>
  <c r="C141" i="8"/>
  <c r="C117" i="8"/>
  <c r="B93" i="8"/>
  <c r="C53" i="8"/>
  <c r="C317" i="8"/>
  <c r="C293" i="8"/>
  <c r="C268" i="8"/>
  <c r="C244" i="8"/>
  <c r="C220" i="8"/>
  <c r="C196" i="8"/>
  <c r="C172" i="8"/>
  <c r="C148" i="8"/>
  <c r="C108" i="8"/>
  <c r="C84" i="8"/>
  <c r="C60" i="8"/>
  <c r="C20" i="8"/>
  <c r="C300" i="8"/>
  <c r="C275" i="8"/>
  <c r="C251" i="8"/>
  <c r="C227" i="8"/>
  <c r="C203" i="8"/>
  <c r="C179" i="8"/>
  <c r="C155" i="8"/>
  <c r="C115" i="8"/>
  <c r="B12" i="8"/>
  <c r="C306" i="8"/>
  <c r="B289" i="8"/>
  <c r="B257" i="8"/>
  <c r="B225" i="8"/>
  <c r="B193" i="8"/>
  <c r="B161" i="8"/>
  <c r="B129" i="8"/>
  <c r="B97" i="8"/>
  <c r="B65" i="8"/>
  <c r="B33" i="8"/>
  <c r="C62" i="8"/>
  <c r="C296" i="8"/>
  <c r="C271" i="8"/>
  <c r="C255" i="8"/>
  <c r="C231" i="8"/>
  <c r="C199" i="8"/>
  <c r="C175" i="8"/>
  <c r="C151" i="8"/>
  <c r="C135" i="8"/>
  <c r="C111" i="8"/>
  <c r="C79" i="8"/>
  <c r="C63" i="8"/>
  <c r="C39" i="8"/>
  <c r="C23" i="8"/>
  <c r="C311" i="8"/>
  <c r="C286" i="8"/>
  <c r="B238" i="8"/>
  <c r="C214" i="8"/>
  <c r="B158" i="8"/>
  <c r="B142" i="8"/>
  <c r="C118" i="8"/>
  <c r="C94" i="8"/>
  <c r="C78" i="8"/>
  <c r="C54" i="8"/>
  <c r="C38" i="8"/>
  <c r="C318" i="8"/>
  <c r="C245" i="8"/>
  <c r="C221" i="8"/>
  <c r="B197" i="8"/>
  <c r="C173" i="8"/>
  <c r="B149" i="8"/>
  <c r="C133" i="8"/>
  <c r="C109" i="8"/>
  <c r="C77" i="8"/>
  <c r="C37" i="8"/>
  <c r="C29" i="8"/>
  <c r="C284" i="8"/>
  <c r="C260" i="8"/>
  <c r="C228" i="8"/>
  <c r="C204" i="8"/>
  <c r="C180" i="8"/>
  <c r="C156" i="8"/>
  <c r="C132" i="8"/>
  <c r="C116" i="8"/>
  <c r="C100" i="8"/>
  <c r="C68" i="8"/>
  <c r="C52" i="8"/>
  <c r="C36" i="8"/>
  <c r="C308" i="8"/>
  <c r="C283" i="8"/>
  <c r="C267" i="8"/>
  <c r="C243" i="8"/>
  <c r="C219" i="8"/>
  <c r="C195" i="8"/>
  <c r="C163" i="8"/>
  <c r="C139" i="8"/>
  <c r="C131" i="8"/>
  <c r="C99" i="8"/>
  <c r="C314" i="8"/>
  <c r="C298" i="8"/>
  <c r="C70" i="8"/>
  <c r="C288" i="8"/>
  <c r="B280" i="8"/>
  <c r="C272" i="8"/>
  <c r="B264" i="8"/>
  <c r="C256" i="8"/>
  <c r="C240" i="8"/>
  <c r="C224" i="8"/>
  <c r="C216" i="8"/>
  <c r="C208" i="8"/>
  <c r="C200" i="8"/>
  <c r="C192" i="8"/>
  <c r="C184" i="8"/>
  <c r="C176" i="8"/>
  <c r="C168" i="8"/>
  <c r="C160" i="8"/>
  <c r="B152" i="8"/>
  <c r="C144" i="8"/>
  <c r="B136" i="8"/>
  <c r="C128" i="8"/>
  <c r="C112" i="8"/>
  <c r="C96" i="8"/>
  <c r="C88" i="8"/>
  <c r="C80" i="8"/>
  <c r="C72" i="8"/>
  <c r="C64" i="8"/>
  <c r="C56" i="8"/>
  <c r="C48" i="8"/>
  <c r="C40" i="8"/>
  <c r="C32" i="8"/>
  <c r="B24" i="8"/>
  <c r="C16" i="8"/>
  <c r="A142" i="8"/>
  <c r="A46" i="8"/>
  <c r="A30" i="8"/>
  <c r="A118" i="8"/>
  <c r="A62" i="8"/>
  <c r="A206" i="8"/>
  <c r="A54" i="8"/>
  <c r="A110" i="8"/>
  <c r="A22" i="8"/>
  <c r="A14" i="8"/>
  <c r="A12" i="8"/>
  <c r="A94" i="8"/>
  <c r="A78" i="8"/>
  <c r="A286" i="8"/>
  <c r="A126" i="8"/>
  <c r="A254" i="8"/>
  <c r="A246" i="8"/>
  <c r="A190" i="8"/>
  <c r="A174" i="8"/>
  <c r="A158" i="8"/>
  <c r="A302" i="8"/>
  <c r="A214" i="8"/>
  <c r="A278" i="8"/>
  <c r="A270" i="8"/>
  <c r="A238" i="8"/>
  <c r="A150" i="8"/>
  <c r="A222" i="8"/>
  <c r="A221" i="8"/>
  <c r="A149" i="8"/>
  <c r="A77" i="8"/>
  <c r="A37" i="8"/>
  <c r="A293" i="8"/>
  <c r="A181" i="8"/>
  <c r="A285" i="8"/>
  <c r="A213" i="8"/>
  <c r="A141" i="8"/>
  <c r="A101" i="8"/>
  <c r="A29" i="8"/>
  <c r="A277" i="8"/>
  <c r="A205" i="8"/>
  <c r="A165" i="8"/>
  <c r="A93" i="8"/>
  <c r="A21" i="8"/>
  <c r="A237" i="8"/>
  <c r="A197" i="8"/>
  <c r="A53" i="8"/>
  <c r="A245" i="8"/>
  <c r="A85" i="8"/>
  <c r="A13" i="8"/>
  <c r="A173" i="8"/>
  <c r="A133" i="8"/>
  <c r="A309" i="8"/>
  <c r="A229" i="8"/>
  <c r="A261" i="8"/>
  <c r="A189" i="8"/>
  <c r="A117" i="8"/>
  <c r="A45" i="8"/>
  <c r="A109" i="8"/>
  <c r="A317" i="8"/>
  <c r="A318" i="8"/>
  <c r="A310" i="8"/>
  <c r="A230" i="8"/>
  <c r="A38" i="8"/>
  <c r="A298" i="8"/>
  <c r="A234" i="8"/>
  <c r="A170" i="8"/>
  <c r="A106" i="8"/>
  <c r="A42" i="8"/>
  <c r="A274" i="8"/>
  <c r="A210" i="8"/>
  <c r="A146" i="8"/>
  <c r="A82" i="8"/>
  <c r="A18" i="8"/>
  <c r="A250" i="8"/>
  <c r="A122" i="8"/>
  <c r="A58" i="8"/>
  <c r="A314" i="8"/>
  <c r="A186" i="8"/>
  <c r="A226" i="8"/>
  <c r="A98" i="8"/>
  <c r="A162" i="8"/>
  <c r="A266" i="8"/>
  <c r="A202" i="8"/>
  <c r="A138" i="8"/>
  <c r="A74" i="8"/>
  <c r="A34" i="8"/>
  <c r="A306" i="8"/>
  <c r="A242" i="8"/>
  <c r="A178" i="8"/>
  <c r="A114" i="8"/>
  <c r="A50" i="8"/>
  <c r="A282" i="8"/>
  <c r="A218" i="8"/>
  <c r="A154" i="8"/>
  <c r="A90" i="8"/>
  <c r="A26" i="8"/>
  <c r="A258" i="8"/>
  <c r="A66" i="8"/>
  <c r="A308" i="8"/>
  <c r="A289" i="8"/>
  <c r="A257" i="8"/>
  <c r="A225" i="8"/>
  <c r="A193" i="8"/>
  <c r="A161" i="8"/>
  <c r="A129" i="8"/>
  <c r="A97" i="8"/>
  <c r="A65" i="8"/>
  <c r="A33" i="8"/>
  <c r="A312" i="8"/>
  <c r="A72" i="8"/>
  <c r="A200" i="8"/>
  <c r="A216" i="8"/>
  <c r="A88" i="8"/>
  <c r="A184" i="8"/>
  <c r="A56" i="8"/>
  <c r="A40" i="8"/>
  <c r="A296" i="8"/>
  <c r="A168" i="8"/>
  <c r="A280" i="8"/>
  <c r="A152" i="8"/>
  <c r="A24" i="8"/>
  <c r="A264" i="8"/>
  <c r="A136" i="8"/>
  <c r="A292" i="8"/>
  <c r="A316" i="8"/>
  <c r="A300" i="8"/>
  <c r="A284" i="8"/>
  <c r="A268" i="8"/>
  <c r="A252" i="8"/>
  <c r="A236" i="8"/>
  <c r="A220" i="8"/>
  <c r="A204" i="8"/>
  <c r="A188" i="8"/>
  <c r="A172" i="8"/>
  <c r="A156" i="8"/>
  <c r="A140" i="8"/>
  <c r="A124" i="8"/>
  <c r="A108" i="8"/>
  <c r="A92" i="8"/>
  <c r="A76" i="8"/>
  <c r="A60" i="8"/>
  <c r="A44" i="8"/>
  <c r="A28" i="8"/>
  <c r="A304" i="8"/>
  <c r="A288" i="8"/>
  <c r="A272" i="8"/>
  <c r="A256" i="8"/>
  <c r="A240" i="8"/>
  <c r="A224" i="8"/>
  <c r="A208" i="8"/>
  <c r="A192" i="8"/>
  <c r="A176" i="8"/>
  <c r="A160" i="8"/>
  <c r="A144" i="8"/>
  <c r="A128" i="8"/>
  <c r="A112" i="8"/>
  <c r="A96" i="8"/>
  <c r="A80" i="8"/>
  <c r="A64" i="8"/>
  <c r="A48" i="8"/>
  <c r="A32" i="8"/>
  <c r="A16" i="8"/>
  <c r="A276" i="8"/>
  <c r="A260" i="8"/>
  <c r="A244" i="8"/>
  <c r="A228" i="8"/>
  <c r="A212" i="8"/>
  <c r="A196" i="8"/>
  <c r="A180" i="8"/>
  <c r="A164" i="8"/>
  <c r="A148" i="8"/>
  <c r="A132" i="8"/>
  <c r="A116" i="8"/>
  <c r="A100" i="8"/>
  <c r="A84" i="8"/>
  <c r="A68" i="8"/>
  <c r="A52" i="8"/>
  <c r="A36" i="8"/>
  <c r="A20" i="8"/>
  <c r="A319" i="8"/>
  <c r="A315" i="8"/>
  <c r="A311" i="8"/>
  <c r="A307" i="8"/>
  <c r="A303" i="8"/>
  <c r="A299" i="8"/>
  <c r="A295" i="8"/>
  <c r="A291" i="8"/>
  <c r="A287" i="8"/>
  <c r="A283" i="8"/>
  <c r="A279" i="8"/>
  <c r="A275" i="8"/>
  <c r="A271" i="8"/>
  <c r="A267" i="8"/>
  <c r="A263" i="8"/>
  <c r="A259" i="8"/>
  <c r="A255" i="8"/>
  <c r="A251" i="8"/>
  <c r="A247" i="8"/>
  <c r="A243" i="8"/>
  <c r="A239" i="8"/>
  <c r="A235" i="8"/>
  <c r="A231" i="8"/>
  <c r="A227" i="8"/>
  <c r="A223" i="8"/>
  <c r="A219" i="8"/>
  <c r="A215" i="8"/>
  <c r="A211" i="8"/>
  <c r="A207" i="8"/>
  <c r="A203" i="8"/>
  <c r="A199" i="8"/>
  <c r="A195" i="8"/>
  <c r="A191" i="8"/>
  <c r="A187" i="8"/>
  <c r="A183" i="8"/>
  <c r="A179" i="8"/>
  <c r="A175" i="8"/>
  <c r="A171" i="8"/>
  <c r="A167" i="8"/>
  <c r="A163" i="8"/>
  <c r="A159" i="8"/>
  <c r="A155" i="8"/>
  <c r="A151" i="8"/>
  <c r="A147" i="8"/>
  <c r="A143" i="8"/>
  <c r="A139" i="8"/>
  <c r="A135" i="8"/>
  <c r="A131" i="8"/>
  <c r="A127" i="8"/>
  <c r="A123" i="8"/>
  <c r="A119" i="8"/>
  <c r="A115" i="8"/>
  <c r="A111" i="8"/>
  <c r="A107" i="8"/>
  <c r="A103" i="8"/>
  <c r="A99" i="8"/>
  <c r="A95" i="8"/>
  <c r="A91" i="8"/>
  <c r="A87" i="8"/>
  <c r="A83" i="8"/>
  <c r="A79" i="8"/>
  <c r="A75" i="8"/>
  <c r="A71" i="8"/>
  <c r="A67" i="8"/>
  <c r="A63" i="8"/>
  <c r="A59" i="8"/>
  <c r="A55" i="8"/>
  <c r="A51" i="8"/>
  <c r="A47" i="8"/>
  <c r="A43" i="8"/>
  <c r="A39" i="8"/>
  <c r="A35" i="8"/>
  <c r="A31" i="8"/>
  <c r="A27" i="8"/>
  <c r="A23" i="8"/>
  <c r="A19" i="8"/>
  <c r="A15" i="8"/>
  <c r="B127" i="8" l="1"/>
  <c r="B319" i="8"/>
  <c r="B52" i="8"/>
  <c r="B284" i="8"/>
  <c r="B57" i="8"/>
  <c r="C265" i="8"/>
  <c r="C145" i="8"/>
  <c r="C154" i="8"/>
  <c r="C142" i="8"/>
  <c r="B45" i="8"/>
  <c r="C253" i="8"/>
  <c r="B99" i="8"/>
  <c r="B227" i="8"/>
  <c r="C280" i="8"/>
  <c r="C281" i="8"/>
  <c r="C81" i="8"/>
  <c r="C218" i="8"/>
  <c r="C254" i="8"/>
  <c r="B173" i="8"/>
  <c r="C14" i="8"/>
  <c r="B39" i="8"/>
  <c r="B167" i="8"/>
  <c r="B295" i="8"/>
  <c r="B212" i="8"/>
  <c r="B272" i="8"/>
  <c r="B60" i="8"/>
  <c r="B232" i="8"/>
  <c r="B282" i="8"/>
  <c r="B250" i="8"/>
  <c r="B38" i="8"/>
  <c r="B221" i="8"/>
  <c r="B246" i="8"/>
  <c r="B118" i="8"/>
  <c r="B139" i="8"/>
  <c r="B299" i="8"/>
  <c r="B233" i="8"/>
  <c r="C74" i="8"/>
  <c r="B234" i="8"/>
  <c r="B286" i="8"/>
  <c r="C301" i="8"/>
  <c r="B277" i="8"/>
  <c r="B85" i="8"/>
  <c r="B54" i="8"/>
  <c r="B47" i="8"/>
  <c r="B143" i="8"/>
  <c r="B271" i="8"/>
  <c r="B116" i="8"/>
  <c r="B48" i="8"/>
  <c r="C104" i="8"/>
  <c r="B249" i="8"/>
  <c r="C302" i="8"/>
  <c r="B117" i="8"/>
  <c r="B63" i="8"/>
  <c r="B159" i="8"/>
  <c r="B287" i="8"/>
  <c r="B308" i="8"/>
  <c r="B112" i="8"/>
  <c r="B156" i="8"/>
  <c r="B313" i="8"/>
  <c r="C305" i="8"/>
  <c r="C65" i="8"/>
  <c r="C93" i="8"/>
  <c r="B69" i="8"/>
  <c r="B214" i="8"/>
  <c r="B35" i="8"/>
  <c r="B131" i="8"/>
  <c r="B291" i="8"/>
  <c r="B44" i="8"/>
  <c r="C120" i="8"/>
  <c r="B73" i="8"/>
  <c r="C193" i="8"/>
  <c r="C226" i="8"/>
  <c r="B190" i="8"/>
  <c r="B141" i="8"/>
  <c r="B101" i="8"/>
  <c r="B77" i="8"/>
  <c r="B133" i="8"/>
  <c r="B103" i="8"/>
  <c r="B231" i="8"/>
  <c r="C248" i="8"/>
  <c r="B217" i="8"/>
  <c r="C41" i="8"/>
  <c r="C209" i="8"/>
  <c r="C97" i="8"/>
  <c r="B294" i="8"/>
  <c r="B205" i="8"/>
  <c r="C181" i="8"/>
  <c r="B75" i="8"/>
  <c r="B203" i="8"/>
  <c r="B160" i="8"/>
  <c r="B76" i="8"/>
  <c r="B248" i="8"/>
  <c r="C313" i="8"/>
  <c r="C49" i="8"/>
  <c r="B293" i="8"/>
  <c r="B79" i="8"/>
  <c r="B239" i="8"/>
  <c r="B176" i="8"/>
  <c r="B92" i="8"/>
  <c r="B56" i="8"/>
  <c r="C201" i="8"/>
  <c r="C177" i="8"/>
  <c r="B298" i="8"/>
  <c r="C198" i="8"/>
  <c r="C174" i="8"/>
  <c r="B182" i="8"/>
  <c r="B150" i="8"/>
  <c r="B19" i="8"/>
  <c r="B51" i="8"/>
  <c r="B83" i="8"/>
  <c r="B115" i="8"/>
  <c r="B147" i="8"/>
  <c r="B179" i="8"/>
  <c r="B211" i="8"/>
  <c r="B243" i="8"/>
  <c r="B275" i="8"/>
  <c r="B307" i="8"/>
  <c r="B132" i="8"/>
  <c r="B260" i="8"/>
  <c r="B64" i="8"/>
  <c r="B192" i="8"/>
  <c r="B108" i="8"/>
  <c r="B236" i="8"/>
  <c r="B184" i="8"/>
  <c r="C232" i="8"/>
  <c r="C136" i="8"/>
  <c r="B137" i="8"/>
  <c r="B265" i="8"/>
  <c r="C89" i="8"/>
  <c r="C217" i="8"/>
  <c r="B17" i="8"/>
  <c r="B273" i="8"/>
  <c r="C33" i="8"/>
  <c r="C241" i="8"/>
  <c r="C26" i="8"/>
  <c r="C178" i="8"/>
  <c r="C18" i="8"/>
  <c r="B194" i="8"/>
  <c r="C210" i="8"/>
  <c r="C166" i="8"/>
  <c r="B134" i="8"/>
  <c r="C189" i="8"/>
  <c r="B157" i="8"/>
  <c r="C61" i="8"/>
  <c r="C86" i="8"/>
  <c r="B37" i="8"/>
  <c r="B95" i="8"/>
  <c r="B223" i="8"/>
  <c r="B104" i="8"/>
  <c r="C137" i="8"/>
  <c r="B113" i="8"/>
  <c r="B314" i="8"/>
  <c r="C186" i="8"/>
  <c r="B126" i="8"/>
  <c r="B301" i="8"/>
  <c r="B13" i="8"/>
  <c r="B237" i="8"/>
  <c r="C238" i="8"/>
  <c r="B67" i="8"/>
  <c r="B195" i="8"/>
  <c r="B196" i="8"/>
  <c r="B256" i="8"/>
  <c r="B300" i="8"/>
  <c r="B201" i="8"/>
  <c r="C25" i="8"/>
  <c r="B145" i="8"/>
  <c r="B306" i="8"/>
  <c r="C138" i="8"/>
  <c r="C270" i="8"/>
  <c r="C69" i="8"/>
  <c r="B71" i="8"/>
  <c r="B199" i="8"/>
  <c r="B144" i="8"/>
  <c r="B316" i="8"/>
  <c r="B89" i="8"/>
  <c r="C169" i="8"/>
  <c r="B177" i="8"/>
  <c r="B274" i="8"/>
  <c r="B170" i="8"/>
  <c r="B245" i="8"/>
  <c r="B310" i="8"/>
  <c r="B107" i="8"/>
  <c r="B235" i="8"/>
  <c r="B228" i="8"/>
  <c r="B288" i="8"/>
  <c r="B204" i="8"/>
  <c r="C185" i="8"/>
  <c r="C257" i="8"/>
  <c r="B70" i="8"/>
  <c r="B61" i="8"/>
  <c r="B22" i="8"/>
  <c r="B15" i="8"/>
  <c r="B175" i="8"/>
  <c r="B303" i="8"/>
  <c r="B220" i="8"/>
  <c r="B216" i="8"/>
  <c r="B121" i="8"/>
  <c r="C113" i="8"/>
  <c r="C114" i="8"/>
  <c r="C146" i="8"/>
  <c r="B102" i="8"/>
  <c r="B309" i="8"/>
  <c r="B23" i="8"/>
  <c r="B87" i="8"/>
  <c r="B151" i="8"/>
  <c r="B247" i="8"/>
  <c r="B311" i="8"/>
  <c r="B276" i="8"/>
  <c r="B80" i="8"/>
  <c r="B124" i="8"/>
  <c r="B252" i="8"/>
  <c r="B168" i="8"/>
  <c r="B312" i="8"/>
  <c r="B72" i="8"/>
  <c r="B40" i="8"/>
  <c r="B25" i="8"/>
  <c r="B153" i="8"/>
  <c r="B281" i="8"/>
  <c r="C105" i="8"/>
  <c r="C233" i="8"/>
  <c r="B49" i="8"/>
  <c r="B305" i="8"/>
  <c r="C161" i="8"/>
  <c r="C225" i="8"/>
  <c r="C90" i="8"/>
  <c r="C242" i="8"/>
  <c r="C202" i="8"/>
  <c r="C82" i="8"/>
  <c r="B66" i="8"/>
  <c r="C206" i="8"/>
  <c r="C294" i="8"/>
  <c r="B166" i="8"/>
  <c r="B317" i="8"/>
  <c r="C269" i="8"/>
  <c r="C149" i="8"/>
  <c r="B213" i="8"/>
  <c r="C165" i="8"/>
  <c r="C125" i="8"/>
  <c r="C158" i="8"/>
  <c r="B278" i="8"/>
  <c r="B30" i="8"/>
  <c r="B31" i="8"/>
  <c r="B191" i="8"/>
  <c r="B255" i="8"/>
  <c r="B180" i="8"/>
  <c r="B240" i="8"/>
  <c r="B28" i="8"/>
  <c r="C152" i="8"/>
  <c r="B185" i="8"/>
  <c r="C194" i="8"/>
  <c r="B34" i="8"/>
  <c r="C162" i="8"/>
  <c r="C46" i="8"/>
  <c r="B230" i="8"/>
  <c r="C12" i="8"/>
  <c r="B163" i="8"/>
  <c r="B259" i="8"/>
  <c r="B68" i="8"/>
  <c r="B128" i="8"/>
  <c r="B172" i="8"/>
  <c r="C292" i="8"/>
  <c r="C153" i="8"/>
  <c r="C273" i="8"/>
  <c r="B290" i="8"/>
  <c r="B106" i="8"/>
  <c r="C42" i="8"/>
  <c r="B262" i="8"/>
  <c r="C157" i="8"/>
  <c r="C110" i="8"/>
  <c r="B135" i="8"/>
  <c r="B263" i="8"/>
  <c r="B84" i="8"/>
  <c r="B16" i="8"/>
  <c r="B188" i="8"/>
  <c r="B120" i="8"/>
  <c r="C297" i="8"/>
  <c r="C129" i="8"/>
  <c r="B266" i="8"/>
  <c r="B222" i="8"/>
  <c r="B269" i="8"/>
  <c r="B21" i="8"/>
  <c r="B125" i="8"/>
  <c r="C13" i="8"/>
  <c r="B43" i="8"/>
  <c r="B171" i="8"/>
  <c r="B267" i="8"/>
  <c r="B100" i="8"/>
  <c r="B32" i="8"/>
  <c r="B88" i="8"/>
  <c r="B105" i="8"/>
  <c r="C57" i="8"/>
  <c r="B209" i="8"/>
  <c r="B130" i="8"/>
  <c r="B253" i="8"/>
  <c r="B229" i="8"/>
  <c r="C134" i="8"/>
  <c r="C15" i="8"/>
  <c r="B111" i="8"/>
  <c r="B207" i="8"/>
  <c r="B244" i="8"/>
  <c r="B304" i="8"/>
  <c r="C73" i="8"/>
  <c r="B241" i="8"/>
  <c r="B318" i="8"/>
  <c r="B109" i="8"/>
  <c r="B55" i="8"/>
  <c r="B119" i="8"/>
  <c r="B183" i="8"/>
  <c r="B215" i="8"/>
  <c r="B279" i="8"/>
  <c r="B20" i="8"/>
  <c r="B148" i="8"/>
  <c r="B208" i="8"/>
  <c r="B27" i="8"/>
  <c r="B59" i="8"/>
  <c r="B91" i="8"/>
  <c r="B123" i="8"/>
  <c r="B155" i="8"/>
  <c r="B187" i="8"/>
  <c r="B219" i="8"/>
  <c r="B251" i="8"/>
  <c r="B283" i="8"/>
  <c r="B315" i="8"/>
  <c r="B36" i="8"/>
  <c r="B164" i="8"/>
  <c r="B292" i="8"/>
  <c r="B96" i="8"/>
  <c r="B224" i="8"/>
  <c r="B140" i="8"/>
  <c r="B268" i="8"/>
  <c r="B296" i="8"/>
  <c r="B200" i="8"/>
  <c r="C24" i="8"/>
  <c r="C264" i="8"/>
  <c r="B41" i="8"/>
  <c r="B169" i="8"/>
  <c r="B297" i="8"/>
  <c r="C121" i="8"/>
  <c r="C249" i="8"/>
  <c r="B81" i="8"/>
  <c r="C289" i="8"/>
  <c r="C17" i="8"/>
  <c r="C130" i="8"/>
  <c r="C50" i="8"/>
  <c r="C290" i="8"/>
  <c r="B58" i="8"/>
  <c r="C98" i="8"/>
  <c r="C122" i="8"/>
  <c r="B258" i="8"/>
  <c r="B78" i="8"/>
  <c r="B94" i="8"/>
  <c r="C102" i="8"/>
  <c r="B198" i="8"/>
  <c r="B53" i="8"/>
  <c r="C197" i="8"/>
  <c r="B261" i="8"/>
  <c r="B29" i="8"/>
  <c r="B285" i="8"/>
  <c r="C262" i="8"/>
  <c r="C182" i="8"/>
  <c r="B86" i="8"/>
  <c r="B14" i="8"/>
  <c r="K17" i="5"/>
  <c r="L17" i="5" s="1"/>
  <c r="K18" i="5"/>
  <c r="L18" i="5" s="1"/>
  <c r="K19" i="5"/>
  <c r="L19" i="5" s="1"/>
  <c r="K20" i="5"/>
  <c r="L20" i="5" s="1"/>
  <c r="K21" i="5"/>
  <c r="L21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0" i="5"/>
  <c r="L30" i="5" s="1"/>
  <c r="K31" i="5"/>
  <c r="L31" i="5" s="1"/>
  <c r="K32" i="5"/>
  <c r="L32" i="5" s="1"/>
  <c r="K33" i="5"/>
  <c r="L33" i="5" s="1"/>
  <c r="K34" i="5"/>
  <c r="L34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8" i="5"/>
  <c r="L48" i="5" s="1"/>
  <c r="K49" i="5"/>
  <c r="L49" i="5" s="1"/>
  <c r="K50" i="5"/>
  <c r="L50" i="5" s="1"/>
  <c r="K51" i="5"/>
  <c r="L51" i="5" s="1"/>
  <c r="K52" i="5"/>
  <c r="L52" i="5" s="1"/>
  <c r="K53" i="5"/>
  <c r="L53" i="5" s="1"/>
  <c r="K54" i="5"/>
  <c r="L54" i="5" s="1"/>
  <c r="K55" i="5"/>
  <c r="L55" i="5" s="1"/>
  <c r="K56" i="5"/>
  <c r="L56" i="5" s="1"/>
  <c r="K57" i="5"/>
  <c r="L57" i="5" s="1"/>
  <c r="K58" i="5"/>
  <c r="L58" i="5" s="1"/>
  <c r="K59" i="5"/>
  <c r="L59" i="5" s="1"/>
  <c r="K60" i="5"/>
  <c r="L60" i="5" s="1"/>
  <c r="K61" i="5"/>
  <c r="L61" i="5" s="1"/>
  <c r="K62" i="5"/>
  <c r="L62" i="5" s="1"/>
  <c r="K63" i="5"/>
  <c r="L63" i="5" s="1"/>
  <c r="K64" i="5"/>
  <c r="L64" i="5" s="1"/>
  <c r="K65" i="5"/>
  <c r="L65" i="5" s="1"/>
  <c r="K66" i="5"/>
  <c r="L66" i="5" s="1"/>
  <c r="K67" i="5"/>
  <c r="L67" i="5" s="1"/>
  <c r="K68" i="5"/>
  <c r="L68" i="5" s="1"/>
  <c r="K69" i="5"/>
  <c r="L69" i="5" s="1"/>
  <c r="K70" i="5"/>
  <c r="L70" i="5" s="1"/>
  <c r="K71" i="5"/>
  <c r="L71" i="5" s="1"/>
  <c r="K72" i="5"/>
  <c r="L72" i="5" s="1"/>
  <c r="K73" i="5"/>
  <c r="L73" i="5" s="1"/>
  <c r="K74" i="5"/>
  <c r="L74" i="5" s="1"/>
  <c r="K75" i="5"/>
  <c r="L75" i="5" s="1"/>
  <c r="K76" i="5"/>
  <c r="L76" i="5" s="1"/>
  <c r="K77" i="5"/>
  <c r="L77" i="5" s="1"/>
  <c r="K78" i="5"/>
  <c r="L78" i="5" s="1"/>
  <c r="K79" i="5"/>
  <c r="L79" i="5" s="1"/>
  <c r="K80" i="5"/>
  <c r="L80" i="5" s="1"/>
  <c r="K81" i="5"/>
  <c r="L81" i="5" s="1"/>
  <c r="K82" i="5"/>
  <c r="L82" i="5" s="1"/>
  <c r="K83" i="5"/>
  <c r="L83" i="5" s="1"/>
  <c r="K84" i="5"/>
  <c r="L84" i="5" s="1"/>
  <c r="K85" i="5"/>
  <c r="L85" i="5" s="1"/>
  <c r="K86" i="5"/>
  <c r="L86" i="5" s="1"/>
  <c r="K87" i="5"/>
  <c r="L87" i="5" s="1"/>
  <c r="K88" i="5"/>
  <c r="L88" i="5" s="1"/>
  <c r="K89" i="5"/>
  <c r="L89" i="5" s="1"/>
  <c r="K90" i="5"/>
  <c r="L90" i="5" s="1"/>
  <c r="K91" i="5"/>
  <c r="L91" i="5" s="1"/>
  <c r="K92" i="5"/>
  <c r="L92" i="5" s="1"/>
  <c r="K93" i="5"/>
  <c r="L93" i="5" s="1"/>
  <c r="K94" i="5"/>
  <c r="L94" i="5" s="1"/>
  <c r="K95" i="5"/>
  <c r="L95" i="5" s="1"/>
  <c r="K96" i="5"/>
  <c r="L96" i="5" s="1"/>
  <c r="K97" i="5"/>
  <c r="L97" i="5" s="1"/>
  <c r="K98" i="5"/>
  <c r="L98" i="5" s="1"/>
  <c r="K99" i="5"/>
  <c r="L99" i="5" s="1"/>
  <c r="K100" i="5"/>
  <c r="L100" i="5" s="1"/>
  <c r="K101" i="5"/>
  <c r="L101" i="5" s="1"/>
  <c r="K102" i="5"/>
  <c r="L102" i="5" s="1"/>
  <c r="K103" i="5"/>
  <c r="L103" i="5" s="1"/>
  <c r="K104" i="5"/>
  <c r="L104" i="5" s="1"/>
  <c r="K105" i="5"/>
  <c r="L105" i="5" s="1"/>
  <c r="K106" i="5"/>
  <c r="L106" i="5" s="1"/>
  <c r="K107" i="5"/>
  <c r="L107" i="5" s="1"/>
  <c r="K108" i="5"/>
  <c r="L108" i="5" s="1"/>
  <c r="K109" i="5"/>
  <c r="L109" i="5" s="1"/>
  <c r="K110" i="5"/>
  <c r="L110" i="5" s="1"/>
  <c r="K111" i="5"/>
  <c r="L111" i="5" s="1"/>
  <c r="K112" i="5"/>
  <c r="L112" i="5" s="1"/>
  <c r="K113" i="5"/>
  <c r="L113" i="5" s="1"/>
  <c r="K114" i="5"/>
  <c r="L114" i="5" s="1"/>
  <c r="K115" i="5"/>
  <c r="L115" i="5" s="1"/>
  <c r="K116" i="5"/>
  <c r="L116" i="5" s="1"/>
  <c r="K117" i="5"/>
  <c r="L117" i="5" s="1"/>
  <c r="K118" i="5"/>
  <c r="L118" i="5" s="1"/>
  <c r="K119" i="5"/>
  <c r="L119" i="5" s="1"/>
  <c r="K120" i="5"/>
  <c r="L120" i="5" s="1"/>
  <c r="K121" i="5"/>
  <c r="L121" i="5" s="1"/>
  <c r="K122" i="5"/>
  <c r="L122" i="5" s="1"/>
  <c r="K123" i="5"/>
  <c r="L123" i="5" s="1"/>
  <c r="K124" i="5"/>
  <c r="L124" i="5" s="1"/>
  <c r="K125" i="5"/>
  <c r="L125" i="5" s="1"/>
  <c r="K126" i="5"/>
  <c r="L126" i="5" s="1"/>
  <c r="K127" i="5"/>
  <c r="L127" i="5" s="1"/>
  <c r="K128" i="5"/>
  <c r="L128" i="5" s="1"/>
  <c r="K129" i="5"/>
  <c r="L129" i="5" s="1"/>
  <c r="K130" i="5"/>
  <c r="L130" i="5" s="1"/>
  <c r="K131" i="5"/>
  <c r="L131" i="5" s="1"/>
  <c r="K132" i="5"/>
  <c r="L132" i="5" s="1"/>
  <c r="K133" i="5"/>
  <c r="L133" i="5" s="1"/>
  <c r="K134" i="5"/>
  <c r="L134" i="5" s="1"/>
  <c r="K135" i="5"/>
  <c r="L135" i="5" s="1"/>
  <c r="K136" i="5"/>
  <c r="L136" i="5" s="1"/>
  <c r="K137" i="5"/>
  <c r="L137" i="5" s="1"/>
  <c r="K138" i="5"/>
  <c r="L138" i="5" s="1"/>
  <c r="K139" i="5"/>
  <c r="L139" i="5" s="1"/>
  <c r="K140" i="5"/>
  <c r="L140" i="5" s="1"/>
  <c r="K141" i="5"/>
  <c r="L141" i="5" s="1"/>
  <c r="K142" i="5"/>
  <c r="L142" i="5" s="1"/>
  <c r="K143" i="5"/>
  <c r="L143" i="5" s="1"/>
  <c r="K144" i="5"/>
  <c r="L144" i="5" s="1"/>
  <c r="K145" i="5"/>
  <c r="L145" i="5" s="1"/>
  <c r="K146" i="5"/>
  <c r="L146" i="5" s="1"/>
  <c r="K147" i="5"/>
  <c r="L147" i="5" s="1"/>
  <c r="K148" i="5"/>
  <c r="L148" i="5" s="1"/>
  <c r="K149" i="5"/>
  <c r="L149" i="5" s="1"/>
  <c r="K150" i="5"/>
  <c r="L150" i="5" s="1"/>
  <c r="K151" i="5"/>
  <c r="L151" i="5" s="1"/>
  <c r="K152" i="5"/>
  <c r="L152" i="5" s="1"/>
  <c r="K153" i="5"/>
  <c r="L153" i="5" s="1"/>
  <c r="K154" i="5"/>
  <c r="L154" i="5" s="1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F39" i="16" l="1"/>
  <c r="F4" i="8" s="1"/>
  <c r="H6" i="1"/>
  <c r="F13" i="9"/>
  <c r="F12" i="9"/>
  <c r="F11" i="9"/>
  <c r="F10" i="9"/>
  <c r="F24" i="9"/>
  <c r="F25" i="9"/>
  <c r="F26" i="9"/>
  <c r="F27" i="9"/>
  <c r="F28" i="9"/>
  <c r="F29" i="9"/>
  <c r="F30" i="9"/>
  <c r="F23" i="9"/>
  <c r="F41" i="9"/>
  <c r="F42" i="9"/>
  <c r="F43" i="9"/>
  <c r="F44" i="9"/>
  <c r="F45" i="9"/>
  <c r="F46" i="9"/>
  <c r="F47" i="9"/>
  <c r="F40" i="9"/>
  <c r="AB6" i="8"/>
  <c r="AA6" i="8"/>
  <c r="Z5" i="8"/>
  <c r="Z6" i="8" s="1"/>
  <c r="Y5" i="8"/>
  <c r="Y4" i="8"/>
  <c r="T5" i="8"/>
  <c r="R6" i="8"/>
  <c r="S6" i="8"/>
  <c r="K7" i="8" l="1"/>
  <c r="G7" i="1"/>
  <c r="F7" i="1"/>
  <c r="H7" i="1"/>
  <c r="H7" i="8"/>
  <c r="L7" i="8"/>
  <c r="E7" i="1"/>
  <c r="Y6" i="8"/>
  <c r="I6" i="1"/>
  <c r="T6" i="8"/>
  <c r="S7" i="8"/>
  <c r="T7" i="8" s="1"/>
  <c r="I7" i="1" l="1"/>
  <c r="N4" i="8" l="1"/>
  <c r="M7" i="8" l="1"/>
  <c r="N6" i="8"/>
  <c r="N7" i="8" s="1"/>
</calcChain>
</file>

<file path=xl/sharedStrings.xml><?xml version="1.0" encoding="utf-8"?>
<sst xmlns="http://schemas.openxmlformats.org/spreadsheetml/2006/main" count="9741" uniqueCount="1505">
  <si>
    <t>Manager</t>
  </si>
  <si>
    <t>Organisme</t>
  </si>
  <si>
    <t>SSO</t>
  </si>
  <si>
    <t>ADV</t>
  </si>
  <si>
    <t>Commercial</t>
  </si>
  <si>
    <t>Plan</t>
  </si>
  <si>
    <t>Oui</t>
  </si>
  <si>
    <t>Divers</t>
  </si>
  <si>
    <t>MAG</t>
  </si>
  <si>
    <t>Sécurité</t>
  </si>
  <si>
    <t>PPI</t>
  </si>
  <si>
    <t>Technique</t>
  </si>
  <si>
    <t>Interne - Groupe</t>
  </si>
  <si>
    <t>Interne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</si>
  <si>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</si>
  <si>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</si>
  <si>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</si>
  <si>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</si>
  <si>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</si>
  <si>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</si>
  <si>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</si>
  <si>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</si>
  <si>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</si>
  <si>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</si>
  <si>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</si>
  <si>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</si>
  <si>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Coûts
salariaux
chargés</t>
  </si>
  <si>
    <t>Avancement</t>
  </si>
  <si>
    <t>Non</t>
  </si>
  <si>
    <t>En-cours</t>
  </si>
  <si>
    <t>Annulé</t>
  </si>
  <si>
    <t>Reporté</t>
  </si>
  <si>
    <t>DIF</t>
  </si>
  <si>
    <t>PP</t>
  </si>
  <si>
    <t>Cotisations
ADEFIM</t>
  </si>
  <si>
    <t xml:space="preserve">Interne </t>
  </si>
  <si>
    <t>Externe</t>
  </si>
  <si>
    <t>Interne
Groupe</t>
  </si>
  <si>
    <t>Effectif</t>
  </si>
  <si>
    <t>Priorité
mger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</si>
  <si>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</si>
  <si>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Intitulé</t>
  </si>
  <si>
    <t>Durée
H</t>
  </si>
  <si>
    <t>Coût
péda.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</si>
  <si>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</si>
  <si>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r>
      <t xml:space="preserve">Axe
 </t>
    </r>
    <r>
      <rPr>
        <sz val="8"/>
        <color theme="0"/>
        <rFont val="Calibri"/>
        <family val="2"/>
        <scheme val="minor"/>
      </rPr>
      <t xml:space="preserve"> (note cadrage)</t>
    </r>
  </si>
  <si>
    <r>
      <t xml:space="preserve">Validation
</t>
    </r>
    <r>
      <rPr>
        <sz val="8"/>
        <color theme="0"/>
        <rFont val="Calibri"/>
        <family val="2"/>
        <scheme val="minor"/>
      </rPr>
      <t>(Oui/Non)</t>
    </r>
  </si>
  <si>
    <t>SERVICE</t>
  </si>
  <si>
    <t>COLLABORATEUR</t>
  </si>
  <si>
    <t>FORMATION</t>
  </si>
  <si>
    <t>Nb actions</t>
  </si>
  <si>
    <t>Nb H</t>
  </si>
  <si>
    <t>TOTAL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</si>
  <si>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</si>
  <si>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</si>
  <si>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Imputation</t>
  </si>
  <si>
    <t>Matricule</t>
  </si>
  <si>
    <t>Prénom</t>
  </si>
  <si>
    <t>Horaire</t>
  </si>
  <si>
    <t>Taux charges</t>
  </si>
  <si>
    <t>Managers</t>
  </si>
  <si>
    <t>M</t>
  </si>
  <si>
    <t>Cadre</t>
  </si>
  <si>
    <t>F</t>
  </si>
  <si>
    <t>INFORMATIQUE</t>
  </si>
  <si>
    <t>EFFECTIFS AU :</t>
  </si>
  <si>
    <t>CSC</t>
  </si>
  <si>
    <t>ACHATS</t>
  </si>
  <si>
    <t>PAIE</t>
  </si>
  <si>
    <t>ALFARESPONSE</t>
  </si>
  <si>
    <t>DETACHES</t>
  </si>
  <si>
    <t>SANITARY</t>
  </si>
  <si>
    <t>Salaire
mensuel/forfait</t>
  </si>
  <si>
    <t>Prime
ancienneté</t>
  </si>
  <si>
    <t>Taux
horaire brut</t>
  </si>
  <si>
    <t>Taux
horaire chargé</t>
  </si>
  <si>
    <t>Service</t>
  </si>
  <si>
    <t>DGE</t>
  </si>
  <si>
    <t>ECF</t>
  </si>
  <si>
    <t>EFU</t>
  </si>
  <si>
    <t>EMC</t>
  </si>
  <si>
    <t>EOE</t>
  </si>
  <si>
    <t>P&amp;S</t>
  </si>
  <si>
    <t>ERC</t>
  </si>
  <si>
    <t>ESE</t>
  </si>
  <si>
    <t>PEE</t>
  </si>
  <si>
    <t>PTD CS</t>
  </si>
  <si>
    <t>PFT</t>
  </si>
  <si>
    <t>PLS</t>
  </si>
  <si>
    <t>PPS</t>
  </si>
  <si>
    <t>REA</t>
  </si>
  <si>
    <t>SAR</t>
  </si>
  <si>
    <t>SCP</t>
  </si>
  <si>
    <t>COMPTABILITE</t>
  </si>
  <si>
    <t>N/A</t>
  </si>
  <si>
    <t>EIE</t>
  </si>
  <si>
    <t>PHILIPPE</t>
  </si>
  <si>
    <t>DENIS</t>
  </si>
  <si>
    <t>Employé / Technicien</t>
  </si>
  <si>
    <t>CHRISTIAN</t>
  </si>
  <si>
    <t>NICOLAS</t>
  </si>
  <si>
    <t>Hors Bilan Social</t>
  </si>
  <si>
    <t>PIERRE</t>
  </si>
  <si>
    <t>MICHEL</t>
  </si>
  <si>
    <t>VINCENT</t>
  </si>
  <si>
    <t>THOMAS</t>
  </si>
  <si>
    <t>FRANCOIS</t>
  </si>
  <si>
    <t>DIDIER</t>
  </si>
  <si>
    <t>DOMINIQUE</t>
  </si>
  <si>
    <t>LIONEL</t>
  </si>
  <si>
    <t>PATRICK</t>
  </si>
  <si>
    <t>BERNARD</t>
  </si>
  <si>
    <t>FRANCK</t>
  </si>
  <si>
    <t>ALAIN</t>
  </si>
  <si>
    <t>SYLVIE</t>
  </si>
  <si>
    <t>CLAUDE</t>
  </si>
  <si>
    <t>MARC</t>
  </si>
  <si>
    <t>OLIVIER</t>
  </si>
  <si>
    <t>DANIEL</t>
  </si>
  <si>
    <t>XAVIER</t>
  </si>
  <si>
    <t>PATRICE</t>
  </si>
  <si>
    <t>SEBASTIEN</t>
  </si>
  <si>
    <t>LAURENT</t>
  </si>
  <si>
    <t>PATRICIA</t>
  </si>
  <si>
    <t>THIERRY</t>
  </si>
  <si>
    <t>SYLVAIN</t>
  </si>
  <si>
    <t>MICKAEL</t>
  </si>
  <si>
    <t>ETIENNE</t>
  </si>
  <si>
    <t>CLEMENT</t>
  </si>
  <si>
    <t>PASCAL</t>
  </si>
  <si>
    <t>ERIC</t>
  </si>
  <si>
    <t>BEATRICE</t>
  </si>
  <si>
    <t>LEFEBVRE</t>
  </si>
  <si>
    <t>JULIE</t>
  </si>
  <si>
    <t>JUSTINE</t>
  </si>
  <si>
    <t>GILLES</t>
  </si>
  <si>
    <t>Service Center</t>
  </si>
  <si>
    <t>SAV</t>
  </si>
  <si>
    <t>Equipe projets</t>
  </si>
  <si>
    <r>
      <t xml:space="preserve">Axe
 </t>
    </r>
    <r>
      <rPr>
        <b/>
        <sz val="8"/>
        <color theme="0"/>
        <rFont val="Calibri"/>
        <family val="2"/>
        <scheme val="minor"/>
      </rPr>
      <t xml:space="preserve"> (note d'orienttaion formation)</t>
    </r>
  </si>
  <si>
    <t>Type de formation</t>
  </si>
  <si>
    <t>Financement
ADEFIM</t>
  </si>
  <si>
    <t>Total</t>
  </si>
  <si>
    <t>Réalisation</t>
  </si>
  <si>
    <t>Atout Majeur</t>
  </si>
  <si>
    <t>Service
/Division</t>
  </si>
  <si>
    <t>Typologie d'action</t>
  </si>
  <si>
    <t>Adaptation au poste / Maintien dans l’emploi</t>
  </si>
  <si>
    <t>Développement des compétences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</si>
  <si>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</si>
  <si>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</si>
  <si>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</si>
  <si>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</si>
  <si>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</si>
  <si>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</si>
  <si>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</si>
  <si>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</si>
  <si>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</si>
  <si>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Ecart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</si>
  <si>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</si>
  <si>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</si>
  <si>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</si>
  <si>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</si>
  <si>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</si>
  <si>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</si>
  <si>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Université du vin</t>
  </si>
  <si>
    <t>IFPNL</t>
  </si>
  <si>
    <t>INSTN</t>
  </si>
  <si>
    <t>ATSI Formation</t>
  </si>
  <si>
    <t>Socotec</t>
  </si>
  <si>
    <t>Interfora</t>
  </si>
  <si>
    <t>Office International de l'eau</t>
  </si>
  <si>
    <t>Berlitz</t>
  </si>
  <si>
    <t>IFPST</t>
  </si>
  <si>
    <t>CCI Lyon</t>
  </si>
  <si>
    <t>Étiquettes de colonnes</t>
  </si>
  <si>
    <t>Nombre de Intitulé</t>
  </si>
  <si>
    <t>Valeurs</t>
  </si>
  <si>
    <t>(Tous)</t>
  </si>
  <si>
    <t>Somme de Durée</t>
  </si>
  <si>
    <t>Somme de Coût</t>
  </si>
  <si>
    <t>Somme de Coûts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</si>
  <si>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</si>
  <si>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</si>
  <si>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</si>
  <si>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</si>
  <si>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</si>
  <si>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</si>
  <si>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</si>
  <si>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</si>
  <si>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Nb personnes</t>
  </si>
  <si>
    <t>Nb heures</t>
  </si>
  <si>
    <t>Coûts
pédago.</t>
  </si>
  <si>
    <t>(Plusieurs éléments)</t>
  </si>
  <si>
    <t>Nombre de Matricule</t>
  </si>
  <si>
    <t>Structure des effectifs de l'entité</t>
  </si>
  <si>
    <t>Durée moyenne des formations par personne / CSP</t>
  </si>
  <si>
    <t>Nombre de personne sans formation dans l'année</t>
  </si>
  <si>
    <t>Effectif de plus de 50 ans</t>
  </si>
  <si>
    <t>Nbre de personne ayant suivie une formation par rapport à l'effectif total</t>
  </si>
  <si>
    <t>Taux de formation des + de 50 ans par rapport à l'effectif des + de 50 ans</t>
  </si>
  <si>
    <t>Nombre de Validation
(Oui/Non)</t>
  </si>
  <si>
    <t>Taux de réalisation du plan de formation par trimestre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</si>
  <si>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</si>
  <si>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</si>
  <si>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</si>
  <si>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</si>
  <si>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</si>
  <si>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</si>
  <si>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Réalisation plan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</si>
  <si>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</si>
  <si>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</si>
  <si>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</si>
  <si>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</si>
  <si>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</si>
  <si>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</si>
  <si>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</si>
  <si>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</si>
  <si>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</si>
  <si>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</si>
  <si>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</si>
  <si>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</si>
  <si>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</si>
  <si>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</si>
  <si>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</si>
  <si>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</si>
  <si>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</si>
  <si>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</si>
  <si>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</si>
  <si>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</si>
  <si>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</si>
  <si>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</si>
  <si>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</si>
  <si>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</si>
  <si>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</si>
  <si>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PT Marc</t>
  </si>
  <si>
    <t>HL Michelle</t>
  </si>
  <si>
    <t>CT Jean-Pierre</t>
  </si>
  <si>
    <t>MZ Virginie</t>
  </si>
  <si>
    <t>BR Amandine</t>
  </si>
  <si>
    <t>MZ Marie</t>
  </si>
  <si>
    <t>MS Guillaume</t>
  </si>
  <si>
    <t>PE Sylvain</t>
  </si>
  <si>
    <t>DE Pierre</t>
  </si>
  <si>
    <t>FO Michel</t>
  </si>
  <si>
    <t>GN Alain</t>
  </si>
  <si>
    <t>LE Jean-Pierre</t>
  </si>
  <si>
    <t>CR Laurent</t>
  </si>
  <si>
    <t>MR Pierre-Yves</t>
  </si>
  <si>
    <t xml:space="preserve">DE Ghyslain </t>
  </si>
  <si>
    <t xml:space="preserve">MT Patrice </t>
  </si>
  <si>
    <t xml:space="preserve">BT Damien </t>
  </si>
  <si>
    <t xml:space="preserve">TN Xavier </t>
  </si>
  <si>
    <t xml:space="preserve">JT Xavier </t>
  </si>
  <si>
    <t xml:space="preserve">FS Bernard </t>
  </si>
  <si>
    <t xml:space="preserve">DE Olivier </t>
  </si>
  <si>
    <t>RICCARDI</t>
  </si>
  <si>
    <t>2019-Q1</t>
  </si>
  <si>
    <t>2019-Q2</t>
  </si>
  <si>
    <t>2019-Q3</t>
  </si>
  <si>
    <t>2019-Q4</t>
  </si>
  <si>
    <t>Nom de famille</t>
  </si>
  <si>
    <t>Nom du manager</t>
  </si>
  <si>
    <t>Nom de la société</t>
  </si>
  <si>
    <t>Nombre d'années d'ancienneté dans la société</t>
  </si>
  <si>
    <t>Definition du costing : DVC ou non DVC</t>
  </si>
  <si>
    <t>Code du CE (Actuellement vide)</t>
  </si>
  <si>
    <t>Job code</t>
  </si>
  <si>
    <t>Description du job code</t>
  </si>
  <si>
    <t>code function + description</t>
  </si>
  <si>
    <t>Business title</t>
  </si>
  <si>
    <t>Classification de l'employé</t>
  </si>
  <si>
    <t>Date de début de contrat</t>
  </si>
  <si>
    <t>N° de sécurité sociale</t>
  </si>
  <si>
    <t>French category code</t>
  </si>
  <si>
    <t>Description de la categorie</t>
  </si>
  <si>
    <t>grade ou groupe de poste</t>
  </si>
  <si>
    <t>00102933</t>
  </si>
  <si>
    <t>AIT HELLAL</t>
  </si>
  <si>
    <t>YAZID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</si>
  <si>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</si>
  <si>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</si>
  <si>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</si>
  <si>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</si>
  <si>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</si>
  <si>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</si>
  <si>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</si>
  <si>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</si>
  <si>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</si>
  <si>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</si>
  <si>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</si>
  <si>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00104634</t>
  </si>
  <si>
    <t>ALVES</t>
  </si>
  <si>
    <t>PAOLO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</si>
  <si>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</si>
  <si>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</si>
  <si>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</si>
  <si>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</si>
  <si>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</si>
  <si>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</si>
  <si>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</si>
  <si>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</si>
  <si>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</si>
  <si>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</si>
  <si>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00104692</t>
  </si>
  <si>
    <t>ARNAUD JOUFFREY</t>
  </si>
  <si>
    <t>JEAN-MARC</t>
  </si>
  <si>
    <t>OP EQUIP AUTOMATIS</t>
  </si>
  <si>
    <t>161073851715474</t>
  </si>
  <si>
    <t>Niveau II Echelon 3 Coeff 190</t>
  </si>
  <si>
    <t>10521382</t>
  </si>
  <si>
    <t>ALCALA</t>
  </si>
  <si>
    <t>ARNAUD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</si>
  <si>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</si>
  <si>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</si>
  <si>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</si>
  <si>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</si>
  <si>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</si>
  <si>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</si>
  <si>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</si>
  <si>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</si>
  <si>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</si>
  <si>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</si>
  <si>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00068323</t>
  </si>
  <si>
    <t>POINT</t>
  </si>
  <si>
    <t>Laurence</t>
  </si>
  <si>
    <t>VERNE</t>
  </si>
  <si>
    <t>9F40</t>
  </si>
  <si>
    <t>OPERATEUR POLYVALENT</t>
  </si>
  <si>
    <t>281033805314310</t>
  </si>
  <si>
    <t>GDP08</t>
  </si>
  <si>
    <t>00069157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</si>
  <si>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</si>
  <si>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</si>
  <si>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</si>
  <si>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</si>
  <si>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</si>
  <si>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</si>
  <si>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</si>
  <si>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</si>
  <si>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</si>
  <si>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</si>
  <si>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00103045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</si>
  <si>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</si>
  <si>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</si>
  <si>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</si>
  <si>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</si>
  <si>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</si>
  <si>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</si>
  <si>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</si>
  <si>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</si>
  <si>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</si>
  <si>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</si>
  <si>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00104640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</si>
  <si>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</si>
  <si>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</si>
  <si>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</si>
  <si>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</si>
  <si>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</si>
  <si>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</si>
  <si>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</si>
  <si>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</si>
  <si>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00102936</t>
  </si>
  <si>
    <t>EMMANUEL</t>
  </si>
  <si>
    <t>SAVY</t>
  </si>
  <si>
    <t>JESSICA</t>
  </si>
  <si>
    <t>AGENT LOGISTIQUE MULTIFLUX</t>
  </si>
  <si>
    <t>175040701901923</t>
  </si>
  <si>
    <t>00103038</t>
  </si>
  <si>
    <t>JEAN-LUC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</si>
  <si>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</si>
  <si>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</si>
  <si>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</si>
  <si>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</si>
  <si>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</si>
  <si>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</si>
  <si>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00103021</t>
  </si>
  <si>
    <t>ARTIGE</t>
  </si>
  <si>
    <t>JEAN-PIERRE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</si>
  <si>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</si>
  <si>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</si>
  <si>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</si>
  <si>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</si>
  <si>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</si>
  <si>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</si>
  <si>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</si>
  <si>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</si>
  <si>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</si>
  <si>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00103070</t>
  </si>
  <si>
    <t>AUBERT</t>
  </si>
  <si>
    <t>HERVE</t>
  </si>
  <si>
    <t>MONTEUR</t>
  </si>
  <si>
    <t>163020701909716</t>
  </si>
  <si>
    <t>GDP07</t>
  </si>
  <si>
    <t>00102998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</si>
  <si>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</si>
  <si>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</si>
  <si>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</si>
  <si>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</si>
  <si>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</si>
  <si>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</si>
  <si>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</si>
  <si>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00103009</t>
  </si>
  <si>
    <t>AYGLON</t>
  </si>
  <si>
    <t>167056914923276</t>
  </si>
  <si>
    <t>Niveau II Echelon 1 Coeff 170</t>
  </si>
  <si>
    <t>00104383</t>
  </si>
  <si>
    <t>BARBERA</t>
  </si>
  <si>
    <t>JEREMY</t>
  </si>
  <si>
    <t>SENEPART</t>
  </si>
  <si>
    <t>LAURENCE</t>
  </si>
  <si>
    <t>181055746303101</t>
  </si>
  <si>
    <t>00102944</t>
  </si>
  <si>
    <t>BAZIZ</t>
  </si>
  <si>
    <t>DIDINE</t>
  </si>
  <si>
    <t>LWB1</t>
  </si>
  <si>
    <t>Warehouse Operations</t>
  </si>
  <si>
    <t>B1 - Operator</t>
  </si>
  <si>
    <t>168113856372080</t>
  </si>
  <si>
    <t>00103071</t>
  </si>
  <si>
    <t>BEAUMEL</t>
  </si>
  <si>
    <t>CLAUDINE</t>
  </si>
  <si>
    <t>FUENTES</t>
  </si>
  <si>
    <t>TEOFILO</t>
  </si>
  <si>
    <t>QCS1</t>
  </si>
  <si>
    <t>Quality Control Operator</t>
  </si>
  <si>
    <t>S1 - Support clerk</t>
  </si>
  <si>
    <t>VERIFICATEUR</t>
  </si>
  <si>
    <t>259010701903019</t>
  </si>
  <si>
    <t>00102925</t>
  </si>
  <si>
    <t>BENCHEIKH</t>
  </si>
  <si>
    <t>MOHAMMED</t>
  </si>
  <si>
    <t>CONTROLEUR/CONDUCTEUR</t>
  </si>
  <si>
    <t>165119935085582</t>
  </si>
  <si>
    <t>00102971</t>
  </si>
  <si>
    <t>BLACHON</t>
  </si>
  <si>
    <t>HENRI</t>
  </si>
  <si>
    <t>CONTROLEUR</t>
  </si>
  <si>
    <t>166034209520247</t>
  </si>
  <si>
    <t>00103085</t>
  </si>
  <si>
    <t>BLAYE</t>
  </si>
  <si>
    <t>161080710700191</t>
  </si>
  <si>
    <t>00102961</t>
  </si>
  <si>
    <t>BONJOUR</t>
  </si>
  <si>
    <t>165075123004994</t>
  </si>
  <si>
    <t>Niveau IV Echelon 1 Coeff 255</t>
  </si>
  <si>
    <t>00103028</t>
  </si>
  <si>
    <t>BONNEFOY</t>
  </si>
  <si>
    <t>166070701944091</t>
  </si>
  <si>
    <t>00093558</t>
  </si>
  <si>
    <t>Borisjuks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</si>
  <si>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</si>
  <si>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</si>
  <si>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</si>
  <si>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</si>
  <si>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</si>
  <si>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</si>
  <si>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</si>
  <si>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</si>
  <si>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00102987</t>
  </si>
  <si>
    <t>BOUCHIER</t>
  </si>
  <si>
    <t>DIMITRI</t>
  </si>
  <si>
    <t>176090701904231</t>
  </si>
  <si>
    <t>00102920</t>
  </si>
  <si>
    <t>BOUDIER</t>
  </si>
  <si>
    <t>EDDY</t>
  </si>
  <si>
    <t>176112123118074</t>
  </si>
  <si>
    <t>00102921</t>
  </si>
  <si>
    <t>BOULOGNE</t>
  </si>
  <si>
    <t>169086220412035</t>
  </si>
  <si>
    <t>00103039</t>
  </si>
  <si>
    <t>BRANJONNEAU</t>
  </si>
  <si>
    <t>163107817404333</t>
  </si>
  <si>
    <t>00115869</t>
  </si>
  <si>
    <t>BRUNEL</t>
  </si>
  <si>
    <t>179020701905946</t>
  </si>
  <si>
    <t>00102965</t>
  </si>
  <si>
    <t>CEYSSON</t>
  </si>
  <si>
    <t>FREDERIC</t>
  </si>
  <si>
    <t>177080701903372</t>
  </si>
  <si>
    <t>00103027</t>
  </si>
  <si>
    <t>CHABERT</t>
  </si>
  <si>
    <t>STEPHANE</t>
  </si>
  <si>
    <t>168040701927711</t>
  </si>
  <si>
    <t>00115872</t>
  </si>
  <si>
    <t>CHAL</t>
  </si>
  <si>
    <t>LOIC</t>
  </si>
  <si>
    <t>180110710204293</t>
  </si>
  <si>
    <t>00102966</t>
  </si>
  <si>
    <t>CHAMBON</t>
  </si>
  <si>
    <t>165050701936091</t>
  </si>
  <si>
    <t>00103022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</si>
  <si>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</si>
  <si>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</si>
  <si>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</si>
  <si>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</si>
  <si>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</si>
  <si>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</si>
  <si>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</si>
  <si>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</si>
  <si>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00103062</t>
  </si>
  <si>
    <t>CHANIOL</t>
  </si>
  <si>
    <t>SERGE</t>
  </si>
  <si>
    <t>163080701945050</t>
  </si>
  <si>
    <t>00103026</t>
  </si>
  <si>
    <t>CHAREYRE</t>
  </si>
  <si>
    <t>QCS2</t>
  </si>
  <si>
    <t>Quality Control Multi Skilled</t>
  </si>
  <si>
    <t>S2 - Support multi skilled clerk</t>
  </si>
  <si>
    <t>166110733008111</t>
  </si>
  <si>
    <t>00102960</t>
  </si>
  <si>
    <t>CHOMBART</t>
  </si>
  <si>
    <t>166087401009973</t>
  </si>
  <si>
    <t>10625862</t>
  </si>
  <si>
    <t>CORTADA</t>
  </si>
  <si>
    <t>JIMMY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</si>
  <si>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</si>
  <si>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</si>
  <si>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</si>
  <si>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</si>
  <si>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</si>
  <si>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</si>
  <si>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</si>
  <si>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00103064</t>
  </si>
  <si>
    <t>COSTE</t>
  </si>
  <si>
    <t>GISELE</t>
  </si>
  <si>
    <t>261080711004702</t>
  </si>
  <si>
    <t>00102972</t>
  </si>
  <si>
    <t>CRUS</t>
  </si>
  <si>
    <t>JEAN-LOUIS</t>
  </si>
  <si>
    <t>161080701941586</t>
  </si>
  <si>
    <t>00103034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</si>
  <si>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</si>
  <si>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</si>
  <si>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</si>
  <si>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</si>
  <si>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</si>
  <si>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</si>
  <si>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00102894</t>
  </si>
  <si>
    <t>DALLANEGRA</t>
  </si>
  <si>
    <t>GERALD</t>
  </si>
  <si>
    <t>171128522201413</t>
  </si>
  <si>
    <t>00103050</t>
  </si>
  <si>
    <t>DAMIAN</t>
  </si>
  <si>
    <t>JEAN-CLAUDE</t>
  </si>
  <si>
    <t>LES4</t>
  </si>
  <si>
    <t>MasterDB Supply Chain Speciali</t>
  </si>
  <si>
    <t>S4 - Support Officer</t>
  </si>
  <si>
    <t>GESTIONNAIRE MODIFICATIONS PRODUITS</t>
  </si>
  <si>
    <t>161097306501556</t>
  </si>
  <si>
    <t>00102968</t>
  </si>
  <si>
    <t>DARCY</t>
  </si>
  <si>
    <t>163086276505950</t>
  </si>
  <si>
    <t>00011655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</si>
  <si>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</si>
  <si>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</si>
  <si>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</si>
  <si>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</si>
  <si>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</si>
  <si>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</si>
  <si>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</si>
  <si>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00103012</t>
  </si>
  <si>
    <t>DE BESSE</t>
  </si>
  <si>
    <t>161120701960458</t>
  </si>
  <si>
    <t>00102973</t>
  </si>
  <si>
    <t>DESCHAUX</t>
  </si>
  <si>
    <t>167070701936124</t>
  </si>
  <si>
    <t>00068142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</si>
  <si>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</si>
  <si>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</si>
  <si>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</si>
  <si>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</si>
  <si>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</si>
  <si>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</si>
  <si>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00103003</t>
  </si>
  <si>
    <t>DUCROS</t>
  </si>
  <si>
    <t>REMI</t>
  </si>
  <si>
    <t>163070701938995</t>
  </si>
  <si>
    <t>00103074</t>
  </si>
  <si>
    <t>DUNY</t>
  </si>
  <si>
    <t>ADJOINT DE GESTION</t>
  </si>
  <si>
    <t>162040701921279</t>
  </si>
  <si>
    <t>00102984</t>
  </si>
  <si>
    <t>DUPLAN</t>
  </si>
  <si>
    <t>JEROME</t>
  </si>
  <si>
    <t>176010701906376</t>
  </si>
  <si>
    <t>00102981</t>
  </si>
  <si>
    <t>DURAND</t>
  </si>
  <si>
    <t>GUY</t>
  </si>
  <si>
    <t>167070701937807</t>
  </si>
  <si>
    <t>00102983</t>
  </si>
  <si>
    <t>DURIEU</t>
  </si>
  <si>
    <t>176060701902597</t>
  </si>
  <si>
    <t>00103061</t>
  </si>
  <si>
    <t>ESCLANGON</t>
  </si>
  <si>
    <t>163060734102595</t>
  </si>
  <si>
    <t>Niveau IV Echelon 2 Coeff 270</t>
  </si>
  <si>
    <t>GDP13</t>
  </si>
  <si>
    <t>00102990</t>
  </si>
  <si>
    <t>ESTEBAN</t>
  </si>
  <si>
    <t>MANUEL</t>
  </si>
  <si>
    <t>176020701901741</t>
  </si>
  <si>
    <t>00103056</t>
  </si>
  <si>
    <t>GESTIONNAIRE OUTILLAGE ETALONNAGE</t>
  </si>
  <si>
    <t>165010713200103</t>
  </si>
  <si>
    <t>00102895</t>
  </si>
  <si>
    <t>FAYOLLE</t>
  </si>
  <si>
    <t>RENAUD</t>
  </si>
  <si>
    <t>186090701901256</t>
  </si>
  <si>
    <t>00069432</t>
  </si>
  <si>
    <t>FHF6</t>
  </si>
  <si>
    <t>Finance Business Partner/Plant or Site</t>
  </si>
  <si>
    <t>F6 - Funct. Specialist Senior Mgr</t>
  </si>
  <si>
    <t>Controleur Financier</t>
  </si>
  <si>
    <t>165089910957971</t>
  </si>
  <si>
    <t>00103092</t>
  </si>
  <si>
    <t>FERRERO</t>
  </si>
  <si>
    <t>162070701937066</t>
  </si>
  <si>
    <t>00102896</t>
  </si>
  <si>
    <t>FONTAINE</t>
  </si>
  <si>
    <t>GAEL</t>
  </si>
  <si>
    <t>174083805319543</t>
  </si>
  <si>
    <t>00102897</t>
  </si>
  <si>
    <t>FONTIBUS</t>
  </si>
  <si>
    <t>ROMUALD</t>
  </si>
  <si>
    <t>177097401207301</t>
  </si>
  <si>
    <t>00103083</t>
  </si>
  <si>
    <t>FOUREL</t>
  </si>
  <si>
    <t>CATHERINE</t>
  </si>
  <si>
    <t>261040701918112</t>
  </si>
  <si>
    <t>00103017</t>
  </si>
  <si>
    <t>FOURQUET</t>
  </si>
  <si>
    <t>FABIENNE</t>
  </si>
  <si>
    <t>LWB3</t>
  </si>
  <si>
    <t>Warehouse Team Leadership</t>
  </si>
  <si>
    <t>264072636201840</t>
  </si>
  <si>
    <t>10631106</t>
  </si>
  <si>
    <t>FROLOVA RIVASI</t>
  </si>
  <si>
    <t>Maria</t>
  </si>
  <si>
    <t>HMG6</t>
  </si>
  <si>
    <t>HR Business Partner/Unit</t>
  </si>
  <si>
    <t>HRBP SEA</t>
  </si>
  <si>
    <t>285029912321256</t>
  </si>
  <si>
    <t>00103019</t>
  </si>
  <si>
    <t>QET5</t>
  </si>
  <si>
    <t>Supply Quality Senior Engineer</t>
  </si>
  <si>
    <t>Responsable IQR / AQF</t>
  </si>
  <si>
    <t>165070701948003</t>
  </si>
  <si>
    <t>00103057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</si>
  <si>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</si>
  <si>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</si>
  <si>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</si>
  <si>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</si>
  <si>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</si>
  <si>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</si>
  <si>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00102898</t>
  </si>
  <si>
    <t>GARCIA</t>
  </si>
  <si>
    <t>172110701901691</t>
  </si>
  <si>
    <t>00103081</t>
  </si>
  <si>
    <t>GAUTHIER</t>
  </si>
  <si>
    <t>162050734607921</t>
  </si>
  <si>
    <t>00103004</t>
  </si>
  <si>
    <t>GHERSA</t>
  </si>
  <si>
    <t>OUALI</t>
  </si>
  <si>
    <t>167120701972333</t>
  </si>
  <si>
    <t>00103046</t>
  </si>
  <si>
    <t>GINESTE</t>
  </si>
  <si>
    <t>169020711000492</t>
  </si>
  <si>
    <t>00102928</t>
  </si>
  <si>
    <t>GONZALEZ</t>
  </si>
  <si>
    <t>185050701903815</t>
  </si>
  <si>
    <t>00103093</t>
  </si>
  <si>
    <t>GRABARZ</t>
  </si>
  <si>
    <t>AGENT LOGISTIQUE MUTLIFLUX</t>
  </si>
  <si>
    <t>162019935367265</t>
  </si>
  <si>
    <t>00103063</t>
  </si>
  <si>
    <t>GRASSET</t>
  </si>
  <si>
    <t>163030734101161</t>
  </si>
  <si>
    <t>00102985</t>
  </si>
  <si>
    <t>GROUPIERRE</t>
  </si>
  <si>
    <t>167040733001909</t>
  </si>
  <si>
    <t>00103035</t>
  </si>
  <si>
    <t>GUILHON</t>
  </si>
  <si>
    <t>164030734903440</t>
  </si>
  <si>
    <t>00103114</t>
  </si>
  <si>
    <t>RESPONSABLE MAINTENANCE ET ANTENNE TECHNIQUE</t>
  </si>
  <si>
    <t>161030701913889</t>
  </si>
  <si>
    <t>00102926</t>
  </si>
  <si>
    <t>HERITIER</t>
  </si>
  <si>
    <t>MARJORIE</t>
  </si>
  <si>
    <t>272070701902070</t>
  </si>
  <si>
    <t>00103099</t>
  </si>
  <si>
    <t>HILAIRE</t>
  </si>
  <si>
    <t>CLAUDIE</t>
  </si>
  <si>
    <t>IAB1</t>
  </si>
  <si>
    <t>Manufacturing Worker</t>
  </si>
  <si>
    <t>262090734614170</t>
  </si>
  <si>
    <t>00191248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</si>
  <si>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</si>
  <si>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</si>
  <si>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</si>
  <si>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</si>
  <si>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</si>
  <si>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</si>
  <si>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00103006</t>
  </si>
  <si>
    <t>JARDET</t>
  </si>
  <si>
    <t>SOPHIE</t>
  </si>
  <si>
    <t>268040701925382</t>
  </si>
  <si>
    <t>00102910</t>
  </si>
  <si>
    <t>JOANNY</t>
  </si>
  <si>
    <t>IST4</t>
  </si>
  <si>
    <t>Indus &amp; Manufact Engineering</t>
  </si>
  <si>
    <t>Methodiste des moyens</t>
  </si>
  <si>
    <t>181060701901754</t>
  </si>
  <si>
    <t>00103029</t>
  </si>
  <si>
    <t>KRASOUSKY</t>
  </si>
  <si>
    <t>167090701954170</t>
  </si>
  <si>
    <t>00102899</t>
  </si>
  <si>
    <t>LACLAVERE</t>
  </si>
  <si>
    <t>AURELIE</t>
  </si>
  <si>
    <t>283041302701556</t>
  </si>
  <si>
    <t>00103001</t>
  </si>
  <si>
    <t>LACOMBE</t>
  </si>
  <si>
    <t>168044932805019</t>
  </si>
  <si>
    <t>00102992</t>
  </si>
  <si>
    <t>RAPHAEL</t>
  </si>
  <si>
    <t>LWS4</t>
  </si>
  <si>
    <t>Warehouse Process Specialist</t>
  </si>
  <si>
    <t>METHODES MAINTENANCE</t>
  </si>
  <si>
    <t>170120701906856</t>
  </si>
  <si>
    <t>00103101</t>
  </si>
  <si>
    <t>161100701953694</t>
  </si>
  <si>
    <t>00102996</t>
  </si>
  <si>
    <t>LADET</t>
  </si>
  <si>
    <t>BRUNO</t>
  </si>
  <si>
    <t>172128400719354</t>
  </si>
  <si>
    <t>00103025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</si>
  <si>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</si>
  <si>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</si>
  <si>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</si>
  <si>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</si>
  <si>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</si>
  <si>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</si>
  <si>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00102986</t>
  </si>
  <si>
    <t>LARCHEVEQUE</t>
  </si>
  <si>
    <t>166051803303934</t>
  </si>
  <si>
    <t>00103054</t>
  </si>
  <si>
    <t>LAVASTRE</t>
  </si>
  <si>
    <t>ROLAND</t>
  </si>
  <si>
    <t>METHODISTE DES MOYENS</t>
  </si>
  <si>
    <t>161044313503920</t>
  </si>
  <si>
    <t>00103094</t>
  </si>
  <si>
    <t>LEBRE</t>
  </si>
  <si>
    <t>262030718606795</t>
  </si>
  <si>
    <t>00103013</t>
  </si>
  <si>
    <t>BASTIEN</t>
  </si>
  <si>
    <t>171078072102426</t>
  </si>
  <si>
    <t>00102963</t>
  </si>
  <si>
    <t>LEFRONT</t>
  </si>
  <si>
    <t>HAROLD</t>
  </si>
  <si>
    <t>170052705101945</t>
  </si>
  <si>
    <t>00102978</t>
  </si>
  <si>
    <t>LHORENS</t>
  </si>
  <si>
    <t>JEAN-YVES</t>
  </si>
  <si>
    <t>TECHNICIEN MAINTENANCE TPJ</t>
  </si>
  <si>
    <t>172090701902055</t>
  </si>
  <si>
    <t>00102997</t>
  </si>
  <si>
    <t>LOYRION</t>
  </si>
  <si>
    <t>170122636220082</t>
  </si>
  <si>
    <t>00103090</t>
  </si>
  <si>
    <t>LURIE</t>
  </si>
  <si>
    <t>162048408703913</t>
  </si>
  <si>
    <t>00115873</t>
  </si>
  <si>
    <t>MACQUET</t>
  </si>
  <si>
    <t>165037645104405</t>
  </si>
  <si>
    <t>00102902</t>
  </si>
  <si>
    <t>MARTIN</t>
  </si>
  <si>
    <t>159026938203430</t>
  </si>
  <si>
    <t>00103023</t>
  </si>
  <si>
    <t>KFB5</t>
  </si>
  <si>
    <t>Downstream Planning Manager</t>
  </si>
  <si>
    <t>ROF AVAL</t>
  </si>
  <si>
    <t>168040701922959</t>
  </si>
  <si>
    <t>00102903</t>
  </si>
  <si>
    <t>MASMEJEAN</t>
  </si>
  <si>
    <t>JACKY</t>
  </si>
  <si>
    <t>159090701945761</t>
  </si>
  <si>
    <t>00102993</t>
  </si>
  <si>
    <t>MAZE</t>
  </si>
  <si>
    <t>CHRISTOPHE</t>
  </si>
  <si>
    <t>171070701901379</t>
  </si>
  <si>
    <t>00103014</t>
  </si>
  <si>
    <t>MEJEAN</t>
  </si>
  <si>
    <t>169050701932428</t>
  </si>
  <si>
    <t>00103033</t>
  </si>
  <si>
    <t>MONNIER-GUINOISEAU</t>
  </si>
  <si>
    <t>CHANTAL</t>
  </si>
  <si>
    <t>COMPTABLE ANALYTIQUE</t>
  </si>
  <si>
    <t>259026938608305</t>
  </si>
  <si>
    <t>00103043</t>
  </si>
  <si>
    <t>MOULIN</t>
  </si>
  <si>
    <t>166030701919776</t>
  </si>
  <si>
    <t>00102976</t>
  </si>
  <si>
    <t>MURA</t>
  </si>
  <si>
    <t>180120701902792</t>
  </si>
  <si>
    <t>00103059</t>
  </si>
  <si>
    <t>MURILLON</t>
  </si>
  <si>
    <t>LUC</t>
  </si>
  <si>
    <t>164050701929313</t>
  </si>
  <si>
    <t>10630739</t>
  </si>
  <si>
    <t>NEGRE</t>
  </si>
  <si>
    <t>Ingenieur Informatique Industrielle</t>
  </si>
  <si>
    <t>182060701903188</t>
  </si>
  <si>
    <t>P2_114</t>
  </si>
  <si>
    <t>Ing Position II - Indice 114</t>
  </si>
  <si>
    <t>00102943</t>
  </si>
  <si>
    <t>NINAT</t>
  </si>
  <si>
    <t>167097814601906</t>
  </si>
  <si>
    <t>00103047</t>
  </si>
  <si>
    <t>NOBLESSE</t>
  </si>
  <si>
    <t>166111300118116</t>
  </si>
  <si>
    <t>00102932</t>
  </si>
  <si>
    <t>NOUIS</t>
  </si>
  <si>
    <t>RICHARD</t>
  </si>
  <si>
    <t>182041827905484</t>
  </si>
  <si>
    <t>00102991</t>
  </si>
  <si>
    <t>PENTLAS</t>
  </si>
  <si>
    <t>173098941803566</t>
  </si>
  <si>
    <t>00102905</t>
  </si>
  <si>
    <t>PEREIRA</t>
  </si>
  <si>
    <t>ELISEU</t>
  </si>
  <si>
    <t>167039963902567</t>
  </si>
  <si>
    <t>00103111</t>
  </si>
  <si>
    <t>PEYTIER</t>
  </si>
  <si>
    <t>161030701913988</t>
  </si>
  <si>
    <t>00103076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</si>
  <si>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</si>
  <si>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</si>
  <si>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</si>
  <si>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</si>
  <si>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</si>
  <si>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</si>
  <si>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00240053</t>
  </si>
  <si>
    <t>IST6</t>
  </si>
  <si>
    <t>Indus &amp; Man Eng Mgr / Unit</t>
  </si>
  <si>
    <t>T6 - Technical Manager/Site</t>
  </si>
  <si>
    <t>RESPONSABLE METHODES/MAINTENANCE</t>
  </si>
  <si>
    <t>190026920202342</t>
  </si>
  <si>
    <t>00103030</t>
  </si>
  <si>
    <t>PIQ</t>
  </si>
  <si>
    <t>169040701926076</t>
  </si>
  <si>
    <t>00102906</t>
  </si>
  <si>
    <t>PIZOT</t>
  </si>
  <si>
    <t>SOLANGE</t>
  </si>
  <si>
    <t>263040719500152</t>
  </si>
  <si>
    <t>00103116</t>
  </si>
  <si>
    <t>PONTAL</t>
  </si>
  <si>
    <t>160090701945118</t>
  </si>
  <si>
    <t>00102930</t>
  </si>
  <si>
    <t>POUGET</t>
  </si>
  <si>
    <t>165060701943532</t>
  </si>
  <si>
    <t>00103007</t>
  </si>
  <si>
    <t>PRONIER</t>
  </si>
  <si>
    <t>166056938419596</t>
  </si>
  <si>
    <t>00103024</t>
  </si>
  <si>
    <t>RAOUX</t>
  </si>
  <si>
    <t>264113509321175</t>
  </si>
  <si>
    <t>00103044</t>
  </si>
  <si>
    <t>RAVINET</t>
  </si>
  <si>
    <t>JEAN-MARIE</t>
  </si>
  <si>
    <t>162058403135634</t>
  </si>
  <si>
    <t>00099084</t>
  </si>
  <si>
    <t>KMG6</t>
  </si>
  <si>
    <t>Supply Chain Planning Management / Plant</t>
  </si>
  <si>
    <t>RESPONSABLE SUPPLY CHAIN</t>
  </si>
  <si>
    <t>173083851622048</t>
  </si>
  <si>
    <t>00102907</t>
  </si>
  <si>
    <t>ROMAN</t>
  </si>
  <si>
    <t>186090701905612</t>
  </si>
  <si>
    <t>00103018</t>
  </si>
  <si>
    <t>ROUBY</t>
  </si>
  <si>
    <t>MURIELLE</t>
  </si>
  <si>
    <t>264090734910812</t>
  </si>
  <si>
    <t>00102982</t>
  </si>
  <si>
    <t>ROUME</t>
  </si>
  <si>
    <t>171040734101371</t>
  </si>
  <si>
    <t>00103036</t>
  </si>
  <si>
    <t>SANIAL</t>
  </si>
  <si>
    <t>264100706600585</t>
  </si>
  <si>
    <t>00102935</t>
  </si>
  <si>
    <t>LWB5</t>
  </si>
  <si>
    <t>Warehouse Supervision</t>
  </si>
  <si>
    <t>REL</t>
  </si>
  <si>
    <t>284106938203249</t>
  </si>
  <si>
    <t>00102909</t>
  </si>
  <si>
    <t>SCHILLINGER</t>
  </si>
  <si>
    <t>QBT5</t>
  </si>
  <si>
    <t>Claim Management Engineer</t>
  </si>
  <si>
    <t>Pilote Satisfaction Clien</t>
  </si>
  <si>
    <t>170025775106266</t>
  </si>
  <si>
    <t>00102954</t>
  </si>
  <si>
    <t>Responsable Equipe Fabrication</t>
  </si>
  <si>
    <t>266113851602007</t>
  </si>
  <si>
    <t>00102911</t>
  </si>
  <si>
    <t>SERRE</t>
  </si>
  <si>
    <t>163090701951994</t>
  </si>
  <si>
    <t>00103008</t>
  </si>
  <si>
    <t>SINACORI</t>
  </si>
  <si>
    <t>METHODISTE PROJET PRODUIT PROCESS,</t>
  </si>
  <si>
    <t>169063818501070</t>
  </si>
  <si>
    <t>00103000</t>
  </si>
  <si>
    <t>SOUCHE</t>
  </si>
  <si>
    <t>172070701903409</t>
  </si>
  <si>
    <t>00103075</t>
  </si>
  <si>
    <t>TESTUD</t>
  </si>
  <si>
    <t>160050701924563</t>
  </si>
  <si>
    <t>00104628</t>
  </si>
  <si>
    <t>BARAZZUTTI</t>
  </si>
  <si>
    <t>173033851703229</t>
  </si>
  <si>
    <t>00103005</t>
  </si>
  <si>
    <t>JEAN-JACQUES</t>
  </si>
  <si>
    <t>156030701910279</t>
  </si>
  <si>
    <t>10559280</t>
  </si>
  <si>
    <t>BENASSI</t>
  </si>
  <si>
    <t>Christian</t>
  </si>
  <si>
    <t>MOULEUR REFERENT H/F</t>
  </si>
  <si>
    <t>170096938414910</t>
  </si>
  <si>
    <t>10559278</t>
  </si>
  <si>
    <t>BOISSON MENUEL</t>
  </si>
  <si>
    <t>Bertrand</t>
  </si>
  <si>
    <t>MOULEUR REFERENT</t>
  </si>
  <si>
    <t>183083833703173</t>
  </si>
  <si>
    <t>00104646</t>
  </si>
  <si>
    <t>BOUQUET</t>
  </si>
  <si>
    <t>DAVID</t>
  </si>
  <si>
    <t>171073856303569</t>
  </si>
  <si>
    <t>10559261</t>
  </si>
  <si>
    <t>BRISARD</t>
  </si>
  <si>
    <t>SIMON</t>
  </si>
  <si>
    <t>Mouleur Referent</t>
  </si>
  <si>
    <t>185083818502975</t>
  </si>
  <si>
    <t>00104658</t>
  </si>
  <si>
    <t>BRUN</t>
  </si>
  <si>
    <t>166033851711102</t>
  </si>
  <si>
    <t>00104645</t>
  </si>
  <si>
    <t>Technicien Maintenance</t>
  </si>
  <si>
    <t>161083851616413</t>
  </si>
  <si>
    <t>00104784</t>
  </si>
  <si>
    <t>BUISSON</t>
  </si>
  <si>
    <t>Florian</t>
  </si>
  <si>
    <t>RESPONSABLE MAINTENANCE</t>
  </si>
  <si>
    <t>185033851608302</t>
  </si>
  <si>
    <t>00135347</t>
  </si>
  <si>
    <t>BUNEL</t>
  </si>
  <si>
    <t>Operateur Mouleur</t>
  </si>
  <si>
    <t>165123324310421</t>
  </si>
  <si>
    <t>00190922</t>
  </si>
  <si>
    <t>IAB6</t>
  </si>
  <si>
    <t>Manufacturing Operations Mgt</t>
  </si>
  <si>
    <t>B6 - Operations Manager/Unit</t>
  </si>
  <si>
    <t>PLANT MANAGER SEA</t>
  </si>
  <si>
    <t>170037221600174</t>
  </si>
  <si>
    <t>00104625</t>
  </si>
  <si>
    <t>CHENAVAS</t>
  </si>
  <si>
    <t>171013851704087</t>
  </si>
  <si>
    <t>00104649</t>
  </si>
  <si>
    <t>CHENAVIER</t>
  </si>
  <si>
    <t>AG.MAINT.MULTIPLES</t>
  </si>
  <si>
    <t>168013805311712</t>
  </si>
  <si>
    <t>00104664</t>
  </si>
  <si>
    <t>COMBE</t>
  </si>
  <si>
    <t>168033851710012</t>
  </si>
  <si>
    <t>GDP10</t>
  </si>
  <si>
    <t>00332168</t>
  </si>
  <si>
    <t>COPPOLA</t>
  </si>
  <si>
    <t>183053851612194</t>
  </si>
  <si>
    <t>00104710</t>
  </si>
  <si>
    <t>COUTO</t>
  </si>
  <si>
    <t>ADRIANO</t>
  </si>
  <si>
    <t>162029903915527</t>
  </si>
  <si>
    <t>10554392</t>
  </si>
  <si>
    <t>DA SILVA</t>
  </si>
  <si>
    <t>Sylvie</t>
  </si>
  <si>
    <t>280027306510240</t>
  </si>
  <si>
    <t>00332340</t>
  </si>
  <si>
    <t>STEVE</t>
  </si>
  <si>
    <t>192043833702658</t>
  </si>
  <si>
    <t>00104650</t>
  </si>
  <si>
    <t>DESORMEAU BEDOT</t>
  </si>
  <si>
    <t>165073856345837</t>
  </si>
  <si>
    <t>10555317</t>
  </si>
  <si>
    <t>DJELLOULI</t>
  </si>
  <si>
    <t>BRAHIM</t>
  </si>
  <si>
    <t>168012115402852</t>
  </si>
  <si>
    <t>00288443</t>
  </si>
  <si>
    <t>David</t>
  </si>
  <si>
    <t>189093856302010</t>
  </si>
  <si>
    <t>00012837</t>
  </si>
  <si>
    <t>RESPONSABLE DE SITE</t>
  </si>
  <si>
    <t>275010103403311</t>
  </si>
  <si>
    <t>00104638</t>
  </si>
  <si>
    <t>GAYAT</t>
  </si>
  <si>
    <t>177033856303995</t>
  </si>
  <si>
    <t>00076818</t>
  </si>
  <si>
    <t>GENNARO</t>
  </si>
  <si>
    <t>Serge</t>
  </si>
  <si>
    <t>ITT2</t>
  </si>
  <si>
    <t>Tooling Operations</t>
  </si>
  <si>
    <t>TECHNICIEN MOULES</t>
  </si>
  <si>
    <t>160123851725208</t>
  </si>
  <si>
    <t>00104656</t>
  </si>
  <si>
    <t>GOURBAT</t>
  </si>
  <si>
    <t>164098708520502</t>
  </si>
  <si>
    <t>00103065</t>
  </si>
  <si>
    <t>CORRESPONDANT CLIENT</t>
  </si>
  <si>
    <t>264110701968555</t>
  </si>
  <si>
    <t>00103082</t>
  </si>
  <si>
    <t>THEROND</t>
  </si>
  <si>
    <t>NADIA</t>
  </si>
  <si>
    <t>ASSISTANTE ADMINISTRATIVE / ACCUEIL</t>
  </si>
  <si>
    <t>259084808010232</t>
  </si>
  <si>
    <t>10513086</t>
  </si>
  <si>
    <t>TOULOUZE</t>
  </si>
  <si>
    <t>HUGUES</t>
  </si>
  <si>
    <t>HMG4</t>
  </si>
  <si>
    <t>HR Generalist</t>
  </si>
  <si>
    <t>ALTERNANT HRBP JUNIOR</t>
  </si>
  <si>
    <t>295060701907833</t>
  </si>
  <si>
    <t>00104655</t>
  </si>
  <si>
    <t>GRANGIER</t>
  </si>
  <si>
    <t>164062634711539</t>
  </si>
  <si>
    <t>10555049</t>
  </si>
  <si>
    <t>GREPPAT</t>
  </si>
  <si>
    <t>Christophe</t>
  </si>
  <si>
    <t>174113833701494</t>
  </si>
  <si>
    <t>00136713</t>
  </si>
  <si>
    <t>RESPONSABLE SITE LATTES</t>
  </si>
  <si>
    <t>163067306509326</t>
  </si>
  <si>
    <t>00104685</t>
  </si>
  <si>
    <t>GUILLAUD</t>
  </si>
  <si>
    <t>160073819649503</t>
  </si>
  <si>
    <t>00190953</t>
  </si>
  <si>
    <t>GASCARD</t>
  </si>
  <si>
    <t>Olivier</t>
  </si>
  <si>
    <t>METHODISTE/ANT TECHNIQUE</t>
  </si>
  <si>
    <t>172049137701171</t>
  </si>
  <si>
    <t>00190978</t>
  </si>
  <si>
    <t>WAGON</t>
  </si>
  <si>
    <t>Jean-Paul</t>
  </si>
  <si>
    <t>Agent logistique</t>
  </si>
  <si>
    <t>165096235105474</t>
  </si>
  <si>
    <t>00191040</t>
  </si>
  <si>
    <t>RGOUAI</t>
  </si>
  <si>
    <t>Mohamed</t>
  </si>
  <si>
    <t>Pilote traitement surface</t>
  </si>
  <si>
    <t>172099935072432</t>
  </si>
  <si>
    <t>00191166</t>
  </si>
  <si>
    <t>BONAFOUS</t>
  </si>
  <si>
    <t>Animateur QEHS Usine</t>
  </si>
  <si>
    <t>283118313720625</t>
  </si>
  <si>
    <t>00191202</t>
  </si>
  <si>
    <t>RUGGIERO</t>
  </si>
  <si>
    <t>163061315519904</t>
  </si>
  <si>
    <t>00191229</t>
  </si>
  <si>
    <t>HIPPOLITE</t>
  </si>
  <si>
    <t>170126216003104</t>
  </si>
  <si>
    <t>00102889</t>
  </si>
  <si>
    <t>TOURMEAU</t>
  </si>
  <si>
    <t>LYDIA</t>
  </si>
  <si>
    <t>263097318135565</t>
  </si>
  <si>
    <t>00191283</t>
  </si>
  <si>
    <t>AUJOUR</t>
  </si>
  <si>
    <t>165128106505441</t>
  </si>
  <si>
    <t>00191295</t>
  </si>
  <si>
    <t>ROUCHE</t>
  </si>
  <si>
    <t>Alain</t>
  </si>
  <si>
    <t>164123417218357</t>
  </si>
  <si>
    <t>00191320</t>
  </si>
  <si>
    <t>167114809528278</t>
  </si>
  <si>
    <t>00191504</t>
  </si>
  <si>
    <t>162069741001519</t>
  </si>
  <si>
    <t>00191507</t>
  </si>
  <si>
    <t>BIGOTIERE</t>
  </si>
  <si>
    <t>Jean-Charles</t>
  </si>
  <si>
    <t>IST3</t>
  </si>
  <si>
    <t>Indus/Manufact. Engineer Spec</t>
  </si>
  <si>
    <t>Technicien Methodes</t>
  </si>
  <si>
    <t>169103430102050</t>
  </si>
  <si>
    <t>00191510</t>
  </si>
  <si>
    <t>KHALIFI</t>
  </si>
  <si>
    <t>162019938073565</t>
  </si>
  <si>
    <t>00191520</t>
  </si>
  <si>
    <t>HAUTOT</t>
  </si>
  <si>
    <t>Pascal</t>
  </si>
  <si>
    <t>161027621201017</t>
  </si>
  <si>
    <t>00191532</t>
  </si>
  <si>
    <t>VERANT</t>
  </si>
  <si>
    <t>163061300405819</t>
  </si>
  <si>
    <t>00191549</t>
  </si>
  <si>
    <t>PRIEUR</t>
  </si>
  <si>
    <t>Jean-Marc</t>
  </si>
  <si>
    <t>162083417203743</t>
  </si>
  <si>
    <t>00191664</t>
  </si>
  <si>
    <t>REVERTE</t>
  </si>
  <si>
    <t>Laurent</t>
  </si>
  <si>
    <t>171013417237327</t>
  </si>
  <si>
    <t>00191667</t>
  </si>
  <si>
    <t>ENNAOUI</t>
  </si>
  <si>
    <t>168066613621546</t>
  </si>
  <si>
    <t>00191707</t>
  </si>
  <si>
    <t>PILOTE TRAITEMENT SURFACE</t>
  </si>
  <si>
    <t>171051315503848</t>
  </si>
  <si>
    <t>00191708</t>
  </si>
  <si>
    <t>PLACET</t>
  </si>
  <si>
    <t>165124900724727</t>
  </si>
  <si>
    <t>00191710</t>
  </si>
  <si>
    <t>RIO</t>
  </si>
  <si>
    <t>174083417225711</t>
  </si>
  <si>
    <t>00191711</t>
  </si>
  <si>
    <t>RISUENO</t>
  </si>
  <si>
    <t>Michel</t>
  </si>
  <si>
    <t>162023417205130</t>
  </si>
  <si>
    <t>00191712</t>
  </si>
  <si>
    <t>SALA</t>
  </si>
  <si>
    <t>Albert</t>
  </si>
  <si>
    <t>168113403207084</t>
  </si>
  <si>
    <t>00191714</t>
  </si>
  <si>
    <t>MANGEOLLE</t>
  </si>
  <si>
    <t>Francis</t>
  </si>
  <si>
    <t>162032503116837</t>
  </si>
  <si>
    <t>00191733</t>
  </si>
  <si>
    <t>LEGAGNEUX</t>
  </si>
  <si>
    <t>Roxane</t>
  </si>
  <si>
    <t>259064523403290</t>
  </si>
  <si>
    <t>00191738</t>
  </si>
  <si>
    <t>SFARA</t>
  </si>
  <si>
    <t>LAETITIA</t>
  </si>
  <si>
    <t>Gestionnaire de Flux</t>
  </si>
  <si>
    <t>275087855103886</t>
  </si>
  <si>
    <t>00191742</t>
  </si>
  <si>
    <t>BEN AMAR</t>
  </si>
  <si>
    <t>181089935050090</t>
  </si>
  <si>
    <t>00191743</t>
  </si>
  <si>
    <t>CLAVEL</t>
  </si>
  <si>
    <t>173073417240095</t>
  </si>
  <si>
    <t>00191775</t>
  </si>
  <si>
    <t>CABANE</t>
  </si>
  <si>
    <t>265063417203114</t>
  </si>
  <si>
    <t>00192015</t>
  </si>
  <si>
    <t>MERCIER</t>
  </si>
  <si>
    <t>Jean-Jacques</t>
  </si>
  <si>
    <t>158069932442996</t>
  </si>
  <si>
    <t>00192049</t>
  </si>
  <si>
    <t>PALMER</t>
  </si>
  <si>
    <t>Martine</t>
  </si>
  <si>
    <t>262026938305078</t>
  </si>
  <si>
    <t>00192053</t>
  </si>
  <si>
    <t>BONNEL</t>
  </si>
  <si>
    <t>Anne</t>
  </si>
  <si>
    <t>259073417214021</t>
  </si>
  <si>
    <t>00192154</t>
  </si>
  <si>
    <t>PONCET</t>
  </si>
  <si>
    <t>Daniel</t>
  </si>
  <si>
    <t>160088408700515</t>
  </si>
  <si>
    <t>00104647</t>
  </si>
  <si>
    <t>HERNANDEZ</t>
  </si>
  <si>
    <t>168063834431093</t>
  </si>
  <si>
    <t>Niveau II Echelon 2 Coeff 180</t>
  </si>
  <si>
    <t>00104545</t>
  </si>
  <si>
    <t>VANBALEGHEM</t>
  </si>
  <si>
    <t>168066204107540</t>
  </si>
  <si>
    <t>00240339</t>
  </si>
  <si>
    <t>BASSOU</t>
  </si>
  <si>
    <t>ANOUAR</t>
  </si>
  <si>
    <t>165049935114964</t>
  </si>
  <si>
    <t>10507194</t>
  </si>
  <si>
    <t>HIERAMENTE</t>
  </si>
  <si>
    <t>JULIEN</t>
  </si>
  <si>
    <t>185120608825006</t>
  </si>
  <si>
    <t>00104417</t>
  </si>
  <si>
    <t>LATOURRE</t>
  </si>
  <si>
    <t>AQPP</t>
  </si>
  <si>
    <t>184040701901571</t>
  </si>
  <si>
    <t>00032976</t>
  </si>
  <si>
    <t>LAUWERS</t>
  </si>
  <si>
    <t>Didier</t>
  </si>
  <si>
    <t>Automaticien</t>
  </si>
  <si>
    <t>177019913150645</t>
  </si>
  <si>
    <t>00332591</t>
  </si>
  <si>
    <t>LAVALLEE</t>
  </si>
  <si>
    <t>MOULEUR/SABLEUR/METALISEUR</t>
  </si>
  <si>
    <t>291103818516713</t>
  </si>
  <si>
    <t>10555045</t>
  </si>
  <si>
    <t>LEBLANC</t>
  </si>
  <si>
    <t>MOULEUR</t>
  </si>
  <si>
    <t>176122633304438</t>
  </si>
  <si>
    <t>00104669</t>
  </si>
  <si>
    <t>LOUIS-GAVET</t>
  </si>
  <si>
    <t>159073813004854</t>
  </si>
  <si>
    <t>10550783</t>
  </si>
  <si>
    <t>MENANTEAU</t>
  </si>
  <si>
    <t>ROMAIN</t>
  </si>
  <si>
    <t>INGENIEUR METHODES</t>
  </si>
  <si>
    <t>190063815115315</t>
  </si>
  <si>
    <t>P2_100</t>
  </si>
  <si>
    <t>Ing Position II - Indice 100</t>
  </si>
  <si>
    <t>10515630</t>
  </si>
  <si>
    <t>ALTERNANT INGENIEUR</t>
  </si>
  <si>
    <t>195106908109885</t>
  </si>
  <si>
    <t>00330997</t>
  </si>
  <si>
    <t>MOLLIER</t>
  </si>
  <si>
    <t>Jonathan</t>
  </si>
  <si>
    <t>Coordinateur Technique</t>
  </si>
  <si>
    <t>192023833723115</t>
  </si>
  <si>
    <t>00228757</t>
  </si>
  <si>
    <t>NAVIZET</t>
  </si>
  <si>
    <t>JOHNATAN</t>
  </si>
  <si>
    <t>186093833702842</t>
  </si>
  <si>
    <t>00331029</t>
  </si>
  <si>
    <t>GREGORY</t>
  </si>
  <si>
    <t>Monteur/Sableur/Metaliseur</t>
  </si>
  <si>
    <t>184013815112464</t>
  </si>
  <si>
    <t>00104709</t>
  </si>
  <si>
    <t>NURY</t>
  </si>
  <si>
    <t>GHISLAINE</t>
  </si>
  <si>
    <t>261046311309138</t>
  </si>
  <si>
    <t>00102964</t>
  </si>
  <si>
    <t>VANIER</t>
  </si>
  <si>
    <t>172053000708553</t>
  </si>
  <si>
    <t>10555327</t>
  </si>
  <si>
    <t>ORTUNO</t>
  </si>
  <si>
    <t>MOULEUR H/F</t>
  </si>
  <si>
    <t>196113856308225</t>
  </si>
  <si>
    <t>00102890</t>
  </si>
  <si>
    <t>LOGISTICIEN</t>
  </si>
  <si>
    <t>170072619801464</t>
  </si>
  <si>
    <t>00288949</t>
  </si>
  <si>
    <t>PATRAS</t>
  </si>
  <si>
    <t>OPERATEUR MOULEUR</t>
  </si>
  <si>
    <t>178053851701131</t>
  </si>
  <si>
    <t>10624701</t>
  </si>
  <si>
    <t>PONSON</t>
  </si>
  <si>
    <t>Guillaume</t>
  </si>
  <si>
    <t>METHODISTE</t>
  </si>
  <si>
    <t>190056925902032</t>
  </si>
  <si>
    <t>00104668</t>
  </si>
  <si>
    <t>PRALONG</t>
  </si>
  <si>
    <t>168083018909565</t>
  </si>
  <si>
    <t>00109499</t>
  </si>
  <si>
    <t>SAVARRE</t>
  </si>
  <si>
    <t>Jean-Christophe</t>
  </si>
  <si>
    <t>TECHNICIEN METHODES</t>
  </si>
  <si>
    <t>171071411838243</t>
  </si>
  <si>
    <t>00244824</t>
  </si>
  <si>
    <t>SCOLASTICA</t>
  </si>
  <si>
    <t>Technicien de Maintenance</t>
  </si>
  <si>
    <t>193057306512758</t>
  </si>
  <si>
    <t>00109706</t>
  </si>
  <si>
    <t>SIMIAN-MERMIER</t>
  </si>
  <si>
    <t>Steeve</t>
  </si>
  <si>
    <t>180123833703190</t>
  </si>
  <si>
    <t>10631655</t>
  </si>
  <si>
    <t>TAMAS</t>
  </si>
  <si>
    <t>RADU</t>
  </si>
  <si>
    <t>ALTERNANT CHARGE DE PROJET MANAGEMENT DE PRODUCTION ET SUPPLY CHAIN</t>
  </si>
  <si>
    <t>193079911406220</t>
  </si>
  <si>
    <t>10524265</t>
  </si>
  <si>
    <t>TAYAC</t>
  </si>
  <si>
    <t>PILOTE QEHS SITE</t>
  </si>
  <si>
    <t>192058106510015</t>
  </si>
  <si>
    <t>P1_084</t>
  </si>
  <si>
    <t>Ing Position I - Indice 084</t>
  </si>
  <si>
    <t>10559265</t>
  </si>
  <si>
    <t>TESSONNIER</t>
  </si>
  <si>
    <t>192058313716168</t>
  </si>
  <si>
    <t>00136680</t>
  </si>
  <si>
    <t>VACCHIANI</t>
  </si>
  <si>
    <t>ANIMATEUR LOGISTIQUE</t>
  </si>
  <si>
    <t>169057306518611</t>
  </si>
  <si>
    <t>10555320</t>
  </si>
  <si>
    <t>VANONI</t>
  </si>
  <si>
    <t>MICHAEL</t>
  </si>
  <si>
    <t>180082611301703</t>
  </si>
  <si>
    <t>00330483</t>
  </si>
  <si>
    <t>VILLEGAS</t>
  </si>
  <si>
    <t>Mouleur/Sableur/Metaliseur</t>
  </si>
  <si>
    <t>186113833702181</t>
  </si>
  <si>
    <t>10586221</t>
  </si>
  <si>
    <t>BERTIN CASTELLAN</t>
  </si>
  <si>
    <t>DORYAN</t>
  </si>
  <si>
    <t>ALTERNANT TECHNICIEN METHODES</t>
  </si>
  <si>
    <t>196096116925558</t>
  </si>
  <si>
    <t>00244104</t>
  </si>
  <si>
    <t>179086504701412</t>
  </si>
  <si>
    <t>00103031</t>
  </si>
  <si>
    <t>167110701965981</t>
  </si>
  <si>
    <t>10628039</t>
  </si>
  <si>
    <t>CATALA</t>
  </si>
  <si>
    <t>CLAIRE</t>
  </si>
  <si>
    <t>ALTERNANT QHS</t>
  </si>
  <si>
    <t>295109406725313</t>
  </si>
  <si>
    <t>00102994</t>
  </si>
  <si>
    <t>ZAGAR</t>
  </si>
  <si>
    <t>SABINE</t>
  </si>
  <si>
    <t>IMS3</t>
  </si>
  <si>
    <t>Indus/Manuf Mgr Assistant</t>
  </si>
  <si>
    <t>S3 - Support Team Leader</t>
  </si>
  <si>
    <t>RESP GESTION DE SITE</t>
  </si>
  <si>
    <t>271030701906312</t>
  </si>
  <si>
    <t>00102946</t>
  </si>
  <si>
    <t>ZAMORA</t>
  </si>
  <si>
    <t>157119935043620</t>
  </si>
  <si>
    <t>00288570</t>
  </si>
  <si>
    <t>ZAYOUT</t>
  </si>
  <si>
    <t>LARBI</t>
  </si>
  <si>
    <t>174113856304474</t>
  </si>
  <si>
    <t>Aub.</t>
  </si>
  <si>
    <t>Lattes</t>
  </si>
  <si>
    <t>STG</t>
  </si>
  <si>
    <t>DVC/NDVC</t>
  </si>
  <si>
    <t>PLAN DE FORMATION 2019</t>
  </si>
  <si>
    <t>Site</t>
  </si>
  <si>
    <t>Plan de formation 2019 - SEA  -</t>
  </si>
  <si>
    <t>Gestes et postures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</si>
  <si>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</si>
  <si>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</si>
  <si>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</si>
  <si>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</si>
  <si>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</si>
  <si>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</si>
  <si>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</si>
  <si>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</si>
  <si>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</si>
  <si>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Risques chimiques</t>
  </si>
  <si>
    <t>LACOURR</t>
  </si>
  <si>
    <t>LACOURB</t>
  </si>
  <si>
    <t>Recyclage CACES2</t>
  </si>
  <si>
    <t>Recyclage CACES3</t>
  </si>
  <si>
    <t>Recyclage CACES3 5</t>
  </si>
  <si>
    <t>Recyclage pont rou</t>
  </si>
  <si>
    <t>Recyclage SST</t>
  </si>
  <si>
    <t>CFSP</t>
  </si>
  <si>
    <t>SEEDH</t>
  </si>
  <si>
    <t>SEBTR</t>
  </si>
  <si>
    <t>SEEF</t>
  </si>
  <si>
    <t>SENER</t>
  </si>
  <si>
    <t>HAB ELEC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</si>
  <si>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</si>
  <si>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</si>
  <si>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</si>
  <si>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</si>
  <si>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</si>
  <si>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</si>
  <si>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</si>
  <si>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</si>
  <si>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</si>
  <si>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</si>
  <si>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</si>
  <si>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</si>
  <si>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</si>
  <si>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</si>
  <si>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</si>
  <si>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</si>
  <si>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</si>
  <si>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</si>
  <si>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</si>
  <si>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</si>
  <si>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</si>
  <si>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</si>
  <si>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</si>
  <si>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</si>
  <si>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</si>
  <si>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</si>
  <si>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</si>
  <si>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</si>
  <si>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</si>
  <si>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</si>
  <si>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</si>
  <si>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</si>
  <si>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</si>
  <si>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</si>
  <si>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</si>
  <si>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</si>
  <si>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</si>
  <si>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</si>
  <si>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</si>
  <si>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</si>
  <si>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</si>
  <si>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</si>
  <si>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</si>
  <si>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</si>
  <si>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</si>
  <si>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</si>
  <si>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</si>
  <si>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</si>
  <si>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</si>
  <si>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</si>
  <si>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</si>
  <si>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</si>
  <si>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</si>
  <si>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</si>
  <si>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</si>
  <si>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</si>
  <si>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</si>
  <si>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</si>
  <si>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</si>
  <si>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</si>
  <si>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</si>
  <si>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</si>
  <si>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</si>
  <si>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</si>
  <si>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</si>
  <si>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</si>
  <si>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</si>
  <si>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</si>
  <si>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</si>
  <si>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</si>
  <si>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</si>
  <si>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</si>
  <si>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</si>
  <si>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</si>
  <si>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</si>
  <si>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</si>
  <si>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</si>
  <si>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</si>
  <si>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</si>
  <si>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</si>
  <si>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</si>
  <si>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</si>
  <si>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</si>
  <si>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</si>
  <si>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</si>
  <si>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</si>
  <si>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</si>
  <si>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</si>
  <si>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</si>
  <si>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</si>
  <si>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</si>
  <si>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</si>
  <si>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</si>
  <si>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</si>
  <si>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</si>
  <si>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</si>
  <si>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 xml:space="preserve">Plan de formation 2019 - Service </t>
  </si>
  <si>
    <t>Formation obligatoire</t>
  </si>
  <si>
    <t>Maintien de l'emploi</t>
  </si>
  <si>
    <t>Adaptation au poste</t>
  </si>
  <si>
    <t>NOM</t>
  </si>
  <si>
    <t>PRENOM</t>
  </si>
  <si>
    <t>Resp hiérarchique</t>
  </si>
  <si>
    <t>St Geoirs</t>
  </si>
  <si>
    <t>A FORMER</t>
  </si>
  <si>
    <t>SIMIAN MERMIER</t>
  </si>
  <si>
    <t>Frédéric</t>
  </si>
  <si>
    <t>Aubenas</t>
  </si>
  <si>
    <t>François</t>
  </si>
  <si>
    <t>Rémi</t>
  </si>
  <si>
    <t>LACOUR</t>
  </si>
  <si>
    <t>Intitulé formation</t>
  </si>
  <si>
    <t>Date à prévoir</t>
  </si>
  <si>
    <t>Calendrier de réalisation</t>
  </si>
  <si>
    <t>RIFFAUT</t>
  </si>
  <si>
    <t>Pont roulant</t>
  </si>
  <si>
    <t xml:space="preserve">COUTO </t>
  </si>
  <si>
    <t>BEN-MALEK</t>
  </si>
  <si>
    <t>Khaled</t>
  </si>
  <si>
    <t>BEYLE</t>
  </si>
  <si>
    <t>Mathias</t>
  </si>
  <si>
    <t>BOISSON</t>
  </si>
  <si>
    <t>Stéphane</t>
  </si>
  <si>
    <t>Sébastien</t>
  </si>
  <si>
    <t xml:space="preserve">DJELLOULI </t>
  </si>
  <si>
    <t>Cécile</t>
  </si>
  <si>
    <t>Julie</t>
  </si>
  <si>
    <t>Clément</t>
  </si>
  <si>
    <t>Grégory</t>
  </si>
  <si>
    <t>Jean Christophe</t>
  </si>
  <si>
    <t>Jonhatan</t>
  </si>
  <si>
    <t>Larby</t>
  </si>
  <si>
    <t>Jérémy</t>
  </si>
  <si>
    <t>Gisèle</t>
  </si>
  <si>
    <t>Gérald</t>
  </si>
  <si>
    <t>Jérôme</t>
  </si>
  <si>
    <t>FROLOVA-RIVASI</t>
  </si>
  <si>
    <t>Théophile</t>
  </si>
  <si>
    <t>Mickaël</t>
  </si>
  <si>
    <t>Aurélie</t>
  </si>
  <si>
    <t>Raphaël</t>
  </si>
  <si>
    <t>Stéphanie</t>
  </si>
  <si>
    <t>TEYSSIER</t>
  </si>
  <si>
    <t>VERNET</t>
  </si>
  <si>
    <t>CHATAIGNIER</t>
  </si>
  <si>
    <t>A prévoir</t>
  </si>
  <si>
    <t>GREPPAT Christophe</t>
  </si>
  <si>
    <t>Thiomas</t>
  </si>
  <si>
    <t>Hervé</t>
  </si>
  <si>
    <t xml:space="preserve">POINT </t>
  </si>
  <si>
    <t xml:space="preserve">SALA </t>
  </si>
  <si>
    <t xml:space="preserve">WAGON </t>
  </si>
  <si>
    <t>Gaël</t>
  </si>
  <si>
    <t>Clé Recherche</t>
  </si>
  <si>
    <t>Sexe2</t>
  </si>
  <si>
    <t>Dispositif
(Plan / DIF /PP)</t>
  </si>
  <si>
    <t>Axe
  (note cadrage)</t>
  </si>
  <si>
    <t>Validation
(Oui/Non)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</si>
</sst>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  <numFmt numFmtId="166" formatCode="#,##0.00\ &quot;€&quot;"/>
    <numFmt numFmtId="167" formatCode="#,##0\ &quot;€&quot;"/>
    <numFmt numFmtId="168" formatCode="_-* #,##0.00\ [$€]_-;\-* #,##0.00\ [$€]_-;_-* &quot;-&quot;??\ [$€]_-;_-@_-"/>
    <numFmt numFmtId="169" formatCode="_-* #,##0\ _€_-;\-* #,##0\ _€_-;_-* &quot;-&quot;??\ _€_-;_-@_-"/>
    <numFmt numFmtId="170" formatCode="0.0000000000"/>
    <numFmt numFmtId="171" formatCode="#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1"/>
      <color rgb="FF0033CC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8"/>
      <color rgb="FF0033CC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theme="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double">
        <color theme="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medium">
        <color theme="4"/>
      </left>
      <right style="medium">
        <color theme="4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/>
      <right/>
      <top style="double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/>
      <bottom/>
      <diagonal/>
    </border>
    <border>
      <left/>
      <right/>
      <top style="medium">
        <color theme="4"/>
      </top>
      <bottom/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medium">
        <color theme="4" tint="-0.249977111117893"/>
      </top>
      <bottom/>
      <diagonal/>
    </border>
    <border>
      <left style="medium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medium">
        <color theme="4"/>
      </left>
      <right/>
      <top style="medium">
        <color theme="4"/>
      </top>
      <bottom style="thick">
        <color theme="4" tint="0.499984740745262"/>
      </bottom>
      <diagonal/>
    </border>
    <border>
      <left/>
      <right/>
      <top style="medium">
        <color theme="4"/>
      </top>
      <bottom style="thick">
        <color theme="4" tint="0.499984740745262"/>
      </bottom>
      <diagonal/>
    </border>
    <border>
      <left/>
      <right style="medium">
        <color theme="4"/>
      </right>
      <top style="medium">
        <color theme="4"/>
      </top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 style="medium">
        <color theme="4" tint="-0.249977111117893"/>
      </top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4"/>
      </top>
      <bottom/>
      <diagonal/>
    </border>
    <border>
      <left style="double">
        <color theme="4"/>
      </left>
      <right style="medium">
        <color theme="4"/>
      </right>
      <top style="double">
        <color theme="4"/>
      </top>
      <bottom style="dotted">
        <color theme="4"/>
      </bottom>
      <diagonal/>
    </border>
    <border>
      <left style="medium">
        <color theme="4"/>
      </left>
      <right style="thin">
        <color theme="4"/>
      </right>
      <top style="double">
        <color theme="4"/>
      </top>
      <bottom style="dotted">
        <color theme="4"/>
      </bottom>
      <diagonal/>
    </border>
    <border>
      <left style="thin">
        <color theme="4"/>
      </left>
      <right style="thin">
        <color theme="4"/>
      </right>
      <top style="double">
        <color theme="4"/>
      </top>
      <bottom style="dotted">
        <color theme="4"/>
      </bottom>
      <diagonal/>
    </border>
    <border>
      <left style="thin">
        <color theme="4"/>
      </left>
      <right style="medium">
        <color theme="4"/>
      </right>
      <top style="double">
        <color theme="4"/>
      </top>
      <bottom style="dotted">
        <color theme="4"/>
      </bottom>
      <diagonal/>
    </border>
    <border>
      <left style="medium">
        <color theme="4"/>
      </left>
      <right style="double">
        <color theme="4"/>
      </right>
      <top style="double">
        <color theme="4"/>
      </top>
      <bottom style="dotted">
        <color theme="4"/>
      </bottom>
      <diagonal/>
    </border>
    <border>
      <left style="double">
        <color theme="4"/>
      </left>
      <right style="medium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thin">
        <color theme="4"/>
      </right>
      <top style="dotted">
        <color theme="4"/>
      </top>
      <bottom style="dotted">
        <color theme="4"/>
      </bottom>
      <diagonal/>
    </border>
    <border>
      <left style="thin">
        <color theme="4"/>
      </left>
      <right style="thin">
        <color theme="4"/>
      </right>
      <top style="dotted">
        <color theme="4"/>
      </top>
      <bottom style="dotted">
        <color theme="4"/>
      </bottom>
      <diagonal/>
    </border>
    <border>
      <left style="thin">
        <color theme="4"/>
      </left>
      <right style="medium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uble">
        <color theme="4"/>
      </right>
      <top style="dotted">
        <color theme="4"/>
      </top>
      <bottom style="dotted">
        <color theme="4"/>
      </bottom>
      <diagonal/>
    </border>
    <border>
      <left style="double">
        <color theme="4"/>
      </left>
      <right style="medium">
        <color theme="4"/>
      </right>
      <top style="dotted">
        <color theme="4"/>
      </top>
      <bottom style="double">
        <color theme="4"/>
      </bottom>
      <diagonal/>
    </border>
    <border>
      <left style="medium">
        <color theme="4"/>
      </left>
      <right style="thin">
        <color theme="4"/>
      </right>
      <top style="dotted">
        <color theme="4"/>
      </top>
      <bottom style="double">
        <color theme="4"/>
      </bottom>
      <diagonal/>
    </border>
    <border>
      <left/>
      <right style="thin">
        <color theme="4"/>
      </right>
      <top style="dotted">
        <color theme="4"/>
      </top>
      <bottom style="double">
        <color theme="4"/>
      </bottom>
      <diagonal/>
    </border>
    <border>
      <left style="thin">
        <color theme="4"/>
      </left>
      <right style="medium">
        <color theme="4"/>
      </right>
      <top style="dotted">
        <color theme="4"/>
      </top>
      <bottom style="double">
        <color theme="4"/>
      </bottom>
      <diagonal/>
    </border>
    <border>
      <left style="medium">
        <color theme="4"/>
      </left>
      <right style="double">
        <color theme="4"/>
      </right>
      <top style="dotted">
        <color theme="4"/>
      </top>
      <bottom style="double">
        <color theme="4"/>
      </bottom>
      <diagonal/>
    </border>
    <border>
      <left style="thick">
        <color theme="3" tint="0.39997558519241921"/>
      </left>
      <right/>
      <top style="medium">
        <color indexed="64"/>
      </top>
      <bottom style="thick">
        <color theme="3" tint="0.39997558519241921"/>
      </bottom>
      <diagonal/>
    </border>
    <border>
      <left/>
      <right/>
      <top style="medium">
        <color indexed="64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medium">
        <color indexed="64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/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 style="thick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8" fillId="0" borderId="0"/>
    <xf numFmtId="0" fontId="8" fillId="0" borderId="0"/>
    <xf numFmtId="9" fontId="18" fillId="0" borderId="0" applyFont="0" applyFill="0" applyBorder="0" applyAlignment="0" applyProtection="0"/>
    <xf numFmtId="0" fontId="1" fillId="0" borderId="42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0"/>
  </cellStyleXfs>
  <cellXfs count="325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8" xfId="2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9" fontId="2" fillId="0" borderId="7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0" xfId="2" applyBorder="1" applyAlignment="1">
      <alignment horizontal="center" vertical="center"/>
    </xf>
    <xf numFmtId="0" fontId="4" fillId="0" borderId="0" xfId="2" applyBorder="1" applyAlignment="1">
      <alignment horizontal="center" vertical="center"/>
    </xf>
    <xf numFmtId="0" fontId="4" fillId="0" borderId="10" xfId="2" applyBorder="1" applyAlignment="1">
      <alignment horizontal="center" vertical="center" wrapText="1"/>
    </xf>
    <xf numFmtId="0" fontId="4" fillId="0" borderId="11" xfId="2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9" fillId="2" borderId="14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0" fillId="0" borderId="0" xfId="0" applyProtection="1"/>
    <xf numFmtId="0" fontId="11" fillId="0" borderId="0" xfId="0" applyFont="1" applyAlignment="1">
      <alignment horizontal="center"/>
    </xf>
    <xf numFmtId="0" fontId="0" fillId="0" borderId="0" xfId="0" applyAlignment="1" applyProtection="1">
      <alignment horizontal="center"/>
    </xf>
    <xf numFmtId="0" fontId="13" fillId="0" borderId="0" xfId="0" applyFont="1" applyProtection="1"/>
    <xf numFmtId="0" fontId="14" fillId="0" borderId="0" xfId="0" applyFont="1" applyProtection="1"/>
    <xf numFmtId="14" fontId="15" fillId="0" borderId="0" xfId="0" applyNumberFormat="1" applyFont="1"/>
    <xf numFmtId="0" fontId="0" fillId="5" borderId="17" xfId="0" applyFont="1" applyFill="1" applyBorder="1"/>
    <xf numFmtId="0" fontId="0" fillId="6" borderId="17" xfId="0" applyFont="1" applyFill="1" applyBorder="1"/>
    <xf numFmtId="0" fontId="0" fillId="5" borderId="16" xfId="0" applyFont="1" applyFill="1" applyBorder="1"/>
    <xf numFmtId="0" fontId="0" fillId="5" borderId="18" xfId="0" applyFont="1" applyFill="1" applyBorder="1"/>
    <xf numFmtId="0" fontId="0" fillId="6" borderId="18" xfId="0" applyFont="1" applyFill="1" applyBorder="1"/>
    <xf numFmtId="0" fontId="0" fillId="5" borderId="18" xfId="0" applyFont="1" applyFill="1" applyBorder="1" applyAlignment="1">
      <alignment horizontal="center"/>
    </xf>
    <xf numFmtId="0" fontId="0" fillId="6" borderId="18" xfId="0" applyFont="1" applyFill="1" applyBorder="1" applyAlignment="1">
      <alignment horizontal="center"/>
    </xf>
    <xf numFmtId="0" fontId="9" fillId="4" borderId="19" xfId="0" applyFont="1" applyFill="1" applyBorder="1" applyAlignment="1">
      <alignment horizontal="center" vertical="center" wrapText="1"/>
    </xf>
    <xf numFmtId="0" fontId="0" fillId="5" borderId="20" xfId="0" applyFont="1" applyFill="1" applyBorder="1" applyAlignment="1">
      <alignment horizontal="center"/>
    </xf>
    <xf numFmtId="0" fontId="0" fillId="6" borderId="20" xfId="0" applyFont="1" applyFill="1" applyBorder="1" applyAlignment="1">
      <alignment horizontal="center"/>
    </xf>
    <xf numFmtId="0" fontId="0" fillId="5" borderId="21" xfId="0" applyFont="1" applyFill="1" applyBorder="1" applyAlignment="1">
      <alignment horizontal="center"/>
    </xf>
    <xf numFmtId="9" fontId="0" fillId="5" borderId="17" xfId="6" applyFont="1" applyFill="1" applyBorder="1"/>
    <xf numFmtId="0" fontId="0" fillId="5" borderId="17" xfId="0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0" fontId="0" fillId="5" borderId="17" xfId="0" applyFont="1" applyFill="1" applyBorder="1" applyAlignment="1">
      <alignment horizontal="left"/>
    </xf>
    <xf numFmtId="0" fontId="0" fillId="6" borderId="17" xfId="0" applyFill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16" fillId="0" borderId="0" xfId="0" applyFont="1"/>
    <xf numFmtId="0" fontId="0" fillId="0" borderId="16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1" fillId="0" borderId="0" xfId="0" applyFont="1" applyAlignment="1">
      <alignment horizontal="right"/>
    </xf>
    <xf numFmtId="0" fontId="9" fillId="2" borderId="14" xfId="4" applyFont="1" applyFill="1" applyBorder="1" applyAlignment="1">
      <alignment horizontal="right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9" fillId="2" borderId="19" xfId="4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23" xfId="0" applyBorder="1" applyAlignment="1">
      <alignment vertical="center"/>
    </xf>
    <xf numFmtId="0" fontId="4" fillId="0" borderId="24" xfId="2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1" xfId="0" applyFont="1" applyFill="1" applyBorder="1" applyAlignment="1">
      <alignment horizontal="center"/>
    </xf>
    <xf numFmtId="0" fontId="0" fillId="5" borderId="20" xfId="0" applyFill="1" applyBorder="1" applyAlignment="1">
      <alignment horizontal="left"/>
    </xf>
    <xf numFmtId="0" fontId="0" fillId="6" borderId="20" xfId="0" applyFill="1" applyBorder="1" applyAlignment="1">
      <alignment horizontal="left"/>
    </xf>
    <xf numFmtId="0" fontId="0" fillId="0" borderId="0" xfId="0" pivotButton="1"/>
    <xf numFmtId="165" fontId="17" fillId="0" borderId="0" xfId="8" applyNumberFormat="1" applyFont="1" applyBorder="1" applyAlignment="1">
      <alignment vertical="center"/>
    </xf>
    <xf numFmtId="165" fontId="0" fillId="0" borderId="27" xfId="8" applyNumberFormat="1" applyFont="1" applyBorder="1" applyAlignment="1">
      <alignment vertical="center"/>
    </xf>
    <xf numFmtId="165" fontId="0" fillId="0" borderId="28" xfId="8" applyNumberFormat="1" applyFont="1" applyBorder="1" applyAlignment="1">
      <alignment vertical="center"/>
    </xf>
    <xf numFmtId="164" fontId="0" fillId="0" borderId="29" xfId="0" applyNumberFormat="1" applyBorder="1" applyAlignment="1">
      <alignment vertical="center"/>
    </xf>
    <xf numFmtId="0" fontId="5" fillId="0" borderId="0" xfId="3" applyBorder="1" applyAlignment="1">
      <alignment vertical="center"/>
    </xf>
    <xf numFmtId="165" fontId="17" fillId="0" borderId="32" xfId="8" applyNumberFormat="1" applyFont="1" applyBorder="1" applyAlignment="1">
      <alignment vertical="center"/>
    </xf>
    <xf numFmtId="0" fontId="5" fillId="0" borderId="7" xfId="3" applyBorder="1" applyAlignment="1">
      <alignment horizontal="center" vertical="center" wrapText="1"/>
    </xf>
    <xf numFmtId="164" fontId="0" fillId="0" borderId="33" xfId="0" applyNumberFormat="1" applyBorder="1" applyAlignment="1">
      <alignment vertical="center"/>
    </xf>
    <xf numFmtId="165" fontId="0" fillId="0" borderId="34" xfId="8" applyNumberFormat="1" applyFon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0" fontId="5" fillId="0" borderId="7" xfId="3" applyBorder="1" applyAlignment="1">
      <alignment horizontal="center" vertical="center"/>
    </xf>
    <xf numFmtId="164" fontId="0" fillId="0" borderId="30" xfId="0" applyNumberFormat="1" applyBorder="1" applyAlignment="1">
      <alignment vertical="center"/>
    </xf>
    <xf numFmtId="0" fontId="3" fillId="0" borderId="1" xfId="1" applyAlignment="1">
      <alignment vertical="center"/>
    </xf>
    <xf numFmtId="0" fontId="5" fillId="0" borderId="3" xfId="3"/>
    <xf numFmtId="166" fontId="0" fillId="0" borderId="0" xfId="0" applyNumberFormat="1" applyBorder="1" applyAlignment="1">
      <alignment vertical="center"/>
    </xf>
    <xf numFmtId="165" fontId="16" fillId="0" borderId="25" xfId="8" applyNumberFormat="1" applyFont="1" applyBorder="1" applyAlignment="1">
      <alignment vertical="center"/>
    </xf>
    <xf numFmtId="165" fontId="16" fillId="0" borderId="26" xfId="8" applyNumberFormat="1" applyFont="1" applyBorder="1" applyAlignment="1">
      <alignment vertical="center"/>
    </xf>
    <xf numFmtId="166" fontId="0" fillId="0" borderId="24" xfId="0" applyNumberFormat="1" applyBorder="1" applyAlignment="1">
      <alignment horizontal="center" vertical="center"/>
    </xf>
    <xf numFmtId="167" fontId="1" fillId="0" borderId="7" xfId="8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right" vertical="center"/>
    </xf>
    <xf numFmtId="166" fontId="1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19" fillId="0" borderId="0" xfId="0" applyFont="1" applyAlignment="1">
      <alignment horizontal="center" vertical="center"/>
    </xf>
    <xf numFmtId="169" fontId="19" fillId="0" borderId="0" xfId="0" applyNumberFormat="1" applyFont="1" applyAlignment="1">
      <alignment horizontal="center" vertical="center"/>
    </xf>
    <xf numFmtId="169" fontId="0" fillId="0" borderId="0" xfId="0" applyNumberFormat="1"/>
    <xf numFmtId="169" fontId="0" fillId="0" borderId="0" xfId="0" applyNumberFormat="1" applyAlignment="1">
      <alignment horizontal="left"/>
    </xf>
    <xf numFmtId="0" fontId="9" fillId="4" borderId="0" xfId="0" applyFont="1" applyFill="1"/>
    <xf numFmtId="169" fontId="1" fillId="6" borderId="0" xfId="0" applyNumberFormat="1" applyFont="1" applyFill="1"/>
    <xf numFmtId="0" fontId="9" fillId="4" borderId="37" xfId="0" applyFont="1" applyFill="1" applyBorder="1"/>
    <xf numFmtId="169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6" fontId="4" fillId="0" borderId="10" xfId="2" applyNumberFormat="1" applyBorder="1" applyAlignment="1">
      <alignment horizontal="center" vertical="center" wrapText="1"/>
    </xf>
    <xf numFmtId="167" fontId="1" fillId="0" borderId="38" xfId="7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0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36" xfId="4" applyFont="1" applyFill="1" applyBorder="1" applyAlignment="1">
      <alignment vertical="center" wrapText="1"/>
    </xf>
    <xf numFmtId="169" fontId="1" fillId="0" borderId="0" xfId="7" applyNumberFormat="1" applyFont="1" applyBorder="1"/>
    <xf numFmtId="0" fontId="0" fillId="0" borderId="13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169" fontId="0" fillId="6" borderId="0" xfId="0" applyNumberFormat="1" applyFill="1"/>
    <xf numFmtId="169" fontId="0" fillId="6" borderId="0" xfId="0" applyNumberFormat="1" applyFill="1" applyAlignment="1">
      <alignment horizontal="left"/>
    </xf>
    <xf numFmtId="0" fontId="1" fillId="0" borderId="0" xfId="0" applyFont="1" applyFill="1" applyBorder="1"/>
    <xf numFmtId="0" fontId="1" fillId="0" borderId="0" xfId="0" applyNumberFormat="1" applyFont="1" applyFill="1" applyBorder="1"/>
    <xf numFmtId="9" fontId="3" fillId="0" borderId="1" xfId="1" applyNumberFormat="1"/>
    <xf numFmtId="0" fontId="0" fillId="0" borderId="0" xfId="0" applyAlignment="1">
      <alignment wrapText="1"/>
    </xf>
    <xf numFmtId="0" fontId="4" fillId="0" borderId="2" xfId="2"/>
    <xf numFmtId="0" fontId="9" fillId="2" borderId="36" xfId="4" applyFont="1" applyFill="1" applyBorder="1" applyAlignment="1">
      <alignment horizontal="center" vertical="center" wrapText="1"/>
    </xf>
    <xf numFmtId="0" fontId="1" fillId="0" borderId="43" xfId="13" applyBorder="1" applyAlignment="1">
      <alignment horizontal="center" vertical="center"/>
    </xf>
    <xf numFmtId="169" fontId="1" fillId="0" borderId="43" xfId="13" applyNumberFormat="1" applyBorder="1" applyAlignment="1">
      <alignment horizontal="center" vertical="center"/>
    </xf>
    <xf numFmtId="0" fontId="9" fillId="2" borderId="44" xfId="4" applyFont="1" applyFill="1" applyBorder="1" applyAlignment="1">
      <alignment horizontal="center" vertical="center" wrapText="1"/>
    </xf>
    <xf numFmtId="0" fontId="9" fillId="2" borderId="45" xfId="4" applyFont="1" applyFill="1" applyBorder="1" applyAlignment="1">
      <alignment horizontal="center" vertical="center" wrapText="1"/>
    </xf>
    <xf numFmtId="0" fontId="9" fillId="2" borderId="46" xfId="4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0" xfId="0" pivotButton="1" applyBorder="1"/>
    <xf numFmtId="0" fontId="0" fillId="0" borderId="0" xfId="0" applyBorder="1"/>
    <xf numFmtId="0" fontId="9" fillId="4" borderId="48" xfId="0" applyFont="1" applyFill="1" applyBorder="1"/>
    <xf numFmtId="0" fontId="0" fillId="0" borderId="47" xfId="0" pivotButton="1" applyBorder="1"/>
    <xf numFmtId="0" fontId="9" fillId="4" borderId="49" xfId="0" applyFont="1" applyFill="1" applyBorder="1"/>
    <xf numFmtId="169" fontId="1" fillId="6" borderId="47" xfId="0" applyNumberFormat="1" applyFont="1" applyFill="1" applyBorder="1" applyAlignment="1"/>
    <xf numFmtId="169" fontId="0" fillId="6" borderId="0" xfId="0" applyNumberFormat="1" applyFont="1" applyFill="1" applyBorder="1" applyAlignment="1"/>
    <xf numFmtId="169" fontId="0" fillId="6" borderId="49" xfId="0" applyNumberFormat="1" applyFont="1" applyFill="1" applyBorder="1"/>
    <xf numFmtId="169" fontId="0" fillId="0" borderId="47" xfId="0" applyNumberFormat="1" applyBorder="1" applyAlignment="1">
      <alignment horizontal="left"/>
    </xf>
    <xf numFmtId="169" fontId="0" fillId="0" borderId="0" xfId="0" applyNumberFormat="1" applyBorder="1"/>
    <xf numFmtId="169" fontId="1" fillId="6" borderId="49" xfId="0" applyNumberFormat="1" applyFont="1" applyFill="1" applyBorder="1"/>
    <xf numFmtId="169" fontId="0" fillId="0" borderId="47" xfId="0" applyNumberFormat="1" applyBorder="1" applyAlignment="1">
      <alignment horizontal="left" indent="1"/>
    </xf>
    <xf numFmtId="169" fontId="0" fillId="0" borderId="49" xfId="0" applyNumberFormat="1" applyFont="1" applyBorder="1"/>
    <xf numFmtId="0" fontId="0" fillId="0" borderId="47" xfId="0" applyBorder="1" applyAlignment="1">
      <alignment horizontal="left" indent="1"/>
    </xf>
    <xf numFmtId="0" fontId="1" fillId="0" borderId="50" xfId="0" applyFont="1" applyBorder="1" applyAlignment="1">
      <alignment horizontal="center" vertical="center"/>
    </xf>
    <xf numFmtId="169" fontId="1" fillId="0" borderId="50" xfId="0" applyNumberFormat="1" applyFont="1" applyBorder="1" applyAlignment="1">
      <alignment horizontal="center" vertical="center"/>
    </xf>
    <xf numFmtId="0" fontId="0" fillId="0" borderId="51" xfId="0" pivotButton="1" applyBorder="1"/>
    <xf numFmtId="0" fontId="0" fillId="0" borderId="52" xfId="0" applyBorder="1"/>
    <xf numFmtId="169" fontId="0" fillId="6" borderId="47" xfId="0" applyNumberFormat="1" applyFont="1" applyFill="1" applyBorder="1" applyAlignment="1"/>
    <xf numFmtId="169" fontId="0" fillId="6" borderId="49" xfId="0" applyNumberFormat="1" applyFont="1" applyFill="1" applyBorder="1" applyAlignment="1"/>
    <xf numFmtId="0" fontId="0" fillId="0" borderId="53" xfId="0" applyBorder="1" applyAlignment="1">
      <alignment vertical="center"/>
    </xf>
    <xf numFmtId="9" fontId="9" fillId="2" borderId="12" xfId="4" applyNumberFormat="1" applyFont="1" applyBorder="1" applyAlignment="1">
      <alignment horizontal="center" vertical="center"/>
    </xf>
    <xf numFmtId="0" fontId="4" fillId="0" borderId="2" xfId="2" applyBorder="1" applyAlignment="1">
      <alignment vertical="center"/>
    </xf>
    <xf numFmtId="0" fontId="4" fillId="0" borderId="54" xfId="2" applyBorder="1" applyAlignment="1">
      <alignment horizontal="center" vertical="center" wrapText="1"/>
    </xf>
    <xf numFmtId="0" fontId="0" fillId="0" borderId="55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1" fillId="0" borderId="58" xfId="0" applyFont="1" applyBorder="1" applyAlignment="1">
      <alignment vertical="center"/>
    </xf>
    <xf numFmtId="0" fontId="4" fillId="0" borderId="59" xfId="2" applyBorder="1" applyAlignment="1">
      <alignment vertical="center" wrapText="1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62" xfId="0" applyBorder="1" applyAlignment="1">
      <alignment vertical="center"/>
    </xf>
    <xf numFmtId="0" fontId="1" fillId="0" borderId="63" xfId="0" applyFont="1" applyBorder="1" applyAlignment="1">
      <alignment vertical="center"/>
    </xf>
    <xf numFmtId="0" fontId="4" fillId="0" borderId="64" xfId="2" applyBorder="1" applyAlignment="1">
      <alignment vertical="center" wrapText="1"/>
    </xf>
    <xf numFmtId="0" fontId="0" fillId="0" borderId="65" xfId="0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67" xfId="0" applyBorder="1" applyAlignment="1">
      <alignment vertical="center" wrapText="1"/>
    </xf>
    <xf numFmtId="0" fontId="1" fillId="0" borderId="68" xfId="0" applyFont="1" applyBorder="1" applyAlignment="1">
      <alignment vertical="center"/>
    </xf>
    <xf numFmtId="0" fontId="1" fillId="0" borderId="42" xfId="13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42" xfId="13" applyAlignment="1">
      <alignment horizontal="center"/>
    </xf>
    <xf numFmtId="0" fontId="20" fillId="0" borderId="0" xfId="3" applyFont="1" applyFill="1" applyBorder="1"/>
    <xf numFmtId="0" fontId="20" fillId="0" borderId="0" xfId="0" applyFont="1"/>
    <xf numFmtId="0" fontId="4" fillId="0" borderId="0" xfId="2" applyBorder="1"/>
    <xf numFmtId="0" fontId="25" fillId="0" borderId="0" xfId="18" applyFont="1"/>
    <xf numFmtId="0" fontId="24" fillId="0" borderId="0" xfId="18" applyNumberFormat="1"/>
    <xf numFmtId="0" fontId="24" fillId="0" borderId="0" xfId="18"/>
    <xf numFmtId="14" fontId="24" fillId="0" borderId="0" xfId="18" applyNumberFormat="1"/>
    <xf numFmtId="0" fontId="24" fillId="7" borderId="0" xfId="18" applyFill="1"/>
    <xf numFmtId="0" fontId="25" fillId="0" borderId="0" xfId="18" applyNumberFormat="1" applyFont="1"/>
    <xf numFmtId="14" fontId="25" fillId="0" borderId="0" xfId="18" applyNumberFormat="1" applyFont="1"/>
    <xf numFmtId="0" fontId="26" fillId="0" borderId="0" xfId="0" applyFont="1"/>
    <xf numFmtId="0" fontId="9" fillId="8" borderId="15" xfId="0" applyFont="1" applyFill="1" applyBorder="1" applyAlignment="1">
      <alignment horizontal="center" vertical="center" wrapText="1"/>
    </xf>
    <xf numFmtId="0" fontId="23" fillId="0" borderId="0" xfId="0" applyFont="1"/>
    <xf numFmtId="0" fontId="6" fillId="9" borderId="0" xfId="4" applyFill="1" applyAlignment="1">
      <alignment horizontal="center" vertical="center"/>
    </xf>
    <xf numFmtId="0" fontId="6" fillId="9" borderId="0" xfId="4" applyFill="1" applyAlignment="1">
      <alignment horizontal="center" vertical="center" wrapText="1"/>
    </xf>
    <xf numFmtId="0" fontId="6" fillId="10" borderId="0" xfId="4" applyFill="1" applyAlignment="1">
      <alignment horizontal="center" vertical="center" wrapText="1"/>
    </xf>
    <xf numFmtId="0" fontId="6" fillId="11" borderId="0" xfId="4" applyFill="1" applyAlignment="1">
      <alignment horizontal="center" vertical="center" wrapText="1"/>
    </xf>
    <xf numFmtId="0" fontId="0" fillId="10" borderId="0" xfId="0" applyFont="1" applyFill="1" applyAlignment="1">
      <alignment vertical="center"/>
    </xf>
    <xf numFmtId="0" fontId="0" fillId="11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/>
    </xf>
    <xf numFmtId="166" fontId="0" fillId="11" borderId="0" xfId="0" applyNumberFormat="1" applyFont="1" applyFill="1" applyAlignment="1">
      <alignment vertical="center"/>
    </xf>
    <xf numFmtId="0" fontId="0" fillId="9" borderId="0" xfId="0" applyNumberFormat="1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vertical="center"/>
    </xf>
    <xf numFmtId="0" fontId="0" fillId="11" borderId="0" xfId="0" applyFont="1" applyFill="1" applyBorder="1" applyAlignment="1">
      <alignment horizontal="center" vertical="center"/>
    </xf>
    <xf numFmtId="0" fontId="6" fillId="12" borderId="0" xfId="4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/>
    </xf>
    <xf numFmtId="0" fontId="0" fillId="12" borderId="0" xfId="0" applyFont="1" applyFill="1" applyBorder="1" applyAlignment="1">
      <alignment horizontal="center" vertical="center"/>
    </xf>
    <xf numFmtId="0" fontId="27" fillId="9" borderId="0" xfId="0" applyNumberFormat="1" applyFont="1" applyFill="1" applyBorder="1" applyAlignment="1">
      <alignment horizontal="center" vertical="center"/>
    </xf>
    <xf numFmtId="0" fontId="27" fillId="9" borderId="0" xfId="0" applyNumberFormat="1" applyFont="1" applyFill="1" applyAlignment="1">
      <alignment horizontal="center" vertical="center"/>
    </xf>
    <xf numFmtId="0" fontId="27" fillId="10" borderId="0" xfId="0" applyNumberFormat="1" applyFont="1" applyFill="1" applyAlignment="1">
      <alignment horizontal="center" vertical="center"/>
    </xf>
    <xf numFmtId="0" fontId="27" fillId="10" borderId="0" xfId="0" applyFont="1" applyFill="1" applyBorder="1" applyAlignment="1">
      <alignment vertical="center"/>
    </xf>
    <xf numFmtId="0" fontId="27" fillId="11" borderId="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vertical="center"/>
    </xf>
    <xf numFmtId="0" fontId="28" fillId="0" borderId="0" xfId="18" applyFont="1"/>
    <xf numFmtId="0" fontId="28" fillId="0" borderId="0" xfId="0" applyNumberFormat="1" applyFont="1" applyBorder="1"/>
    <xf numFmtId="0" fontId="28" fillId="0" borderId="0" xfId="18" applyFont="1" applyBorder="1"/>
    <xf numFmtId="0" fontId="28" fillId="0" borderId="0" xfId="0" applyFont="1" applyBorder="1"/>
    <xf numFmtId="14" fontId="28" fillId="0" borderId="0" xfId="0" applyNumberFormat="1" applyFont="1" applyBorder="1"/>
    <xf numFmtId="0" fontId="28" fillId="0" borderId="0" xfId="18" applyNumberFormat="1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6" fillId="10" borderId="0" xfId="4" applyFont="1" applyFill="1" applyAlignment="1">
      <alignment horizontal="center" vertical="center" wrapText="1"/>
    </xf>
    <xf numFmtId="0" fontId="4" fillId="0" borderId="73" xfId="2" applyBorder="1" applyAlignment="1">
      <alignment vertical="center"/>
    </xf>
    <xf numFmtId="0" fontId="0" fillId="0" borderId="72" xfId="0" applyBorder="1" applyAlignment="1">
      <alignment vertical="center"/>
    </xf>
    <xf numFmtId="0" fontId="0" fillId="0" borderId="75" xfId="0" applyBorder="1" applyAlignment="1">
      <alignment horizontal="center" vertical="center"/>
    </xf>
    <xf numFmtId="0" fontId="4" fillId="0" borderId="74" xfId="2" applyBorder="1" applyAlignment="1">
      <alignment horizontal="center" vertical="center" wrapText="1"/>
    </xf>
    <xf numFmtId="166" fontId="4" fillId="0" borderId="73" xfId="2" applyNumberFormat="1" applyBorder="1" applyAlignment="1">
      <alignment horizontal="center" vertical="center" wrapText="1"/>
    </xf>
    <xf numFmtId="166" fontId="4" fillId="0" borderId="76" xfId="2" applyNumberFormat="1" applyBorder="1" applyAlignment="1">
      <alignment horizontal="center" vertical="center" wrapText="1"/>
    </xf>
    <xf numFmtId="166" fontId="4" fillId="0" borderId="74" xfId="2" applyNumberFormat="1" applyBorder="1" applyAlignment="1">
      <alignment horizontal="center" vertical="center" wrapText="1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167" fontId="1" fillId="0" borderId="73" xfId="7" applyNumberFormat="1" applyFont="1" applyBorder="1" applyAlignment="1">
      <alignment horizontal="center" vertical="center"/>
    </xf>
    <xf numFmtId="0" fontId="0" fillId="0" borderId="77" xfId="0" applyBorder="1" applyAlignment="1">
      <alignment vertical="center"/>
    </xf>
    <xf numFmtId="0" fontId="4" fillId="0" borderId="0" xfId="2" applyBorder="1" applyAlignment="1">
      <alignment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4" fillId="0" borderId="78" xfId="2" applyBorder="1" applyAlignment="1">
      <alignment vertical="center"/>
    </xf>
    <xf numFmtId="0" fontId="4" fillId="0" borderId="79" xfId="2" applyBorder="1" applyAlignment="1">
      <alignment vertical="center"/>
    </xf>
    <xf numFmtId="0" fontId="0" fillId="0" borderId="74" xfId="0" applyBorder="1" applyAlignment="1">
      <alignment vertical="center"/>
    </xf>
    <xf numFmtId="0" fontId="1" fillId="0" borderId="80" xfId="0" applyFont="1" applyBorder="1" applyAlignment="1">
      <alignment horizontal="center" vertical="center"/>
    </xf>
    <xf numFmtId="167" fontId="1" fillId="0" borderId="74" xfId="8" applyNumberFormat="1" applyFont="1" applyBorder="1" applyAlignment="1">
      <alignment horizontal="center" vertical="center"/>
    </xf>
    <xf numFmtId="167" fontId="1" fillId="0" borderId="81" xfId="8" applyNumberFormat="1" applyFont="1" applyBorder="1" applyAlignment="1">
      <alignment horizontal="center" vertical="center"/>
    </xf>
    <xf numFmtId="9" fontId="2" fillId="0" borderId="73" xfId="0" applyNumberFormat="1" applyFont="1" applyBorder="1" applyAlignment="1">
      <alignment horizontal="center" vertical="center"/>
    </xf>
    <xf numFmtId="9" fontId="2" fillId="0" borderId="74" xfId="0" applyNumberFormat="1" applyFont="1" applyBorder="1" applyAlignment="1">
      <alignment horizontal="center" vertical="center"/>
    </xf>
    <xf numFmtId="9" fontId="2" fillId="0" borderId="76" xfId="0" applyNumberFormat="1" applyFont="1" applyBorder="1" applyAlignment="1">
      <alignment horizontal="center" vertical="center"/>
    </xf>
    <xf numFmtId="0" fontId="0" fillId="0" borderId="80" xfId="0" applyBorder="1" applyAlignment="1">
      <alignment vertical="center"/>
    </xf>
    <xf numFmtId="0" fontId="4" fillId="0" borderId="79" xfId="2" applyBorder="1" applyAlignment="1">
      <alignment horizontal="center" vertical="center"/>
    </xf>
    <xf numFmtId="0" fontId="4" fillId="0" borderId="74" xfId="2" applyBorder="1" applyAlignment="1">
      <alignment horizontal="center" vertical="center"/>
    </xf>
    <xf numFmtId="14" fontId="18" fillId="0" borderId="84" xfId="0" applyNumberFormat="1" applyFont="1" applyBorder="1" applyAlignment="1" applyProtection="1">
      <alignment horizontal="center" vertical="center"/>
      <protection locked="0"/>
    </xf>
    <xf numFmtId="14" fontId="0" fillId="0" borderId="84" xfId="0" applyNumberFormat="1" applyBorder="1" applyAlignment="1" applyProtection="1">
      <protection locked="0"/>
    </xf>
    <xf numFmtId="14" fontId="0" fillId="0" borderId="84" xfId="0" applyNumberFormat="1" applyFill="1" applyBorder="1" applyAlignment="1" applyProtection="1">
      <alignment horizontal="center"/>
      <protection locked="0"/>
    </xf>
    <xf numFmtId="14" fontId="18" fillId="0" borderId="84" xfId="0" applyNumberFormat="1" applyFont="1" applyFill="1" applyBorder="1" applyAlignment="1" applyProtection="1">
      <alignment horizontal="left"/>
      <protection locked="0"/>
    </xf>
    <xf numFmtId="0" fontId="0" fillId="0" borderId="84" xfId="0" applyBorder="1"/>
    <xf numFmtId="14" fontId="0" fillId="0" borderId="84" xfId="0" applyNumberFormat="1" applyFill="1" applyBorder="1" applyAlignment="1" applyProtection="1">
      <protection locked="0"/>
    </xf>
    <xf numFmtId="14" fontId="18" fillId="0" borderId="84" xfId="0" applyNumberFormat="1" applyFont="1" applyBorder="1" applyAlignment="1">
      <alignment horizontal="center" vertical="center"/>
    </xf>
    <xf numFmtId="14" fontId="0" fillId="0" borderId="84" xfId="0" applyNumberFormat="1" applyFill="1" applyBorder="1" applyAlignment="1" applyProtection="1">
      <alignment horizontal="left"/>
      <protection locked="0"/>
    </xf>
    <xf numFmtId="14" fontId="0" fillId="0" borderId="84" xfId="0" applyNumberFormat="1" applyBorder="1" applyAlignment="1" applyProtection="1">
      <alignment horizontal="left"/>
      <protection locked="0"/>
    </xf>
    <xf numFmtId="14" fontId="18" fillId="0" borderId="84" xfId="0" applyNumberFormat="1" applyFont="1" applyBorder="1" applyAlignment="1" applyProtection="1">
      <alignment horizontal="left"/>
      <protection locked="0"/>
    </xf>
    <xf numFmtId="14" fontId="18" fillId="0" borderId="84" xfId="0" applyNumberFormat="1" applyFont="1" applyFill="1" applyBorder="1" applyAlignment="1" applyProtection="1">
      <protection locked="0"/>
    </xf>
    <xf numFmtId="14" fontId="0" fillId="0" borderId="86" xfId="0" applyNumberFormat="1" applyBorder="1" applyAlignment="1" applyProtection="1">
      <protection locked="0"/>
    </xf>
    <xf numFmtId="14" fontId="0" fillId="0" borderId="87" xfId="0" applyNumberFormat="1" applyFill="1" applyBorder="1" applyAlignment="1" applyProtection="1">
      <alignment horizontal="center"/>
      <protection locked="0"/>
    </xf>
    <xf numFmtId="14" fontId="18" fillId="0" borderId="87" xfId="0" applyNumberFormat="1" applyFont="1" applyBorder="1" applyAlignment="1" applyProtection="1">
      <alignment horizontal="center" vertical="center"/>
      <protection locked="0"/>
    </xf>
    <xf numFmtId="0" fontId="18" fillId="13" borderId="88" xfId="0" applyFont="1" applyFill="1" applyBorder="1" applyAlignment="1">
      <alignment horizontal="center" vertical="center"/>
    </xf>
    <xf numFmtId="14" fontId="0" fillId="0" borderId="85" xfId="0" applyNumberFormat="1" applyBorder="1" applyAlignment="1" applyProtection="1">
      <protection locked="0"/>
    </xf>
    <xf numFmtId="0" fontId="18" fillId="13" borderId="83" xfId="0" applyFont="1" applyFill="1" applyBorder="1" applyAlignment="1">
      <alignment horizontal="center" vertical="center"/>
    </xf>
    <xf numFmtId="14" fontId="0" fillId="14" borderId="85" xfId="0" applyNumberFormat="1" applyFill="1" applyBorder="1" applyAlignment="1" applyProtection="1">
      <protection locked="0"/>
    </xf>
    <xf numFmtId="14" fontId="0" fillId="0" borderId="87" xfId="0" applyNumberFormat="1" applyBorder="1" applyAlignment="1" applyProtection="1">
      <alignment horizontal="left"/>
      <protection locked="0"/>
    </xf>
    <xf numFmtId="14" fontId="0" fillId="0" borderId="87" xfId="0" applyNumberFormat="1" applyFill="1" applyBorder="1" applyAlignment="1" applyProtection="1">
      <protection locked="0"/>
    </xf>
    <xf numFmtId="14" fontId="18" fillId="0" borderId="87" xfId="0" applyNumberFormat="1" applyFont="1" applyBorder="1" applyAlignment="1">
      <alignment horizontal="center" vertical="center"/>
    </xf>
    <xf numFmtId="14" fontId="18" fillId="0" borderId="84" xfId="0" applyNumberFormat="1" applyFont="1" applyBorder="1" applyAlignment="1" applyProtection="1">
      <protection locked="0"/>
    </xf>
    <xf numFmtId="14" fontId="18" fillId="0" borderId="84" xfId="0" applyNumberFormat="1" applyFont="1" applyFill="1" applyBorder="1" applyAlignment="1">
      <alignment horizontal="center" vertical="center"/>
    </xf>
    <xf numFmtId="14" fontId="18" fillId="0" borderId="84" xfId="0" applyNumberFormat="1" applyFont="1" applyFill="1" applyBorder="1" applyAlignment="1" applyProtection="1">
      <alignment horizontal="center"/>
      <protection locked="0"/>
    </xf>
    <xf numFmtId="14" fontId="18" fillId="0" borderId="85" xfId="0" applyNumberFormat="1" applyFont="1" applyBorder="1" applyAlignment="1" applyProtection="1">
      <protection locked="0"/>
    </xf>
    <xf numFmtId="14" fontId="0" fillId="0" borderId="85" xfId="0" applyNumberFormat="1" applyFill="1" applyBorder="1" applyAlignment="1" applyProtection="1">
      <protection locked="0"/>
    </xf>
    <xf numFmtId="14" fontId="0" fillId="0" borderId="84" xfId="0" applyNumberFormat="1" applyBorder="1" applyAlignment="1" applyProtection="1">
      <alignment horizontal="center"/>
      <protection locked="0"/>
    </xf>
    <xf numFmtId="14" fontId="0" fillId="0" borderId="84" xfId="0" applyNumberFormat="1" applyBorder="1" applyAlignment="1">
      <alignment horizontal="center"/>
    </xf>
    <xf numFmtId="14" fontId="0" fillId="14" borderId="84" xfId="0" applyNumberFormat="1" applyFill="1" applyBorder="1" applyAlignment="1" applyProtection="1">
      <protection locked="0"/>
    </xf>
    <xf numFmtId="14" fontId="0" fillId="14" borderId="84" xfId="0" applyNumberFormat="1" applyFill="1" applyBorder="1" applyAlignment="1" applyProtection="1">
      <alignment horizontal="left"/>
      <protection locked="0"/>
    </xf>
    <xf numFmtId="14" fontId="0" fillId="14" borderId="84" xfId="0" applyNumberFormat="1" applyFill="1" applyBorder="1" applyAlignment="1" applyProtection="1">
      <alignment horizontal="center"/>
      <protection locked="0"/>
    </xf>
    <xf numFmtId="14" fontId="0" fillId="14" borderId="84" xfId="0" applyNumberFormat="1" applyFill="1" applyBorder="1" applyAlignment="1">
      <alignment horizontal="center"/>
    </xf>
    <xf numFmtId="0" fontId="29" fillId="15" borderId="89" xfId="0" applyFont="1" applyFill="1" applyBorder="1" applyAlignment="1">
      <alignment horizontal="center" vertical="center" wrapText="1"/>
    </xf>
    <xf numFmtId="0" fontId="29" fillId="15" borderId="90" xfId="0" applyFont="1" applyFill="1" applyBorder="1" applyAlignment="1">
      <alignment horizontal="center" vertical="center" wrapText="1"/>
    </xf>
    <xf numFmtId="0" fontId="29" fillId="15" borderId="90" xfId="0" applyFont="1" applyFill="1" applyBorder="1" applyAlignment="1">
      <alignment vertical="center" wrapText="1"/>
    </xf>
    <xf numFmtId="0" fontId="0" fillId="14" borderId="91" xfId="0" applyFill="1" applyBorder="1"/>
    <xf numFmtId="0" fontId="0" fillId="14" borderId="91" xfId="0" applyFill="1" applyBorder="1" applyAlignment="1">
      <alignment horizontal="center"/>
    </xf>
    <xf numFmtId="14" fontId="0" fillId="0" borderId="91" xfId="0" applyNumberFormat="1" applyFill="1" applyBorder="1" applyAlignment="1" applyProtection="1">
      <protection locked="0"/>
    </xf>
    <xf numFmtId="14" fontId="0" fillId="14" borderId="91" xfId="0" applyNumberFormat="1" applyFill="1" applyBorder="1" applyAlignment="1" applyProtection="1">
      <alignment horizontal="center"/>
      <protection locked="0"/>
    </xf>
    <xf numFmtId="14" fontId="0" fillId="14" borderId="91" xfId="0" applyNumberFormat="1" applyFill="1" applyBorder="1" applyAlignment="1">
      <alignment horizontal="center"/>
    </xf>
    <xf numFmtId="0" fontId="18" fillId="13" borderId="92" xfId="0" applyFont="1" applyFill="1" applyBorder="1" applyAlignment="1">
      <alignment horizontal="center" vertical="center"/>
    </xf>
    <xf numFmtId="167" fontId="0" fillId="0" borderId="7" xfId="8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9" fillId="15" borderId="9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171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27" fillId="12" borderId="0" xfId="0" applyNumberFormat="1" applyFont="1" applyFill="1" applyBorder="1" applyAlignment="1">
      <alignment horizontal="center" vertical="center"/>
    </xf>
    <xf numFmtId="171" fontId="0" fillId="12" borderId="0" xfId="0" applyNumberFormat="1" applyFont="1" applyFill="1" applyAlignment="1">
      <alignment horizontal="center" vertical="center"/>
    </xf>
    <xf numFmtId="171" fontId="0" fillId="12" borderId="0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94" xfId="0" applyBorder="1" applyAlignment="1">
      <alignment vertical="center" wrapText="1"/>
    </xf>
    <xf numFmtId="14" fontId="0" fillId="0" borderId="94" xfId="0" applyNumberFormat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171" fontId="0" fillId="0" borderId="94" xfId="0" applyNumberForma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0" fontId="9" fillId="3" borderId="4" xfId="5" applyFont="1" applyBorder="1" applyAlignment="1">
      <alignment horizontal="center" vertical="center"/>
    </xf>
    <xf numFmtId="0" fontId="9" fillId="3" borderId="5" xfId="5" applyFont="1" applyBorder="1" applyAlignment="1">
      <alignment horizontal="center" vertical="center"/>
    </xf>
    <xf numFmtId="0" fontId="9" fillId="3" borderId="6" xfId="5" applyFont="1" applyBorder="1" applyAlignment="1">
      <alignment horizontal="center" vertical="center"/>
    </xf>
    <xf numFmtId="0" fontId="3" fillId="0" borderId="82" xfId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4" fillId="0" borderId="39" xfId="2" applyBorder="1" applyAlignment="1">
      <alignment horizontal="center" vertical="center"/>
    </xf>
    <xf numFmtId="0" fontId="4" fillId="0" borderId="40" xfId="2" applyBorder="1" applyAlignment="1">
      <alignment horizontal="center" vertical="center"/>
    </xf>
    <xf numFmtId="0" fontId="4" fillId="0" borderId="41" xfId="2" applyBorder="1" applyAlignment="1">
      <alignment horizontal="center" vertical="center"/>
    </xf>
    <xf numFmtId="0" fontId="9" fillId="12" borderId="4" xfId="5" applyFont="1" applyFill="1" applyBorder="1" applyAlignment="1">
      <alignment horizontal="center" vertical="center"/>
    </xf>
    <xf numFmtId="0" fontId="9" fillId="12" borderId="5" xfId="5" applyFont="1" applyFill="1" applyBorder="1" applyAlignment="1">
      <alignment horizontal="center" vertical="center"/>
    </xf>
    <xf numFmtId="0" fontId="9" fillId="9" borderId="4" xfId="5" applyFont="1" applyFill="1" applyBorder="1" applyAlignment="1">
      <alignment horizontal="center" vertical="center"/>
    </xf>
    <xf numFmtId="0" fontId="9" fillId="9" borderId="5" xfId="5" applyFont="1" applyFill="1" applyBorder="1" applyAlignment="1">
      <alignment horizontal="center" vertical="center"/>
    </xf>
    <xf numFmtId="0" fontId="9" fillId="9" borderId="6" xfId="5" applyFont="1" applyFill="1" applyBorder="1" applyAlignment="1">
      <alignment horizontal="center" vertical="center"/>
    </xf>
    <xf numFmtId="0" fontId="9" fillId="10" borderId="4" xfId="5" applyFont="1" applyFill="1" applyBorder="1" applyAlignment="1">
      <alignment horizontal="center" vertical="center"/>
    </xf>
    <xf numFmtId="0" fontId="9" fillId="10" borderId="5" xfId="5" applyFont="1" applyFill="1" applyBorder="1" applyAlignment="1">
      <alignment horizontal="center" vertical="center"/>
    </xf>
    <xf numFmtId="0" fontId="9" fillId="10" borderId="6" xfId="5" applyFont="1" applyFill="1" applyBorder="1" applyAlignment="1">
      <alignment horizontal="center" vertical="center"/>
    </xf>
    <xf numFmtId="0" fontId="9" fillId="11" borderId="4" xfId="5" applyFont="1" applyFill="1" applyBorder="1" applyAlignment="1">
      <alignment horizontal="center" vertical="center"/>
    </xf>
    <xf numFmtId="0" fontId="9" fillId="11" borderId="5" xfId="5" applyFont="1" applyFill="1" applyBorder="1" applyAlignment="1">
      <alignment horizontal="center" vertical="center"/>
    </xf>
    <xf numFmtId="0" fontId="9" fillId="11" borderId="6" xfId="5" applyFont="1" applyFill="1" applyBorder="1" applyAlignment="1">
      <alignment horizontal="center" vertical="center"/>
    </xf>
    <xf numFmtId="0" fontId="3" fillId="0" borderId="69" xfId="1" applyBorder="1" applyAlignment="1">
      <alignment horizontal="center" vertical="center"/>
    </xf>
    <xf numFmtId="0" fontId="3" fillId="0" borderId="70" xfId="1" applyBorder="1" applyAlignment="1">
      <alignment horizontal="center" vertical="center"/>
    </xf>
    <xf numFmtId="0" fontId="3" fillId="0" borderId="71" xfId="1" applyBorder="1" applyAlignment="1">
      <alignment horizontal="center" vertical="center"/>
    </xf>
    <xf numFmtId="0" fontId="3" fillId="0" borderId="1" xfId="1" applyAlignment="1">
      <alignment horizontal="center" vertical="center" wrapText="1"/>
    </xf>
    <xf numFmtId="0" fontId="9" fillId="2" borderId="22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2" borderId="19" xfId="4" applyFont="1" applyFill="1" applyBorder="1" applyAlignment="1">
      <alignment horizontal="center" vertical="center" wrapText="1"/>
    </xf>
    <xf numFmtId="0" fontId="0" fillId="10" borderId="0" xfId="0" applyNumberFormat="1" applyFont="1" applyFill="1" applyAlignment="1">
      <alignment horizontal="center" vertical="center"/>
    </xf>
  </cellXfs>
  <cellStyles count="19">
    <cellStyle name="60 % - Accent1" xfId="5" builtinId="32"/>
    <cellStyle name="Accent1" xfId="4" builtinId="29"/>
    <cellStyle name="Euro" xfId="9"/>
    <cellStyle name="Lien hypertexte" xfId="14" builtinId="8" hidden="1"/>
    <cellStyle name="Lien hypertexte" xfId="16" builtinId="8" hidden="1"/>
    <cellStyle name="Lien hypertexte visité" xfId="15" builtinId="9" hidden="1"/>
    <cellStyle name="Lien hypertexte visité" xfId="17" builtinId="9" hidden="1"/>
    <cellStyle name="Milliers" xfId="7" builtinId="3"/>
    <cellStyle name="Monétaire" xfId="8" builtinId="4"/>
    <cellStyle name="Normal" xfId="0" builtinId="0"/>
    <cellStyle name="Normal 2" xfId="10"/>
    <cellStyle name="Normal 3" xfId="18"/>
    <cellStyle name="Normal 6" xfId="11"/>
    <cellStyle name="Pourcentage" xfId="6" builtinId="5"/>
    <cellStyle name="Pourcentage 2" xfId="12"/>
    <cellStyle name="Titre 1" xfId="1" builtinId="16"/>
    <cellStyle name="Titre 2" xfId="2" builtinId="17"/>
    <cellStyle name="Titre 3" xfId="3" builtinId="18"/>
    <cellStyle name="Total" xfId="13" builtinId="25"/>
  </cellStyles>
  <dxfs count="206"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#"/>
      <fill>
        <patternFill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71" formatCode="#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>
        <bottom style="medium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0" formatCode="General"/>
    </dxf>
    <dxf>
      <numFmt numFmtId="19" formatCode="dd/mm/yyyy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alignment wrapText="1" readingOrder="0"/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9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color auto="1"/>
      </font>
    </dxf>
    <dxf>
      <font>
        <b/>
      </font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[$€-40C]_-;\-* #,##0\ [$€-40C]_-;_-* &quot;-&quot;??\ [$€-40C]_-;_-@_-"/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71" formatCode="#"/>
      <alignment horizontal="center" vertical="center" textRotation="0" wrapText="0" indent="0" justifyLastLine="0" shrinkToFit="0" readingOrder="0"/>
    </dxf>
    <dxf>
      <numFmt numFmtId="171" formatCode="#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6" formatCode="#,##0.00\ &quot;€&quot;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v1.xlsm]Graphiques!Tableau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Graphiques!$A$10:$A$16</c:f>
              <c:strCache>
                <c:ptCount val="6"/>
                <c:pt idx="0">
                  <c:v>Commercial</c:v>
                </c:pt>
                <c:pt idx="1">
                  <c:v>Divers</c:v>
                </c:pt>
                <c:pt idx="2">
                  <c:v>Langues</c:v>
                </c:pt>
                <c:pt idx="3">
                  <c:v>Management</c:v>
                </c:pt>
                <c:pt idx="4">
                  <c:v>Sécurité</c:v>
                </c:pt>
                <c:pt idx="5">
                  <c:v>Technique</c:v>
                </c:pt>
              </c:strCache>
            </c:strRef>
          </c:cat>
          <c:val>
            <c:numRef>
              <c:f>Graphiques!$B$10:$B$16</c:f>
              <c:numCache>
                <c:formatCode>_-* #\ ##0\ _€_-;\-* #\ ##0\ _€_-;_-* "-"??\ _€_-;_-@_-</c:formatCode>
                <c:ptCount val="6"/>
                <c:pt idx="0">
                  <c:v>560</c:v>
                </c:pt>
                <c:pt idx="1">
                  <c:v>42</c:v>
                </c:pt>
                <c:pt idx="2">
                  <c:v>18</c:v>
                </c:pt>
                <c:pt idx="3">
                  <c:v>372</c:v>
                </c:pt>
                <c:pt idx="4">
                  <c:v>154</c:v>
                </c:pt>
                <c:pt idx="5">
                  <c:v>469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v1.xlsm]Graphiques!Tableau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Graphiques!$B$27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Graphiques!$A$28:$A$34</c:f>
              <c:strCache>
                <c:ptCount val="6"/>
                <c:pt idx="0">
                  <c:v>Commercial</c:v>
                </c:pt>
                <c:pt idx="1">
                  <c:v>Divers</c:v>
                </c:pt>
                <c:pt idx="2">
                  <c:v>Langues</c:v>
                </c:pt>
                <c:pt idx="3">
                  <c:v>Management</c:v>
                </c:pt>
                <c:pt idx="4">
                  <c:v>Sécurité</c:v>
                </c:pt>
                <c:pt idx="5">
                  <c:v>Technique</c:v>
                </c:pt>
              </c:strCache>
            </c:strRef>
          </c:cat>
          <c:val>
            <c:numRef>
              <c:f>Graphiques!$B$28:$B$34</c:f>
              <c:numCache>
                <c:formatCode>_-* #\ ##0\ _€_-;\-* #\ ##0\ _€_-;_-* "-"??\ _€_-;_-@_-</c:formatCode>
                <c:ptCount val="6"/>
                <c:pt idx="1">
                  <c:v>1140</c:v>
                </c:pt>
                <c:pt idx="2">
                  <c:v>75.25</c:v>
                </c:pt>
                <c:pt idx="3">
                  <c:v>12345.000000000004</c:v>
                </c:pt>
                <c:pt idx="4">
                  <c:v>3509</c:v>
                </c:pt>
                <c:pt idx="5">
                  <c:v>11560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902-430C-894A-55D1C544132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v1.xlsm]Graphiques!Tableau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Graphiques!$B$46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Graphiques!$A$47:$A$49</c:f>
              <c:strCache>
                <c:ptCount val="2"/>
                <c:pt idx="0">
                  <c:v>Cadre</c:v>
                </c:pt>
                <c:pt idx="1">
                  <c:v>Employé / Technicien</c:v>
                </c:pt>
              </c:strCache>
            </c:strRef>
          </c:cat>
          <c:val>
            <c:numRef>
              <c:f>Graphiques!$B$47:$B$49</c:f>
              <c:numCache>
                <c:formatCode>_-* #\ ##0\ _€_-;\-* #\ ##0\ _€_-;_-* "-"??\ _€_-;_-@_-</c:formatCode>
                <c:ptCount val="2"/>
                <c:pt idx="0">
                  <c:v>17572.140000000003</c:v>
                </c:pt>
                <c:pt idx="1">
                  <c:v>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56-4836-B294-4346423F668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v1.xlsm]Graphiques!Tableau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Graphiques!$A$61:$A$63</c:f>
              <c:strCache>
                <c:ptCount val="2"/>
                <c:pt idx="0">
                  <c:v>Cadre</c:v>
                </c:pt>
                <c:pt idx="1">
                  <c:v>Employé / Technicien</c:v>
                </c:pt>
              </c:strCache>
            </c:strRef>
          </c:cat>
          <c:val>
            <c:numRef>
              <c:f>Graphiques!$B$61:$B$63</c:f>
              <c:numCache>
                <c:formatCode>_-* #\ ##0\ _€_-;\-* #\ ##0\ _€_-;_-* "-"??\ _€_-;_-@_-</c:formatCode>
                <c:ptCount val="2"/>
                <c:pt idx="0">
                  <c:v>1216</c:v>
                </c:pt>
                <c:pt idx="1">
                  <c:v>341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v1.xlsm]Graphiques!Tableau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#\ ##0\ _€_-;\-* #\ 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v1.xlsm]Graphiques!Tableau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Graphiques!$A$91:$A$93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Graphiques!$B$91:$B$93</c:f>
              <c:numCache>
                <c:formatCode>_-* #\ ##0\ _€_-;\-* #\ ##0\ _€_-;_-* "-"??\ _€_-;_-@_-</c:formatCode>
                <c:ptCount val="2"/>
                <c:pt idx="0">
                  <c:v>255</c:v>
                </c:pt>
                <c:pt idx="1">
                  <c:v>1302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%20consolid&#233;%202019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SPMDE" refreshedDate="40598.668087615741" createdVersion="3" refreshedVersion="3" minRefreshableVersion="3" recordCount="140">
  <cacheSource type="worksheet">
    <worksheetSource ref="A16:N155" sheet="Tables"/>
  </cacheSource>
  <cacheFields count="14">
    <cacheField name="Matricule" numFmtId="0">
      <sharedItems containsSemiMixedTypes="0" containsString="0" containsNumber="1" containsInteger="1" minValue="32" maxValue="90036"/>
    </cacheField>
    <cacheField name="Imputation" numFmtId="0">
      <sharedItems containsMixedTypes="1" containsNumber="1" containsInteger="1" minValue="12" maxValue="104"/>
    </cacheField>
    <cacheField name="Nom" numFmtId="0">
      <sharedItems/>
    </cacheField>
    <cacheField name="Prénom" numFmtId="0">
      <sharedItems/>
    </cacheField>
    <cacheField name="Sexe" numFmtId="0">
      <sharedItems count="2">
        <s v="M"/>
        <s v="F"/>
      </sharedItems>
    </cacheField>
    <cacheField name="CSP" numFmtId="0">
      <sharedItems count="3">
        <s v="Employé / Technicien"/>
        <s v="Cadre"/>
        <s v="Hors Bilan Social"/>
      </sharedItems>
    </cacheField>
    <cacheField name="Age" numFmtId="0">
      <sharedItems containsSemiMixedTypes="0" containsString="0" containsNumber="1" containsInteger="1" minValue="21" maxValue="63" count="37">
        <n v="58"/>
        <n v="54"/>
        <n v="22"/>
        <n v="31"/>
        <n v="38"/>
        <n v="59"/>
        <n v="36"/>
        <n v="45"/>
        <n v="44"/>
        <n v="33"/>
        <n v="61"/>
        <n v="46"/>
        <n v="55"/>
        <n v="50"/>
        <n v="63"/>
        <n v="29"/>
        <n v="41"/>
        <n v="40"/>
        <n v="30"/>
        <n v="37"/>
        <n v="49"/>
        <n v="43"/>
        <n v="42"/>
        <n v="57"/>
        <n v="35"/>
        <n v="26"/>
        <n v="32"/>
        <n v="27"/>
        <n v="39"/>
        <n v="21"/>
        <n v="51"/>
        <n v="34"/>
        <n v="53"/>
        <n v="23"/>
        <n v="56"/>
        <n v="28"/>
        <n v="48"/>
      </sharedItems>
    </cacheField>
    <cacheField name="Ancienneté" numFmtId="0">
      <sharedItems containsSemiMixedTypes="0" containsString="0" containsNumber="1" containsInteger="1" minValue="0" maxValue="39"/>
    </cacheField>
    <cacheField name="Salaire_x000a_mensuel/forfait" numFmtId="0">
      <sharedItems containsSemiMixedTypes="0" containsString="0" containsNumber="1" containsInteger="1" minValue="1000" maxValue="1000"/>
    </cacheField>
    <cacheField name="Prime_x000a_ancienneté" numFmtId="0">
      <sharedItems containsSemiMixedTypes="0" containsString="0" containsNumber="1" containsInteger="1" minValue="100" maxValue="100"/>
    </cacheField>
    <cacheField name="Taux_x000a_horaire brut" numFmtId="0">
      <sharedItems containsSemiMixedTypes="0" containsString="0" containsNumber="1" minValue="7.25" maxValue="7.25"/>
    </cacheField>
    <cacheField name="Taux_x000a_horaire chargé" numFmtId="0">
      <sharedItems containsSemiMixedTypes="0" containsString="0" containsNumber="1" minValue="10.88" maxValue="10.88"/>
    </cacheField>
    <cacheField name="Division" numFmtId="0">
      <sharedItems/>
    </cacheField>
    <cacheField name="Manag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RSPMDE" refreshedDate="40598.668089004626" createdVersion="3" refreshedVersion="3" minRefreshableVersion="3" recordCount="181">
  <cacheSource type="worksheet">
    <worksheetSource ref="A11:AC319" sheet="Plan 2019 consolidé" r:id="rId2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6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n v="26220"/>
    <s v="SAR"/>
    <s v="ABGRALL"/>
    <s v="JOEL"/>
    <x v="0"/>
    <x v="0"/>
    <x v="0"/>
    <n v="21"/>
    <n v="1000"/>
    <n v="100"/>
    <n v="7.25"/>
    <n v="10.88"/>
    <s v="SAV"/>
    <s v="FOUCRAS Bernard "/>
  </r>
  <r>
    <n v="26394"/>
    <s v="DGE"/>
    <s v="ALLARD"/>
    <s v="SYLVIANE"/>
    <x v="1"/>
    <x v="1"/>
    <x v="1"/>
    <n v="34"/>
    <n v="1000"/>
    <n v="100"/>
    <n v="7.25"/>
    <n v="10.88"/>
    <s v="DGE"/>
    <s v="MALPHETTES Guillaume"/>
  </r>
  <r>
    <n v="26750"/>
    <s v="DGE"/>
    <s v="ALLEMAND"/>
    <s v="JULIE"/>
    <x v="1"/>
    <x v="2"/>
    <x v="2"/>
    <n v="0"/>
    <n v="1000"/>
    <n v="100"/>
    <n v="7.25"/>
    <n v="10.88"/>
    <s v="DGE"/>
    <s v="MALPHETTES Guillaume"/>
  </r>
  <r>
    <n v="26631"/>
    <s v="EPS"/>
    <s v="AUBOIROUX"/>
    <s v="MICKAEL"/>
    <x v="0"/>
    <x v="0"/>
    <x v="3"/>
    <n v="8"/>
    <n v="1000"/>
    <n v="100"/>
    <n v="7.25"/>
    <n v="10.88"/>
    <s v="P&amp;S"/>
    <s v="SERRANO Olivier"/>
  </r>
  <r>
    <n v="26660"/>
    <s v="PPI"/>
    <s v="AUMONT"/>
    <s v="CHRISTELLE"/>
    <x v="1"/>
    <x v="1"/>
    <x v="4"/>
    <n v="4"/>
    <n v="1000"/>
    <n v="100"/>
    <n v="7.25"/>
    <n v="10.88"/>
    <s v="PTD CS"/>
    <s v="BRICHANT Damien "/>
  </r>
  <r>
    <n v="26434"/>
    <s v="PPI"/>
    <s v="BALDUREAUX"/>
    <s v="DANIEL"/>
    <x v="0"/>
    <x v="1"/>
    <x v="5"/>
    <n v="15"/>
    <n v="1000"/>
    <n v="100"/>
    <n v="7.25"/>
    <n v="10.88"/>
    <s v="PTD CS"/>
    <s v="BRICHANT Damien "/>
  </r>
  <r>
    <n v="26737"/>
    <s v="ADV"/>
    <s v="BARATIER"/>
    <s v="AMANDINE"/>
    <x v="1"/>
    <x v="1"/>
    <x v="6"/>
    <n v="0"/>
    <n v="1000"/>
    <n v="100"/>
    <n v="7.25"/>
    <n v="10.88"/>
    <s v="ADV"/>
    <s v="BARATIER Amandine"/>
  </r>
  <r>
    <n v="26158"/>
    <s v="PEE"/>
    <s v="BARDINI"/>
    <s v="FRANCK"/>
    <x v="0"/>
    <x v="1"/>
    <x v="7"/>
    <n v="20"/>
    <n v="1000"/>
    <n v="100"/>
    <n v="7.25"/>
    <n v="10.88"/>
    <s v="PTD CS"/>
    <s v="MELCHIOR Pierre-Yves"/>
  </r>
  <r>
    <n v="26727"/>
    <s v="SAR"/>
    <s v="BARDOUX"/>
    <s v="DANIEL"/>
    <x v="0"/>
    <x v="0"/>
    <x v="1"/>
    <n v="2"/>
    <n v="1000"/>
    <n v="100"/>
    <n v="7.25"/>
    <n v="10.88"/>
    <s v="SAV"/>
    <s v="FOUCRAS Bernard "/>
  </r>
  <r>
    <n v="26541"/>
    <s v="CSC"/>
    <s v="BATTAGLIA"/>
    <s v="MIREILLE"/>
    <x v="1"/>
    <x v="0"/>
    <x v="8"/>
    <n v="10"/>
    <n v="1000"/>
    <n v="100"/>
    <n v="7.25"/>
    <n v="10.88"/>
    <s v="ALFARESPONSE"/>
    <s v="MARTINEZ Marie"/>
  </r>
  <r>
    <n v="26582"/>
    <s v="PPI"/>
    <s v="BAUD"/>
    <s v="SEBASTIEN"/>
    <x v="0"/>
    <x v="1"/>
    <x v="9"/>
    <n v="7"/>
    <n v="1000"/>
    <n v="100"/>
    <n v="7.25"/>
    <n v="10.88"/>
    <s v="PTD CS"/>
    <s v="BRICHANT Damien "/>
  </r>
  <r>
    <n v="26501"/>
    <s v="ESE"/>
    <s v="BAYLE"/>
    <s v="JEAN PIERRE"/>
    <x v="0"/>
    <x v="1"/>
    <x v="10"/>
    <n v="39"/>
    <n v="1000"/>
    <n v="100"/>
    <n v="7.25"/>
    <n v="10.88"/>
    <s v="SANITARY"/>
    <s v="CARTIER Laurent"/>
  </r>
  <r>
    <n v="26717"/>
    <s v="ADV"/>
    <s v="BERRA"/>
    <s v="WIEM"/>
    <x v="1"/>
    <x v="0"/>
    <x v="3"/>
    <n v="2"/>
    <n v="1000"/>
    <n v="100"/>
    <n v="7.25"/>
    <n v="10.88"/>
    <s v="ADV"/>
    <s v="BARATIER Amandine"/>
  </r>
  <r>
    <n v="26633"/>
    <s v="ECF"/>
    <s v="BIDAUD"/>
    <s v="LAURENT"/>
    <x v="0"/>
    <x v="1"/>
    <x v="11"/>
    <n v="21"/>
    <n v="1000"/>
    <n v="100"/>
    <n v="7.25"/>
    <n v="10.88"/>
    <s v="EIE"/>
    <s v="PASTRE Sylvain"/>
  </r>
  <r>
    <n v="26536"/>
    <s v="PEE"/>
    <s v="BLANCHE"/>
    <s v="DANIEL"/>
    <x v="0"/>
    <x v="1"/>
    <x v="12"/>
    <n v="10"/>
    <n v="1000"/>
    <n v="100"/>
    <n v="7.25"/>
    <n v="10.88"/>
    <s v="PTD CS"/>
    <s v="MELCHIOR Pierre-Yves"/>
  </r>
  <r>
    <n v="26617"/>
    <s v="ADV"/>
    <s v="BOUDAUX"/>
    <s v="FRANCOISE"/>
    <x v="1"/>
    <x v="0"/>
    <x v="8"/>
    <n v="20"/>
    <n v="1000"/>
    <n v="100"/>
    <n v="7.25"/>
    <n v="10.88"/>
    <s v="ADV"/>
    <s v="BARATIER Amandine"/>
  </r>
  <r>
    <n v="26418"/>
    <n v="22"/>
    <s v="BOURDUT"/>
    <s v="JEAN PIERRE"/>
    <x v="0"/>
    <x v="1"/>
    <x v="13"/>
    <n v="16"/>
    <n v="1000"/>
    <n v="100"/>
    <n v="7.25"/>
    <n v="10.88"/>
    <s v="INFORMATIQUE"/>
    <s v="COURT Jean-Pierre"/>
  </r>
  <r>
    <n v="26658"/>
    <n v="100"/>
    <s v="BOURRIER"/>
    <s v="PATRICE"/>
    <x v="0"/>
    <x v="1"/>
    <x v="6"/>
    <n v="9"/>
    <n v="1000"/>
    <n v="100"/>
    <n v="7.25"/>
    <n v="10.88"/>
    <s v="DETACHES"/>
    <s v="N/A"/>
  </r>
  <r>
    <n v="25488"/>
    <s v="PPS"/>
    <s v="BOUTHIER"/>
    <s v="BERNARD"/>
    <x v="0"/>
    <x v="1"/>
    <x v="14"/>
    <n v="36"/>
    <n v="1000"/>
    <n v="100"/>
    <n v="7.25"/>
    <n v="10.88"/>
    <s v="P&amp;S"/>
    <s v="TRIPON Xavier "/>
  </r>
  <r>
    <n v="26696"/>
    <s v="PPI"/>
    <s v="BRICHANT"/>
    <s v="DAMIEN"/>
    <x v="0"/>
    <x v="1"/>
    <x v="9"/>
    <n v="2"/>
    <n v="1000"/>
    <n v="100"/>
    <n v="7.25"/>
    <n v="10.88"/>
    <s v="PTD CS"/>
    <s v="BRICHANT Damien "/>
  </r>
  <r>
    <n v="26751"/>
    <n v="12"/>
    <s v="BRUN"/>
    <s v="JUSTINE"/>
    <x v="1"/>
    <x v="2"/>
    <x v="2"/>
    <n v="0"/>
    <n v="1000"/>
    <n v="100"/>
    <n v="7.25"/>
    <n v="10.88"/>
    <s v="SSO"/>
    <s v="PIOT Marc"/>
  </r>
  <r>
    <n v="26672"/>
    <s v="SAR"/>
    <s v="BULUT"/>
    <s v="SULEYMAN"/>
    <x v="0"/>
    <x v="0"/>
    <x v="15"/>
    <n v="3"/>
    <n v="1000"/>
    <n v="100"/>
    <n v="7.25"/>
    <n v="10.88"/>
    <s v="SAV"/>
    <s v="FOUCRAS Bernard "/>
  </r>
  <r>
    <n v="26738"/>
    <s v="SAR"/>
    <s v="BULUT"/>
    <s v="FATIH"/>
    <x v="0"/>
    <x v="0"/>
    <x v="2"/>
    <n v="0"/>
    <n v="1000"/>
    <n v="100"/>
    <n v="7.25"/>
    <n v="10.88"/>
    <s v="SAV"/>
    <s v="FOUCRAS Bernard "/>
  </r>
  <r>
    <n v="26531"/>
    <s v="CSC"/>
    <s v="CAMPOS"/>
    <s v="VERONIQUE"/>
    <x v="1"/>
    <x v="0"/>
    <x v="8"/>
    <n v="11"/>
    <n v="1000"/>
    <n v="100"/>
    <n v="7.25"/>
    <n v="10.88"/>
    <s v="ALFARESPONSE"/>
    <s v="MARTINEZ Marie"/>
  </r>
  <r>
    <n v="26373"/>
    <s v="ESE"/>
    <s v="CAMUS"/>
    <s v="FREDERIQUE"/>
    <x v="1"/>
    <x v="0"/>
    <x v="16"/>
    <n v="19"/>
    <n v="1000"/>
    <n v="100"/>
    <n v="7.25"/>
    <n v="10.88"/>
    <s v="SANITARY"/>
    <s v="CARTIER Laurent"/>
  </r>
  <r>
    <n v="26600"/>
    <s v="ESE"/>
    <s v="CARTIER"/>
    <s v="LAURENT"/>
    <x v="0"/>
    <x v="1"/>
    <x v="11"/>
    <n v="17"/>
    <n v="1000"/>
    <n v="100"/>
    <n v="7.25"/>
    <n v="10.88"/>
    <s v="SANITARY"/>
    <s v="CARTIER Laurent"/>
  </r>
  <r>
    <n v="26477"/>
    <s v="PFT"/>
    <s v="CEVAER"/>
    <s v="DANIEL"/>
    <x v="0"/>
    <x v="1"/>
    <x v="5"/>
    <n v="32"/>
    <n v="1000"/>
    <n v="100"/>
    <n v="7.25"/>
    <n v="10.88"/>
    <s v="PTD CS"/>
    <s v="D'ANGLEVILLE Ghyslain "/>
  </r>
  <r>
    <n v="26719"/>
    <s v="REA"/>
    <s v="CHARBONNIER"/>
    <s v="ERIC"/>
    <x v="0"/>
    <x v="1"/>
    <x v="17"/>
    <n v="2"/>
    <n v="1000"/>
    <n v="100"/>
    <n v="7.25"/>
    <n v="10.88"/>
    <s v="Equipe projets"/>
    <s v="JAMAULT Xavier "/>
  </r>
  <r>
    <n v="26649"/>
    <s v="ECF"/>
    <s v="CHENU"/>
    <s v="THIERRY"/>
    <x v="0"/>
    <x v="1"/>
    <x v="17"/>
    <n v="5"/>
    <n v="1000"/>
    <n v="100"/>
    <n v="7.25"/>
    <n v="10.88"/>
    <s v="EIE"/>
    <s v="PASTRE Sylvain"/>
  </r>
  <r>
    <n v="26728"/>
    <n v="13"/>
    <s v="CHERAMY"/>
    <s v="VINCENT"/>
    <x v="0"/>
    <x v="0"/>
    <x v="18"/>
    <n v="2"/>
    <n v="1000"/>
    <n v="100"/>
    <n v="7.25"/>
    <n v="10.88"/>
    <s v="COMPTABILITE"/>
    <s v="HURSTEL Michelle"/>
  </r>
  <r>
    <n v="26665"/>
    <s v="SAR"/>
    <s v="CLEMENT"/>
    <s v="LAURENT"/>
    <x v="0"/>
    <x v="0"/>
    <x v="19"/>
    <n v="4"/>
    <n v="1000"/>
    <n v="100"/>
    <n v="7.25"/>
    <n v="10.88"/>
    <s v="SAV"/>
    <s v="FOUCRAS Bernard "/>
  </r>
  <r>
    <n v="26526"/>
    <n v="22"/>
    <s v="COSTEL"/>
    <s v="DOMINIQUE"/>
    <x v="1"/>
    <x v="1"/>
    <x v="20"/>
    <n v="11"/>
    <n v="1000"/>
    <n v="100"/>
    <n v="7.25"/>
    <n v="10.88"/>
    <s v="INFORMATIQUE"/>
    <s v="COURT Jean-Pierre"/>
  </r>
  <r>
    <n v="69073"/>
    <n v="22"/>
    <s v="COURT"/>
    <s v="JEAN PIERRE"/>
    <x v="0"/>
    <x v="1"/>
    <x v="8"/>
    <n v="6"/>
    <n v="1000"/>
    <n v="100"/>
    <n v="7.25"/>
    <n v="10.88"/>
    <s v="INFORMATIQUE"/>
    <s v="COURT Jean-Pierre"/>
  </r>
  <r>
    <n v="26583"/>
    <s v="PFT"/>
    <s v="D ANGLEVILLE"/>
    <s v="GHISLAIN"/>
    <x v="0"/>
    <x v="1"/>
    <x v="17"/>
    <n v="7"/>
    <n v="1000"/>
    <n v="100"/>
    <n v="7.25"/>
    <n v="10.88"/>
    <s v="PTD CS"/>
    <s v="D'ANGLEVILLE Ghyslain "/>
  </r>
  <r>
    <n v="26661"/>
    <s v="SAR"/>
    <s v="DANE"/>
    <s v="JEAN-BERNARD"/>
    <x v="0"/>
    <x v="0"/>
    <x v="16"/>
    <n v="4"/>
    <n v="1000"/>
    <n v="100"/>
    <n v="7.25"/>
    <n v="10.88"/>
    <s v="SAV"/>
    <s v="FOUCRAS Bernard "/>
  </r>
  <r>
    <n v="26439"/>
    <s v="CSC"/>
    <s v="DARCEL"/>
    <s v="XAVIER"/>
    <x v="0"/>
    <x v="0"/>
    <x v="21"/>
    <n v="15"/>
    <n v="1000"/>
    <n v="100"/>
    <n v="7.25"/>
    <n v="10.88"/>
    <s v="ALFARESPONSE"/>
    <s v="MARTINEZ Marie"/>
  </r>
  <r>
    <n v="26645"/>
    <s v="PPS"/>
    <s v="DE LA CHAPELLE"/>
    <s v="OLIVIER"/>
    <x v="0"/>
    <x v="1"/>
    <x v="22"/>
    <n v="5"/>
    <n v="1000"/>
    <n v="100"/>
    <n v="7.25"/>
    <n v="10.88"/>
    <s v="P&amp;S"/>
    <s v="TRIPON Xavier "/>
  </r>
  <r>
    <n v="3672"/>
    <s v="EFU"/>
    <s v="DELORME"/>
    <s v="PIERRE"/>
    <x v="0"/>
    <x v="1"/>
    <x v="23"/>
    <n v="37"/>
    <n v="1000"/>
    <n v="100"/>
    <n v="7.25"/>
    <n v="10.88"/>
    <s v="EIE"/>
    <s v="DELORME Pierre"/>
  </r>
  <r>
    <n v="26711"/>
    <s v="SCP"/>
    <s v="DIHARSE"/>
    <s v="LINO"/>
    <x v="0"/>
    <x v="0"/>
    <x v="18"/>
    <n v="3"/>
    <n v="1000"/>
    <n v="100"/>
    <n v="7.25"/>
    <n v="10.88"/>
    <s v="Service Center"/>
    <s v="DE LA CHAPELLE Olivier "/>
  </r>
  <r>
    <n v="26522"/>
    <s v="PEE"/>
    <s v="DOUCET"/>
    <s v="JOHANNES"/>
    <x v="0"/>
    <x v="1"/>
    <x v="24"/>
    <n v="11"/>
    <n v="1000"/>
    <n v="100"/>
    <n v="7.25"/>
    <n v="10.88"/>
    <s v="PTD CS"/>
    <s v="MELCHIOR Pierre-Yves"/>
  </r>
  <r>
    <n v="26692"/>
    <s v="REA"/>
    <s v="DUGOUJON"/>
    <s v="NICOLAS"/>
    <x v="0"/>
    <x v="1"/>
    <x v="18"/>
    <n v="2"/>
    <n v="1000"/>
    <n v="100"/>
    <n v="7.25"/>
    <n v="10.88"/>
    <s v="Equipe projets"/>
    <s v="JAMAULT Xavier "/>
  </r>
  <r>
    <n v="26648"/>
    <s v="DGE"/>
    <s v="DUTERTE"/>
    <s v="MARIE"/>
    <x v="1"/>
    <x v="1"/>
    <x v="25"/>
    <n v="5"/>
    <n v="1000"/>
    <n v="100"/>
    <n v="7.25"/>
    <n v="10.88"/>
    <s v="DGE"/>
    <s v="MALPHETTES Guillaume"/>
  </r>
  <r>
    <n v="26436"/>
    <s v="SAR"/>
    <s v="EBER"/>
    <s v="MICHEL"/>
    <x v="0"/>
    <x v="0"/>
    <x v="13"/>
    <n v="15"/>
    <n v="1000"/>
    <n v="100"/>
    <n v="7.25"/>
    <n v="10.88"/>
    <s v="SAV"/>
    <s v="FOUCRAS Bernard "/>
  </r>
  <r>
    <n v="26698"/>
    <s v="EPS"/>
    <s v="EDOUN"/>
    <s v="MATHIEU"/>
    <x v="0"/>
    <x v="0"/>
    <x v="26"/>
    <n v="2"/>
    <n v="1000"/>
    <n v="100"/>
    <n v="7.25"/>
    <n v="10.88"/>
    <s v="P&amp;S"/>
    <s v="SERRANO Olivier"/>
  </r>
  <r>
    <n v="26446"/>
    <s v="ECF"/>
    <s v="EKOULE"/>
    <s v="EVELYNE"/>
    <x v="1"/>
    <x v="0"/>
    <x v="23"/>
    <n v="15"/>
    <n v="1000"/>
    <n v="100"/>
    <n v="7.25"/>
    <n v="10.88"/>
    <s v="EIE"/>
    <s v="PASTRE Sylvain"/>
  </r>
  <r>
    <n v="26710"/>
    <s v="REA"/>
    <s v="FLEURY"/>
    <s v="GERMAIN"/>
    <x v="0"/>
    <x v="1"/>
    <x v="27"/>
    <n v="2"/>
    <n v="1000"/>
    <n v="100"/>
    <n v="7.25"/>
    <n v="10.88"/>
    <s v="Equipe projets"/>
    <s v="JAMAULT Xavier "/>
  </r>
  <r>
    <n v="26507"/>
    <s v="CSC"/>
    <s v="FODIL"/>
    <s v="SANDRINE"/>
    <x v="1"/>
    <x v="1"/>
    <x v="17"/>
    <n v="19"/>
    <n v="1000"/>
    <n v="100"/>
    <n v="7.25"/>
    <n v="10.88"/>
    <s v="ALFARESPONSE"/>
    <s v="MARTINEZ Marie"/>
  </r>
  <r>
    <n v="26683"/>
    <s v="SAR"/>
    <s v="FOUCRAS"/>
    <s v="BERNARD"/>
    <x v="0"/>
    <x v="1"/>
    <x v="12"/>
    <n v="3"/>
    <n v="1000"/>
    <n v="100"/>
    <n v="7.25"/>
    <n v="10.88"/>
    <s v="SAV"/>
    <s v="FOUCRAS Bernard "/>
  </r>
  <r>
    <n v="26693"/>
    <s v="SAR"/>
    <s v="FOURNIER"/>
    <s v="JEAN MARC"/>
    <x v="0"/>
    <x v="0"/>
    <x v="16"/>
    <n v="2"/>
    <n v="1000"/>
    <n v="100"/>
    <n v="7.25"/>
    <n v="10.88"/>
    <s v="SAV"/>
    <s v="FOUCRAS Bernard "/>
  </r>
  <r>
    <n v="5077"/>
    <s v="EMC"/>
    <s v="FRANCO"/>
    <s v="MICHEL"/>
    <x v="0"/>
    <x v="1"/>
    <x v="0"/>
    <n v="36"/>
    <n v="1000"/>
    <n v="100"/>
    <n v="7.25"/>
    <n v="10.88"/>
    <s v="PTD CS"/>
    <s v="FRANCO Michel"/>
  </r>
  <r>
    <n v="26481"/>
    <s v="PPS"/>
    <s v="FUSILLIER"/>
    <s v="BERTRAND"/>
    <x v="0"/>
    <x v="1"/>
    <x v="28"/>
    <n v="13"/>
    <n v="1000"/>
    <n v="100"/>
    <n v="7.25"/>
    <n v="10.88"/>
    <s v="P&amp;S"/>
    <s v="TRIPON Xavier "/>
  </r>
  <r>
    <n v="26749"/>
    <s v="ESE"/>
    <s v="GALLIEN"/>
    <s v="TIMOTHE"/>
    <x v="0"/>
    <x v="2"/>
    <x v="29"/>
    <n v="0"/>
    <n v="1000"/>
    <n v="100"/>
    <n v="7.25"/>
    <n v="10.88"/>
    <s v="SANITARY"/>
    <s v="CARTIER Laurent"/>
  </r>
  <r>
    <n v="5282"/>
    <s v="PPS"/>
    <s v="GANDONNIERE"/>
    <s v="CHANTAL"/>
    <x v="1"/>
    <x v="0"/>
    <x v="0"/>
    <n v="39"/>
    <n v="1000"/>
    <n v="100"/>
    <n v="7.25"/>
    <n v="10.88"/>
    <s v="P&amp;S"/>
    <s v="TRIPON Xavier "/>
  </r>
  <r>
    <n v="26225"/>
    <s v="SAR"/>
    <s v="GESREL"/>
    <s v="ALAIN"/>
    <x v="0"/>
    <x v="0"/>
    <x v="0"/>
    <n v="23"/>
    <n v="1000"/>
    <n v="100"/>
    <n v="7.25"/>
    <n v="10.88"/>
    <s v="SAV"/>
    <s v="FOUCRAS Bernard "/>
  </r>
  <r>
    <n v="26754"/>
    <s v="SAR"/>
    <s v="GOURDEAU"/>
    <s v="GILLES"/>
    <x v="0"/>
    <x v="0"/>
    <x v="7"/>
    <n v="0"/>
    <n v="1000"/>
    <n v="100"/>
    <n v="7.25"/>
    <n v="10.88"/>
    <s v="SAV"/>
    <s v="FOUCRAS Bernard "/>
  </r>
  <r>
    <n v="26667"/>
    <s v="EOE"/>
    <s v="GROSSMANN"/>
    <s v="ALAIN"/>
    <x v="0"/>
    <x v="1"/>
    <x v="30"/>
    <n v="17"/>
    <n v="1000"/>
    <n v="100"/>
    <n v="7.25"/>
    <n v="10.88"/>
    <s v="EIE"/>
    <s v="GROSSMANN Alain"/>
  </r>
  <r>
    <n v="26613"/>
    <s v="PLS"/>
    <s v="GUEPRATTE"/>
    <s v="STEPHANIE"/>
    <x v="1"/>
    <x v="1"/>
    <x v="6"/>
    <n v="6"/>
    <n v="1000"/>
    <n v="100"/>
    <n v="7.25"/>
    <n v="10.88"/>
    <s v="PTD CS"/>
    <s v="MAILLET Patrice "/>
  </r>
  <r>
    <n v="26730"/>
    <s v="PEE"/>
    <s v="GUILLAUMIN"/>
    <s v="CHRISTOPHE"/>
    <x v="0"/>
    <x v="1"/>
    <x v="9"/>
    <n v="1"/>
    <n v="1000"/>
    <n v="100"/>
    <n v="7.25"/>
    <n v="10.88"/>
    <s v="PTD CS"/>
    <s v="MELCHIOR Pierre-Yves"/>
  </r>
  <r>
    <n v="26731"/>
    <s v="REA"/>
    <s v="HAUTIER"/>
    <s v="NATHALIE"/>
    <x v="1"/>
    <x v="1"/>
    <x v="9"/>
    <n v="1"/>
    <n v="1000"/>
    <n v="100"/>
    <n v="7.25"/>
    <n v="10.88"/>
    <s v="Equipe projets"/>
    <s v="JAMAULT Xavier "/>
  </r>
  <r>
    <n v="26410"/>
    <s v="PEE"/>
    <s v="HAYS"/>
    <s v="NATHALY"/>
    <x v="1"/>
    <x v="1"/>
    <x v="21"/>
    <n v="21"/>
    <n v="1000"/>
    <n v="100"/>
    <n v="7.25"/>
    <n v="10.88"/>
    <s v="PTD CS"/>
    <s v="MELCHIOR Pierre-Yves"/>
  </r>
  <r>
    <n v="26354"/>
    <n v="103"/>
    <s v="HERVIEU"/>
    <s v="JEAN MARIE"/>
    <x v="0"/>
    <x v="1"/>
    <x v="1"/>
    <n v="18"/>
    <n v="1000"/>
    <n v="100"/>
    <n v="7.25"/>
    <n v="10.88"/>
    <s v="DETACHES"/>
    <s v="N/A"/>
  </r>
  <r>
    <n v="26508"/>
    <s v="ESE"/>
    <s v="HIAM"/>
    <s v="JACQUES"/>
    <x v="0"/>
    <x v="1"/>
    <x v="12"/>
    <n v="18"/>
    <n v="1000"/>
    <n v="100"/>
    <n v="7.25"/>
    <n v="10.88"/>
    <s v="SANITARY"/>
    <s v="CARTIER Laurent"/>
  </r>
  <r>
    <n v="26725"/>
    <s v="PPS"/>
    <s v="HO"/>
    <s v="DUY PHONG"/>
    <x v="0"/>
    <x v="0"/>
    <x v="31"/>
    <n v="2"/>
    <n v="1000"/>
    <n v="100"/>
    <n v="7.25"/>
    <n v="10.88"/>
    <s v="P&amp;S"/>
    <s v="TRIPON Xavier "/>
  </r>
  <r>
    <n v="26622"/>
    <s v="ESE"/>
    <s v="HUON"/>
    <s v="SYLVAIN"/>
    <x v="0"/>
    <x v="1"/>
    <x v="16"/>
    <n v="18"/>
    <n v="1000"/>
    <n v="100"/>
    <n v="7.25"/>
    <n v="10.88"/>
    <s v="SANITARY"/>
    <s v="CARTIER Laurent"/>
  </r>
  <r>
    <n v="26535"/>
    <n v="13"/>
    <s v="HURSTEL"/>
    <s v="MICHELLE"/>
    <x v="1"/>
    <x v="0"/>
    <x v="7"/>
    <n v="11"/>
    <n v="1000"/>
    <n v="100"/>
    <n v="7.25"/>
    <n v="10.88"/>
    <s v="COMPTABILITE"/>
    <s v="HURSTEL Michelle"/>
  </r>
  <r>
    <n v="26509"/>
    <s v="CSC"/>
    <s v="JAILLET"/>
    <s v="MIREILLE"/>
    <x v="1"/>
    <x v="0"/>
    <x v="12"/>
    <n v="38"/>
    <n v="1000"/>
    <n v="100"/>
    <n v="7.25"/>
    <n v="10.88"/>
    <s v="ALFARESPONSE"/>
    <s v="MARTINEZ Marie"/>
  </r>
  <r>
    <n v="26755"/>
    <s v="REA"/>
    <s v="JAMAULT"/>
    <s v="XAVIER"/>
    <x v="0"/>
    <x v="1"/>
    <x v="21"/>
    <n v="0"/>
    <n v="1000"/>
    <n v="100"/>
    <n v="7.25"/>
    <n v="10.88"/>
    <s v="Equipe projets"/>
    <s v="JAMAULT Xavier "/>
  </r>
  <r>
    <n v="26598"/>
    <s v="ESE"/>
    <s v="JOUAUD"/>
    <s v="PHILIPPE"/>
    <x v="0"/>
    <x v="1"/>
    <x v="8"/>
    <n v="12"/>
    <n v="1000"/>
    <n v="100"/>
    <n v="7.25"/>
    <n v="10.88"/>
    <s v="SANITARY"/>
    <s v="CARTIER Laurent"/>
  </r>
  <r>
    <n v="16257"/>
    <n v="12"/>
    <s v="JUNON"/>
    <s v="ANNE MARIE"/>
    <x v="1"/>
    <x v="1"/>
    <x v="0"/>
    <n v="31"/>
    <n v="1000"/>
    <n v="100"/>
    <n v="7.25"/>
    <n v="10.88"/>
    <s v="SSO"/>
    <s v="PIOT Marc"/>
  </r>
  <r>
    <n v="7027"/>
    <s v="SAR"/>
    <s v="KACZMAREK"/>
    <s v="FRANCOIS"/>
    <x v="0"/>
    <x v="1"/>
    <x v="1"/>
    <n v="32"/>
    <n v="1000"/>
    <n v="100"/>
    <n v="7.25"/>
    <n v="10.88"/>
    <s v="SAV"/>
    <s v="FOUCRAS Bernard "/>
  </r>
  <r>
    <n v="7037"/>
    <s v="PPS"/>
    <s v="KACZMAREK"/>
    <s v="JEAN"/>
    <x v="0"/>
    <x v="1"/>
    <x v="0"/>
    <n v="37"/>
    <n v="1000"/>
    <n v="100"/>
    <n v="7.25"/>
    <n v="10.88"/>
    <s v="P&amp;S"/>
    <s v="TRIPON Xavier "/>
  </r>
  <r>
    <n v="26636"/>
    <s v="SAR"/>
    <s v="KALOUSTIAN"/>
    <s v="ALBERT"/>
    <x v="0"/>
    <x v="0"/>
    <x v="7"/>
    <n v="24"/>
    <n v="1000"/>
    <n v="100"/>
    <n v="7.25"/>
    <n v="10.88"/>
    <s v="SAV"/>
    <s v="FOUCRAS Bernard "/>
  </r>
  <r>
    <n v="32"/>
    <s v="SCP"/>
    <s v="KOOS"/>
    <s v="THOMAS"/>
    <x v="0"/>
    <x v="0"/>
    <x v="25"/>
    <n v="2"/>
    <n v="1000"/>
    <n v="100"/>
    <n v="7.25"/>
    <n v="10.88"/>
    <s v="Service Center"/>
    <s v="DE LA CHAPELLE Olivier "/>
  </r>
  <r>
    <n v="26674"/>
    <s v="ECF"/>
    <s v="KOZAK"/>
    <s v="STANISLAS"/>
    <x v="0"/>
    <x v="1"/>
    <x v="21"/>
    <n v="3"/>
    <n v="1000"/>
    <n v="100"/>
    <n v="7.25"/>
    <n v="10.88"/>
    <s v="EIE"/>
    <s v="PASTRE Sylvain"/>
  </r>
  <r>
    <n v="26666"/>
    <s v="ERC"/>
    <s v="LACROIX"/>
    <s v="PATRICK"/>
    <x v="0"/>
    <x v="1"/>
    <x v="13"/>
    <n v="4"/>
    <n v="1000"/>
    <n v="100"/>
    <n v="7.25"/>
    <n v="10.88"/>
    <s v="EIE"/>
    <s v="LISSANDRE Jean-Pierre"/>
  </r>
  <r>
    <n v="26664"/>
    <s v="PPI"/>
    <s v="LAVENANT"/>
    <s v="CLAUDE"/>
    <x v="0"/>
    <x v="1"/>
    <x v="32"/>
    <n v="4"/>
    <n v="1000"/>
    <n v="100"/>
    <n v="7.25"/>
    <n v="10.88"/>
    <s v="PTD CS"/>
    <s v="BRICHANT Damien "/>
  </r>
  <r>
    <n v="26610"/>
    <s v="ADV"/>
    <s v="LE GUIADER"/>
    <s v="PATRICIA"/>
    <x v="1"/>
    <x v="0"/>
    <x v="13"/>
    <n v="6"/>
    <n v="1000"/>
    <n v="100"/>
    <n v="7.25"/>
    <n v="10.88"/>
    <s v="ADV"/>
    <s v="BARATIER Amandine"/>
  </r>
  <r>
    <n v="26740"/>
    <s v="SCP"/>
    <s v="LEBOURDAIS"/>
    <s v="FLORENT"/>
    <x v="0"/>
    <x v="0"/>
    <x v="33"/>
    <n v="0"/>
    <n v="1000"/>
    <n v="100"/>
    <n v="7.25"/>
    <n v="10.88"/>
    <s v="Service Center"/>
    <s v="DE LA CHAPELLE Olivier "/>
  </r>
  <r>
    <n v="26726"/>
    <s v="EPS"/>
    <s v="LEFEBVRE"/>
    <s v="GUILLAUME"/>
    <x v="0"/>
    <x v="1"/>
    <x v="19"/>
    <n v="2"/>
    <n v="1000"/>
    <n v="100"/>
    <n v="7.25"/>
    <n v="10.88"/>
    <s v="P&amp;S"/>
    <s v="SERRANO Olivier"/>
  </r>
  <r>
    <n v="90036"/>
    <s v="PPS"/>
    <s v="LEMVIK"/>
    <s v="FRODE"/>
    <x v="0"/>
    <x v="1"/>
    <x v="22"/>
    <n v="18"/>
    <n v="1000"/>
    <n v="100"/>
    <n v="7.25"/>
    <n v="10.88"/>
    <s v="P&amp;S"/>
    <s v="TRIPON Xavier "/>
  </r>
  <r>
    <n v="26624"/>
    <s v="ECF"/>
    <s v="LESOUEF"/>
    <s v="OLIVIER"/>
    <x v="0"/>
    <x v="1"/>
    <x v="11"/>
    <n v="14"/>
    <n v="1000"/>
    <n v="100"/>
    <n v="7.25"/>
    <n v="10.88"/>
    <s v="EIE"/>
    <s v="PASTRE Sylvain"/>
  </r>
  <r>
    <n v="26732"/>
    <s v="CSC"/>
    <s v="LETOURNEUR"/>
    <s v="OLIVIER"/>
    <x v="0"/>
    <x v="1"/>
    <x v="7"/>
    <n v="1"/>
    <n v="1000"/>
    <n v="100"/>
    <n v="7.25"/>
    <n v="10.88"/>
    <s v="ALFARESPONSE"/>
    <s v="MARTINEZ Marie"/>
  </r>
  <r>
    <n v="26694"/>
    <s v="SCP"/>
    <s v="LIGIARDI"/>
    <s v="PHILIPPE"/>
    <x v="0"/>
    <x v="0"/>
    <x v="7"/>
    <n v="25"/>
    <n v="1000"/>
    <n v="100"/>
    <n v="7.25"/>
    <n v="10.88"/>
    <s v="Service Center"/>
    <s v="DE LA CHAPELLE Olivier "/>
  </r>
  <r>
    <n v="26644"/>
    <s v="ERC"/>
    <s v="LISSANDRE"/>
    <s v="JEAN PIERRE"/>
    <x v="0"/>
    <x v="1"/>
    <x v="30"/>
    <n v="12"/>
    <n v="1000"/>
    <n v="100"/>
    <n v="7.25"/>
    <n v="10.88"/>
    <s v="EIE"/>
    <s v="LISSANDRE Jean-Pierre"/>
  </r>
  <r>
    <n v="26612"/>
    <s v="DGE"/>
    <s v="MABRU"/>
    <s v="AUDREY"/>
    <x v="1"/>
    <x v="1"/>
    <x v="3"/>
    <n v="5"/>
    <n v="1000"/>
    <n v="100"/>
    <n v="7.25"/>
    <n v="10.88"/>
    <s v="DGE"/>
    <s v="MALPHETTES Guillaume"/>
  </r>
  <r>
    <n v="26551"/>
    <s v="PLS"/>
    <s v="MAILLET"/>
    <s v="PATRICE"/>
    <x v="0"/>
    <x v="1"/>
    <x v="4"/>
    <n v="9"/>
    <n v="1000"/>
    <n v="100"/>
    <n v="7.25"/>
    <n v="10.88"/>
    <s v="PTD CS"/>
    <s v="MAILLET Patrice "/>
  </r>
  <r>
    <n v="26554"/>
    <s v="PPS"/>
    <s v="MAIX"/>
    <s v="SEBASTIEN"/>
    <x v="0"/>
    <x v="1"/>
    <x v="9"/>
    <n v="9"/>
    <n v="1000"/>
    <n v="100"/>
    <n v="7.25"/>
    <n v="10.88"/>
    <s v="P&amp;S"/>
    <s v="TRIPON Xavier "/>
  </r>
  <r>
    <n v="26546"/>
    <s v="PEE"/>
    <s v="MARCELLINI"/>
    <s v="FABRICE"/>
    <x v="0"/>
    <x v="1"/>
    <x v="7"/>
    <n v="23"/>
    <n v="1000"/>
    <n v="100"/>
    <n v="7.25"/>
    <n v="10.88"/>
    <s v="PTD CS"/>
    <s v="MELCHIOR Pierre-Yves"/>
  </r>
  <r>
    <n v="26514"/>
    <s v="CSC"/>
    <s v="MARTINEZ"/>
    <s v="MARIE"/>
    <x v="1"/>
    <x v="1"/>
    <x v="30"/>
    <n v="22"/>
    <n v="1000"/>
    <n v="100"/>
    <n v="7.25"/>
    <n v="10.88"/>
    <s v="ALFARESPONSE"/>
    <s v="MARTINEZ Marie"/>
  </r>
  <r>
    <n v="26653"/>
    <s v="PPS"/>
    <s v="MASSARD"/>
    <s v="CYRIL"/>
    <x v="0"/>
    <x v="1"/>
    <x v="15"/>
    <n v="4"/>
    <n v="1000"/>
    <n v="100"/>
    <n v="7.25"/>
    <n v="10.88"/>
    <s v="P&amp;S"/>
    <s v="TRIPON Xavier "/>
  </r>
  <r>
    <n v="26581"/>
    <s v="CSC"/>
    <s v="MEGNIGBETO"/>
    <s v="MYRIAM"/>
    <x v="1"/>
    <x v="0"/>
    <x v="9"/>
    <n v="7"/>
    <n v="1000"/>
    <n v="100"/>
    <n v="7.25"/>
    <n v="10.88"/>
    <s v="ALFARESPONSE"/>
    <s v="MARTINEZ Marie"/>
  </r>
  <r>
    <n v="26756"/>
    <s v="PEE"/>
    <s v="MELCHIOR"/>
    <s v="PIERRE YVES"/>
    <x v="0"/>
    <x v="1"/>
    <x v="4"/>
    <n v="0"/>
    <n v="1000"/>
    <n v="100"/>
    <n v="7.25"/>
    <n v="10.88"/>
    <s v="PTD CS"/>
    <s v="MELCHIOR Pierre-Yves"/>
  </r>
  <r>
    <n v="26702"/>
    <s v="CSC"/>
    <s v="MELI DOUNTSOP"/>
    <s v="BAUDELAIRE"/>
    <x v="0"/>
    <x v="0"/>
    <x v="15"/>
    <n v="2"/>
    <n v="1000"/>
    <n v="100"/>
    <n v="7.25"/>
    <n v="10.88"/>
    <s v="ALFARESPONSE"/>
    <s v="MARTINEZ Marie"/>
  </r>
  <r>
    <n v="18848"/>
    <s v="PPS"/>
    <s v="MENEAU"/>
    <s v="LILIANE"/>
    <x v="1"/>
    <x v="0"/>
    <x v="34"/>
    <n v="29"/>
    <n v="1000"/>
    <n v="100"/>
    <n v="7.25"/>
    <n v="10.88"/>
    <s v="P&amp;S"/>
    <s v="TRIPON Xavier "/>
  </r>
  <r>
    <n v="26565"/>
    <s v="SAR"/>
    <s v="MENEAU"/>
    <s v="ABEL"/>
    <x v="0"/>
    <x v="0"/>
    <x v="22"/>
    <n v="8"/>
    <n v="1000"/>
    <n v="100"/>
    <n v="7.25"/>
    <n v="10.88"/>
    <s v="SAV"/>
    <s v="FOUCRAS Bernard "/>
  </r>
  <r>
    <n v="26625"/>
    <s v="ECF"/>
    <s v="MEZLOY"/>
    <s v="HASSANE"/>
    <x v="0"/>
    <x v="1"/>
    <x v="22"/>
    <n v="14"/>
    <n v="1000"/>
    <n v="100"/>
    <n v="7.25"/>
    <n v="10.88"/>
    <s v="EIE"/>
    <s v="PASTRE Sylvain"/>
  </r>
  <r>
    <n v="26720"/>
    <s v="ECF"/>
    <s v="MOREAU"/>
    <s v="THIERRY"/>
    <x v="0"/>
    <x v="1"/>
    <x v="21"/>
    <n v="2"/>
    <n v="1000"/>
    <n v="100"/>
    <n v="7.25"/>
    <n v="10.88"/>
    <s v="EIE"/>
    <s v="PASTRE Sylvain"/>
  </r>
  <r>
    <n v="20265"/>
    <s v="SAR"/>
    <s v="MORIGAULT"/>
    <s v="LIONEL"/>
    <x v="0"/>
    <x v="0"/>
    <x v="23"/>
    <n v="28"/>
    <n v="1000"/>
    <n v="100"/>
    <n v="7.25"/>
    <n v="10.88"/>
    <s v="SAV"/>
    <s v="FOUCRAS Bernard "/>
  </r>
  <r>
    <n v="26679"/>
    <s v="PPS"/>
    <s v="MUNOZ"/>
    <s v="CHRISTIAN"/>
    <x v="0"/>
    <x v="0"/>
    <x v="18"/>
    <n v="3"/>
    <n v="1000"/>
    <n v="100"/>
    <n v="7.25"/>
    <n v="10.88"/>
    <s v="P&amp;S"/>
    <s v="TRIPON Xavier "/>
  </r>
  <r>
    <n v="26709"/>
    <s v="DGE"/>
    <s v="MUNOZ"/>
    <s v="VIRGINIE"/>
    <x v="1"/>
    <x v="1"/>
    <x v="26"/>
    <n v="10"/>
    <n v="1000"/>
    <n v="100"/>
    <n v="7.25"/>
    <n v="10.88"/>
    <s v="DGE"/>
    <s v="MALPHETTES Guillaume"/>
  </r>
  <r>
    <n v="26233"/>
    <s v="PPS"/>
    <s v="MYHIE"/>
    <s v="ALAIN"/>
    <x v="0"/>
    <x v="1"/>
    <x v="1"/>
    <n v="21"/>
    <n v="1000"/>
    <n v="100"/>
    <n v="7.25"/>
    <n v="10.88"/>
    <s v="P&amp;S"/>
    <s v="TRIPON Xavier "/>
  </r>
  <r>
    <n v="26234"/>
    <s v="PPS"/>
    <s v="NAKACHE"/>
    <s v="SYLVIE"/>
    <x v="1"/>
    <x v="0"/>
    <x v="32"/>
    <n v="33"/>
    <n v="1000"/>
    <n v="100"/>
    <n v="7.25"/>
    <n v="10.88"/>
    <s v="P&amp;S"/>
    <s v="TRIPON Xavier "/>
  </r>
  <r>
    <n v="26724"/>
    <s v="ESE"/>
    <s v="NGUELET"/>
    <s v="FELICIEN"/>
    <x v="0"/>
    <x v="1"/>
    <x v="9"/>
    <n v="2"/>
    <n v="1000"/>
    <n v="100"/>
    <n v="7.25"/>
    <n v="10.88"/>
    <s v="SANITARY"/>
    <s v="CARTIER Laurent"/>
  </r>
  <r>
    <n v="26236"/>
    <s v="PPS"/>
    <s v="NICOLAS"/>
    <s v="CLAUDE"/>
    <x v="0"/>
    <x v="1"/>
    <x v="12"/>
    <n v="33"/>
    <n v="1000"/>
    <n v="100"/>
    <n v="7.25"/>
    <n v="10.88"/>
    <s v="P&amp;S"/>
    <s v="TRIPON Xavier "/>
  </r>
  <r>
    <n v="26700"/>
    <s v="PEE"/>
    <s v="NILSSON"/>
    <s v="FREDERIK"/>
    <x v="0"/>
    <x v="1"/>
    <x v="21"/>
    <n v="2"/>
    <n v="1000"/>
    <n v="100"/>
    <n v="7.25"/>
    <n v="10.88"/>
    <s v="PTD CS"/>
    <s v="MELCHIOR Pierre-Yves"/>
  </r>
  <r>
    <n v="26741"/>
    <s v="PLS"/>
    <s v="ORIEZ"/>
    <s v="VINCENT"/>
    <x v="0"/>
    <x v="1"/>
    <x v="33"/>
    <n v="0"/>
    <n v="1000"/>
    <n v="100"/>
    <n v="7.25"/>
    <n v="10.88"/>
    <s v="PTD CS"/>
    <s v="MAILLET Patrice "/>
  </r>
  <r>
    <n v="26547"/>
    <s v="ADV"/>
    <s v="PAQUET"/>
    <s v="SYLVIE"/>
    <x v="1"/>
    <x v="1"/>
    <x v="11"/>
    <n v="9"/>
    <n v="1000"/>
    <n v="100"/>
    <n v="7.25"/>
    <n v="10.88"/>
    <s v="ADV"/>
    <s v="BARATIER Amandine"/>
  </r>
  <r>
    <n v="26678"/>
    <s v="EMC"/>
    <s v="PARDELINHA"/>
    <s v="PASCAL"/>
    <x v="0"/>
    <x v="1"/>
    <x v="35"/>
    <n v="3"/>
    <n v="1000"/>
    <n v="100"/>
    <n v="7.25"/>
    <n v="10.88"/>
    <s v="PTD CS"/>
    <s v="FRANCO Michel"/>
  </r>
  <r>
    <n v="26626"/>
    <s v="ECF"/>
    <s v="PASTRE"/>
    <s v="SYLVAIN"/>
    <x v="0"/>
    <x v="1"/>
    <x v="16"/>
    <n v="15"/>
    <n v="1000"/>
    <n v="100"/>
    <n v="7.25"/>
    <n v="10.88"/>
    <s v="EIE"/>
    <s v="PASTRE Sylvain"/>
  </r>
  <r>
    <n v="26611"/>
    <s v="ECF"/>
    <s v="PELLETIER"/>
    <s v="THIERRY"/>
    <x v="0"/>
    <x v="1"/>
    <x v="8"/>
    <n v="6"/>
    <n v="1000"/>
    <n v="100"/>
    <n v="7.25"/>
    <n v="10.88"/>
    <s v="EIE"/>
    <s v="PASTRE Sylvain"/>
  </r>
  <r>
    <n v="26628"/>
    <s v="ECF"/>
    <s v="PERTU"/>
    <s v="MICKAEL"/>
    <x v="0"/>
    <x v="1"/>
    <x v="26"/>
    <n v="8"/>
    <n v="1000"/>
    <n v="100"/>
    <n v="7.25"/>
    <n v="10.88"/>
    <s v="EIE"/>
    <s v="PASTRE Sylvain"/>
  </r>
  <r>
    <n v="20540"/>
    <s v="PEE"/>
    <s v="PHILIPPE"/>
    <s v="PATRICK"/>
    <x v="0"/>
    <x v="1"/>
    <x v="13"/>
    <n v="28"/>
    <n v="1000"/>
    <n v="100"/>
    <n v="7.25"/>
    <n v="10.88"/>
    <s v="PTD CS"/>
    <s v="MELCHIOR Pierre-Yves"/>
  </r>
  <r>
    <n v="26629"/>
    <s v="EPS"/>
    <s v="PILAT"/>
    <s v="YVES"/>
    <x v="0"/>
    <x v="1"/>
    <x v="23"/>
    <n v="15"/>
    <n v="1000"/>
    <n v="100"/>
    <n v="7.25"/>
    <n v="10.88"/>
    <s v="P&amp;S"/>
    <s v="SERRANO Olivier"/>
  </r>
  <r>
    <n v="26352"/>
    <n v="12"/>
    <s v="PIOT"/>
    <s v="MARC"/>
    <x v="0"/>
    <x v="1"/>
    <x v="11"/>
    <n v="18"/>
    <n v="1000"/>
    <n v="100"/>
    <n v="7.25"/>
    <n v="10.88"/>
    <s v="SSO"/>
    <s v="PIOT Marc"/>
  </r>
  <r>
    <n v="26748"/>
    <s v="SAR"/>
    <s v="POULIN"/>
    <s v="MURIEL"/>
    <x v="1"/>
    <x v="0"/>
    <x v="19"/>
    <n v="0"/>
    <n v="1000"/>
    <n v="100"/>
    <n v="7.25"/>
    <n v="10.88"/>
    <s v="SAV"/>
    <s v="FOUCRAS Bernard "/>
  </r>
  <r>
    <n v="26594"/>
    <n v="104"/>
    <s v="POUVESLE"/>
    <s v="BENOIT"/>
    <x v="0"/>
    <x v="1"/>
    <x v="6"/>
    <n v="7"/>
    <n v="1000"/>
    <n v="100"/>
    <n v="7.25"/>
    <n v="10.88"/>
    <s v="DETACHES"/>
    <s v="N/A"/>
  </r>
  <r>
    <n v="11126"/>
    <n v="26"/>
    <s v="QUILY"/>
    <s v="DIDIER"/>
    <x v="0"/>
    <x v="1"/>
    <x v="23"/>
    <n v="34"/>
    <n v="1000"/>
    <n v="100"/>
    <n v="7.25"/>
    <n v="10.88"/>
    <s v="ACHATS"/>
    <s v="POIT Marc"/>
  </r>
  <r>
    <n v="26682"/>
    <s v="SAR"/>
    <s v="RACINE"/>
    <s v="JEAN CLAUDE"/>
    <x v="0"/>
    <x v="0"/>
    <x v="17"/>
    <n v="3"/>
    <n v="1000"/>
    <n v="100"/>
    <n v="7.25"/>
    <n v="10.88"/>
    <s v="SAV"/>
    <s v="FOUCRAS Bernard "/>
  </r>
  <r>
    <n v="26657"/>
    <s v="PFT"/>
    <s v="RAPILLY"/>
    <s v="CAROLE"/>
    <x v="1"/>
    <x v="1"/>
    <x v="15"/>
    <n v="4"/>
    <n v="1000"/>
    <n v="100"/>
    <n v="7.25"/>
    <n v="10.88"/>
    <s v="PTD CS"/>
    <s v="D'ANGLEVILLE Ghyslain "/>
  </r>
  <r>
    <n v="26572"/>
    <s v="PEE"/>
    <s v="RAPIN"/>
    <s v="STEPHANIE"/>
    <x v="1"/>
    <x v="0"/>
    <x v="31"/>
    <n v="8"/>
    <n v="1000"/>
    <n v="100"/>
    <n v="7.25"/>
    <n v="10.88"/>
    <s v="PTD CS"/>
    <s v="MELCHIOR Pierre-Yves"/>
  </r>
  <r>
    <n v="26654"/>
    <s v="PPS"/>
    <s v="ROBIN"/>
    <s v="ETIENNE"/>
    <x v="0"/>
    <x v="1"/>
    <x v="3"/>
    <n v="5"/>
    <n v="1000"/>
    <n v="100"/>
    <n v="7.25"/>
    <n v="10.88"/>
    <s v="P&amp;S"/>
    <s v="TRIPON Xavier "/>
  </r>
  <r>
    <n v="26663"/>
    <s v="REA"/>
    <s v="ROLLAND"/>
    <s v="YANNICK"/>
    <x v="0"/>
    <x v="1"/>
    <x v="35"/>
    <n v="4"/>
    <n v="1000"/>
    <n v="100"/>
    <n v="7.25"/>
    <n v="10.88"/>
    <s v="Equipe projets"/>
    <s v="JAMAULT Xavier "/>
  </r>
  <r>
    <n v="26718"/>
    <s v="ADV"/>
    <s v="ROULLET"/>
    <s v="NATHALIE"/>
    <x v="1"/>
    <x v="0"/>
    <x v="4"/>
    <n v="2"/>
    <n v="1000"/>
    <n v="100"/>
    <n v="7.25"/>
    <n v="10.88"/>
    <s v="ADV"/>
    <s v="BARATIER Amandine"/>
  </r>
  <r>
    <n v="26703"/>
    <s v="CSC"/>
    <s v="ROUSSILLON"/>
    <s v="DENIS"/>
    <x v="0"/>
    <x v="0"/>
    <x v="4"/>
    <n v="2"/>
    <n v="1000"/>
    <n v="100"/>
    <n v="7.25"/>
    <n v="10.88"/>
    <s v="ALFARESPONSE"/>
    <s v="MARTINEZ Marie"/>
  </r>
  <r>
    <n v="26722"/>
    <s v="REA"/>
    <s v="ROY"/>
    <s v="LOUISON"/>
    <x v="0"/>
    <x v="1"/>
    <x v="27"/>
    <n v="2"/>
    <n v="1000"/>
    <n v="100"/>
    <n v="7.25"/>
    <n v="10.88"/>
    <s v="Equipe projets"/>
    <s v="JAMAULT Xavier "/>
  </r>
  <r>
    <n v="15253"/>
    <s v="PFT"/>
    <s v="RUEF"/>
    <s v="PIERRE"/>
    <x v="0"/>
    <x v="1"/>
    <x v="0"/>
    <n v="32"/>
    <n v="1000"/>
    <n v="100"/>
    <n v="7.25"/>
    <n v="10.88"/>
    <s v="PTD CS"/>
    <s v="D'ANGLEVILLE Ghyslain "/>
  </r>
  <r>
    <n v="26688"/>
    <s v="PPS"/>
    <s v="SALERY"/>
    <s v="FLAVIEN"/>
    <x v="0"/>
    <x v="0"/>
    <x v="25"/>
    <n v="3"/>
    <n v="1000"/>
    <n v="100"/>
    <n v="7.25"/>
    <n v="10.88"/>
    <s v="P&amp;S"/>
    <s v="TRIPON Xavier "/>
  </r>
  <r>
    <n v="26723"/>
    <s v="ECF"/>
    <s v="SANCHEZ"/>
    <s v="NICOLAS"/>
    <x v="0"/>
    <x v="1"/>
    <x v="18"/>
    <n v="2"/>
    <n v="1000"/>
    <n v="100"/>
    <n v="7.25"/>
    <n v="10.88"/>
    <s v="EIE"/>
    <s v="PASTRE Sylvain"/>
  </r>
  <r>
    <n v="26577"/>
    <s v="PPI"/>
    <s v="SARBAEK"/>
    <s v="LENE"/>
    <x v="1"/>
    <x v="1"/>
    <x v="31"/>
    <n v="7"/>
    <n v="1000"/>
    <n v="100"/>
    <n v="7.25"/>
    <n v="10.88"/>
    <s v="PTD CS"/>
    <s v="BRICHANT Damien "/>
  </r>
  <r>
    <n v="26695"/>
    <s v="MAG"/>
    <s v="SEGALAT"/>
    <s v="REGIS"/>
    <x v="0"/>
    <x v="0"/>
    <x v="19"/>
    <n v="14"/>
    <n v="1000"/>
    <n v="100"/>
    <n v="7.25"/>
    <n v="10.88"/>
    <s v="ADV"/>
    <s v="BARATIER Amandine"/>
  </r>
  <r>
    <n v="26408"/>
    <s v="EPS"/>
    <s v="SERRANO"/>
    <s v="OLIVIER"/>
    <x v="0"/>
    <x v="1"/>
    <x v="21"/>
    <n v="17"/>
    <n v="1000"/>
    <n v="100"/>
    <n v="7.25"/>
    <n v="10.88"/>
    <s v="P&amp;S"/>
    <s v="SERRANO Olivier"/>
  </r>
  <r>
    <n v="26659"/>
    <s v="EFU"/>
    <s v="SOPRANI"/>
    <s v="CEDRIC"/>
    <x v="0"/>
    <x v="1"/>
    <x v="35"/>
    <n v="4"/>
    <n v="1000"/>
    <n v="100"/>
    <n v="7.25"/>
    <n v="10.88"/>
    <s v="EIE"/>
    <s v="DELORME Pierre"/>
  </r>
  <r>
    <n v="26630"/>
    <s v="ECF"/>
    <s v="TESSIER"/>
    <s v="DIDIER"/>
    <x v="0"/>
    <x v="1"/>
    <x v="13"/>
    <n v="8"/>
    <n v="1000"/>
    <n v="100"/>
    <n v="7.25"/>
    <n v="10.88"/>
    <s v="EIE"/>
    <s v="PASTRE Sylvain"/>
  </r>
  <r>
    <n v="26671"/>
    <s v="PEE"/>
    <s v="TONIELLO"/>
    <s v="OLIVIER"/>
    <x v="0"/>
    <x v="1"/>
    <x v="19"/>
    <n v="3"/>
    <n v="1000"/>
    <n v="100"/>
    <n v="7.25"/>
    <n v="10.88"/>
    <s v="PTD CS"/>
    <s v="MELCHIOR Pierre-Yves"/>
  </r>
  <r>
    <n v="26299"/>
    <s v="PPI"/>
    <s v="TOSSEYN"/>
    <s v="WILFRIED"/>
    <x v="0"/>
    <x v="1"/>
    <x v="0"/>
    <n v="20"/>
    <n v="1000"/>
    <n v="100"/>
    <n v="7.25"/>
    <n v="10.88"/>
    <s v="PTD CS"/>
    <s v="BRICHANT Damien "/>
  </r>
  <r>
    <n v="26569"/>
    <s v="PPS"/>
    <s v="TRIPON"/>
    <s v="XAVIER"/>
    <x v="0"/>
    <x v="1"/>
    <x v="36"/>
    <n v="21"/>
    <n v="1000"/>
    <n v="100"/>
    <n v="7.25"/>
    <n v="10.88"/>
    <s v="P&amp;S"/>
    <s v="TRIPON Xavier "/>
  </r>
  <r>
    <n v="26708"/>
    <s v="SAR"/>
    <s v="VAN CASSEL"/>
    <s v="DOMINIQUE"/>
    <x v="0"/>
    <x v="0"/>
    <x v="13"/>
    <n v="2"/>
    <n v="1000"/>
    <n v="100"/>
    <n v="7.25"/>
    <n v="10.88"/>
    <s v="SAV"/>
    <s v="FOUCRAS Bernard "/>
  </r>
  <r>
    <n v="26638"/>
    <s v="ECF"/>
    <s v="VIDAL"/>
    <s v="DAMIEN"/>
    <x v="0"/>
    <x v="1"/>
    <x v="15"/>
    <n v="5"/>
    <n v="1000"/>
    <n v="100"/>
    <n v="7.25"/>
    <n v="10.88"/>
    <s v="EIE"/>
    <s v="PASTRE Sylvain"/>
  </r>
  <r>
    <n v="26689"/>
    <s v="CSC"/>
    <s v="VOUILLON"/>
    <s v="ANTHONY"/>
    <x v="0"/>
    <x v="0"/>
    <x v="25"/>
    <n v="3"/>
    <n v="1000"/>
    <n v="100"/>
    <n v="7.25"/>
    <n v="10.88"/>
    <s v="ALFARESPONSE"/>
    <s v="MARTINEZ Marie"/>
  </r>
  <r>
    <n v="26721"/>
    <n v="12"/>
    <s v="WEBER"/>
    <s v="BEATRICE"/>
    <x v="1"/>
    <x v="1"/>
    <x v="19"/>
    <n v="2"/>
    <n v="1000"/>
    <n v="100"/>
    <n v="7.25"/>
    <n v="10.88"/>
    <s v="SSO"/>
    <s v="PIOT Marc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8:E47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9"/>
    <field x="18"/>
  </rowFields>
  <rowItems count="8">
    <i>
      <x/>
    </i>
    <i r="1">
      <x/>
    </i>
    <i>
      <x v="1"/>
    </i>
    <i r="1">
      <x v="1"/>
    </i>
    <i r="1">
      <x v="2"/>
    </i>
    <i>
      <x v="2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6">
    <format dxfId="136">
      <pivotArea outline="0" collapsedLevelsAreSubtotals="1" fieldPosition="0"/>
    </format>
    <format dxfId="135">
      <pivotArea dataOnly="0" labelOnly="1" fieldPosition="0">
        <references count="1">
          <reference field="19" count="0"/>
        </references>
      </pivotArea>
    </format>
    <format dxfId="134">
      <pivotArea dataOnly="0" labelOnly="1" fieldPosition="0">
        <references count="2">
          <reference field="18" count="0"/>
          <reference field="19" count="1" selected="0">
            <x v="0"/>
          </reference>
        </references>
      </pivotArea>
    </format>
    <format dxfId="133">
      <pivotArea grandRow="1" outline="0" collapsedLevelsAreSubtotals="1" fieldPosition="0"/>
    </format>
    <format dxfId="132">
      <pivotArea dataOnly="0" labelOnly="1" grandRow="1" outline="0" fieldPosition="0"/>
    </format>
    <format dxfId="131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21:E30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sd="0" x="6"/>
        <item t="default"/>
      </items>
    </pivotField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15">
    <format dxfId="151">
      <pivotArea dataOnly="0" grandRow="1" axis="axisRow" fieldPosition="0"/>
    </format>
    <format dxfId="150">
      <pivotArea dataOnly="0" grandRow="1" axis="axisRow" fieldPosition="0"/>
    </format>
    <format dxfId="149">
      <pivotArea grandRow="1" outline="0" collapsedLevelsAreSubtotals="1" fieldPosition="0"/>
    </format>
    <format dxfId="148">
      <pivotArea dataOnly="0" labelOnly="1" grandRow="1" outline="0" fieldPosition="0"/>
    </format>
    <format dxfId="147">
      <pivotArea grandRow="1" outline="0" collapsedLevelsAreSubtotals="1" fieldPosition="0"/>
    </format>
    <format dxfId="146">
      <pivotArea dataOnly="0" labelOnly="1" grandRow="1" outline="0" fieldPosition="0"/>
    </format>
    <format dxfId="145">
      <pivotArea collapsedLevelsAreSubtotals="1" fieldPosition="0">
        <references count="1">
          <reference field="6" count="0"/>
        </references>
      </pivotArea>
    </format>
    <format dxfId="144">
      <pivotArea dataOnly="0" labelOnly="1" fieldPosition="0">
        <references count="1">
          <reference field="6" count="0"/>
        </references>
      </pivotArea>
    </format>
    <format dxfId="143">
      <pivotArea grandRow="1" outline="0" collapsedLevelsAreSubtotals="1" fieldPosition="0"/>
    </format>
    <format dxfId="142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41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40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39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38">
      <pivotArea grandRow="1" outline="0" collapsedLevelsAreSubtotals="1" fieldPosition="0"/>
    </format>
    <format dxfId="137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8:E13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7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11">
    <format dxfId="162">
      <pivotArea dataOnly="0" grandRow="1" axis="axisRow" fieldPosition="0"/>
    </format>
    <format dxfId="161">
      <pivotArea dataOnly="0" grandRow="1" axis="axisRow" fieldPosition="0"/>
    </format>
    <format dxfId="160">
      <pivotArea grandRow="1" outline="0" collapsedLevelsAreSubtotals="1" fieldPosition="0"/>
    </format>
    <format dxfId="159">
      <pivotArea dataOnly="0" labelOnly="1" grandRow="1" outline="0" fieldPosition="0"/>
    </format>
    <format dxfId="158">
      <pivotArea grandRow="1" outline="0" collapsedLevelsAreSubtotals="1" fieldPosition="0"/>
    </format>
    <format dxfId="157">
      <pivotArea dataOnly="0" labelOnly="1" grandRow="1" outline="0" fieldPosition="0"/>
    </format>
    <format dxfId="156">
      <pivotArea grandRow="1" outline="0" collapsedLevelsAreSubtotals="1" fieldPosition="0"/>
    </format>
    <format dxfId="155">
      <pivotArea collapsedLevelsAreSubtotals="1" fieldPosition="0">
        <references count="1">
          <reference field="17" count="0"/>
        </references>
      </pivotArea>
    </format>
    <format dxfId="154">
      <pivotArea dataOnly="0" labelOnly="1" fieldPosition="0">
        <references count="1">
          <reference field="17" count="0"/>
        </references>
      </pivotArea>
    </format>
    <format dxfId="153">
      <pivotArea collapsedLevelsAreSubtotals="1" fieldPosition="0">
        <references count="1">
          <reference field="17" count="0"/>
        </references>
      </pivotArea>
    </format>
    <format dxfId="152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9:B16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16">
    <format dxfId="84">
      <pivotArea dataOnly="0" grandRow="1" axis="axisRow" fieldPosition="0"/>
    </format>
    <format dxfId="83">
      <pivotArea dataOnly="0" grandRow="1" axis="axisRow" fieldPosition="0"/>
    </format>
    <format dxfId="82">
      <pivotArea collapsedLevelsAreSubtotals="1" fieldPosition="0">
        <references count="1">
          <reference field="6" count="0"/>
        </references>
      </pivotArea>
    </format>
    <format dxfId="81">
      <pivotArea dataOnly="0" labelOnly="1" fieldPosition="0">
        <references count="1">
          <reference field="6" count="0"/>
        </references>
      </pivotArea>
    </format>
    <format dxfId="80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79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78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77">
      <pivotArea dataOnly="0" labelOnly="1" fieldPosition="0">
        <references count="1">
          <reference field="6" count="0"/>
        </references>
      </pivotArea>
    </format>
    <format dxfId="76">
      <pivotArea grandRow="1" outline="0" collapsedLevelsAreSubtotals="1" fieldPosition="0"/>
    </format>
    <format dxfId="75">
      <pivotArea dataOnly="0" labelOnly="1" grandRow="1" outline="0" fieldPosition="0"/>
    </format>
    <format dxfId="74">
      <pivotArea grandRow="1" outline="0" collapsedLevelsAreSubtotals="1" fieldPosition="0"/>
    </format>
    <format dxfId="73">
      <pivotArea grandRow="1" outline="0" collapsedLevelsAreSubtotals="1" fieldPosition="0"/>
    </format>
    <format dxfId="72">
      <pivotArea grandRow="1" outline="0" collapsedLevelsAreSubtotals="1" fieldPosition="0"/>
    </format>
    <format dxfId="71">
      <pivotArea grandRow="1" outline="0" collapsedLevelsAreSubtotals="1" fieldPosition="0"/>
    </format>
    <format dxfId="70">
      <pivotArea dataOnly="0" labelOnly="1" grandRow="1" outline="0" fieldPosition="0"/>
    </format>
    <format dxfId="69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A46:B49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axis="axisRow" showAll="0">
      <items count="4">
        <item h="1" sd="0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8">
    <format dxfId="92">
      <pivotArea outline="0" collapsedLevelsAreSubtotals="1" fieldPosition="0"/>
    </format>
    <format dxfId="91">
      <pivotArea dataOnly="0" labelOnly="1" fieldPosition="0">
        <references count="1">
          <reference field="19" count="0"/>
        </references>
      </pivotArea>
    </format>
    <format dxfId="90">
      <pivotArea collapsedLevelsAreSubtotals="1" fieldPosition="0">
        <references count="1">
          <reference field="19" count="0"/>
        </references>
      </pivotArea>
    </format>
    <format dxfId="89">
      <pivotArea dataOnly="0" labelOnly="1" fieldPosition="0">
        <references count="1">
          <reference field="19" count="0"/>
        </references>
      </pivotArea>
    </format>
    <format dxfId="88">
      <pivotArea collapsedLevelsAreSubtotals="1" fieldPosition="0">
        <references count="1">
          <reference field="19" count="0"/>
        </references>
      </pivotArea>
    </format>
    <format dxfId="87">
      <pivotArea dataOnly="0" labelOnly="1" fieldPosition="0">
        <references count="1">
          <reference field="19" count="0"/>
        </references>
      </pivotArea>
    </format>
    <format dxfId="86">
      <pivotArea grandRow="1" outline="0" collapsedLevelsAreSubtotals="1" fieldPosition="0"/>
    </format>
    <format dxfId="85">
      <pivotArea dataOnly="0" labelOnly="1" grandRow="1" outline="0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1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90:B9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5">
    <format dxfId="97">
      <pivotArea outline="0" collapsedLevelsAreSubtotals="1" fieldPosition="0"/>
    </format>
    <format dxfId="96">
      <pivotArea collapsedLevelsAreSubtotals="1" fieldPosition="0">
        <references count="1">
          <reference field="18" count="0"/>
        </references>
      </pivotArea>
    </format>
    <format dxfId="95">
      <pivotArea dataOnly="0" labelOnly="1" fieldPosition="0">
        <references count="1">
          <reference field="18" count="0"/>
        </references>
      </pivotArea>
    </format>
    <format dxfId="94">
      <pivotArea grandRow="1" outline="0" collapsedLevelsAreSubtotals="1" fieldPosition="0"/>
    </format>
    <format dxfId="93">
      <pivotArea dataOnly="0" labelOnly="1" grandRow="1" outline="0" fieldPosition="0"/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eau croisé dynamique2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108:B12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axis="axisRow" showAll="0">
      <items count="22">
        <item x="2"/>
        <item x="3"/>
        <item x="14"/>
        <item x="7"/>
        <item x="13"/>
        <item x="20"/>
        <item x="17"/>
        <item x="16"/>
        <item x="18"/>
        <item x="0"/>
        <item x="5"/>
        <item x="15"/>
        <item x="6"/>
        <item x="9"/>
        <item x="10"/>
        <item x="12"/>
        <item x="11"/>
        <item x="8"/>
        <item x="1"/>
        <item x="4"/>
        <item x="19"/>
        <item t="default"/>
      </items>
    </pivotField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15">
    <i>
      <x v="2"/>
    </i>
    <i>
      <x v="3"/>
    </i>
    <i>
      <x v="4"/>
    </i>
    <i>
      <x v="7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9">
    <format dxfId="106">
      <pivotArea dataOnly="0" grandRow="1" axis="axisRow" fieldPosition="0"/>
    </format>
    <format dxfId="105">
      <pivotArea dataOnly="0" grandRow="1" axis="axisRow" fieldPosition="0"/>
    </format>
    <format dxfId="104">
      <pivotArea grandRow="1" outline="0" collapsedLevelsAreSubtotals="1" fieldPosition="0"/>
    </format>
    <format dxfId="103">
      <pivotArea dataOnly="0" labelOnly="1" grandRow="1" outline="0" fieldPosition="0"/>
    </format>
    <format dxfId="102">
      <pivotArea grandRow="1" outline="0" collapsedLevelsAreSubtotals="1" fieldPosition="0"/>
    </format>
    <format dxfId="101">
      <pivotArea dataOnly="0" labelOnly="1" grandRow="1" outline="0" fieldPosition="0"/>
    </format>
    <format dxfId="100">
      <pivotArea grandRow="1" outline="0" collapsedLevelsAreSubtotals="1" fieldPosition="0"/>
    </format>
    <format dxfId="99">
      <pivotArea collapsedLevelsAreSubtotals="1" fieldPosition="0">
        <references count="1">
          <reference field="9" count="14">
            <x v="2"/>
            <x v="3"/>
            <x v="4"/>
            <x v="7"/>
            <x v="10"/>
            <x v="11"/>
            <x v="12"/>
            <x v="13"/>
            <x v="14"/>
            <x v="15"/>
            <x v="16"/>
            <x v="17"/>
            <x v="19"/>
            <x v="20"/>
          </reference>
        </references>
      </pivotArea>
    </format>
    <format dxfId="98">
      <pivotArea dataOnly="0" labelOnly="1" fieldPosition="0">
        <references count="1">
          <reference field="9" count="14">
            <x v="2"/>
            <x v="3"/>
            <x v="4"/>
            <x v="7"/>
            <x v="10"/>
            <x v="11"/>
            <x v="12"/>
            <x v="13"/>
            <x v="14"/>
            <x v="15"/>
            <x v="16"/>
            <x v="17"/>
            <x v="19"/>
            <x v="2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5">
  <location ref="A27:B34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13">
    <format dxfId="119">
      <pivotArea dataOnly="0" grandRow="1" axis="axisRow" fieldPosition="0"/>
    </format>
    <format dxfId="118">
      <pivotArea dataOnly="0" grandRow="1" axis="axisRow" fieldPosition="0"/>
    </format>
    <format dxfId="117">
      <pivotArea grandRow="1" outline="0" collapsedLevelsAreSubtotals="1" fieldPosition="0"/>
    </format>
    <format dxfId="116">
      <pivotArea dataOnly="0" labelOnly="1" grandRow="1" outline="0" fieldPosition="0"/>
    </format>
    <format dxfId="115">
      <pivotArea grandRow="1" outline="0" collapsedLevelsAreSubtotals="1" fieldPosition="0"/>
    </format>
    <format dxfId="114">
      <pivotArea dataOnly="0" labelOnly="1" grandRow="1" outline="0" fieldPosition="0"/>
    </format>
    <format dxfId="113">
      <pivotArea collapsedLevelsAreSubtotals="1" fieldPosition="0">
        <references count="1">
          <reference field="6" count="0"/>
        </references>
      </pivotArea>
    </format>
    <format dxfId="112">
      <pivotArea dataOnly="0" labelOnly="1" fieldPosition="0">
        <references count="1">
          <reference field="6" count="0"/>
        </references>
      </pivotArea>
    </format>
    <format dxfId="111">
      <pivotArea grandRow="1" outline="0" collapsedLevelsAreSubtotals="1" fieldPosition="0"/>
    </format>
    <format dxfId="110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09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08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07">
      <pivotArea dataOnly="0" labelOnly="1" fieldPosition="0">
        <references count="1">
          <reference field="6" count="0"/>
        </references>
      </pivotArea>
    </format>
  </formats>
  <chartFormats count="1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eau croisé dynamique1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124">
      <pivotArea outline="0" collapsedLevelsAreSubtotals="1" fieldPosition="0"/>
    </format>
    <format dxfId="123">
      <pivotArea collapsedLevelsAreSubtotals="1" fieldPosition="0">
        <references count="1">
          <reference field="18" count="0"/>
        </references>
      </pivotArea>
    </format>
    <format dxfId="122">
      <pivotArea dataOnly="0" labelOnly="1" fieldPosition="0">
        <references count="1">
          <reference field="18" count="0"/>
        </references>
      </pivotArea>
    </format>
    <format dxfId="121">
      <pivotArea grandRow="1" outline="0" collapsedLevelsAreSubtotals="1" fieldPosition="0"/>
    </format>
    <format dxfId="120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eau croisé dynamique10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60:B6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axis="axisRow" showAll="0">
      <items count="4">
        <item h="1" sd="0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6">
    <format dxfId="130">
      <pivotArea outline="0" collapsedLevelsAreSubtotals="1" fieldPosition="0"/>
    </format>
    <format dxfId="129">
      <pivotArea dataOnly="0" labelOnly="1" fieldPosition="0">
        <references count="1">
          <reference field="19" count="0"/>
        </references>
      </pivotArea>
    </format>
    <format dxfId="128">
      <pivotArea collapsedLevelsAreSubtotals="1" fieldPosition="0">
        <references count="1">
          <reference field="19" count="0"/>
        </references>
      </pivotArea>
    </format>
    <format dxfId="127">
      <pivotArea dataOnly="0" labelOnly="1" fieldPosition="0">
        <references count="1">
          <reference field="19" count="0"/>
        </references>
      </pivotArea>
    </format>
    <format dxfId="126">
      <pivotArea grandRow="1" outline="0" collapsedLevelsAreSubtotals="1" fieldPosition="0"/>
    </format>
    <format dxfId="125">
      <pivotArea dataOnly="0" labelOnly="1" grandRow="1" outline="0" fieldPosition="0"/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eau croisé dynamique18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1:D16" firstHeaderRow="1" firstDataRow="2" firstDataCol="1"/>
  <pivotFields count="14">
    <pivotField dataField="1"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4">
    <i>
      <x/>
    </i>
    <i>
      <x v="1"/>
    </i>
    <i>
      <x v="2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Matricule" fld="0" subtotal="count" baseField="0" baseItem="0"/>
  </dataFields>
  <formats count="1">
    <format dxfId="6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eau croisé dynamique2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7:E41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multipleItemSelectionAllowed="1" showAll="0">
      <items count="4">
        <item x="1"/>
        <item h="1" x="2"/>
        <item x="0"/>
        <item t="default"/>
      </items>
    </pivotField>
    <pivotField axis="axisPage" multipleItemSelectionAllowed="1" showAll="0">
      <items count="6">
        <item x="0"/>
        <item x="1"/>
        <item x="3"/>
        <item x="2"/>
        <item x="4"/>
        <item t="default"/>
      </items>
    </pivotField>
    <pivotField axis="axisCol" multipleItemSelectionAllowed="1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3">
    <i>
      <x/>
    </i>
    <i>
      <x v="2"/>
    </i>
    <i t="grand">
      <x/>
    </i>
  </rowItems>
  <colFields count="1">
    <field x="16"/>
  </colFields>
  <colItems count="4">
    <i>
      <x/>
    </i>
    <i>
      <x v="1"/>
    </i>
    <i>
      <x v="2"/>
    </i>
    <i t="grand">
      <x/>
    </i>
  </colItems>
  <pageFields count="1">
    <pageField fld="15" hier="-1"/>
  </pageFields>
  <dataFields count="1">
    <dataField name="Nombre de Validation_x000a_(Oui/Non)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ableau croisé dynamique20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12:I15" firstHeaderRow="1" firstDataRow="1" firstDataCol="1" rowPageCount="1" colPageCount="1"/>
  <pivotFields count="14">
    <pivotField dataField="1" showAll="0"/>
    <pivotField showAll="0"/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axis="axisPage" multipleItemSelectionAllowed="1" showAll="0">
      <items count="38">
        <item h="1" x="29"/>
        <item h="1" x="2"/>
        <item h="1" x="33"/>
        <item h="1" x="25"/>
        <item h="1" x="27"/>
        <item h="1" x="35"/>
        <item h="1" x="15"/>
        <item h="1" x="18"/>
        <item h="1" x="3"/>
        <item h="1" x="26"/>
        <item h="1" x="9"/>
        <item h="1" x="31"/>
        <item h="1" x="24"/>
        <item h="1" x="6"/>
        <item h="1" x="19"/>
        <item h="1" x="4"/>
        <item h="1" x="28"/>
        <item h="1" x="17"/>
        <item h="1" x="16"/>
        <item h="1" x="22"/>
        <item h="1" x="21"/>
        <item h="1" x="8"/>
        <item h="1" x="7"/>
        <item h="1" x="11"/>
        <item h="1" x="36"/>
        <item h="1" x="20"/>
        <item x="13"/>
        <item x="30"/>
        <item x="32"/>
        <item x="1"/>
        <item x="12"/>
        <item x="34"/>
        <item x="23"/>
        <item x="0"/>
        <item x="5"/>
        <item x="10"/>
        <item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3">
    <i>
      <x/>
    </i>
    <i>
      <x v="1"/>
    </i>
    <i t="grand">
      <x/>
    </i>
  </rowItems>
  <colItems count="1">
    <i/>
  </colItems>
  <pageFields count="1">
    <pageField fld="6" hier="-1"/>
  </pageFields>
  <dataFields count="1">
    <dataField name="Nombre de Matricule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6" name="Tableau6" displayName="Tableau6" ref="A11:AC319" totalsRowShown="0" headerRowDxfId="205" dataDxfId="204">
  <autoFilter ref="A11:AC319"/>
  <tableColumns count="29">
    <tableColumn id="1" name="Service_x000a_/Division" dataDxfId="203">
      <calculatedColumnFormula>Tableau1[[#This Row],[Service]]</calculatedColumnFormula>
    </tableColumn>
    <tableColumn id="2" name="Site" dataDxfId="202">
      <calculatedColumnFormula>Tableau1[[#This Row],[Site]]</calculatedColumnFormula>
    </tableColumn>
    <tableColumn id="3" name="Manager" dataDxfId="201">
      <calculatedColumnFormula>Tableau1[[#This Row],[Manager]]</calculatedColumnFormula>
    </tableColumn>
    <tableColumn id="4" name="Matricule" dataDxfId="200">
      <calculatedColumnFormula>Tableau1[[#This Row],[Matricule]]</calculatedColumnFormula>
    </tableColumn>
    <tableColumn id="5" name="Nom" dataDxfId="199">
      <calculatedColumnFormula>Tableau1[[#This Row],[Nom]]</calculatedColumnFormula>
    </tableColumn>
    <tableColumn id="6" name="Prénom" dataDxfId="198">
      <calculatedColumnFormula>Tableau1[[#This Row],[Prénom]]</calculatedColumnFormula>
    </tableColumn>
    <tableColumn id="7" name="Axe_x000a_(Filières)" dataDxfId="197">
      <calculatedColumnFormula>Tableau1[[#This Row],[Axe
(Filières)]]</calculatedColumnFormula>
    </tableColumn>
    <tableColumn id="8" name="Intitulé" dataDxfId="196">
      <calculatedColumnFormula>Tableau1[[#This Row],[Intitulé]]</calculatedColumnFormula>
    </tableColumn>
    <tableColumn id="9" name="Priorité_x000a_mger" dataDxfId="195">
      <calculatedColumnFormula>Tableau1[[#This Row],[Priorité
mger]]</calculatedColumnFormula>
    </tableColumn>
    <tableColumn id="10" name="Organisme" dataDxfId="194">
      <calculatedColumnFormula>Tableau1[[#This Row],[Organisme]]</calculatedColumnFormula>
    </tableColumn>
    <tableColumn id="11" name="Durée_x000a_H" dataDxfId="193">
      <calculatedColumnFormula>Tableau1[[#This Row],[Durée
H]]</calculatedColumnFormula>
    </tableColumn>
    <tableColumn id="12" name="Coût_x000a_péda." dataDxfId="192">
      <calculatedColumnFormula>Tableau1[[#This Row],[Coût
péda.]]</calculatedColumnFormula>
    </tableColumn>
    <tableColumn id="13" name="Dispositif_x000a_(Plan / DIF /PP)" dataDxfId="191">
      <calculatedColumnFormula>Tableau1[[#This Row],[Dispositif
(Plan / DIF)]]</calculatedColumnFormula>
    </tableColumn>
    <tableColumn id="14" name="Axe_x000a_  (note cadrage)" dataDxfId="190">
      <calculatedColumnFormula>Tableau1[[#This Row],[Axe
  (note cadrage)]]</calculatedColumnFormula>
    </tableColumn>
    <tableColumn id="15" name="Validation_x000a_(Oui/Non)" dataDxfId="189">
      <calculatedColumnFormula>Tableau1[[#This Row],[Validation
(Oui/Non)]]</calculatedColumnFormula>
    </tableColumn>
    <tableColumn id="16" name="Calendrier de réalisation" dataDxfId="188">
      <calculatedColumnFormula>Tableau1[[#This Row],[Calendrier
de réalisation]]</calculatedColumnFormula>
    </tableColumn>
    <tableColumn id="17" name="Réalisation" dataDxfId="187"/>
    <tableColumn id="18" name="Typologie d'action" dataDxfId="186"/>
    <tableColumn id="19" name="Sexe" dataDxfId="185">
      <calculatedColumnFormula>IFERROR(VLOOKUP('Plan 2019 consolidé'!$E12,Tableau5[],COLUMN(Tableau5[[#This Row],[Sexe2]]),FALSE),"")</calculatedColumnFormula>
    </tableColumn>
    <tableColumn id="20" name="CSP" dataDxfId="184"/>
    <tableColumn id="21" name="Taux_x000a_horaire_x000a_brut" dataDxfId="183"/>
    <tableColumn id="22" name="Coûts_x000a_salariaux_x000a_chargés" dataDxfId="182"/>
    <tableColumn id="23" name="Age" dataDxfId="181">
      <calculatedColumnFormula>IFERROR(VLOOKUP('Plan 2019 consolidé'!$E12,Tableau5[],COLUMN(Tableau5[[#This Row],[Age]]),FALSE),"")</calculatedColumnFormula>
    </tableColumn>
    <tableColumn id="24" name="Ancienneté" dataDxfId="180">
      <calculatedColumnFormula>IFERROR(VLOOKUP('Plan 2019 consolidé'!$E12,Tableau5[],COLUMN(Tableau5[[#This Row],[Nombre d''années d''ancienneté dans la société]]),FALSE),"")</calculatedColumnFormula>
    </tableColumn>
    <tableColumn id="25" name="Montant Total_x000a_Financement_x000a_ADEFIM" dataDxfId="179"/>
    <tableColumn id="26" name="Financement au titre du Plan" dataDxfId="178"/>
    <tableColumn id="27" name="Financement au titre de la PP" dataDxfId="177"/>
    <tableColumn id="28" name="Financement au titre du DIF" dataDxfId="176"/>
    <tableColumn id="29" name="Frais déplac._x000a_/ héberg." dataDxfId="17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1:P319" totalsRowShown="0" headerRowDxfId="174" dataDxfId="173">
  <autoFilter ref="A11:P319"/>
  <sortState ref="A12:P484">
    <sortCondition ref="E11:E484"/>
  </sortState>
  <tableColumns count="16">
    <tableColumn id="1" name="Service" dataDxfId="41">
      <calculatedColumnFormula>IFERROR(VLOOKUP(Tableau1[Nom],Tableau5[],COLUMN(Tableau5[Definition du costing : DVC ou non DVC]),FALSE),"")</calculatedColumnFormula>
    </tableColumn>
    <tableColumn id="2" name="Site" dataDxfId="40">
      <calculatedColumnFormula>IFERROR(VLOOKUP(Tableau1[Nom],Tableau5[],COLUMN(Tableau5[Nom de la société]),FALSE),"")</calculatedColumnFormula>
    </tableColumn>
    <tableColumn id="3" name="Manager" dataDxfId="39">
      <calculatedColumnFormula>IFERROR(VLOOKUP(Tableau1[Nom],Tableau5[],COLUMN(Tableau5[Nom du manager]),FALSE),"")</calculatedColumnFormula>
    </tableColumn>
    <tableColumn id="4" name="Matricule" dataDxfId="38">
      <calculatedColumnFormula>IFERROR(VLOOKUP(Tableau1[Nom],Tableau5[],COLUMN(Tableau5[Matricule]),FALSE),"")</calculatedColumnFormula>
    </tableColumn>
    <tableColumn id="5" name="Nom" dataDxfId="172"/>
    <tableColumn id="6" name="Prénom" dataDxfId="37">
      <calculatedColumnFormula>IFERROR(VLOOKUP(Tableau1[Nom],Tableau5[],COLUMN(Tableau5[Prénom]),FALSE),"")</calculatedColumnFormula>
    </tableColumn>
    <tableColumn id="7" name="Axe_x000a_(Filières)" dataDxfId="171"/>
    <tableColumn id="8" name="Intitulé" dataDxfId="170"/>
    <tableColumn id="9" name="Priorité_x000a_mger" dataDxfId="169"/>
    <tableColumn id="10" name="Organisme" dataDxfId="168"/>
    <tableColumn id="11" name="Durée_x000a_H" dataDxfId="167"/>
    <tableColumn id="12" name="Coût_x000a_péda." dataDxfId="166"/>
    <tableColumn id="13" name="Dispositif_x000a_(Plan / DIF)" dataDxfId="165"/>
    <tableColumn id="14" name="Axe_x000a_  (note cadrage)" dataDxfId="164"/>
    <tableColumn id="15" name="Validation_x000a_(Oui/Non)" dataDxfId="163"/>
    <tableColumn id="16" name="Calendrier_x000a_de réalisation" dataDxfId="36">
      <calculatedColumnFormula>IFERROR(INDEX(Tableau2[],MATCH(Tableau1[[#This Row],[Nom]]&amp;Tableau1[[#This Row],[Intitulé]],INDEX(Tableau2[],,COLUMN(Tableau2[Clé Recherche])),0),COLUMN(Tableau2[Calendrier de réalisation])),"")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7:D11" totalsRowShown="0" headerRowDxfId="68" tableBorderDxfId="67">
  <tableColumns count="4">
    <tableColumn id="1" name="CSP"/>
    <tableColumn id="2" name="Effectif entité"/>
    <tableColumn id="3" name="Effectif en formation"/>
    <tableColumn id="4" name="Taux de formation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F7:I11" totalsRowShown="0" headerRowDxfId="66" tableBorderDxfId="65">
  <tableColumns count="4">
    <tableColumn id="1" name="CSP"/>
    <tableColumn id="2" name="Effectif _x000a_+ 50 ans entité"/>
    <tableColumn id="3" name="Effectif _x000a_+ 50 ans en formation"/>
    <tableColumn id="4" name="Taux de formation  des + 50 an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7" name="Tableau358" displayName="Tableau358" ref="A17:D21" totalsRowShown="0" headerRowDxfId="64" tableBorderDxfId="63">
  <tableColumns count="4">
    <tableColumn id="2" name="Nom - Prénom"/>
    <tableColumn id="3" name="CSP" dataDxfId="62"/>
    <tableColumn id="6" name="Emploi/métier" dataDxfId="61"/>
    <tableColumn id="4" name="Sce/Dpt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T237" totalsRowShown="0" headerRowDxfId="59" headerRowCellStyle="Normal 3" dataCellStyle="Normal 3">
  <autoFilter ref="A1:T237"/>
  <sortState ref="A2:U237">
    <sortCondition ref="A1:A237"/>
  </sortState>
  <tableColumns count="20">
    <tableColumn id="1" name="Nom de famille" dataCellStyle="Normal 3"/>
    <tableColumn id="2" name="Prénom" dataCellStyle="Normal 3"/>
    <tableColumn id="3" name="Matricule" dataDxfId="58" dataCellStyle="Normal 3"/>
    <tableColumn id="4" name="Nom du manager" dataCellStyle="Normal 3"/>
    <tableColumn id="5" name="Nom de la société" dataCellStyle="Normal 3"/>
    <tableColumn id="6" name="Nombre d'années d'ancienneté dans la société" dataCellStyle="Normal 3"/>
    <tableColumn id="7" name="Definition du costing : DVC ou non DVC" dataCellStyle="Normal 3"/>
    <tableColumn id="8" name="Code du CE (Actuellement vide)" dataCellStyle="Normal 3"/>
    <tableColumn id="9" name="Job code" dataCellStyle="Normal 3"/>
    <tableColumn id="10" name="Description du job code" dataCellStyle="Normal 3"/>
    <tableColumn id="11" name="code function + description" dataCellStyle="Normal 3"/>
    <tableColumn id="12" name="Business title" dataCellStyle="Normal 3"/>
    <tableColumn id="13" name="Classification de l'employé" dataCellStyle="Normal 3"/>
    <tableColumn id="14" name="Date de début de contrat" dataDxfId="57" dataCellStyle="Normal 3"/>
    <tableColumn id="15" name="Age" dataCellStyle="Normal 3"/>
    <tableColumn id="16" name="Sexe2" dataCellStyle="Normal 3"/>
    <tableColumn id="17" name="N° de sécurité sociale" dataDxfId="56" dataCellStyle="Normal 3"/>
    <tableColumn id="18" name="French category code" dataCellStyle="Normal 3"/>
    <tableColumn id="19" name="Description de la categorie" dataCellStyle="Normal 3"/>
    <tableColumn id="20" name="grade ou groupe de poste" dataCellStyle="Normal 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" name="Tableau2" displayName="Tableau2" ref="A1:H222" totalsRowShown="0" headerRowDxfId="55" headerRowBorderDxfId="54">
  <autoFilter ref="A1:H222"/>
  <tableColumns count="8">
    <tableColumn id="1" name="NOM"/>
    <tableColumn id="2" name="PRENOM" dataDxfId="35">
      <calculatedColumnFormula>IFERROR(VLOOKUP(Tableau2[NOM],Tableau5[],COLUMN(Tableau5[Prénom]),FALSE),"")</calculatedColumnFormula>
    </tableColumn>
    <tableColumn id="3" name="Site" dataDxfId="34">
      <calculatedColumnFormula>IFERROR(VLOOKUP(Tableau2[NOM],Tableau5[],COLUMN(Tableau5[Nom de la société]),FALSE),"")</calculatedColumnFormula>
    </tableColumn>
    <tableColumn id="4" name="Resp hiérarchique" dataDxfId="33">
      <calculatedColumnFormula>IFERROR(VLOOKUP(Tableau2[NOM],Tableau5[],COLUMN(Tableau5[Nom du manager]),FALSE),"")</calculatedColumnFormula>
    </tableColumn>
    <tableColumn id="5" name="Intitulé formation"/>
    <tableColumn id="6" name="Date à prévoir" dataDxfId="53"/>
    <tableColumn id="7" name="Calendrier de réalisation" dataDxfId="52"/>
    <tableColumn id="8" name="Clé Recherche" dataDxfId="51">
      <calculatedColumnFormula>Tableau2[[#This Row],[NOM]]&amp;Tableau2[[#This Row],[Intitulé formation]]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A2:G223" totalsRowShown="0" headerRowDxfId="50" tableBorderDxfId="49">
  <autoFilter ref="A2:G223"/>
  <tableColumns count="7">
    <tableColumn id="1" name="NOM" dataDxfId="48"/>
    <tableColumn id="2" name="PRENOM" dataDxfId="47"/>
    <tableColumn id="3" name="Site" dataDxfId="46"/>
    <tableColumn id="4" name="Resp hiérarchique" dataDxfId="45"/>
    <tableColumn id="5" name="Intitulé formation" dataDxfId="44"/>
    <tableColumn id="6" name="Date à prévoir" dataDxfId="43"/>
    <tableColumn id="7" name="Calendrier de réalisation" dataDxfId="4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Documents%20and%20Settings\Salomon\Local%20Settings\Temporary%20Internet%20Files\Content.Outlook\KVW230H3\Pilotage%20du%20plan%20de%20formation_V4_MDE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3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AC319"/>
  <sheetViews>
    <sheetView tabSelected="1" zoomScale="64" zoomScaleNormal="64" workbookViewId="0">
      <selection activeCell="B12" sqref="B12"/>
    </sheetView>
  </sheetViews>
  <sheetFormatPr baseColWidth="10" defaultColWidth="10.85546875" defaultRowHeight="15" x14ac:dyDescent="0.25"/>
  <cols>
    <col min="1" max="1" width="13.140625" style="1" customWidth="1"/>
    <col min="2" max="2" width="9" style="1" customWidth="1"/>
    <col min="3" max="3" width="18.28515625" style="1" customWidth="1"/>
    <col min="4" max="4" width="14.28515625" style="1" customWidth="1"/>
    <col min="5" max="5" width="25" style="1" customWidth="1"/>
    <col min="6" max="6" width="12.85546875" style="1" customWidth="1"/>
    <col min="7" max="7" width="13.5703125" style="1" customWidth="1"/>
    <col min="8" max="8" width="23.140625" style="1" customWidth="1"/>
    <col min="9" max="9" width="7.42578125" style="1" customWidth="1"/>
    <col min="10" max="10" width="15.5703125" style="1" customWidth="1"/>
    <col min="11" max="11" width="9.28515625" style="1" customWidth="1"/>
    <col min="12" max="12" width="10.42578125" style="92" bestFit="1" customWidth="1"/>
    <col min="13" max="13" width="10.42578125" style="1" customWidth="1"/>
    <col min="14" max="14" width="27.42578125" style="1" customWidth="1"/>
    <col min="15" max="15" width="14" style="1" customWidth="1"/>
    <col min="16" max="16" width="15.140625" style="1" customWidth="1"/>
    <col min="17" max="17" width="16.5703125" style="1" customWidth="1"/>
    <col min="18" max="18" width="24.5703125" style="1" customWidth="1"/>
    <col min="19" max="19" width="10" style="1" customWidth="1"/>
    <col min="20" max="20" width="11.85546875" style="1" customWidth="1"/>
    <col min="21" max="21" width="11.42578125" style="1" customWidth="1"/>
    <col min="22" max="22" width="14.42578125" style="1" customWidth="1"/>
    <col min="23" max="23" width="8" style="1" customWidth="1"/>
    <col min="24" max="24" width="16.28515625" style="1" customWidth="1"/>
    <col min="25" max="25" width="12.42578125" style="1" customWidth="1"/>
    <col min="26" max="26" width="36" style="1" customWidth="1"/>
    <col min="27" max="27" width="37" style="1" customWidth="1"/>
    <col min="28" max="28" width="34.85546875" style="1" customWidth="1"/>
    <col min="29" max="29" width="10.5703125" style="1" customWidth="1"/>
    <col min="30" max="16384" width="10.85546875" style="1"/>
  </cols>
  <sheetData>
    <row r="1" spans="1:29" ht="39.75" customHeight="1" thickBot="1" x14ac:dyDescent="0.3">
      <c r="A1" s="2"/>
      <c r="B1" s="2"/>
      <c r="C1" s="2"/>
      <c r="D1" s="2"/>
      <c r="E1" s="2"/>
      <c r="F1" s="300" t="s">
        <v>1322</v>
      </c>
      <c r="G1" s="301"/>
      <c r="H1" s="301"/>
      <c r="I1" s="301"/>
      <c r="J1" s="302"/>
      <c r="K1" s="222"/>
      <c r="L1" s="85"/>
      <c r="M1" s="2"/>
      <c r="R1" s="2"/>
      <c r="S1" s="2"/>
      <c r="T1" s="2"/>
      <c r="W1" s="2" t="s">
        <v>264</v>
      </c>
    </row>
    <row r="2" spans="1:29" ht="16.5" customHeight="1" thickTop="1" thickBot="1" x14ac:dyDescent="0.3">
      <c r="A2" s="2"/>
      <c r="B2" s="2"/>
      <c r="C2" s="2"/>
      <c r="D2" s="2"/>
      <c r="E2" s="2"/>
      <c r="F2" s="148"/>
      <c r="G2" s="2"/>
      <c r="H2" s="2"/>
      <c r="I2" s="2"/>
      <c r="J2" s="235"/>
      <c r="K2" s="2"/>
      <c r="L2" s="85"/>
      <c r="M2" s="2"/>
      <c r="W2" s="2"/>
    </row>
    <row r="3" spans="1:29" ht="35.25" thickBot="1" x14ac:dyDescent="0.3">
      <c r="C3" s="6"/>
      <c r="D3" s="15" t="s">
        <v>38</v>
      </c>
      <c r="E3" s="16"/>
      <c r="F3" s="17" t="s">
        <v>209</v>
      </c>
      <c r="G3" s="16"/>
      <c r="H3" s="15" t="s">
        <v>50</v>
      </c>
      <c r="I3" s="16"/>
      <c r="J3" s="16"/>
      <c r="K3" s="17" t="s">
        <v>51</v>
      </c>
      <c r="L3" s="104" t="s">
        <v>192</v>
      </c>
      <c r="M3" s="104" t="s">
        <v>189</v>
      </c>
      <c r="N3" s="104" t="s">
        <v>183</v>
      </c>
      <c r="Q3" s="303" t="s">
        <v>140</v>
      </c>
      <c r="R3" s="304"/>
      <c r="S3" s="305"/>
      <c r="T3" s="150"/>
      <c r="X3" s="63"/>
      <c r="Y3" s="77" t="s">
        <v>142</v>
      </c>
      <c r="Z3" s="77" t="s">
        <v>5</v>
      </c>
      <c r="AA3" s="77" t="s">
        <v>33</v>
      </c>
      <c r="AB3" s="77" t="s">
        <v>32</v>
      </c>
      <c r="AC3" s="2"/>
    </row>
    <row r="4" spans="1:29" ht="36" thickTop="1" thickBot="1" x14ac:dyDescent="0.3">
      <c r="C4" s="18" t="s">
        <v>14</v>
      </c>
      <c r="D4" s="112">
        <f>SUMPRODUCT(1/COUNTIF(Tableau6[Nom],Tableau6[Nom]))</f>
        <v>178.00000000000006</v>
      </c>
      <c r="E4" s="19"/>
      <c r="F4" s="149">
        <f>'Calcul Indicateurs'!F39</f>
        <v>0.75806451612903225</v>
      </c>
      <c r="G4" s="19"/>
      <c r="H4" s="112">
        <f>COUNTA(Tableau6[Intitulé])</f>
        <v>308</v>
      </c>
      <c r="I4" s="21"/>
      <c r="J4" s="20"/>
      <c r="K4" s="22">
        <f>SUM(Tableau6[Durée
H])</f>
        <v>1726</v>
      </c>
      <c r="L4" s="22">
        <f>SUM(Tableau6[Coût
péda.])</f>
        <v>38115</v>
      </c>
      <c r="M4" s="22">
        <f>SUM(Tableau6[Coûts
salariaux
chargés])</f>
        <v>0</v>
      </c>
      <c r="N4" s="105">
        <f>L4+M4</f>
        <v>38115</v>
      </c>
      <c r="P4" s="106"/>
      <c r="Q4" s="15" t="s">
        <v>35</v>
      </c>
      <c r="R4" s="17" t="s">
        <v>37</v>
      </c>
      <c r="S4" s="15" t="s">
        <v>36</v>
      </c>
      <c r="T4" s="15" t="s">
        <v>52</v>
      </c>
      <c r="X4" s="77" t="s">
        <v>34</v>
      </c>
      <c r="Y4" s="78">
        <f>SUM(Z4:AB4)</f>
        <v>43893.59</v>
      </c>
      <c r="Z4" s="86"/>
      <c r="AA4" s="86">
        <v>36577.99</v>
      </c>
      <c r="AB4" s="87">
        <v>7315.6</v>
      </c>
      <c r="AC4" s="2"/>
    </row>
    <row r="5" spans="1:29" ht="36" thickTop="1" thickBot="1" x14ac:dyDescent="0.3">
      <c r="C5" s="64"/>
      <c r="D5" s="65"/>
      <c r="E5" s="65"/>
      <c r="F5" s="65"/>
      <c r="G5" s="65"/>
      <c r="H5" s="66"/>
      <c r="I5" s="66"/>
      <c r="J5" s="66"/>
      <c r="K5" s="66"/>
      <c r="L5" s="88"/>
      <c r="M5" s="88"/>
      <c r="P5" s="151" t="s">
        <v>190</v>
      </c>
      <c r="Q5" s="152"/>
      <c r="R5" s="153"/>
      <c r="S5" s="154"/>
      <c r="T5" s="155">
        <f t="shared" ref="T5" si="0">SUM(Q5:S5)</f>
        <v>0</v>
      </c>
      <c r="X5" s="77" t="s">
        <v>141</v>
      </c>
      <c r="Y5" s="79" t="e">
        <f>SUBTOTAL(9,#REF!)</f>
        <v>#REF!</v>
      </c>
      <c r="Z5" s="72" t="e">
        <f>SUBTOTAL(9,#REF!)</f>
        <v>#REF!</v>
      </c>
      <c r="AA5" s="72" t="e">
        <f>SUBTOTAL(9,#REF!)</f>
        <v>#REF!</v>
      </c>
      <c r="AB5" s="73" t="e">
        <f>SUBTOTAL(9,#REF!)</f>
        <v>#REF!</v>
      </c>
      <c r="AC5" s="2"/>
    </row>
    <row r="6" spans="1:29" ht="18" thickBot="1" x14ac:dyDescent="0.3">
      <c r="C6" s="8" t="s">
        <v>15</v>
      </c>
      <c r="D6" s="9"/>
      <c r="E6" s="10"/>
      <c r="F6" s="10"/>
      <c r="G6" s="10"/>
      <c r="H6" s="14">
        <f>SUBTOTAL(3,Tableau6[Intitulé])</f>
        <v>308</v>
      </c>
      <c r="I6" s="12"/>
      <c r="J6" s="12"/>
      <c r="K6" s="280">
        <f>SUBTOTAL(9,Tableau6[Durée
H])</f>
        <v>1726</v>
      </c>
      <c r="L6" s="279">
        <f>SUBTOTAL(9,Tableau6[Coût
péda.])</f>
        <v>38115</v>
      </c>
      <c r="M6" s="89">
        <f>SUBTOTAL(9,Tableau6[Coûts
salariaux
chargés])</f>
        <v>0</v>
      </c>
      <c r="N6" s="89">
        <f>L6+M6</f>
        <v>38115</v>
      </c>
      <c r="P6" s="156" t="s">
        <v>50</v>
      </c>
      <c r="Q6" s="157"/>
      <c r="R6" s="158" t="e">
        <f>GETPIVOTDATA("Intitulé",#REF!,"Organisme","Interne - Groupe")</f>
        <v>#REF!</v>
      </c>
      <c r="S6" s="159" t="e">
        <f>GETPIVOTDATA("Intitulé",#REF!)</f>
        <v>#REF!</v>
      </c>
      <c r="T6" s="160" t="e">
        <f>SUM(Q6:S6)</f>
        <v>#REF!</v>
      </c>
      <c r="X6" s="81" t="s">
        <v>158</v>
      </c>
      <c r="Y6" s="80" t="e">
        <f>Y4-Y5</f>
        <v>#REF!</v>
      </c>
      <c r="Z6" s="74" t="e">
        <f t="shared" ref="Z6:AB6" si="1">Z4-Z5</f>
        <v>#REF!</v>
      </c>
      <c r="AA6" s="74" t="e">
        <f t="shared" si="1"/>
        <v>#REF!</v>
      </c>
      <c r="AB6" s="82" t="e">
        <f t="shared" si="1"/>
        <v>#REF!</v>
      </c>
    </row>
    <row r="7" spans="1:29" ht="18" thickBot="1" x14ac:dyDescent="0.3">
      <c r="C7" s="8" t="s">
        <v>16</v>
      </c>
      <c r="D7" s="9"/>
      <c r="E7" s="10"/>
      <c r="F7" s="10"/>
      <c r="G7" s="10"/>
      <c r="H7" s="11">
        <f>IFERROR(H6/H4,"")</f>
        <v>1</v>
      </c>
      <c r="I7" s="12"/>
      <c r="J7" s="13"/>
      <c r="K7" s="11">
        <f>IFERROR(K6/K4,"")</f>
        <v>1</v>
      </c>
      <c r="L7" s="11">
        <f>IFERROR(L6/L4,"")</f>
        <v>1</v>
      </c>
      <c r="M7" s="11" t="str">
        <f>IFERROR(M6/M4,"")</f>
        <v/>
      </c>
      <c r="N7" s="11">
        <f>IFERROR(N6/N4,"")</f>
        <v>1</v>
      </c>
      <c r="P7" s="161" t="s">
        <v>191</v>
      </c>
      <c r="Q7" s="162"/>
      <c r="R7" s="163" t="e">
        <f>SUMIF(#REF!,"Interne - Groupe",#REF!)</f>
        <v>#REF!</v>
      </c>
      <c r="S7" s="164" t="e">
        <f>-(Q7+R7)+SUM(#REF!)</f>
        <v>#REF!</v>
      </c>
      <c r="T7" s="165" t="e">
        <f>SUM(Q7:S7)</f>
        <v>#REF!</v>
      </c>
      <c r="U7" s="75"/>
      <c r="Y7" s="76"/>
      <c r="Z7" s="71"/>
      <c r="AA7" s="71"/>
      <c r="AB7" s="71"/>
    </row>
    <row r="8" spans="1:29" x14ac:dyDescent="0.25">
      <c r="C8" s="4"/>
      <c r="H8" s="5"/>
      <c r="J8" s="5"/>
      <c r="K8" s="5"/>
      <c r="L8" s="90"/>
    </row>
    <row r="9" spans="1:29" x14ac:dyDescent="0.25">
      <c r="K9" s="3"/>
      <c r="L9" s="91"/>
    </row>
    <row r="10" spans="1:29" s="3" customFormat="1" x14ac:dyDescent="0.25">
      <c r="A10" s="297" t="s">
        <v>47</v>
      </c>
      <c r="B10" s="298"/>
      <c r="C10" s="299"/>
      <c r="D10" s="297" t="s">
        <v>48</v>
      </c>
      <c r="E10" s="298"/>
      <c r="F10" s="299"/>
      <c r="G10" s="297" t="s">
        <v>49</v>
      </c>
      <c r="H10" s="298"/>
      <c r="I10" s="299"/>
      <c r="J10" s="297"/>
      <c r="K10" s="298"/>
      <c r="L10" s="299"/>
      <c r="M10" s="297" t="s">
        <v>1320</v>
      </c>
      <c r="N10" s="298"/>
      <c r="O10" s="298"/>
      <c r="P10" s="298"/>
      <c r="Q10" s="298"/>
      <c r="R10" s="298"/>
      <c r="S10" s="298"/>
      <c r="T10" s="298"/>
      <c r="U10" s="298"/>
      <c r="V10" s="298"/>
      <c r="W10" s="298"/>
      <c r="X10" s="299"/>
      <c r="Y10" s="297" t="s">
        <v>153</v>
      </c>
      <c r="Z10" s="298"/>
      <c r="AA10" s="298"/>
      <c r="AB10" s="299"/>
    </row>
    <row r="11" spans="1:29" ht="93" customHeight="1" x14ac:dyDescent="0.25">
      <c r="A11" s="282" t="s">
        <v>145</v>
      </c>
      <c r="B11" s="282" t="s">
        <v>1321</v>
      </c>
      <c r="C11" s="282" t="s">
        <v>0</v>
      </c>
      <c r="D11" s="282" t="s">
        <v>56</v>
      </c>
      <c r="E11" s="282" t="s">
        <v>53</v>
      </c>
      <c r="F11" s="282" t="s">
        <v>57</v>
      </c>
      <c r="G11" s="282" t="s">
        <v>162</v>
      </c>
      <c r="H11" s="282" t="s">
        <v>41</v>
      </c>
      <c r="I11" s="282" t="s">
        <v>39</v>
      </c>
      <c r="J11" s="282" t="s">
        <v>1</v>
      </c>
      <c r="K11" s="282" t="s">
        <v>42</v>
      </c>
      <c r="L11" s="283" t="s">
        <v>43</v>
      </c>
      <c r="M11" s="282" t="s">
        <v>1502</v>
      </c>
      <c r="N11" s="282" t="s">
        <v>1503</v>
      </c>
      <c r="O11" s="282" t="s">
        <v>1504</v>
      </c>
      <c r="P11" s="282" t="s">
        <v>1460</v>
      </c>
      <c r="Q11" s="282" t="s">
        <v>143</v>
      </c>
      <c r="R11" s="282" t="s">
        <v>146</v>
      </c>
      <c r="S11" s="282" t="s">
        <v>20</v>
      </c>
      <c r="T11" s="282" t="s">
        <v>21</v>
      </c>
      <c r="U11" s="282" t="s">
        <v>24</v>
      </c>
      <c r="V11" s="282" t="s">
        <v>26</v>
      </c>
      <c r="W11" s="282" t="s">
        <v>22</v>
      </c>
      <c r="X11" s="282" t="s">
        <v>23</v>
      </c>
      <c r="Y11" s="282" t="s">
        <v>154</v>
      </c>
      <c r="Z11" s="282" t="s">
        <v>156</v>
      </c>
      <c r="AA11" s="282" t="s">
        <v>157</v>
      </c>
      <c r="AB11" s="282" t="s">
        <v>155</v>
      </c>
      <c r="AC11" s="282" t="s">
        <v>152</v>
      </c>
    </row>
    <row r="12" spans="1:29" x14ac:dyDescent="0.25">
      <c r="A12" s="1" t="str">
        <f>Tableau1[[#This Row],[Service]]</f>
        <v>DVC</v>
      </c>
      <c r="B12" s="1" t="str">
        <f>Tableau1[[#This Row],[Site]]</f>
        <v>Aub.</v>
      </c>
      <c r="C12" s="1" t="str">
        <f>Tableau1[[#This Row],[Manager]]</f>
        <v>ALIX</v>
      </c>
      <c r="D12" s="1">
        <f>Tableau1[[#This Row],[Matricule]]</f>
        <v>102933</v>
      </c>
      <c r="E12" s="1" t="str">
        <f>Tableau1[[#This Row],[Nom]]</f>
        <v>AIT HELLAL</v>
      </c>
      <c r="F12" s="1" t="str">
        <f>Tableau1[[#This Row],[Prénom]]</f>
        <v>Yazid</v>
      </c>
      <c r="G12" s="1" t="str">
        <f>Tableau1[[#This Row],[Axe
(Filières)]]</f>
        <v>Sécurité</v>
      </c>
      <c r="H12" s="1" t="str">
        <f>Tableau1[[#This Row],[Intitulé]]</f>
        <v>Incendie</v>
      </c>
      <c r="I12" s="1">
        <f>Tableau1[[#This Row],[Priorité
mger]]</f>
        <v>0</v>
      </c>
      <c r="J12" s="1" t="str">
        <f>Tableau1[[#This Row],[Organisme]]</f>
        <v>APAVE</v>
      </c>
      <c r="K12" s="1">
        <f>Tableau1[[#This Row],[Durée
H]]</f>
        <v>1.5</v>
      </c>
      <c r="L12" s="92">
        <f>Tableau1[[#This Row],[Coût
péda.]]</f>
        <v>53</v>
      </c>
      <c r="M12" s="1" t="str">
        <f>Tableau1[[#This Row],[Dispositif
(Plan / DIF)]]</f>
        <v>Plan</v>
      </c>
      <c r="N12" s="1" t="str">
        <f>Tableau1[[#This Row],[Axe
  (note cadrage)]]</f>
        <v>Formation obligatoire</v>
      </c>
      <c r="O12" s="285">
        <f>Tableau1[[#This Row],[Validation
(Oui/Non)]]</f>
        <v>0</v>
      </c>
      <c r="P12" s="287" t="str">
        <f>Tableau1[[#This Row],[Calendrier
de réalisation]]</f>
        <v>2019-Q2</v>
      </c>
      <c r="S12" s="6" t="str">
        <f>IFERROR(VLOOKUP('Plan 2019 consolidé'!$E12,Tableau5[],COLUMN(Tableau5[[#This Row],[Sexe2]]),FALSE),"")</f>
        <v>M</v>
      </c>
      <c r="T12" s="1" t="str">
        <f t="shared" ref="T12" si="2">IF(ISNA(VLOOKUP($D12,Base,6,FALSE))," ",+VLOOKUP($D12,Base,6,FALSE))</f>
        <v xml:space="preserve"> </v>
      </c>
      <c r="U12" s="1" t="str">
        <f t="shared" ref="U12" si="3">IF(ISNA(VLOOKUP($D12,Base,11,FALSE))," ",+VLOOKUP($D12,Base,11,FALSE))</f>
        <v xml:space="preserve"> </v>
      </c>
      <c r="V12" s="1" t="str">
        <f t="shared" ref="V12" si="4">IF(ISNA(VLOOKUP($D12,Base,12,FALSE))," ",+VLOOKUP($D12,Base,12,FALSE))</f>
        <v xml:space="preserve"> </v>
      </c>
      <c r="W12" s="6">
        <f>IFERROR(VLOOKUP('Plan 2019 consolidé'!$E12,Tableau5[],COLUMN(Tableau5[[#This Row],[Age]]),FALSE),"")</f>
        <v>47</v>
      </c>
      <c r="X12" s="6">
        <f>IFERROR(VLOOKUP('Plan 2019 consolidé'!$E12,Tableau5[],COLUMN(Tableau5[[#This Row],[Nombre d''années d''ancienneté dans la société]]),FALSE),"")</f>
        <v>11</v>
      </c>
    </row>
    <row r="13" spans="1:29" x14ac:dyDescent="0.25">
      <c r="A13" s="1" t="str">
        <f>Tableau1[[#This Row],[Service]]</f>
        <v>DVC</v>
      </c>
      <c r="B13" s="1" t="str">
        <f>Tableau1[[#This Row],[Site]]</f>
        <v>Aub.</v>
      </c>
      <c r="C13" s="1" t="str">
        <f>Tableau1[[#This Row],[Manager]]</f>
        <v>ALIX</v>
      </c>
      <c r="D13" s="1">
        <f>Tableau1[[#This Row],[Matricule]]</f>
        <v>102933</v>
      </c>
      <c r="E13" s="1" t="str">
        <f>Tableau1[[#This Row],[Nom]]</f>
        <v>AIT HELLAL</v>
      </c>
      <c r="F13" s="1" t="str">
        <f>Tableau1[[#This Row],[Prénom]]</f>
        <v>Yazid</v>
      </c>
      <c r="G13" s="1" t="str">
        <f>Tableau1[[#This Row],[Axe
(Filières)]]</f>
        <v>Sécurité</v>
      </c>
      <c r="H13" s="1" t="str">
        <f>Tableau1[[#This Row],[Intitulé]]</f>
        <v>Recyclage SST</v>
      </c>
      <c r="I13" s="1">
        <f>Tableau1[[#This Row],[Priorité
mger]]</f>
        <v>0</v>
      </c>
      <c r="J13" s="1" t="str">
        <f>Tableau1[[#This Row],[Organisme]]</f>
        <v>CFSP</v>
      </c>
      <c r="K13" s="1">
        <f>Tableau1[[#This Row],[Durée
H]]</f>
        <v>7</v>
      </c>
      <c r="L13" s="92">
        <f>Tableau1[[#This Row],[Coût
péda.]]</f>
        <v>117</v>
      </c>
      <c r="M13" s="1" t="str">
        <f>Tableau1[[#This Row],[Dispositif
(Plan / DIF)]]</f>
        <v>Plan</v>
      </c>
      <c r="N13" s="1" t="str">
        <f>Tableau1[[#This Row],[Axe
  (note cadrage)]]</f>
        <v>Formation obligatoire</v>
      </c>
      <c r="O13" s="285">
        <f>Tableau1[[#This Row],[Validation
(Oui/Non)]]</f>
        <v>0</v>
      </c>
      <c r="P13" s="287" t="str">
        <f>Tableau1[[#This Row],[Calendrier
de réalisation]]</f>
        <v/>
      </c>
      <c r="S13" s="6" t="str">
        <f>IFERROR(VLOOKUP('Plan 2019 consolidé'!$E13,Tableau5[],COLUMN(Tableau5[[#This Row],[Sexe2]]),FALSE),"")</f>
        <v>M</v>
      </c>
      <c r="W13" s="6">
        <f>IFERROR(VLOOKUP('Plan 2019 consolidé'!$E13,Tableau5[],COLUMN(Tableau5[[#This Row],[Age]]),FALSE),"")</f>
        <v>47</v>
      </c>
      <c r="X13" s="6">
        <f>IFERROR(VLOOKUP('Plan 2019 consolidé'!$E13,Tableau5[],COLUMN(Tableau5[[#This Row],[Nombre d''années d''ancienneté dans la société]]),FALSE),"")</f>
        <v>11</v>
      </c>
    </row>
    <row r="14" spans="1:29" x14ac:dyDescent="0.25">
      <c r="A14" s="284" t="str">
        <f>Tableau1[[#This Row],[Service]]</f>
        <v>DVC</v>
      </c>
      <c r="B14" s="284" t="str">
        <f>Tableau1[[#This Row],[Site]]</f>
        <v>STG</v>
      </c>
      <c r="C14" s="284" t="str">
        <f>Tableau1[[#This Row],[Manager]]</f>
        <v>XUEREB</v>
      </c>
      <c r="D14" s="284">
        <f>Tableau1[[#This Row],[Matricule]]</f>
        <v>104634</v>
      </c>
      <c r="E14" s="284" t="str">
        <f>Tableau1[[#This Row],[Nom]]</f>
        <v>ALVES</v>
      </c>
      <c r="F14" s="284" t="str">
        <f>Tableau1[[#This Row],[Prénom]]</f>
        <v>Paolo</v>
      </c>
      <c r="G14" s="284" t="str">
        <f>Tableau1[[#This Row],[Axe
(Filières)]]</f>
        <v>Sécurité</v>
      </c>
      <c r="H14" s="284" t="str">
        <f>Tableau1[[#This Row],[Intitulé]]</f>
        <v>Incendie</v>
      </c>
      <c r="I14" s="284">
        <f>Tableau1[[#This Row],[Priorité
mger]]</f>
        <v>0</v>
      </c>
      <c r="J14" s="284" t="str">
        <f>Tableau1[[#This Row],[Organisme]]</f>
        <v>APAVE</v>
      </c>
      <c r="K14" s="284">
        <f>Tableau1[[#This Row],[Durée
H]]</f>
        <v>1.5</v>
      </c>
      <c r="L14" s="92">
        <f>Tableau1[[#This Row],[Coût
péda.]]</f>
        <v>53</v>
      </c>
      <c r="M14" s="284" t="str">
        <f>Tableau1[[#This Row],[Dispositif
(Plan / DIF)]]</f>
        <v>Plan</v>
      </c>
      <c r="N14" s="284" t="str">
        <f>Tableau1[[#This Row],[Axe
  (note cadrage)]]</f>
        <v>Formation obligatoire</v>
      </c>
      <c r="O14" s="285">
        <f>Tableau1[[#This Row],[Validation
(Oui/Non)]]</f>
        <v>0</v>
      </c>
      <c r="P14" s="287" t="str">
        <f>Tableau1[[#This Row],[Calendrier
de réalisation]]</f>
        <v>2019-Q1</v>
      </c>
      <c r="Q14" s="284"/>
      <c r="S14" s="286" t="str">
        <f>IFERROR(VLOOKUP('Plan 2019 consolidé'!$E14,Tableau5[],COLUMN(Tableau5[[#This Row],[Sexe2]]),FALSE),"")</f>
        <v>M</v>
      </c>
      <c r="W14" s="286">
        <f>IFERROR(VLOOKUP('Plan 2019 consolidé'!$E14,Tableau5[],COLUMN(Tableau5[[#This Row],[Age]]),FALSE),"")</f>
        <v>41</v>
      </c>
      <c r="X14" s="286">
        <f>IFERROR(VLOOKUP('Plan 2019 consolidé'!$E14,Tableau5[],COLUMN(Tableau5[[#This Row],[Nombre d''années d''ancienneté dans la société]]),FALSE),"")</f>
        <v>10</v>
      </c>
    </row>
    <row r="15" spans="1:29" x14ac:dyDescent="0.25">
      <c r="A15" s="284" t="str">
        <f>Tableau1[[#This Row],[Service]]</f>
        <v>DVC</v>
      </c>
      <c r="B15" s="284" t="str">
        <f>Tableau1[[#This Row],[Site]]</f>
        <v>STG</v>
      </c>
      <c r="C15" s="284" t="str">
        <f>Tableau1[[#This Row],[Manager]]</f>
        <v>XUEREB</v>
      </c>
      <c r="D15" s="284">
        <f>Tableau1[[#This Row],[Matricule]]</f>
        <v>104634</v>
      </c>
      <c r="E15" s="284" t="str">
        <f>Tableau1[[#This Row],[Nom]]</f>
        <v>ALVES</v>
      </c>
      <c r="F15" s="284" t="str">
        <f>Tableau1[[#This Row],[Prénom]]</f>
        <v>Paolo</v>
      </c>
      <c r="G15" s="284" t="str">
        <f>Tableau1[[#This Row],[Axe
(Filières)]]</f>
        <v>Sécurité</v>
      </c>
      <c r="H15" s="284" t="str">
        <f>Tableau1[[#This Row],[Intitulé]]</f>
        <v>Risques chimiques</v>
      </c>
      <c r="I15" s="284">
        <f>Tableau1[[#This Row],[Priorité
mger]]</f>
        <v>0</v>
      </c>
      <c r="J15" s="284" t="str">
        <f>Tableau1[[#This Row],[Organisme]]</f>
        <v>APAVE</v>
      </c>
      <c r="K15" s="284">
        <f>Tableau1[[#This Row],[Durée
H]]</f>
        <v>7</v>
      </c>
      <c r="L15" s="92">
        <f>Tableau1[[#This Row],[Coût
péda.]]</f>
        <v>162</v>
      </c>
      <c r="M15" s="284" t="str">
        <f>Tableau1[[#This Row],[Dispositif
(Plan / DIF)]]</f>
        <v>Plan</v>
      </c>
      <c r="N15" s="284" t="str">
        <f>Tableau1[[#This Row],[Axe
  (note cadrage)]]</f>
        <v>Formation obligatoire</v>
      </c>
      <c r="O15" s="285">
        <f>Tableau1[[#This Row],[Validation
(Oui/Non)]]</f>
        <v>0</v>
      </c>
      <c r="P15" s="287">
        <f>Tableau1[[#This Row],[Calendrier
de réalisation]]</f>
        <v>0</v>
      </c>
      <c r="Q15" s="284"/>
      <c r="S15" s="286" t="str">
        <f>IFERROR(VLOOKUP('Plan 2019 consolidé'!$E15,Tableau5[],COLUMN(Tableau5[[#This Row],[Sexe2]]),FALSE),"")</f>
        <v>M</v>
      </c>
      <c r="W15" s="286">
        <f>IFERROR(VLOOKUP('Plan 2019 consolidé'!$E15,Tableau5[],COLUMN(Tableau5[[#This Row],[Age]]),FALSE),"")</f>
        <v>41</v>
      </c>
      <c r="X15" s="286">
        <f>IFERROR(VLOOKUP('Plan 2019 consolidé'!$E15,Tableau5[],COLUMN(Tableau5[[#This Row],[Nombre d''années d''ancienneté dans la société]]),FALSE),"")</f>
        <v>10</v>
      </c>
    </row>
    <row r="16" spans="1:29" x14ac:dyDescent="0.25">
      <c r="A16" s="284" t="str">
        <f>Tableau1[[#This Row],[Service]]</f>
        <v>DVC</v>
      </c>
      <c r="B16" s="284" t="str">
        <f>Tableau1[[#This Row],[Site]]</f>
        <v>STG</v>
      </c>
      <c r="C16" s="284" t="str">
        <f>Tableau1[[#This Row],[Manager]]</f>
        <v>XUEREB</v>
      </c>
      <c r="D16" s="284">
        <f>Tableau1[[#This Row],[Matricule]]</f>
        <v>104634</v>
      </c>
      <c r="E16" s="284" t="str">
        <f>Tableau1[[#This Row],[Nom]]</f>
        <v>ALVES</v>
      </c>
      <c r="F16" s="284" t="str">
        <f>Tableau1[[#This Row],[Prénom]]</f>
        <v>Paolo</v>
      </c>
      <c r="G16" s="284" t="str">
        <f>Tableau1[[#This Row],[Axe
(Filières)]]</f>
        <v>Sécurité</v>
      </c>
      <c r="H16" s="284" t="str">
        <f>Tableau1[[#This Row],[Intitulé]]</f>
        <v>Recyclage pont rou</v>
      </c>
      <c r="I16" s="284">
        <f>Tableau1[[#This Row],[Priorité
mger]]</f>
        <v>0</v>
      </c>
      <c r="J16" s="284" t="str">
        <f>Tableau1[[#This Row],[Organisme]]</f>
        <v>APAVE</v>
      </c>
      <c r="K16" s="284">
        <f>Tableau1[[#This Row],[Durée
H]]</f>
        <v>7</v>
      </c>
      <c r="L16" s="92">
        <f>Tableau1[[#This Row],[Coût
péda.]]</f>
        <v>165</v>
      </c>
      <c r="M16" s="284" t="str">
        <f>Tableau1[[#This Row],[Dispositif
(Plan / DIF)]]</f>
        <v>Plan</v>
      </c>
      <c r="N16" s="284" t="str">
        <f>Tableau1[[#This Row],[Axe
  (note cadrage)]]</f>
        <v>Formation obligatoire</v>
      </c>
      <c r="O16" s="285">
        <f>Tableau1[[#This Row],[Validation
(Oui/Non)]]</f>
        <v>0</v>
      </c>
      <c r="P16" s="287" t="str">
        <f>Tableau1[[#This Row],[Calendrier
de réalisation]]</f>
        <v/>
      </c>
      <c r="Q16" s="284"/>
      <c r="S16" s="286" t="str">
        <f>IFERROR(VLOOKUP('Plan 2019 consolidé'!$E16,Tableau5[],COLUMN(Tableau5[[#This Row],[Sexe2]]),FALSE),"")</f>
        <v>M</v>
      </c>
      <c r="W16" s="286">
        <f>IFERROR(VLOOKUP('Plan 2019 consolidé'!$E16,Tableau5[],COLUMN(Tableau5[[#This Row],[Age]]),FALSE),"")</f>
        <v>41</v>
      </c>
      <c r="X16" s="286">
        <f>IFERROR(VLOOKUP('Plan 2019 consolidé'!$E16,Tableau5[],COLUMN(Tableau5[[#This Row],[Nombre d''années d''ancienneté dans la société]]),FALSE),"")</f>
        <v>10</v>
      </c>
    </row>
    <row r="17" spans="1:24" x14ac:dyDescent="0.25">
      <c r="A17" s="284" t="str">
        <f>Tableau1[[#This Row],[Service]]</f>
        <v>DVC</v>
      </c>
      <c r="B17" s="284" t="str">
        <f>Tableau1[[#This Row],[Site]]</f>
        <v>STG</v>
      </c>
      <c r="C17" s="284" t="str">
        <f>Tableau1[[#This Row],[Manager]]</f>
        <v>XUEREB</v>
      </c>
      <c r="D17" s="284">
        <f>Tableau1[[#This Row],[Matricule]]</f>
        <v>104692</v>
      </c>
      <c r="E17" s="284" t="str">
        <f>Tableau1[[#This Row],[Nom]]</f>
        <v>ARNAUD JOUFFREY</v>
      </c>
      <c r="F17" s="284" t="str">
        <f>Tableau1[[#This Row],[Prénom]]</f>
        <v>Jean-Marc</v>
      </c>
      <c r="G17" s="284" t="str">
        <f>Tableau1[[#This Row],[Axe
(Filières)]]</f>
        <v>Sécurité</v>
      </c>
      <c r="H17" s="284" t="str">
        <f>Tableau1[[#This Row],[Intitulé]]</f>
        <v>Incendie</v>
      </c>
      <c r="I17" s="284">
        <f>Tableau1[[#This Row],[Priorité
mger]]</f>
        <v>0</v>
      </c>
      <c r="J17" s="284" t="str">
        <f>Tableau1[[#This Row],[Organisme]]</f>
        <v>APAVE</v>
      </c>
      <c r="K17" s="284">
        <f>Tableau1[[#This Row],[Durée
H]]</f>
        <v>1.5</v>
      </c>
      <c r="L17" s="92">
        <f>Tableau1[[#This Row],[Coût
péda.]]</f>
        <v>53</v>
      </c>
      <c r="M17" s="284" t="str">
        <f>Tableau1[[#This Row],[Dispositif
(Plan / DIF)]]</f>
        <v>Plan</v>
      </c>
      <c r="N17" s="284" t="str">
        <f>Tableau1[[#This Row],[Axe
  (note cadrage)]]</f>
        <v>Formation obligatoire</v>
      </c>
      <c r="O17" s="285">
        <f>Tableau1[[#This Row],[Validation
(Oui/Non)]]</f>
        <v>0</v>
      </c>
      <c r="P17" s="287" t="str">
        <f>Tableau1[[#This Row],[Calendrier
de réalisation]]</f>
        <v>2019-Q1</v>
      </c>
      <c r="Q17" s="284"/>
      <c r="S17" s="286" t="str">
        <f>IFERROR(VLOOKUP('Plan 2019 consolidé'!$E17,Tableau5[],COLUMN(Tableau5[[#This Row],[Sexe2]]),FALSE),"")</f>
        <v>M</v>
      </c>
      <c r="W17" s="286">
        <f>IFERROR(VLOOKUP('Plan 2019 consolidé'!$E17,Tableau5[],COLUMN(Tableau5[[#This Row],[Age]]),FALSE),"")</f>
        <v>57</v>
      </c>
      <c r="X17" s="286">
        <f>IFERROR(VLOOKUP('Plan 2019 consolidé'!$E17,Tableau5[],COLUMN(Tableau5[[#This Row],[Nombre d''années d''ancienneté dans la société]]),FALSE),"")</f>
        <v>10</v>
      </c>
    </row>
    <row r="18" spans="1:24" x14ac:dyDescent="0.25">
      <c r="A18" s="284" t="str">
        <f>Tableau1[[#This Row],[Service]]</f>
        <v>DVC</v>
      </c>
      <c r="B18" s="284" t="str">
        <f>Tableau1[[#This Row],[Site]]</f>
        <v>STG</v>
      </c>
      <c r="C18" s="284" t="str">
        <f>Tableau1[[#This Row],[Manager]]</f>
        <v>XUEREB</v>
      </c>
      <c r="D18" s="284">
        <f>Tableau1[[#This Row],[Matricule]]</f>
        <v>104692</v>
      </c>
      <c r="E18" s="284" t="str">
        <f>Tableau1[[#This Row],[Nom]]</f>
        <v>ARNAUD JOUFFREY</v>
      </c>
      <c r="F18" s="284" t="str">
        <f>Tableau1[[#This Row],[Prénom]]</f>
        <v>Jean-Marc</v>
      </c>
      <c r="G18" s="284" t="str">
        <f>Tableau1[[#This Row],[Axe
(Filières)]]</f>
        <v>Sécurité</v>
      </c>
      <c r="H18" s="284" t="str">
        <f>Tableau1[[#This Row],[Intitulé]]</f>
        <v>Risques chimiques</v>
      </c>
      <c r="I18" s="284">
        <f>Tableau1[[#This Row],[Priorité
mger]]</f>
        <v>0</v>
      </c>
      <c r="J18" s="284" t="str">
        <f>Tableau1[[#This Row],[Organisme]]</f>
        <v>APAVE</v>
      </c>
      <c r="K18" s="284">
        <f>Tableau1[[#This Row],[Durée
H]]</f>
        <v>7</v>
      </c>
      <c r="L18" s="92">
        <f>Tableau1[[#This Row],[Coût
péda.]]</f>
        <v>162</v>
      </c>
      <c r="M18" s="284" t="str">
        <f>Tableau1[[#This Row],[Dispositif
(Plan / DIF)]]</f>
        <v>Plan</v>
      </c>
      <c r="N18" s="284" t="str">
        <f>Tableau1[[#This Row],[Axe
  (note cadrage)]]</f>
        <v>Formation obligatoire</v>
      </c>
      <c r="O18" s="285">
        <f>Tableau1[[#This Row],[Validation
(Oui/Non)]]</f>
        <v>0</v>
      </c>
      <c r="P18" s="287" t="str">
        <f>Tableau1[[#This Row],[Calendrier
de réalisation]]</f>
        <v>2019-Q2</v>
      </c>
      <c r="Q18" s="284"/>
      <c r="S18" s="286" t="str">
        <f>IFERROR(VLOOKUP('Plan 2019 consolidé'!$E18,Tableau5[],COLUMN(Tableau5[[#This Row],[Sexe2]]),FALSE),"")</f>
        <v>M</v>
      </c>
      <c r="W18" s="286">
        <f>IFERROR(VLOOKUP('Plan 2019 consolidé'!$E18,Tableau5[],COLUMN(Tableau5[[#This Row],[Age]]),FALSE),"")</f>
        <v>57</v>
      </c>
      <c r="X18" s="286">
        <f>IFERROR(VLOOKUP('Plan 2019 consolidé'!$E18,Tableau5[],COLUMN(Tableau5[[#This Row],[Nombre d''années d''ancienneté dans la société]]),FALSE),"")</f>
        <v>10</v>
      </c>
    </row>
    <row r="19" spans="1:24" x14ac:dyDescent="0.25">
      <c r="A19" s="284" t="str">
        <f>Tableau1[[#This Row],[Service]]</f>
        <v>DVC</v>
      </c>
      <c r="B19" s="284" t="str">
        <f>Tableau1[[#This Row],[Site]]</f>
        <v>Aub.</v>
      </c>
      <c r="C19" s="284" t="str">
        <f>Tableau1[[#This Row],[Manager]]</f>
        <v>SAVY</v>
      </c>
      <c r="D19" s="284">
        <f>Tableau1[[#This Row],[Matricule]]</f>
        <v>102936</v>
      </c>
      <c r="E19" s="284" t="str">
        <f>Tableau1[[#This Row],[Nom]]</f>
        <v>ARNAUDE</v>
      </c>
      <c r="F19" s="284" t="str">
        <f>Tableau1[[#This Row],[Prénom]]</f>
        <v>Emmanuel</v>
      </c>
      <c r="G19" s="284" t="str">
        <f>Tableau1[[#This Row],[Axe
(Filières)]]</f>
        <v>Sécurité</v>
      </c>
      <c r="H19" s="284" t="str">
        <f>Tableau1[[#This Row],[Intitulé]]</f>
        <v>Incendie</v>
      </c>
      <c r="I19" s="284">
        <f>Tableau1[[#This Row],[Priorité
mger]]</f>
        <v>0</v>
      </c>
      <c r="J19" s="284" t="str">
        <f>Tableau1[[#This Row],[Organisme]]</f>
        <v>APAVE</v>
      </c>
      <c r="K19" s="284">
        <f>Tableau1[[#This Row],[Durée
H]]</f>
        <v>1.5</v>
      </c>
      <c r="L19" s="92">
        <f>Tableau1[[#This Row],[Coût
péda.]]</f>
        <v>53</v>
      </c>
      <c r="M19" s="284" t="str">
        <f>Tableau1[[#This Row],[Dispositif
(Plan / DIF)]]</f>
        <v>Plan</v>
      </c>
      <c r="N19" s="284" t="str">
        <f>Tableau1[[#This Row],[Axe
  (note cadrage)]]</f>
        <v>Formation obligatoire</v>
      </c>
      <c r="O19" s="285">
        <f>Tableau1[[#This Row],[Validation
(Oui/Non)]]</f>
        <v>0</v>
      </c>
      <c r="P19" s="287" t="str">
        <f>Tableau1[[#This Row],[Calendrier
de réalisation]]</f>
        <v>2019-Q2</v>
      </c>
      <c r="Q19" s="284"/>
      <c r="S19" s="286" t="str">
        <f>IFERROR(VLOOKUP('Plan 2019 consolidé'!$E19,Tableau5[],COLUMN(Tableau5[[#This Row],[Sexe2]]),FALSE),"")</f>
        <v>M</v>
      </c>
      <c r="W19" s="286">
        <f>IFERROR(VLOOKUP('Plan 2019 consolidé'!$E19,Tableau5[],COLUMN(Tableau5[[#This Row],[Age]]),FALSE),"")</f>
        <v>43</v>
      </c>
      <c r="X19" s="286">
        <f>IFERROR(VLOOKUP('Plan 2019 consolidé'!$E19,Tableau5[],COLUMN(Tableau5[[#This Row],[Nombre d''années d''ancienneté dans la société]]),FALSE),"")</f>
        <v>12</v>
      </c>
    </row>
    <row r="20" spans="1:24" x14ac:dyDescent="0.25">
      <c r="A20" s="284" t="str">
        <f>Tableau1[[#This Row],[Service]]</f>
        <v>DVC</v>
      </c>
      <c r="B20" s="284" t="str">
        <f>Tableau1[[#This Row],[Site]]</f>
        <v>Aub.</v>
      </c>
      <c r="C20" s="284" t="str">
        <f>Tableau1[[#This Row],[Manager]]</f>
        <v>SAVY</v>
      </c>
      <c r="D20" s="284">
        <f>Tableau1[[#This Row],[Matricule]]</f>
        <v>102936</v>
      </c>
      <c r="E20" s="284" t="str">
        <f>Tableau1[[#This Row],[Nom]]</f>
        <v>ARNAUDE</v>
      </c>
      <c r="F20" s="284" t="str">
        <f>Tableau1[[#This Row],[Prénom]]</f>
        <v>Emmanuel</v>
      </c>
      <c r="G20" s="284" t="str">
        <f>Tableau1[[#This Row],[Axe
(Filières)]]</f>
        <v>Sécurité</v>
      </c>
      <c r="H20" s="284" t="str">
        <f>Tableau1[[#This Row],[Intitulé]]</f>
        <v>Recyclage SST</v>
      </c>
      <c r="I20" s="284">
        <f>Tableau1[[#This Row],[Priorité
mger]]</f>
        <v>0</v>
      </c>
      <c r="J20" s="284" t="str">
        <f>Tableau1[[#This Row],[Organisme]]</f>
        <v>CFSP</v>
      </c>
      <c r="K20" s="284">
        <f>Tableau1[[#This Row],[Durée
H]]</f>
        <v>7</v>
      </c>
      <c r="L20" s="92">
        <f>Tableau1[[#This Row],[Coût
péda.]]</f>
        <v>117</v>
      </c>
      <c r="M20" s="284" t="str">
        <f>Tableau1[[#This Row],[Dispositif
(Plan / DIF)]]</f>
        <v>Plan</v>
      </c>
      <c r="N20" s="284" t="str">
        <f>Tableau1[[#This Row],[Axe
  (note cadrage)]]</f>
        <v>Formation obligatoire</v>
      </c>
      <c r="O20" s="285">
        <f>Tableau1[[#This Row],[Validation
(Oui/Non)]]</f>
        <v>0</v>
      </c>
      <c r="P20" s="287" t="str">
        <f>Tableau1[[#This Row],[Calendrier
de réalisation]]</f>
        <v/>
      </c>
      <c r="Q20" s="284"/>
      <c r="S20" s="286" t="str">
        <f>IFERROR(VLOOKUP('Plan 2019 consolidé'!$E20,Tableau5[],COLUMN(Tableau5[[#This Row],[Sexe2]]),FALSE),"")</f>
        <v>M</v>
      </c>
      <c r="W20" s="286">
        <f>IFERROR(VLOOKUP('Plan 2019 consolidé'!$E20,Tableau5[],COLUMN(Tableau5[[#This Row],[Age]]),FALSE),"")</f>
        <v>43</v>
      </c>
      <c r="X20" s="286">
        <f>IFERROR(VLOOKUP('Plan 2019 consolidé'!$E20,Tableau5[],COLUMN(Tableau5[[#This Row],[Nombre d''années d''ancienneté dans la société]]),FALSE),"")</f>
        <v>12</v>
      </c>
    </row>
    <row r="21" spans="1:24" x14ac:dyDescent="0.25">
      <c r="A21" s="284" t="str">
        <f>Tableau1[[#This Row],[Service]]</f>
        <v>DVC</v>
      </c>
      <c r="B21" s="284" t="str">
        <f>Tableau1[[#This Row],[Site]]</f>
        <v>Aub.</v>
      </c>
      <c r="C21" s="284" t="str">
        <f>Tableau1[[#This Row],[Manager]]</f>
        <v>PIFFAUT</v>
      </c>
      <c r="D21" s="284">
        <f>Tableau1[[#This Row],[Matricule]]</f>
        <v>103038</v>
      </c>
      <c r="E21" s="284" t="str">
        <f>Tableau1[[#This Row],[Nom]]</f>
        <v>ARNAUDJL</v>
      </c>
      <c r="F21" s="284" t="str">
        <f>Tableau1[[#This Row],[Prénom]]</f>
        <v>Jean-Luc</v>
      </c>
      <c r="G21" s="284" t="str">
        <f>Tableau1[[#This Row],[Axe
(Filières)]]</f>
        <v>Sécurité</v>
      </c>
      <c r="H21" s="284" t="str">
        <f>Tableau1[[#This Row],[Intitulé]]</f>
        <v>Incendie</v>
      </c>
      <c r="I21" s="284">
        <f>Tableau1[[#This Row],[Priorité
mger]]</f>
        <v>0</v>
      </c>
      <c r="J21" s="284" t="str">
        <f>Tableau1[[#This Row],[Organisme]]</f>
        <v>APAVE</v>
      </c>
      <c r="K21" s="284">
        <f>Tableau1[[#This Row],[Durée
H]]</f>
        <v>1.5</v>
      </c>
      <c r="L21" s="92">
        <f>Tableau1[[#This Row],[Coût
péda.]]</f>
        <v>53</v>
      </c>
      <c r="M21" s="284" t="str">
        <f>Tableau1[[#This Row],[Dispositif
(Plan / DIF)]]</f>
        <v>Plan</v>
      </c>
      <c r="N21" s="284" t="str">
        <f>Tableau1[[#This Row],[Axe
  (note cadrage)]]</f>
        <v>Formation obligatoire</v>
      </c>
      <c r="O21" s="285">
        <f>Tableau1[[#This Row],[Validation
(Oui/Non)]]</f>
        <v>0</v>
      </c>
      <c r="P21" s="287" t="str">
        <f>Tableau1[[#This Row],[Calendrier
de réalisation]]</f>
        <v>2019-Q1</v>
      </c>
      <c r="Q21" s="284"/>
      <c r="S21" s="286" t="str">
        <f>IFERROR(VLOOKUP('Plan 2019 consolidé'!$E21,Tableau5[],COLUMN(Tableau5[[#This Row],[Sexe2]]),FALSE),"")</f>
        <v>M</v>
      </c>
      <c r="W21" s="286">
        <f>IFERROR(VLOOKUP('Plan 2019 consolidé'!$E21,Tableau5[],COLUMN(Tableau5[[#This Row],[Age]]),FALSE),"")</f>
        <v>52</v>
      </c>
      <c r="X21" s="286">
        <f>IFERROR(VLOOKUP('Plan 2019 consolidé'!$E21,Tableau5[],COLUMN(Tableau5[[#This Row],[Nombre d''années d''ancienneté dans la société]]),FALSE),"")</f>
        <v>32</v>
      </c>
    </row>
    <row r="22" spans="1:24" x14ac:dyDescent="0.25">
      <c r="A22" s="284" t="str">
        <f>Tableau1[[#This Row],[Service]]</f>
        <v>DVC</v>
      </c>
      <c r="B22" s="284" t="str">
        <f>Tableau1[[#This Row],[Site]]</f>
        <v>Aub.</v>
      </c>
      <c r="C22" s="284" t="str">
        <f>Tableau1[[#This Row],[Manager]]</f>
        <v>PIFFAUT</v>
      </c>
      <c r="D22" s="284">
        <f>Tableau1[[#This Row],[Matricule]]</f>
        <v>103038</v>
      </c>
      <c r="E22" s="284" t="str">
        <f>Tableau1[[#This Row],[Nom]]</f>
        <v>ARNAUDJL</v>
      </c>
      <c r="F22" s="284" t="str">
        <f>Tableau1[[#This Row],[Prénom]]</f>
        <v>Jean-Luc</v>
      </c>
      <c r="G22" s="284" t="str">
        <f>Tableau1[[#This Row],[Axe
(Filières)]]</f>
        <v>Sécurité</v>
      </c>
      <c r="H22" s="284" t="str">
        <f>Tableau1[[#This Row],[Intitulé]]</f>
        <v>Recyclage CACES3</v>
      </c>
      <c r="I22" s="284">
        <f>Tableau1[[#This Row],[Priorité
mger]]</f>
        <v>0</v>
      </c>
      <c r="J22" s="284" t="str">
        <f>Tableau1[[#This Row],[Organisme]]</f>
        <v>APAVE</v>
      </c>
      <c r="K22" s="284">
        <f>Tableau1[[#This Row],[Durée
H]]</f>
        <v>14</v>
      </c>
      <c r="L22" s="92">
        <f>Tableau1[[#This Row],[Coût
péda.]]</f>
        <v>297</v>
      </c>
      <c r="M22" s="284" t="str">
        <f>Tableau1[[#This Row],[Dispositif
(Plan / DIF)]]</f>
        <v>Plan</v>
      </c>
      <c r="N22" s="284" t="str">
        <f>Tableau1[[#This Row],[Axe
  (note cadrage)]]</f>
        <v>Formation obligatoire</v>
      </c>
      <c r="O22" s="285">
        <f>Tableau1[[#This Row],[Validation
(Oui/Non)]]</f>
        <v>0</v>
      </c>
      <c r="P22" s="287" t="str">
        <f>Tableau1[[#This Row],[Calendrier
de réalisation]]</f>
        <v>2019-Q2</v>
      </c>
      <c r="Q22" s="284"/>
      <c r="S22" s="286" t="str">
        <f>IFERROR(VLOOKUP('Plan 2019 consolidé'!$E22,Tableau5[],COLUMN(Tableau5[[#This Row],[Sexe2]]),FALSE),"")</f>
        <v>M</v>
      </c>
      <c r="W22" s="286">
        <f>IFERROR(VLOOKUP('Plan 2019 consolidé'!$E22,Tableau5[],COLUMN(Tableau5[[#This Row],[Age]]),FALSE),"")</f>
        <v>52</v>
      </c>
      <c r="X22" s="286">
        <f>IFERROR(VLOOKUP('Plan 2019 consolidé'!$E22,Tableau5[],COLUMN(Tableau5[[#This Row],[Nombre d''années d''ancienneté dans la société]]),FALSE),"")</f>
        <v>32</v>
      </c>
    </row>
    <row r="23" spans="1:24" x14ac:dyDescent="0.25">
      <c r="A23" s="284" t="str">
        <f>Tableau1[[#This Row],[Service]]</f>
        <v>DVC</v>
      </c>
      <c r="B23" s="284" t="str">
        <f>Tableau1[[#This Row],[Site]]</f>
        <v>Aub.</v>
      </c>
      <c r="C23" s="284" t="str">
        <f>Tableau1[[#This Row],[Manager]]</f>
        <v>PIFFAUT</v>
      </c>
      <c r="D23" s="284">
        <f>Tableau1[[#This Row],[Matricule]]</f>
        <v>103038</v>
      </c>
      <c r="E23" s="284" t="str">
        <f>Tableau1[[#This Row],[Nom]]</f>
        <v>ARNAUDJL</v>
      </c>
      <c r="F23" s="284" t="str">
        <f>Tableau1[[#This Row],[Prénom]]</f>
        <v>Jean-Luc</v>
      </c>
      <c r="G23" s="284" t="str">
        <f>Tableau1[[#This Row],[Axe
(Filières)]]</f>
        <v>Sécurité</v>
      </c>
      <c r="H23" s="284" t="str">
        <f>Tableau1[[#This Row],[Intitulé]]</f>
        <v>Recyclage SST</v>
      </c>
      <c r="I23" s="284">
        <f>Tableau1[[#This Row],[Priorité
mger]]</f>
        <v>0</v>
      </c>
      <c r="J23" s="284" t="str">
        <f>Tableau1[[#This Row],[Organisme]]</f>
        <v>CFSP</v>
      </c>
      <c r="K23" s="284">
        <f>Tableau1[[#This Row],[Durée
H]]</f>
        <v>7</v>
      </c>
      <c r="L23" s="92">
        <f>Tableau1[[#This Row],[Coût
péda.]]</f>
        <v>117</v>
      </c>
      <c r="M23" s="284" t="str">
        <f>Tableau1[[#This Row],[Dispositif
(Plan / DIF)]]</f>
        <v>Plan</v>
      </c>
      <c r="N23" s="284" t="str">
        <f>Tableau1[[#This Row],[Axe
  (note cadrage)]]</f>
        <v>Formation obligatoire</v>
      </c>
      <c r="O23" s="285">
        <f>Tableau1[[#This Row],[Validation
(Oui/Non)]]</f>
        <v>0</v>
      </c>
      <c r="P23" s="287" t="str">
        <f>Tableau1[[#This Row],[Calendrier
de réalisation]]</f>
        <v/>
      </c>
      <c r="Q23" s="284"/>
      <c r="S23" s="286" t="str">
        <f>IFERROR(VLOOKUP('Plan 2019 consolidé'!$E23,Tableau5[],COLUMN(Tableau5[[#This Row],[Sexe2]]),FALSE),"")</f>
        <v>M</v>
      </c>
      <c r="W23" s="286">
        <f>IFERROR(VLOOKUP('Plan 2019 consolidé'!$E23,Tableau5[],COLUMN(Tableau5[[#This Row],[Age]]),FALSE),"")</f>
        <v>52</v>
      </c>
      <c r="X23" s="286">
        <f>IFERROR(VLOOKUP('Plan 2019 consolidé'!$E23,Tableau5[],COLUMN(Tableau5[[#This Row],[Nombre d''années d''ancienneté dans la société]]),FALSE),"")</f>
        <v>32</v>
      </c>
    </row>
    <row r="24" spans="1:24" x14ac:dyDescent="0.25">
      <c r="A24" s="284" t="str">
        <f>Tableau1[[#This Row],[Service]]</f>
        <v>DVC</v>
      </c>
      <c r="B24" s="284" t="str">
        <f>Tableau1[[#This Row],[Site]]</f>
        <v>Aub.</v>
      </c>
      <c r="C24" s="284" t="str">
        <f>Tableau1[[#This Row],[Manager]]</f>
        <v>SAVY</v>
      </c>
      <c r="D24" s="284">
        <f>Tableau1[[#This Row],[Matricule]]</f>
        <v>103070</v>
      </c>
      <c r="E24" s="284" t="str">
        <f>Tableau1[[#This Row],[Nom]]</f>
        <v>AUBERT</v>
      </c>
      <c r="F24" s="284" t="str">
        <f>Tableau1[[#This Row],[Prénom]]</f>
        <v>Herve</v>
      </c>
      <c r="G24" s="284" t="str">
        <f>Tableau1[[#This Row],[Axe
(Filières)]]</f>
        <v>Sécurité</v>
      </c>
      <c r="H24" s="284" t="str">
        <f>Tableau1[[#This Row],[Intitulé]]</f>
        <v>Gestes et postures</v>
      </c>
      <c r="I24" s="284">
        <f>Tableau1[[#This Row],[Priorité
mger]]</f>
        <v>0</v>
      </c>
      <c r="J24" s="284" t="str">
        <f>Tableau1[[#This Row],[Organisme]]</f>
        <v>APAVE</v>
      </c>
      <c r="K24" s="284">
        <f>Tableau1[[#This Row],[Durée
H]]</f>
        <v>7</v>
      </c>
      <c r="L24" s="92">
        <f>Tableau1[[#This Row],[Coût
péda.]]</f>
        <v>124</v>
      </c>
      <c r="M24" s="284" t="str">
        <f>Tableau1[[#This Row],[Dispositif
(Plan / DIF)]]</f>
        <v>Plan</v>
      </c>
      <c r="N24" s="284" t="str">
        <f>Tableau1[[#This Row],[Axe
  (note cadrage)]]</f>
        <v>Formation obligatoire</v>
      </c>
      <c r="O24" s="285">
        <f>Tableau1[[#This Row],[Validation
(Oui/Non)]]</f>
        <v>0</v>
      </c>
      <c r="P24" s="287" t="str">
        <f>Tableau1[[#This Row],[Calendrier
de réalisation]]</f>
        <v>2019-Q1</v>
      </c>
      <c r="Q24" s="284"/>
      <c r="S24" s="286" t="str">
        <f>IFERROR(VLOOKUP('Plan 2019 consolidé'!$E24,Tableau5[],COLUMN(Tableau5[[#This Row],[Sexe2]]),FALSE),"")</f>
        <v>M</v>
      </c>
      <c r="W24" s="286">
        <f>IFERROR(VLOOKUP('Plan 2019 consolidé'!$E24,Tableau5[],COLUMN(Tableau5[[#This Row],[Age]]),FALSE),"")</f>
        <v>55</v>
      </c>
      <c r="X24" s="286">
        <f>IFERROR(VLOOKUP('Plan 2019 consolidé'!$E24,Tableau5[],COLUMN(Tableau5[[#This Row],[Nombre d''années d''ancienneté dans la société]]),FALSE),"")</f>
        <v>35</v>
      </c>
    </row>
    <row r="25" spans="1:24" x14ac:dyDescent="0.25">
      <c r="A25" s="284" t="str">
        <f>Tableau1[[#This Row],[Service]]</f>
        <v>Non DVC</v>
      </c>
      <c r="B25" s="284" t="str">
        <f>Tableau1[[#This Row],[Site]]</f>
        <v>Aub.</v>
      </c>
      <c r="C25" s="284" t="str">
        <f>Tableau1[[#This Row],[Manager]]</f>
        <v>RICCARDI</v>
      </c>
      <c r="D25" s="284">
        <f>Tableau1[[#This Row],[Matricule]]</f>
        <v>102998</v>
      </c>
      <c r="E25" s="284" t="str">
        <f>Tableau1[[#This Row],[Nom]]</f>
        <v>AVOUAC</v>
      </c>
      <c r="F25" s="284" t="str">
        <f>Tableau1[[#This Row],[Prénom]]</f>
        <v>Emmanuel</v>
      </c>
      <c r="G25" s="284" t="str">
        <f>Tableau1[[#This Row],[Axe
(Filières)]]</f>
        <v>Sécurité</v>
      </c>
      <c r="H25" s="284" t="str">
        <f>Tableau1[[#This Row],[Intitulé]]</f>
        <v>Incendie</v>
      </c>
      <c r="I25" s="284">
        <f>Tableau1[[#This Row],[Priorité
mger]]</f>
        <v>0</v>
      </c>
      <c r="J25" s="284" t="str">
        <f>Tableau1[[#This Row],[Organisme]]</f>
        <v>APAVE</v>
      </c>
      <c r="K25" s="284">
        <f>Tableau1[[#This Row],[Durée
H]]</f>
        <v>1.5</v>
      </c>
      <c r="L25" s="92">
        <f>Tableau1[[#This Row],[Coût
péda.]]</f>
        <v>53</v>
      </c>
      <c r="M25" s="284" t="str">
        <f>Tableau1[[#This Row],[Dispositif
(Plan / DIF)]]</f>
        <v>Plan</v>
      </c>
      <c r="N25" s="284" t="str">
        <f>Tableau1[[#This Row],[Axe
  (note cadrage)]]</f>
        <v>Formation obligatoire</v>
      </c>
      <c r="O25" s="285">
        <f>Tableau1[[#This Row],[Validation
(Oui/Non)]]</f>
        <v>0</v>
      </c>
      <c r="P25" s="287" t="str">
        <f>Tableau1[[#This Row],[Calendrier
de réalisation]]</f>
        <v>2019-Q1</v>
      </c>
      <c r="Q25" s="284"/>
      <c r="S25" s="286" t="str">
        <f>IFERROR(VLOOKUP('Plan 2019 consolidé'!$E25,Tableau5[],COLUMN(Tableau5[[#This Row],[Sexe2]]),FALSE),"")</f>
        <v>M</v>
      </c>
      <c r="W25" s="286">
        <f>IFERROR(VLOOKUP('Plan 2019 consolidé'!$E25,Tableau5[],COLUMN(Tableau5[[#This Row],[Age]]),FALSE),"")</f>
        <v>47</v>
      </c>
      <c r="X25" s="286">
        <f>IFERROR(VLOOKUP('Plan 2019 consolidé'!$E25,Tableau5[],COLUMN(Tableau5[[#This Row],[Nombre d''années d''ancienneté dans la société]]),FALSE),"")</f>
        <v>23</v>
      </c>
    </row>
    <row r="26" spans="1:24" x14ac:dyDescent="0.25">
      <c r="A26" s="284" t="str">
        <f>Tableau1[[#This Row],[Service]]</f>
        <v>Non DVC</v>
      </c>
      <c r="B26" s="284" t="str">
        <f>Tableau1[[#This Row],[Site]]</f>
        <v>Aub.</v>
      </c>
      <c r="C26" s="284" t="str">
        <f>Tableau1[[#This Row],[Manager]]</f>
        <v>RICCARDI</v>
      </c>
      <c r="D26" s="284">
        <f>Tableau1[[#This Row],[Matricule]]</f>
        <v>102998</v>
      </c>
      <c r="E26" s="284" t="str">
        <f>Tableau1[[#This Row],[Nom]]</f>
        <v>AVOUAC</v>
      </c>
      <c r="F26" s="284" t="str">
        <f>Tableau1[[#This Row],[Prénom]]</f>
        <v>Emmanuel</v>
      </c>
      <c r="G26" s="284" t="str">
        <f>Tableau1[[#This Row],[Axe
(Filières)]]</f>
        <v>Sécurité</v>
      </c>
      <c r="H26" s="284" t="str">
        <f>Tableau1[[#This Row],[Intitulé]]</f>
        <v>Recyclage SST</v>
      </c>
      <c r="I26" s="284">
        <f>Tableau1[[#This Row],[Priorité
mger]]</f>
        <v>0</v>
      </c>
      <c r="J26" s="284" t="str">
        <f>Tableau1[[#This Row],[Organisme]]</f>
        <v>CFSP</v>
      </c>
      <c r="K26" s="284">
        <f>Tableau1[[#This Row],[Durée
H]]</f>
        <v>7</v>
      </c>
      <c r="L26" s="92">
        <f>Tableau1[[#This Row],[Coût
péda.]]</f>
        <v>117</v>
      </c>
      <c r="M26" s="284" t="str">
        <f>Tableau1[[#This Row],[Dispositif
(Plan / DIF)]]</f>
        <v>Plan</v>
      </c>
      <c r="N26" s="284" t="str">
        <f>Tableau1[[#This Row],[Axe
  (note cadrage)]]</f>
        <v>Formation obligatoire</v>
      </c>
      <c r="O26" s="285">
        <f>Tableau1[[#This Row],[Validation
(Oui/Non)]]</f>
        <v>0</v>
      </c>
      <c r="P26" s="287" t="str">
        <f>Tableau1[[#This Row],[Calendrier
de réalisation]]</f>
        <v/>
      </c>
      <c r="Q26" s="284"/>
      <c r="S26" s="286" t="str">
        <f>IFERROR(VLOOKUP('Plan 2019 consolidé'!$E26,Tableau5[],COLUMN(Tableau5[[#This Row],[Sexe2]]),FALSE),"")</f>
        <v>M</v>
      </c>
      <c r="W26" s="286">
        <f>IFERROR(VLOOKUP('Plan 2019 consolidé'!$E26,Tableau5[],COLUMN(Tableau5[[#This Row],[Age]]),FALSE),"")</f>
        <v>47</v>
      </c>
      <c r="X26" s="286">
        <f>IFERROR(VLOOKUP('Plan 2019 consolidé'!$E26,Tableau5[],COLUMN(Tableau5[[#This Row],[Nombre d''années d''ancienneté dans la société]]),FALSE),"")</f>
        <v>23</v>
      </c>
    </row>
    <row r="27" spans="1:24" x14ac:dyDescent="0.25">
      <c r="A27" s="284" t="str">
        <f>Tableau1[[#This Row],[Service]]</f>
        <v>DVC</v>
      </c>
      <c r="B27" s="284" t="str">
        <f>Tableau1[[#This Row],[Site]]</f>
        <v>Aub.</v>
      </c>
      <c r="C27" s="284" t="str">
        <f>Tableau1[[#This Row],[Manager]]</f>
        <v>ALIX</v>
      </c>
      <c r="D27" s="284">
        <f>Tableau1[[#This Row],[Matricule]]</f>
        <v>103009</v>
      </c>
      <c r="E27" s="284" t="str">
        <f>Tableau1[[#This Row],[Nom]]</f>
        <v>AYGLON</v>
      </c>
      <c r="F27" s="284" t="str">
        <f>Tableau1[[#This Row],[Prénom]]</f>
        <v>Dominique</v>
      </c>
      <c r="G27" s="284" t="str">
        <f>Tableau1[[#This Row],[Axe
(Filières)]]</f>
        <v>Sécurité</v>
      </c>
      <c r="H27" s="284" t="str">
        <f>Tableau1[[#This Row],[Intitulé]]</f>
        <v>Gestes et postures</v>
      </c>
      <c r="I27" s="284">
        <f>Tableau1[[#This Row],[Priorité
mger]]</f>
        <v>0</v>
      </c>
      <c r="J27" s="284" t="str">
        <f>Tableau1[[#This Row],[Organisme]]</f>
        <v>APAVE</v>
      </c>
      <c r="K27" s="284">
        <f>Tableau1[[#This Row],[Durée
H]]</f>
        <v>7</v>
      </c>
      <c r="L27" s="92">
        <f>Tableau1[[#This Row],[Coût
péda.]]</f>
        <v>124</v>
      </c>
      <c r="M27" s="284" t="str">
        <f>Tableau1[[#This Row],[Dispositif
(Plan / DIF)]]</f>
        <v>Plan</v>
      </c>
      <c r="N27" s="284" t="str">
        <f>Tableau1[[#This Row],[Axe
  (note cadrage)]]</f>
        <v>Formation obligatoire</v>
      </c>
      <c r="O27" s="285">
        <f>Tableau1[[#This Row],[Validation
(Oui/Non)]]</f>
        <v>0</v>
      </c>
      <c r="P27" s="287" t="str">
        <f>Tableau1[[#This Row],[Calendrier
de réalisation]]</f>
        <v>2019-Q2</v>
      </c>
      <c r="Q27" s="284"/>
      <c r="S27" s="286" t="str">
        <f>IFERROR(VLOOKUP('Plan 2019 consolidé'!$E27,Tableau5[],COLUMN(Tableau5[[#This Row],[Sexe2]]),FALSE),"")</f>
        <v>M</v>
      </c>
      <c r="W27" s="286">
        <f>IFERROR(VLOOKUP('Plan 2019 consolidé'!$E27,Tableau5[],COLUMN(Tableau5[[#This Row],[Age]]),FALSE),"")</f>
        <v>51</v>
      </c>
      <c r="X27" s="286">
        <f>IFERROR(VLOOKUP('Plan 2019 consolidé'!$E27,Tableau5[],COLUMN(Tableau5[[#This Row],[Nombre d''années d''ancienneté dans la société]]),FALSE),"")</f>
        <v>11</v>
      </c>
    </row>
    <row r="28" spans="1:24" x14ac:dyDescent="0.25">
      <c r="A28" s="284" t="str">
        <f>Tableau1[[#This Row],[Service]]</f>
        <v>DVC</v>
      </c>
      <c r="B28" s="284" t="str">
        <f>Tableau1[[#This Row],[Site]]</f>
        <v>STG</v>
      </c>
      <c r="C28" s="284" t="str">
        <f>Tableau1[[#This Row],[Manager]]</f>
        <v>XUEREB</v>
      </c>
      <c r="D28" s="284">
        <f>Tableau1[[#This Row],[Matricule]]</f>
        <v>104628</v>
      </c>
      <c r="E28" s="284" t="str">
        <f>Tableau1[[#This Row],[Nom]]</f>
        <v>BARAZZUTTI</v>
      </c>
      <c r="F28" s="284" t="str">
        <f>Tableau1[[#This Row],[Prénom]]</f>
        <v>Lionel</v>
      </c>
      <c r="G28" s="284" t="str">
        <f>Tableau1[[#This Row],[Axe
(Filières)]]</f>
        <v>Sécurité</v>
      </c>
      <c r="H28" s="284" t="str">
        <f>Tableau1[[#This Row],[Intitulé]]</f>
        <v>Incendie</v>
      </c>
      <c r="I28" s="284">
        <f>Tableau1[[#This Row],[Priorité
mger]]</f>
        <v>0</v>
      </c>
      <c r="J28" s="284" t="str">
        <f>Tableau1[[#This Row],[Organisme]]</f>
        <v>APAVE</v>
      </c>
      <c r="K28" s="284">
        <f>Tableau1[[#This Row],[Durée
H]]</f>
        <v>1.5</v>
      </c>
      <c r="L28" s="92">
        <f>Tableau1[[#This Row],[Coût
péda.]]</f>
        <v>53</v>
      </c>
      <c r="M28" s="284" t="str">
        <f>Tableau1[[#This Row],[Dispositif
(Plan / DIF)]]</f>
        <v>Plan</v>
      </c>
      <c r="N28" s="284" t="str">
        <f>Tableau1[[#This Row],[Axe
  (note cadrage)]]</f>
        <v>Formation obligatoire</v>
      </c>
      <c r="O28" s="285">
        <f>Tableau1[[#This Row],[Validation
(Oui/Non)]]</f>
        <v>0</v>
      </c>
      <c r="P28" s="287" t="str">
        <f>Tableau1[[#This Row],[Calendrier
de réalisation]]</f>
        <v>2019-Q1</v>
      </c>
      <c r="Q28" s="284"/>
      <c r="S28" s="286" t="str">
        <f>IFERROR(VLOOKUP('Plan 2019 consolidé'!$E28,Tableau5[],COLUMN(Tableau5[[#This Row],[Sexe2]]),FALSE),"")</f>
        <v>M</v>
      </c>
      <c r="W28" s="286">
        <f>IFERROR(VLOOKUP('Plan 2019 consolidé'!$E28,Tableau5[],COLUMN(Tableau5[[#This Row],[Age]]),FALSE),"")</f>
        <v>45</v>
      </c>
      <c r="X28" s="286">
        <f>IFERROR(VLOOKUP('Plan 2019 consolidé'!$E28,Tableau5[],COLUMN(Tableau5[[#This Row],[Nombre d''années d''ancienneté dans la société]]),FALSE),"")</f>
        <v>10</v>
      </c>
    </row>
    <row r="29" spans="1:24" x14ac:dyDescent="0.25">
      <c r="A29" s="284" t="str">
        <f>Tableau1[[#This Row],[Service]]</f>
        <v>DVC</v>
      </c>
      <c r="B29" s="284" t="str">
        <f>Tableau1[[#This Row],[Site]]</f>
        <v>STG</v>
      </c>
      <c r="C29" s="284" t="str">
        <f>Tableau1[[#This Row],[Manager]]</f>
        <v>XUEREB</v>
      </c>
      <c r="D29" s="284">
        <f>Tableau1[[#This Row],[Matricule]]</f>
        <v>104628</v>
      </c>
      <c r="E29" s="284" t="str">
        <f>Tableau1[[#This Row],[Nom]]</f>
        <v>BARAZZUTTI</v>
      </c>
      <c r="F29" s="284" t="str">
        <f>Tableau1[[#This Row],[Prénom]]</f>
        <v>Lionel</v>
      </c>
      <c r="G29" s="284" t="str">
        <f>Tableau1[[#This Row],[Axe
(Filières)]]</f>
        <v>Sécurité</v>
      </c>
      <c r="H29" s="284" t="str">
        <f>Tableau1[[#This Row],[Intitulé]]</f>
        <v>Risques chimiques</v>
      </c>
      <c r="I29" s="284">
        <f>Tableau1[[#This Row],[Priorité
mger]]</f>
        <v>0</v>
      </c>
      <c r="J29" s="284" t="str">
        <f>Tableau1[[#This Row],[Organisme]]</f>
        <v>APAVE</v>
      </c>
      <c r="K29" s="284">
        <f>Tableau1[[#This Row],[Durée
H]]</f>
        <v>7</v>
      </c>
      <c r="L29" s="92">
        <f>Tableau1[[#This Row],[Coût
péda.]]</f>
        <v>162</v>
      </c>
      <c r="M29" s="284" t="str">
        <f>Tableau1[[#This Row],[Dispositif
(Plan / DIF)]]</f>
        <v>Plan</v>
      </c>
      <c r="N29" s="284" t="str">
        <f>Tableau1[[#This Row],[Axe
  (note cadrage)]]</f>
        <v>Formation obligatoire</v>
      </c>
      <c r="O29" s="285">
        <f>Tableau1[[#This Row],[Validation
(Oui/Non)]]</f>
        <v>0</v>
      </c>
      <c r="P29" s="287" t="str">
        <f>Tableau1[[#This Row],[Calendrier
de réalisation]]</f>
        <v>2019-Q2</v>
      </c>
      <c r="Q29" s="284"/>
      <c r="S29" s="286" t="str">
        <f>IFERROR(VLOOKUP('Plan 2019 consolidé'!$E29,Tableau5[],COLUMN(Tableau5[[#This Row],[Sexe2]]),FALSE),"")</f>
        <v>M</v>
      </c>
      <c r="W29" s="286">
        <f>IFERROR(VLOOKUP('Plan 2019 consolidé'!$E29,Tableau5[],COLUMN(Tableau5[[#This Row],[Age]]),FALSE),"")</f>
        <v>45</v>
      </c>
      <c r="X29" s="286">
        <f>IFERROR(VLOOKUP('Plan 2019 consolidé'!$E29,Tableau5[],COLUMN(Tableau5[[#This Row],[Nombre d''années d''ancienneté dans la société]]),FALSE),"")</f>
        <v>10</v>
      </c>
    </row>
    <row r="30" spans="1:24" x14ac:dyDescent="0.25">
      <c r="A30" s="284" t="str">
        <f>Tableau1[[#This Row],[Service]]</f>
        <v>DVC</v>
      </c>
      <c r="B30" s="284" t="str">
        <f>Tableau1[[#This Row],[Site]]</f>
        <v>Aub.</v>
      </c>
      <c r="C30" s="284" t="str">
        <f>Tableau1[[#This Row],[Manager]]</f>
        <v>SENEPART</v>
      </c>
      <c r="D30" s="284">
        <f>Tableau1[[#This Row],[Matricule]]</f>
        <v>104383</v>
      </c>
      <c r="E30" s="284" t="str">
        <f>Tableau1[[#This Row],[Nom]]</f>
        <v>BARBERA</v>
      </c>
      <c r="F30" s="284" t="str">
        <f>Tableau1[[#This Row],[Prénom]]</f>
        <v>Jeremy</v>
      </c>
      <c r="G30" s="284" t="str">
        <f>Tableau1[[#This Row],[Axe
(Filières)]]</f>
        <v>Sécurité</v>
      </c>
      <c r="H30" s="284" t="str">
        <f>Tableau1[[#This Row],[Intitulé]]</f>
        <v>Incendie</v>
      </c>
      <c r="I30" s="284">
        <f>Tableau1[[#This Row],[Priorité
mger]]</f>
        <v>0</v>
      </c>
      <c r="J30" s="284" t="str">
        <f>Tableau1[[#This Row],[Organisme]]</f>
        <v>APAVE</v>
      </c>
      <c r="K30" s="284">
        <f>Tableau1[[#This Row],[Durée
H]]</f>
        <v>1.5</v>
      </c>
      <c r="L30" s="92">
        <f>Tableau1[[#This Row],[Coût
péda.]]</f>
        <v>53</v>
      </c>
      <c r="M30" s="284" t="str">
        <f>Tableau1[[#This Row],[Dispositif
(Plan / DIF)]]</f>
        <v>Plan</v>
      </c>
      <c r="N30" s="284" t="str">
        <f>Tableau1[[#This Row],[Axe
  (note cadrage)]]</f>
        <v>Formation obligatoire</v>
      </c>
      <c r="O30" s="285">
        <f>Tableau1[[#This Row],[Validation
(Oui/Non)]]</f>
        <v>0</v>
      </c>
      <c r="P30" s="287" t="str">
        <f>Tableau1[[#This Row],[Calendrier
de réalisation]]</f>
        <v>2019-Q2</v>
      </c>
      <c r="Q30" s="284"/>
      <c r="S30" s="286" t="str">
        <f>IFERROR(VLOOKUP('Plan 2019 consolidé'!$E30,Tableau5[],COLUMN(Tableau5[[#This Row],[Sexe2]]),FALSE),"")</f>
        <v>M</v>
      </c>
      <c r="W30" s="286">
        <f>IFERROR(VLOOKUP('Plan 2019 consolidé'!$E30,Tableau5[],COLUMN(Tableau5[[#This Row],[Age]]),FALSE),"")</f>
        <v>37</v>
      </c>
      <c r="X30" s="286">
        <f>IFERROR(VLOOKUP('Plan 2019 consolidé'!$E30,Tableau5[],COLUMN(Tableau5[[#This Row],[Nombre d''années d''ancienneté dans la société]]),FALSE),"")</f>
        <v>10</v>
      </c>
    </row>
    <row r="31" spans="1:24" x14ac:dyDescent="0.25">
      <c r="A31" s="284" t="str">
        <f>Tableau1[[#This Row],[Service]]</f>
        <v>DVC</v>
      </c>
      <c r="B31" s="284" t="str">
        <f>Tableau1[[#This Row],[Site]]</f>
        <v>Aub.</v>
      </c>
      <c r="C31" s="284" t="str">
        <f>Tableau1[[#This Row],[Manager]]</f>
        <v>SENEPART</v>
      </c>
      <c r="D31" s="284">
        <f>Tableau1[[#This Row],[Matricule]]</f>
        <v>104383</v>
      </c>
      <c r="E31" s="284" t="str">
        <f>Tableau1[[#This Row],[Nom]]</f>
        <v>BARBERA</v>
      </c>
      <c r="F31" s="284" t="str">
        <f>Tableau1[[#This Row],[Prénom]]</f>
        <v>Jeremy</v>
      </c>
      <c r="G31" s="284" t="str">
        <f>Tableau1[[#This Row],[Axe
(Filières)]]</f>
        <v>Sécurité</v>
      </c>
      <c r="H31" s="284" t="str">
        <f>Tableau1[[#This Row],[Intitulé]]</f>
        <v>HAB ELEC</v>
      </c>
      <c r="I31" s="284">
        <f>Tableau1[[#This Row],[Priorité
mger]]</f>
        <v>0</v>
      </c>
      <c r="J31" s="284" t="str">
        <f>Tableau1[[#This Row],[Organisme]]</f>
        <v>SEEF</v>
      </c>
      <c r="K31" s="284">
        <f>Tableau1[[#This Row],[Durée
H]]</f>
        <v>10.5</v>
      </c>
      <c r="L31" s="92">
        <f>Tableau1[[#This Row],[Coût
péda.]]</f>
        <v>260</v>
      </c>
      <c r="M31" s="284" t="str">
        <f>Tableau1[[#This Row],[Dispositif
(Plan / DIF)]]</f>
        <v>Plan</v>
      </c>
      <c r="N31" s="284" t="str">
        <f>Tableau1[[#This Row],[Axe
  (note cadrage)]]</f>
        <v>Formation obligatoire</v>
      </c>
      <c r="O31" s="285">
        <f>Tableau1[[#This Row],[Validation
(Oui/Non)]]</f>
        <v>0</v>
      </c>
      <c r="P31" s="287" t="str">
        <f>Tableau1[[#This Row],[Calendrier
de réalisation]]</f>
        <v/>
      </c>
      <c r="Q31" s="284"/>
      <c r="S31" s="286" t="str">
        <f>IFERROR(VLOOKUP('Plan 2019 consolidé'!$E31,Tableau5[],COLUMN(Tableau5[[#This Row],[Sexe2]]),FALSE),"")</f>
        <v>M</v>
      </c>
      <c r="W31" s="286">
        <f>IFERROR(VLOOKUP('Plan 2019 consolidé'!$E31,Tableau5[],COLUMN(Tableau5[[#This Row],[Age]]),FALSE),"")</f>
        <v>37</v>
      </c>
      <c r="X31" s="286">
        <f>IFERROR(VLOOKUP('Plan 2019 consolidé'!$E31,Tableau5[],COLUMN(Tableau5[[#This Row],[Nombre d''années d''ancienneté dans la société]]),FALSE),"")</f>
        <v>10</v>
      </c>
    </row>
    <row r="32" spans="1:24" x14ac:dyDescent="0.25">
      <c r="A32" s="284" t="str">
        <f>Tableau1[[#This Row],[Service]]</f>
        <v>DVC</v>
      </c>
      <c r="B32" s="284" t="str">
        <f>Tableau1[[#This Row],[Site]]</f>
        <v>Lattes</v>
      </c>
      <c r="C32" s="284" t="str">
        <f>Tableau1[[#This Row],[Manager]]</f>
        <v>JACKEL</v>
      </c>
      <c r="D32" s="284">
        <f>Tableau1[[#This Row],[Matricule]]</f>
        <v>240339</v>
      </c>
      <c r="E32" s="284" t="str">
        <f>Tableau1[[#This Row],[Nom]]</f>
        <v>BASSOU</v>
      </c>
      <c r="F32" s="284" t="str">
        <f>Tableau1[[#This Row],[Prénom]]</f>
        <v>Anouar</v>
      </c>
      <c r="G32" s="284" t="str">
        <f>Tableau1[[#This Row],[Axe
(Filières)]]</f>
        <v>Sécurité</v>
      </c>
      <c r="H32" s="284" t="str">
        <f>Tableau1[[#This Row],[Intitulé]]</f>
        <v>SEBTR</v>
      </c>
      <c r="I32" s="284">
        <f>Tableau1[[#This Row],[Priorité
mger]]</f>
        <v>0</v>
      </c>
      <c r="J32" s="284" t="str">
        <f>Tableau1[[#This Row],[Organisme]]</f>
        <v>SEEF</v>
      </c>
      <c r="K32" s="284">
        <f>Tableau1[[#This Row],[Durée
H]]</f>
        <v>10.5</v>
      </c>
      <c r="L32" s="92">
        <f>Tableau1[[#This Row],[Coût
péda.]]</f>
        <v>260</v>
      </c>
      <c r="M32" s="284" t="str">
        <f>Tableau1[[#This Row],[Dispositif
(Plan / DIF)]]</f>
        <v>Plan</v>
      </c>
      <c r="N32" s="284" t="str">
        <f>Tableau1[[#This Row],[Axe
  (note cadrage)]]</f>
        <v>Formation obligatoire</v>
      </c>
      <c r="O32" s="285">
        <f>Tableau1[[#This Row],[Validation
(Oui/Non)]]</f>
        <v>0</v>
      </c>
      <c r="P32" s="287" t="str">
        <f>Tableau1[[#This Row],[Calendrier
de réalisation]]</f>
        <v/>
      </c>
      <c r="Q32" s="284"/>
      <c r="S32" s="286" t="str">
        <f>IFERROR(VLOOKUP('Plan 2019 consolidé'!$E32,Tableau5[],COLUMN(Tableau5[[#This Row],[Sexe2]]),FALSE),"")</f>
        <v>M</v>
      </c>
      <c r="W32" s="286">
        <f>IFERROR(VLOOKUP('Plan 2019 consolidé'!$E32,Tableau5[],COLUMN(Tableau5[[#This Row],[Age]]),FALSE),"")</f>
        <v>53</v>
      </c>
      <c r="X32" s="286">
        <f>IFERROR(VLOOKUP('Plan 2019 consolidé'!$E32,Tableau5[],COLUMN(Tableau5[[#This Row],[Nombre d''années d''ancienneté dans la société]]),FALSE),"")</f>
        <v>6</v>
      </c>
    </row>
    <row r="33" spans="1:24" x14ac:dyDescent="0.25">
      <c r="A33" s="284" t="str">
        <f>Tableau1[[#This Row],[Service]]</f>
        <v>DVC</v>
      </c>
      <c r="B33" s="284" t="str">
        <f>Tableau1[[#This Row],[Site]]</f>
        <v>Aub.</v>
      </c>
      <c r="C33" s="284" t="str">
        <f>Tableau1[[#This Row],[Manager]]</f>
        <v>FUENTES</v>
      </c>
      <c r="D33" s="284">
        <f>Tableau1[[#This Row],[Matricule]]</f>
        <v>103071</v>
      </c>
      <c r="E33" s="284" t="str">
        <f>Tableau1[[#This Row],[Nom]]</f>
        <v>BEAUMEL</v>
      </c>
      <c r="F33" s="284" t="str">
        <f>Tableau1[[#This Row],[Prénom]]</f>
        <v>Claudine</v>
      </c>
      <c r="G33" s="284" t="str">
        <f>Tableau1[[#This Row],[Axe
(Filières)]]</f>
        <v>Sécurité</v>
      </c>
      <c r="H33" s="284" t="str">
        <f>Tableau1[[#This Row],[Intitulé]]</f>
        <v>Gestes et postures</v>
      </c>
      <c r="I33" s="284">
        <f>Tableau1[[#This Row],[Priorité
mger]]</f>
        <v>0</v>
      </c>
      <c r="J33" s="284" t="str">
        <f>Tableau1[[#This Row],[Organisme]]</f>
        <v>APAVE</v>
      </c>
      <c r="K33" s="284">
        <f>Tableau1[[#This Row],[Durée
H]]</f>
        <v>7</v>
      </c>
      <c r="L33" s="92">
        <f>Tableau1[[#This Row],[Coût
péda.]]</f>
        <v>124</v>
      </c>
      <c r="M33" s="284" t="str">
        <f>Tableau1[[#This Row],[Dispositif
(Plan / DIF)]]</f>
        <v>Plan</v>
      </c>
      <c r="N33" s="284" t="str">
        <f>Tableau1[[#This Row],[Axe
  (note cadrage)]]</f>
        <v>Formation obligatoire</v>
      </c>
      <c r="O33" s="285">
        <f>Tableau1[[#This Row],[Validation
(Oui/Non)]]</f>
        <v>0</v>
      </c>
      <c r="P33" s="287" t="str">
        <f>Tableau1[[#This Row],[Calendrier
de réalisation]]</f>
        <v>2019-Q1</v>
      </c>
      <c r="Q33" s="284"/>
      <c r="S33" s="286" t="str">
        <f>IFERROR(VLOOKUP('Plan 2019 consolidé'!$E33,Tableau5[],COLUMN(Tableau5[[#This Row],[Sexe2]]),FALSE),"")</f>
        <v>F</v>
      </c>
      <c r="W33" s="286">
        <f>IFERROR(VLOOKUP('Plan 2019 consolidé'!$E33,Tableau5[],COLUMN(Tableau5[[#This Row],[Age]]),FALSE),"")</f>
        <v>59</v>
      </c>
      <c r="X33" s="286">
        <f>IFERROR(VLOOKUP('Plan 2019 consolidé'!$E33,Tableau5[],COLUMN(Tableau5[[#This Row],[Nombre d''années d''ancienneté dans la société]]),FALSE),"")</f>
        <v>35</v>
      </c>
    </row>
    <row r="34" spans="1:24" x14ac:dyDescent="0.25">
      <c r="A34" s="284" t="str">
        <f>Tableau1[[#This Row],[Service]]</f>
        <v>DVC</v>
      </c>
      <c r="B34" s="284" t="str">
        <f>Tableau1[[#This Row],[Site]]</f>
        <v>Lattes</v>
      </c>
      <c r="C34" s="284" t="str">
        <f>Tableau1[[#This Row],[Manager]]</f>
        <v>VERNE</v>
      </c>
      <c r="D34" s="284">
        <f>Tableau1[[#This Row],[Matricule]]</f>
        <v>191742</v>
      </c>
      <c r="E34" s="284" t="str">
        <f>Tableau1[[#This Row],[Nom]]</f>
        <v>BEN AMAR</v>
      </c>
      <c r="F34" s="284" t="str">
        <f>Tableau1[[#This Row],[Prénom]]</f>
        <v>Mohamed</v>
      </c>
      <c r="G34" s="284" t="str">
        <f>Tableau1[[#This Row],[Axe
(Filières)]]</f>
        <v>Sécurité</v>
      </c>
      <c r="H34" s="284" t="str">
        <f>Tableau1[[#This Row],[Intitulé]]</f>
        <v>Risques chimiques</v>
      </c>
      <c r="I34" s="284">
        <f>Tableau1[[#This Row],[Priorité
mger]]</f>
        <v>0</v>
      </c>
      <c r="J34" s="284" t="str">
        <f>Tableau1[[#This Row],[Organisme]]</f>
        <v>APAVE</v>
      </c>
      <c r="K34" s="284">
        <f>Tableau1[[#This Row],[Durée
H]]</f>
        <v>7</v>
      </c>
      <c r="L34" s="92">
        <f>Tableau1[[#This Row],[Coût
péda.]]</f>
        <v>162</v>
      </c>
      <c r="M34" s="284" t="str">
        <f>Tableau1[[#This Row],[Dispositif
(Plan / DIF)]]</f>
        <v>Plan</v>
      </c>
      <c r="N34" s="284" t="str">
        <f>Tableau1[[#This Row],[Axe
  (note cadrage)]]</f>
        <v>Formation obligatoire</v>
      </c>
      <c r="O34" s="285">
        <f>Tableau1[[#This Row],[Validation
(Oui/Non)]]</f>
        <v>0</v>
      </c>
      <c r="P34" s="287" t="str">
        <f>Tableau1[[#This Row],[Calendrier
de réalisation]]</f>
        <v>2019-Q1</v>
      </c>
      <c r="Q34" s="284"/>
      <c r="S34" s="286" t="str">
        <f>IFERROR(VLOOKUP('Plan 2019 consolidé'!$E34,Tableau5[],COLUMN(Tableau5[[#This Row],[Sexe2]]),FALSE),"")</f>
        <v>M</v>
      </c>
      <c r="W34" s="286">
        <f>IFERROR(VLOOKUP('Plan 2019 consolidé'!$E34,Tableau5[],COLUMN(Tableau5[[#This Row],[Age]]),FALSE),"")</f>
        <v>37</v>
      </c>
      <c r="X34" s="286">
        <f>IFERROR(VLOOKUP('Plan 2019 consolidé'!$E34,Tableau5[],COLUMN(Tableau5[[#This Row],[Nombre d''années d''ancienneté dans la société]]),FALSE),"")</f>
        <v>11</v>
      </c>
    </row>
    <row r="35" spans="1:24" x14ac:dyDescent="0.25">
      <c r="A35" s="284" t="str">
        <f>Tableau1[[#This Row],[Service]]</f>
        <v>DVC</v>
      </c>
      <c r="B35" s="284" t="str">
        <f>Tableau1[[#This Row],[Site]]</f>
        <v>Lattes</v>
      </c>
      <c r="C35" s="284" t="str">
        <f>Tableau1[[#This Row],[Manager]]</f>
        <v>VERNE</v>
      </c>
      <c r="D35" s="284">
        <f>Tableau1[[#This Row],[Matricule]]</f>
        <v>191742</v>
      </c>
      <c r="E35" s="284" t="str">
        <f>Tableau1[[#This Row],[Nom]]</f>
        <v>BEN AMAR</v>
      </c>
      <c r="F35" s="284" t="str">
        <f>Tableau1[[#This Row],[Prénom]]</f>
        <v>Mohamed</v>
      </c>
      <c r="G35" s="284" t="str">
        <f>Tableau1[[#This Row],[Axe
(Filières)]]</f>
        <v>Sécurité</v>
      </c>
      <c r="H35" s="284" t="str">
        <f>Tableau1[[#This Row],[Intitulé]]</f>
        <v>SEBTR</v>
      </c>
      <c r="I35" s="284">
        <f>Tableau1[[#This Row],[Priorité
mger]]</f>
        <v>0</v>
      </c>
      <c r="J35" s="284" t="str">
        <f>Tableau1[[#This Row],[Organisme]]</f>
        <v>SEEF</v>
      </c>
      <c r="K35" s="284">
        <f>Tableau1[[#This Row],[Durée
H]]</f>
        <v>10.5</v>
      </c>
      <c r="L35" s="92">
        <f>Tableau1[[#This Row],[Coût
péda.]]</f>
        <v>260</v>
      </c>
      <c r="M35" s="284" t="str">
        <f>Tableau1[[#This Row],[Dispositif
(Plan / DIF)]]</f>
        <v>Plan</v>
      </c>
      <c r="N35" s="284" t="str">
        <f>Tableau1[[#This Row],[Axe
  (note cadrage)]]</f>
        <v>Formation obligatoire</v>
      </c>
      <c r="O35" s="285">
        <f>Tableau1[[#This Row],[Validation
(Oui/Non)]]</f>
        <v>0</v>
      </c>
      <c r="P35" s="287" t="str">
        <f>Tableau1[[#This Row],[Calendrier
de réalisation]]</f>
        <v/>
      </c>
      <c r="Q35" s="284"/>
      <c r="S35" s="286" t="str">
        <f>IFERROR(VLOOKUP('Plan 2019 consolidé'!$E35,Tableau5[],COLUMN(Tableau5[[#This Row],[Sexe2]]),FALSE),"")</f>
        <v>M</v>
      </c>
      <c r="W35" s="286">
        <f>IFERROR(VLOOKUP('Plan 2019 consolidé'!$E35,Tableau5[],COLUMN(Tableau5[[#This Row],[Age]]),FALSE),"")</f>
        <v>37</v>
      </c>
      <c r="X35" s="286">
        <f>IFERROR(VLOOKUP('Plan 2019 consolidé'!$E35,Tableau5[],COLUMN(Tableau5[[#This Row],[Nombre d''années d''ancienneté dans la société]]),FALSE),"")</f>
        <v>11</v>
      </c>
    </row>
    <row r="36" spans="1:24" x14ac:dyDescent="0.25">
      <c r="A36" s="284" t="str">
        <f>Tableau1[[#This Row],[Service]]</f>
        <v>DVC</v>
      </c>
      <c r="B36" s="284" t="str">
        <f>Tableau1[[#This Row],[Site]]</f>
        <v>STG</v>
      </c>
      <c r="C36" s="284" t="str">
        <f>Tableau1[[#This Row],[Manager]]</f>
        <v>XUEREB</v>
      </c>
      <c r="D36" s="284">
        <f>Tableau1[[#This Row],[Matricule]]</f>
        <v>10559280</v>
      </c>
      <c r="E36" s="284" t="str">
        <f>Tableau1[[#This Row],[Nom]]</f>
        <v>BENASSI</v>
      </c>
      <c r="F36" s="284" t="str">
        <f>Tableau1[[#This Row],[Prénom]]</f>
        <v>Christian</v>
      </c>
      <c r="G36" s="284" t="str">
        <f>Tableau1[[#This Row],[Axe
(Filières)]]</f>
        <v>Sécurité</v>
      </c>
      <c r="H36" s="284" t="str">
        <f>Tableau1[[#This Row],[Intitulé]]</f>
        <v>Incendie</v>
      </c>
      <c r="I36" s="284">
        <f>Tableau1[[#This Row],[Priorité
mger]]</f>
        <v>0</v>
      </c>
      <c r="J36" s="284" t="str">
        <f>Tableau1[[#This Row],[Organisme]]</f>
        <v>APAVE</v>
      </c>
      <c r="K36" s="284">
        <f>Tableau1[[#This Row],[Durée
H]]</f>
        <v>1.5</v>
      </c>
      <c r="L36" s="92">
        <f>Tableau1[[#This Row],[Coût
péda.]]</f>
        <v>53</v>
      </c>
      <c r="M36" s="284" t="str">
        <f>Tableau1[[#This Row],[Dispositif
(Plan / DIF)]]</f>
        <v>Plan</v>
      </c>
      <c r="N36" s="284" t="str">
        <f>Tableau1[[#This Row],[Axe
  (note cadrage)]]</f>
        <v>Formation obligatoire</v>
      </c>
      <c r="O36" s="285">
        <f>Tableau1[[#This Row],[Validation
(Oui/Non)]]</f>
        <v>0</v>
      </c>
      <c r="P36" s="287">
        <f>Tableau1[[#This Row],[Calendrier
de réalisation]]</f>
        <v>0</v>
      </c>
      <c r="Q36" s="284"/>
      <c r="S36" s="286" t="str">
        <f>IFERROR(VLOOKUP('Plan 2019 consolidé'!$E36,Tableau5[],COLUMN(Tableau5[[#This Row],[Sexe2]]),FALSE),"")</f>
        <v>M</v>
      </c>
      <c r="W36" s="286">
        <f>IFERROR(VLOOKUP('Plan 2019 consolidé'!$E36,Tableau5[],COLUMN(Tableau5[[#This Row],[Age]]),FALSE),"")</f>
        <v>48</v>
      </c>
      <c r="X36" s="286">
        <f>IFERROR(VLOOKUP('Plan 2019 consolidé'!$E36,Tableau5[],COLUMN(Tableau5[[#This Row],[Nombre d''années d''ancienneté dans la société]]),FALSE),"")</f>
        <v>1</v>
      </c>
    </row>
    <row r="37" spans="1:24" x14ac:dyDescent="0.25">
      <c r="A37" s="284" t="str">
        <f>Tableau1[[#This Row],[Service]]</f>
        <v>DVC</v>
      </c>
      <c r="B37" s="284" t="str">
        <f>Tableau1[[#This Row],[Site]]</f>
        <v>Aub.</v>
      </c>
      <c r="C37" s="284" t="str">
        <f>Tableau1[[#This Row],[Manager]]</f>
        <v>SENEPART</v>
      </c>
      <c r="D37" s="284">
        <f>Tableau1[[#This Row],[Matricule]]</f>
        <v>102925</v>
      </c>
      <c r="E37" s="284" t="str">
        <f>Tableau1[[#This Row],[Nom]]</f>
        <v>BENCHEIKH</v>
      </c>
      <c r="F37" s="284" t="str">
        <f>Tableau1[[#This Row],[Prénom]]</f>
        <v>Mohammed</v>
      </c>
      <c r="G37" s="284" t="str">
        <f>Tableau1[[#This Row],[Axe
(Filières)]]</f>
        <v>Sécurité</v>
      </c>
      <c r="H37" s="284" t="str">
        <f>Tableau1[[#This Row],[Intitulé]]</f>
        <v>Gestes et postures</v>
      </c>
      <c r="I37" s="284">
        <f>Tableau1[[#This Row],[Priorité
mger]]</f>
        <v>0</v>
      </c>
      <c r="J37" s="284" t="str">
        <f>Tableau1[[#This Row],[Organisme]]</f>
        <v>APAVE</v>
      </c>
      <c r="K37" s="284">
        <f>Tableau1[[#This Row],[Durée
H]]</f>
        <v>7</v>
      </c>
      <c r="L37" s="92">
        <f>Tableau1[[#This Row],[Coût
péda.]]</f>
        <v>124</v>
      </c>
      <c r="M37" s="284" t="str">
        <f>Tableau1[[#This Row],[Dispositif
(Plan / DIF)]]</f>
        <v>Plan</v>
      </c>
      <c r="N37" s="284" t="str">
        <f>Tableau1[[#This Row],[Axe
  (note cadrage)]]</f>
        <v>Formation obligatoire</v>
      </c>
      <c r="O37" s="285">
        <f>Tableau1[[#This Row],[Validation
(Oui/Non)]]</f>
        <v>0</v>
      </c>
      <c r="P37" s="287" t="str">
        <f>Tableau1[[#This Row],[Calendrier
de réalisation]]</f>
        <v>2019-Q1</v>
      </c>
      <c r="Q37" s="284"/>
      <c r="S37" s="286" t="str">
        <f>IFERROR(VLOOKUP('Plan 2019 consolidé'!$E37,Tableau5[],COLUMN(Tableau5[[#This Row],[Sexe2]]),FALSE),"")</f>
        <v>M</v>
      </c>
      <c r="W37" s="286">
        <f>IFERROR(VLOOKUP('Plan 2019 consolidé'!$E37,Tableau5[],COLUMN(Tableau5[[#This Row],[Age]]),FALSE),"")</f>
        <v>52</v>
      </c>
      <c r="X37" s="286">
        <f>IFERROR(VLOOKUP('Plan 2019 consolidé'!$E37,Tableau5[],COLUMN(Tableau5[[#This Row],[Nombre d''années d''ancienneté dans la société]]),FALSE),"")</f>
        <v>12</v>
      </c>
    </row>
    <row r="38" spans="1:24" x14ac:dyDescent="0.25">
      <c r="A38" s="284" t="str">
        <f>Tableau1[[#This Row],[Service]]</f>
        <v>DVC</v>
      </c>
      <c r="B38" s="284" t="str">
        <f>Tableau1[[#This Row],[Site]]</f>
        <v>Aub.</v>
      </c>
      <c r="C38" s="284" t="str">
        <f>Tableau1[[#This Row],[Manager]]</f>
        <v>SENEPART</v>
      </c>
      <c r="D38" s="284">
        <f>Tableau1[[#This Row],[Matricule]]</f>
        <v>102925</v>
      </c>
      <c r="E38" s="284" t="str">
        <f>Tableau1[[#This Row],[Nom]]</f>
        <v>BENCHEIKH</v>
      </c>
      <c r="F38" s="284" t="str">
        <f>Tableau1[[#This Row],[Prénom]]</f>
        <v>Mohammed</v>
      </c>
      <c r="G38" s="284" t="str">
        <f>Tableau1[[#This Row],[Axe
(Filières)]]</f>
        <v>Sécurité</v>
      </c>
      <c r="H38" s="284" t="str">
        <f>Tableau1[[#This Row],[Intitulé]]</f>
        <v>Incendie</v>
      </c>
      <c r="I38" s="284">
        <f>Tableau1[[#This Row],[Priorité
mger]]</f>
        <v>0</v>
      </c>
      <c r="J38" s="284" t="str">
        <f>Tableau1[[#This Row],[Organisme]]</f>
        <v>APAVE</v>
      </c>
      <c r="K38" s="284">
        <f>Tableau1[[#This Row],[Durée
H]]</f>
        <v>1.5</v>
      </c>
      <c r="L38" s="92">
        <f>Tableau1[[#This Row],[Coût
péda.]]</f>
        <v>53</v>
      </c>
      <c r="M38" s="284" t="str">
        <f>Tableau1[[#This Row],[Dispositif
(Plan / DIF)]]</f>
        <v>Plan</v>
      </c>
      <c r="N38" s="284" t="str">
        <f>Tableau1[[#This Row],[Axe
  (note cadrage)]]</f>
        <v>Formation obligatoire</v>
      </c>
      <c r="O38" s="285">
        <f>Tableau1[[#This Row],[Validation
(Oui/Non)]]</f>
        <v>0</v>
      </c>
      <c r="P38" s="287" t="str">
        <f>Tableau1[[#This Row],[Calendrier
de réalisation]]</f>
        <v>2019-Q2</v>
      </c>
      <c r="Q38" s="284"/>
      <c r="S38" s="286" t="str">
        <f>IFERROR(VLOOKUP('Plan 2019 consolidé'!$E38,Tableau5[],COLUMN(Tableau5[[#This Row],[Sexe2]]),FALSE),"")</f>
        <v>M</v>
      </c>
      <c r="W38" s="286">
        <f>IFERROR(VLOOKUP('Plan 2019 consolidé'!$E38,Tableau5[],COLUMN(Tableau5[[#This Row],[Age]]),FALSE),"")</f>
        <v>52</v>
      </c>
      <c r="X38" s="286">
        <f>IFERROR(VLOOKUP('Plan 2019 consolidé'!$E38,Tableau5[],COLUMN(Tableau5[[#This Row],[Nombre d''années d''ancienneté dans la société]]),FALSE),"")</f>
        <v>12</v>
      </c>
    </row>
    <row r="39" spans="1:24" x14ac:dyDescent="0.25">
      <c r="A39" s="284" t="str">
        <f>Tableau1[[#This Row],[Service]]</f>
        <v>DVC</v>
      </c>
      <c r="B39" s="284" t="str">
        <f>Tableau1[[#This Row],[Site]]</f>
        <v>Aub.</v>
      </c>
      <c r="C39" s="284" t="str">
        <f>Tableau1[[#This Row],[Manager]]</f>
        <v>SENEPART</v>
      </c>
      <c r="D39" s="284">
        <f>Tableau1[[#This Row],[Matricule]]</f>
        <v>102925</v>
      </c>
      <c r="E39" s="284" t="str">
        <f>Tableau1[[#This Row],[Nom]]</f>
        <v>BENCHEIKH</v>
      </c>
      <c r="F39" s="284" t="str">
        <f>Tableau1[[#This Row],[Prénom]]</f>
        <v>Mohammed</v>
      </c>
      <c r="G39" s="284" t="str">
        <f>Tableau1[[#This Row],[Axe
(Filières)]]</f>
        <v>Sécurité</v>
      </c>
      <c r="H39" s="284" t="str">
        <f>Tableau1[[#This Row],[Intitulé]]</f>
        <v>Risques chimiques</v>
      </c>
      <c r="I39" s="284">
        <f>Tableau1[[#This Row],[Priorité
mger]]</f>
        <v>0</v>
      </c>
      <c r="J39" s="284" t="str">
        <f>Tableau1[[#This Row],[Organisme]]</f>
        <v>APAVE</v>
      </c>
      <c r="K39" s="284">
        <f>Tableau1[[#This Row],[Durée
H]]</f>
        <v>7</v>
      </c>
      <c r="L39" s="92">
        <f>Tableau1[[#This Row],[Coût
péda.]]</f>
        <v>162</v>
      </c>
      <c r="M39" s="284" t="str">
        <f>Tableau1[[#This Row],[Dispositif
(Plan / DIF)]]</f>
        <v>Plan</v>
      </c>
      <c r="N39" s="284" t="str">
        <f>Tableau1[[#This Row],[Axe
  (note cadrage)]]</f>
        <v>Formation obligatoire</v>
      </c>
      <c r="O39" s="285">
        <f>Tableau1[[#This Row],[Validation
(Oui/Non)]]</f>
        <v>0</v>
      </c>
      <c r="P39" s="287" t="str">
        <f>Tableau1[[#This Row],[Calendrier
de réalisation]]</f>
        <v>2019-Q4</v>
      </c>
      <c r="Q39" s="284"/>
      <c r="S39" s="286" t="str">
        <f>IFERROR(VLOOKUP('Plan 2019 consolidé'!$E39,Tableau5[],COLUMN(Tableau5[[#This Row],[Sexe2]]),FALSE),"")</f>
        <v>M</v>
      </c>
      <c r="W39" s="286">
        <f>IFERROR(VLOOKUP('Plan 2019 consolidé'!$E39,Tableau5[],COLUMN(Tableau5[[#This Row],[Age]]),FALSE),"")</f>
        <v>52</v>
      </c>
      <c r="X39" s="286">
        <f>IFERROR(VLOOKUP('Plan 2019 consolidé'!$E39,Tableau5[],COLUMN(Tableau5[[#This Row],[Nombre d''années d''ancienneté dans la société]]),FALSE),"")</f>
        <v>12</v>
      </c>
    </row>
    <row r="40" spans="1:24" x14ac:dyDescent="0.25">
      <c r="A40" s="284" t="str">
        <f>Tableau1[[#This Row],[Service]]</f>
        <v>DVC</v>
      </c>
      <c r="B40" s="284" t="str">
        <f>Tableau1[[#This Row],[Site]]</f>
        <v>Aub.</v>
      </c>
      <c r="C40" s="284" t="str">
        <f>Tableau1[[#This Row],[Manager]]</f>
        <v>ALIX</v>
      </c>
      <c r="D40" s="284">
        <f>Tableau1[[#This Row],[Matricule]]</f>
        <v>102971</v>
      </c>
      <c r="E40" s="284" t="str">
        <f>Tableau1[[#This Row],[Nom]]</f>
        <v>BLACHON</v>
      </c>
      <c r="F40" s="284" t="str">
        <f>Tableau1[[#This Row],[Prénom]]</f>
        <v>Henri</v>
      </c>
      <c r="G40" s="284" t="str">
        <f>Tableau1[[#This Row],[Axe
(Filières)]]</f>
        <v>Sécurité</v>
      </c>
      <c r="H40" s="284" t="str">
        <f>Tableau1[[#This Row],[Intitulé]]</f>
        <v>Gestes et postures</v>
      </c>
      <c r="I40" s="284">
        <f>Tableau1[[#This Row],[Priorité
mger]]</f>
        <v>0</v>
      </c>
      <c r="J40" s="284" t="str">
        <f>Tableau1[[#This Row],[Organisme]]</f>
        <v>APAVE</v>
      </c>
      <c r="K40" s="284">
        <f>Tableau1[[#This Row],[Durée
H]]</f>
        <v>7</v>
      </c>
      <c r="L40" s="92">
        <f>Tableau1[[#This Row],[Coût
péda.]]</f>
        <v>124</v>
      </c>
      <c r="M40" s="284" t="str">
        <f>Tableau1[[#This Row],[Dispositif
(Plan / DIF)]]</f>
        <v>Plan</v>
      </c>
      <c r="N40" s="284" t="str">
        <f>Tableau1[[#This Row],[Axe
  (note cadrage)]]</f>
        <v>Formation obligatoire</v>
      </c>
      <c r="O40" s="285">
        <f>Tableau1[[#This Row],[Validation
(Oui/Non)]]</f>
        <v>0</v>
      </c>
      <c r="P40" s="287" t="str">
        <f>Tableau1[[#This Row],[Calendrier
de réalisation]]</f>
        <v>2019-Q1</v>
      </c>
      <c r="Q40" s="284"/>
      <c r="S40" s="286" t="str">
        <f>IFERROR(VLOOKUP('Plan 2019 consolidé'!$E40,Tableau5[],COLUMN(Tableau5[[#This Row],[Sexe2]]),FALSE),"")</f>
        <v>M</v>
      </c>
      <c r="W40" s="286">
        <f>IFERROR(VLOOKUP('Plan 2019 consolidé'!$E40,Tableau5[],COLUMN(Tableau5[[#This Row],[Age]]),FALSE),"")</f>
        <v>52</v>
      </c>
      <c r="X40" s="286">
        <f>IFERROR(VLOOKUP('Plan 2019 consolidé'!$E40,Tableau5[],COLUMN(Tableau5[[#This Row],[Nombre d''années d''ancienneté dans la société]]),FALSE),"")</f>
        <v>17</v>
      </c>
    </row>
    <row r="41" spans="1:24" x14ac:dyDescent="0.25">
      <c r="A41" s="284" t="str">
        <f>Tableau1[[#This Row],[Service]]</f>
        <v>DVC</v>
      </c>
      <c r="B41" s="284" t="str">
        <f>Tableau1[[#This Row],[Site]]</f>
        <v>Aub.</v>
      </c>
      <c r="C41" s="284" t="str">
        <f>Tableau1[[#This Row],[Manager]]</f>
        <v>ALIX</v>
      </c>
      <c r="D41" s="284">
        <f>Tableau1[[#This Row],[Matricule]]</f>
        <v>102971</v>
      </c>
      <c r="E41" s="284" t="str">
        <f>Tableau1[[#This Row],[Nom]]</f>
        <v>BLACHON</v>
      </c>
      <c r="F41" s="284" t="str">
        <f>Tableau1[[#This Row],[Prénom]]</f>
        <v>Henri</v>
      </c>
      <c r="G41" s="284" t="str">
        <f>Tableau1[[#This Row],[Axe
(Filières)]]</f>
        <v>Sécurité</v>
      </c>
      <c r="H41" s="284" t="str">
        <f>Tableau1[[#This Row],[Intitulé]]</f>
        <v>Incendie</v>
      </c>
      <c r="I41" s="284">
        <f>Tableau1[[#This Row],[Priorité
mger]]</f>
        <v>0</v>
      </c>
      <c r="J41" s="284" t="str">
        <f>Tableau1[[#This Row],[Organisme]]</f>
        <v>APAVE</v>
      </c>
      <c r="K41" s="284">
        <f>Tableau1[[#This Row],[Durée
H]]</f>
        <v>1.5</v>
      </c>
      <c r="L41" s="92">
        <f>Tableau1[[#This Row],[Coût
péda.]]</f>
        <v>53</v>
      </c>
      <c r="M41" s="284" t="str">
        <f>Tableau1[[#This Row],[Dispositif
(Plan / DIF)]]</f>
        <v>Plan</v>
      </c>
      <c r="N41" s="284" t="str">
        <f>Tableau1[[#This Row],[Axe
  (note cadrage)]]</f>
        <v>Formation obligatoire</v>
      </c>
      <c r="O41" s="285">
        <f>Tableau1[[#This Row],[Validation
(Oui/Non)]]</f>
        <v>0</v>
      </c>
      <c r="P41" s="287" t="str">
        <f>Tableau1[[#This Row],[Calendrier
de réalisation]]</f>
        <v>2019-Q2</v>
      </c>
      <c r="Q41" s="284"/>
      <c r="S41" s="286" t="str">
        <f>IFERROR(VLOOKUP('Plan 2019 consolidé'!$E41,Tableau5[],COLUMN(Tableau5[[#This Row],[Sexe2]]),FALSE),"")</f>
        <v>M</v>
      </c>
      <c r="W41" s="286">
        <f>IFERROR(VLOOKUP('Plan 2019 consolidé'!$E41,Tableau5[],COLUMN(Tableau5[[#This Row],[Age]]),FALSE),"")</f>
        <v>52</v>
      </c>
      <c r="X41" s="286">
        <f>IFERROR(VLOOKUP('Plan 2019 consolidé'!$E41,Tableau5[],COLUMN(Tableau5[[#This Row],[Nombre d''années d''ancienneté dans la société]]),FALSE),"")</f>
        <v>17</v>
      </c>
    </row>
    <row r="42" spans="1:24" x14ac:dyDescent="0.25">
      <c r="A42" s="284" t="str">
        <f>Tableau1[[#This Row],[Service]]</f>
        <v>DVC</v>
      </c>
      <c r="B42" s="284" t="str">
        <f>Tableau1[[#This Row],[Site]]</f>
        <v>Aub.</v>
      </c>
      <c r="C42" s="284" t="str">
        <f>Tableau1[[#This Row],[Manager]]</f>
        <v>SAVY</v>
      </c>
      <c r="D42" s="284">
        <f>Tableau1[[#This Row],[Matricule]]</f>
        <v>103085</v>
      </c>
      <c r="E42" s="284" t="str">
        <f>Tableau1[[#This Row],[Nom]]</f>
        <v>BLAYE</v>
      </c>
      <c r="F42" s="284" t="str">
        <f>Tableau1[[#This Row],[Prénom]]</f>
        <v>Michel</v>
      </c>
      <c r="G42" s="284" t="str">
        <f>Tableau1[[#This Row],[Axe
(Filières)]]</f>
        <v>Sécurité</v>
      </c>
      <c r="H42" s="284" t="str">
        <f>Tableau1[[#This Row],[Intitulé]]</f>
        <v>Gestes et postures</v>
      </c>
      <c r="I42" s="284">
        <f>Tableau1[[#This Row],[Priorité
mger]]</f>
        <v>0</v>
      </c>
      <c r="J42" s="284" t="str">
        <f>Tableau1[[#This Row],[Organisme]]</f>
        <v>APAVE</v>
      </c>
      <c r="K42" s="284">
        <f>Tableau1[[#This Row],[Durée
H]]</f>
        <v>7</v>
      </c>
      <c r="L42" s="92">
        <f>Tableau1[[#This Row],[Coût
péda.]]</f>
        <v>124</v>
      </c>
      <c r="M42" s="284" t="str">
        <f>Tableau1[[#This Row],[Dispositif
(Plan / DIF)]]</f>
        <v>Plan</v>
      </c>
      <c r="N42" s="284" t="str">
        <f>Tableau1[[#This Row],[Axe
  (note cadrage)]]</f>
        <v>Formation obligatoire</v>
      </c>
      <c r="O42" s="285">
        <f>Tableau1[[#This Row],[Validation
(Oui/Non)]]</f>
        <v>0</v>
      </c>
      <c r="P42" s="287" t="str">
        <f>Tableau1[[#This Row],[Calendrier
de réalisation]]</f>
        <v>2019-Q1</v>
      </c>
      <c r="Q42" s="284"/>
      <c r="S42" s="286" t="str">
        <f>IFERROR(VLOOKUP('Plan 2019 consolidé'!$E42,Tableau5[],COLUMN(Tableau5[[#This Row],[Sexe2]]),FALSE),"")</f>
        <v>M</v>
      </c>
      <c r="W42" s="286">
        <f>IFERROR(VLOOKUP('Plan 2019 consolidé'!$E42,Tableau5[],COLUMN(Tableau5[[#This Row],[Age]]),FALSE),"")</f>
        <v>57</v>
      </c>
      <c r="X42" s="286">
        <f>IFERROR(VLOOKUP('Plan 2019 consolidé'!$E42,Tableau5[],COLUMN(Tableau5[[#This Row],[Nombre d''années d''ancienneté dans la société]]),FALSE),"")</f>
        <v>35</v>
      </c>
    </row>
    <row r="43" spans="1:24" x14ac:dyDescent="0.25">
      <c r="A43" s="284" t="str">
        <f>Tableau1[[#This Row],[Service]]</f>
        <v>DVC</v>
      </c>
      <c r="B43" s="284" t="str">
        <f>Tableau1[[#This Row],[Site]]</f>
        <v>Aub.</v>
      </c>
      <c r="C43" s="284" t="str">
        <f>Tableau1[[#This Row],[Manager]]</f>
        <v>SAVY</v>
      </c>
      <c r="D43" s="284">
        <f>Tableau1[[#This Row],[Matricule]]</f>
        <v>103085</v>
      </c>
      <c r="E43" s="284" t="str">
        <f>Tableau1[[#This Row],[Nom]]</f>
        <v>BLAYE</v>
      </c>
      <c r="F43" s="284" t="str">
        <f>Tableau1[[#This Row],[Prénom]]</f>
        <v>Michel</v>
      </c>
      <c r="G43" s="284" t="str">
        <f>Tableau1[[#This Row],[Axe
(Filières)]]</f>
        <v>Sécurité</v>
      </c>
      <c r="H43" s="284" t="str">
        <f>Tableau1[[#This Row],[Intitulé]]</f>
        <v>Incendie</v>
      </c>
      <c r="I43" s="284">
        <f>Tableau1[[#This Row],[Priorité
mger]]</f>
        <v>0</v>
      </c>
      <c r="J43" s="284" t="str">
        <f>Tableau1[[#This Row],[Organisme]]</f>
        <v>APAVE</v>
      </c>
      <c r="K43" s="284">
        <f>Tableau1[[#This Row],[Durée
H]]</f>
        <v>1.5</v>
      </c>
      <c r="L43" s="92">
        <f>Tableau1[[#This Row],[Coût
péda.]]</f>
        <v>53</v>
      </c>
      <c r="M43" s="284" t="str">
        <f>Tableau1[[#This Row],[Dispositif
(Plan / DIF)]]</f>
        <v>Plan</v>
      </c>
      <c r="N43" s="284" t="str">
        <f>Tableau1[[#This Row],[Axe
  (note cadrage)]]</f>
        <v>Formation obligatoire</v>
      </c>
      <c r="O43" s="285">
        <f>Tableau1[[#This Row],[Validation
(Oui/Non)]]</f>
        <v>0</v>
      </c>
      <c r="P43" s="287" t="str">
        <f>Tableau1[[#This Row],[Calendrier
de réalisation]]</f>
        <v>2019-Q2</v>
      </c>
      <c r="Q43" s="284"/>
      <c r="S43" s="286" t="str">
        <f>IFERROR(VLOOKUP('Plan 2019 consolidé'!$E43,Tableau5[],COLUMN(Tableau5[[#This Row],[Sexe2]]),FALSE),"")</f>
        <v>M</v>
      </c>
      <c r="W43" s="286">
        <f>IFERROR(VLOOKUP('Plan 2019 consolidé'!$E43,Tableau5[],COLUMN(Tableau5[[#This Row],[Age]]),FALSE),"")</f>
        <v>57</v>
      </c>
      <c r="X43" s="286">
        <f>IFERROR(VLOOKUP('Plan 2019 consolidé'!$E43,Tableau5[],COLUMN(Tableau5[[#This Row],[Nombre d''années d''ancienneté dans la société]]),FALSE),"")</f>
        <v>35</v>
      </c>
    </row>
    <row r="44" spans="1:24" x14ac:dyDescent="0.25">
      <c r="A44" s="284" t="str">
        <f>Tableau1[[#This Row],[Service]]</f>
        <v>DVC</v>
      </c>
      <c r="B44" s="284" t="str">
        <f>Tableau1[[#This Row],[Site]]</f>
        <v>STG</v>
      </c>
      <c r="C44" s="284" t="str">
        <f>Tableau1[[#This Row],[Manager]]</f>
        <v>XUEREB</v>
      </c>
      <c r="D44" s="284">
        <f>Tableau1[[#This Row],[Matricule]]</f>
        <v>10559278</v>
      </c>
      <c r="E44" s="284" t="str">
        <f>Tableau1[[#This Row],[Nom]]</f>
        <v>BOISSON MENUEL</v>
      </c>
      <c r="F44" s="284" t="str">
        <f>Tableau1[[#This Row],[Prénom]]</f>
        <v>Bertrand</v>
      </c>
      <c r="G44" s="284" t="str">
        <f>Tableau1[[#This Row],[Axe
(Filières)]]</f>
        <v>Sécurité</v>
      </c>
      <c r="H44" s="284" t="str">
        <f>Tableau1[[#This Row],[Intitulé]]</f>
        <v>Incendie</v>
      </c>
      <c r="I44" s="284">
        <f>Tableau1[[#This Row],[Priorité
mger]]</f>
        <v>0</v>
      </c>
      <c r="J44" s="284" t="str">
        <f>Tableau1[[#This Row],[Organisme]]</f>
        <v>APAVE</v>
      </c>
      <c r="K44" s="284">
        <f>Tableau1[[#This Row],[Durée
H]]</f>
        <v>1.5</v>
      </c>
      <c r="L44" s="92">
        <f>Tableau1[[#This Row],[Coût
péda.]]</f>
        <v>53</v>
      </c>
      <c r="M44" s="284" t="str">
        <f>Tableau1[[#This Row],[Dispositif
(Plan / DIF)]]</f>
        <v>Plan</v>
      </c>
      <c r="N44" s="284" t="str">
        <f>Tableau1[[#This Row],[Axe
  (note cadrage)]]</f>
        <v>Formation obligatoire</v>
      </c>
      <c r="O44" s="285">
        <f>Tableau1[[#This Row],[Validation
(Oui/Non)]]</f>
        <v>0</v>
      </c>
      <c r="P44" s="287">
        <f>Tableau1[[#This Row],[Calendrier
de réalisation]]</f>
        <v>0</v>
      </c>
      <c r="Q44" s="284"/>
      <c r="S44" s="286" t="str">
        <f>IFERROR(VLOOKUP('Plan 2019 consolidé'!$E44,Tableau5[],COLUMN(Tableau5[[#This Row],[Sexe2]]),FALSE),"")</f>
        <v>M</v>
      </c>
      <c r="W44" s="286">
        <f>IFERROR(VLOOKUP('Plan 2019 consolidé'!$E44,Tableau5[],COLUMN(Tableau5[[#This Row],[Age]]),FALSE),"")</f>
        <v>35</v>
      </c>
      <c r="X44" s="286">
        <f>IFERROR(VLOOKUP('Plan 2019 consolidé'!$E44,Tableau5[],COLUMN(Tableau5[[#This Row],[Nombre d''années d''ancienneté dans la société]]),FALSE),"")</f>
        <v>1</v>
      </c>
    </row>
    <row r="45" spans="1:24" x14ac:dyDescent="0.25">
      <c r="A45" s="284" t="str">
        <f>Tableau1[[#This Row],[Service]]</f>
        <v>Non DVC</v>
      </c>
      <c r="B45" s="284" t="str">
        <f>Tableau1[[#This Row],[Site]]</f>
        <v>Lattes</v>
      </c>
      <c r="C45" s="284" t="str">
        <f>Tableau1[[#This Row],[Manager]]</f>
        <v>VERNE</v>
      </c>
      <c r="D45" s="284">
        <f>Tableau1[[#This Row],[Matricule]]</f>
        <v>191166</v>
      </c>
      <c r="E45" s="284" t="str">
        <f>Tableau1[[#This Row],[Nom]]</f>
        <v>BONAFOUS</v>
      </c>
      <c r="F45" s="284" t="str">
        <f>Tableau1[[#This Row],[Prénom]]</f>
        <v>Amandine</v>
      </c>
      <c r="G45" s="284" t="str">
        <f>Tableau1[[#This Row],[Axe
(Filières)]]</f>
        <v>Sécurité</v>
      </c>
      <c r="H45" s="284" t="str">
        <f>Tableau1[[#This Row],[Intitulé]]</f>
        <v>Gestes et postures</v>
      </c>
      <c r="I45" s="284">
        <f>Tableau1[[#This Row],[Priorité
mger]]</f>
        <v>0</v>
      </c>
      <c r="J45" s="284" t="str">
        <f>Tableau1[[#This Row],[Organisme]]</f>
        <v>APAVE</v>
      </c>
      <c r="K45" s="284">
        <f>Tableau1[[#This Row],[Durée
H]]</f>
        <v>7</v>
      </c>
      <c r="L45" s="92">
        <f>Tableau1[[#This Row],[Coût
péda.]]</f>
        <v>124</v>
      </c>
      <c r="M45" s="284" t="str">
        <f>Tableau1[[#This Row],[Dispositif
(Plan / DIF)]]</f>
        <v>Plan</v>
      </c>
      <c r="N45" s="284" t="str">
        <f>Tableau1[[#This Row],[Axe
  (note cadrage)]]</f>
        <v>Formation obligatoire</v>
      </c>
      <c r="O45" s="285">
        <f>Tableau1[[#This Row],[Validation
(Oui/Non)]]</f>
        <v>0</v>
      </c>
      <c r="P45" s="287" t="str">
        <f>Tableau1[[#This Row],[Calendrier
de réalisation]]</f>
        <v>2019-Q3</v>
      </c>
      <c r="Q45" s="284"/>
      <c r="S45" s="286" t="str">
        <f>IFERROR(VLOOKUP('Plan 2019 consolidé'!$E45,Tableau5[],COLUMN(Tableau5[[#This Row],[Sexe2]]),FALSE),"")</f>
        <v>F</v>
      </c>
      <c r="W45" s="286">
        <f>IFERROR(VLOOKUP('Plan 2019 consolidé'!$E45,Tableau5[],COLUMN(Tableau5[[#This Row],[Age]]),FALSE),"")</f>
        <v>34</v>
      </c>
      <c r="X45" s="286">
        <f>IFERROR(VLOOKUP('Plan 2019 consolidé'!$E45,Tableau5[],COLUMN(Tableau5[[#This Row],[Nombre d''années d''ancienneté dans la société]]),FALSE),"")</f>
        <v>10</v>
      </c>
    </row>
    <row r="46" spans="1:24" x14ac:dyDescent="0.25">
      <c r="A46" s="284" t="str">
        <f>Tableau1[[#This Row],[Service]]</f>
        <v>DVC</v>
      </c>
      <c r="B46" s="284" t="str">
        <f>Tableau1[[#This Row],[Site]]</f>
        <v>Aub.</v>
      </c>
      <c r="C46" s="284" t="str">
        <f>Tableau1[[#This Row],[Manager]]</f>
        <v>ALIX</v>
      </c>
      <c r="D46" s="284">
        <f>Tableau1[[#This Row],[Matricule]]</f>
        <v>102961</v>
      </c>
      <c r="E46" s="284" t="str">
        <f>Tableau1[[#This Row],[Nom]]</f>
        <v>BONJOUR</v>
      </c>
      <c r="F46" s="284" t="str">
        <f>Tableau1[[#This Row],[Prénom]]</f>
        <v>Dominique</v>
      </c>
      <c r="G46" s="284" t="str">
        <f>Tableau1[[#This Row],[Axe
(Filières)]]</f>
        <v>Sécurité</v>
      </c>
      <c r="H46" s="284" t="str">
        <f>Tableau1[[#This Row],[Intitulé]]</f>
        <v>Recyclage SST</v>
      </c>
      <c r="I46" s="284">
        <f>Tableau1[[#This Row],[Priorité
mger]]</f>
        <v>0</v>
      </c>
      <c r="J46" s="284" t="str">
        <f>Tableau1[[#This Row],[Organisme]]</f>
        <v>CFSP</v>
      </c>
      <c r="K46" s="284">
        <f>Tableau1[[#This Row],[Durée
H]]</f>
        <v>7</v>
      </c>
      <c r="L46" s="92">
        <f>Tableau1[[#This Row],[Coût
péda.]]</f>
        <v>117</v>
      </c>
      <c r="M46" s="284" t="str">
        <f>Tableau1[[#This Row],[Dispositif
(Plan / DIF)]]</f>
        <v>Plan</v>
      </c>
      <c r="N46" s="284" t="str">
        <f>Tableau1[[#This Row],[Axe
  (note cadrage)]]</f>
        <v>Formation obligatoire</v>
      </c>
      <c r="O46" s="285">
        <f>Tableau1[[#This Row],[Validation
(Oui/Non)]]</f>
        <v>0</v>
      </c>
      <c r="P46" s="287" t="str">
        <f>Tableau1[[#This Row],[Calendrier
de réalisation]]</f>
        <v/>
      </c>
      <c r="Q46" s="284"/>
      <c r="S46" s="286" t="str">
        <f>IFERROR(VLOOKUP('Plan 2019 consolidé'!$E46,Tableau5[],COLUMN(Tableau5[[#This Row],[Sexe2]]),FALSE),"")</f>
        <v>M</v>
      </c>
      <c r="W46" s="286">
        <f>IFERROR(VLOOKUP('Plan 2019 consolidé'!$E46,Tableau5[],COLUMN(Tableau5[[#This Row],[Age]]),FALSE),"")</f>
        <v>53</v>
      </c>
      <c r="X46" s="286">
        <f>IFERROR(VLOOKUP('Plan 2019 consolidé'!$E46,Tableau5[],COLUMN(Tableau5[[#This Row],[Nombre d''années d''ancienneté dans la société]]),FALSE),"")</f>
        <v>13</v>
      </c>
    </row>
    <row r="47" spans="1:24" x14ac:dyDescent="0.25">
      <c r="A47" s="284" t="str">
        <f>Tableau1[[#This Row],[Service]]</f>
        <v>DVC</v>
      </c>
      <c r="B47" s="284" t="str">
        <f>Tableau1[[#This Row],[Site]]</f>
        <v>Aub.</v>
      </c>
      <c r="C47" s="284" t="str">
        <f>Tableau1[[#This Row],[Manager]]</f>
        <v>ALIX</v>
      </c>
      <c r="D47" s="284">
        <f>Tableau1[[#This Row],[Matricule]]</f>
        <v>103028</v>
      </c>
      <c r="E47" s="284" t="str">
        <f>Tableau1[[#This Row],[Nom]]</f>
        <v>BONNEFOY</v>
      </c>
      <c r="F47" s="284" t="str">
        <f>Tableau1[[#This Row],[Prénom]]</f>
        <v>Daniel</v>
      </c>
      <c r="G47" s="284" t="str">
        <f>Tableau1[[#This Row],[Axe
(Filières)]]</f>
        <v>Sécurité</v>
      </c>
      <c r="H47" s="284" t="str">
        <f>Tableau1[[#This Row],[Intitulé]]</f>
        <v>Recyclage SST</v>
      </c>
      <c r="I47" s="284">
        <f>Tableau1[[#This Row],[Priorité
mger]]</f>
        <v>0</v>
      </c>
      <c r="J47" s="284" t="str">
        <f>Tableau1[[#This Row],[Organisme]]</f>
        <v>CFSP</v>
      </c>
      <c r="K47" s="284">
        <f>Tableau1[[#This Row],[Durée
H]]</f>
        <v>7</v>
      </c>
      <c r="L47" s="92">
        <f>Tableau1[[#This Row],[Coût
péda.]]</f>
        <v>117</v>
      </c>
      <c r="M47" s="284" t="str">
        <f>Tableau1[[#This Row],[Dispositif
(Plan / DIF)]]</f>
        <v>Plan</v>
      </c>
      <c r="N47" s="284" t="str">
        <f>Tableau1[[#This Row],[Axe
  (note cadrage)]]</f>
        <v>Formation obligatoire</v>
      </c>
      <c r="O47" s="285">
        <f>Tableau1[[#This Row],[Validation
(Oui/Non)]]</f>
        <v>0</v>
      </c>
      <c r="P47" s="287" t="str">
        <f>Tableau1[[#This Row],[Calendrier
de réalisation]]</f>
        <v/>
      </c>
      <c r="Q47" s="284"/>
      <c r="S47" s="286" t="str">
        <f>IFERROR(VLOOKUP('Plan 2019 consolidé'!$E47,Tableau5[],COLUMN(Tableau5[[#This Row],[Sexe2]]),FALSE),"")</f>
        <v>M</v>
      </c>
      <c r="W47" s="286">
        <f>IFERROR(VLOOKUP('Plan 2019 consolidé'!$E47,Tableau5[],COLUMN(Tableau5[[#This Row],[Age]]),FALSE),"")</f>
        <v>52</v>
      </c>
      <c r="X47" s="286">
        <f>IFERROR(VLOOKUP('Plan 2019 consolidé'!$E47,Tableau5[],COLUMN(Tableau5[[#This Row],[Nombre d''années d''ancienneté dans la société]]),FALSE),"")</f>
        <v>27</v>
      </c>
    </row>
    <row r="48" spans="1:24" x14ac:dyDescent="0.25">
      <c r="A48" s="284" t="str">
        <f>Tableau1[[#This Row],[Service]]</f>
        <v>DVC</v>
      </c>
      <c r="B48" s="284" t="str">
        <f>Tableau1[[#This Row],[Site]]</f>
        <v>Lattes</v>
      </c>
      <c r="C48" s="284" t="str">
        <f>Tableau1[[#This Row],[Manager]]</f>
        <v>VERNE</v>
      </c>
      <c r="D48" s="284">
        <f>Tableau1[[#This Row],[Matricule]]</f>
        <v>192053</v>
      </c>
      <c r="E48" s="284" t="str">
        <f>Tableau1[[#This Row],[Nom]]</f>
        <v>BONNEL</v>
      </c>
      <c r="F48" s="284" t="str">
        <f>Tableau1[[#This Row],[Prénom]]</f>
        <v>Anne</v>
      </c>
      <c r="G48" s="284" t="str">
        <f>Tableau1[[#This Row],[Axe
(Filières)]]</f>
        <v>Sécurité</v>
      </c>
      <c r="H48" s="284" t="str">
        <f>Tableau1[[#This Row],[Intitulé]]</f>
        <v>Gestes et postures</v>
      </c>
      <c r="I48" s="284">
        <f>Tableau1[[#This Row],[Priorité
mger]]</f>
        <v>0</v>
      </c>
      <c r="J48" s="284" t="str">
        <f>Tableau1[[#This Row],[Organisme]]</f>
        <v>APAVE</v>
      </c>
      <c r="K48" s="284">
        <f>Tableau1[[#This Row],[Durée
H]]</f>
        <v>7</v>
      </c>
      <c r="L48" s="92">
        <f>Tableau1[[#This Row],[Coût
péda.]]</f>
        <v>124</v>
      </c>
      <c r="M48" s="284" t="str">
        <f>Tableau1[[#This Row],[Dispositif
(Plan / DIF)]]</f>
        <v>Plan</v>
      </c>
      <c r="N48" s="284" t="str">
        <f>Tableau1[[#This Row],[Axe
  (note cadrage)]]</f>
        <v>Formation obligatoire</v>
      </c>
      <c r="O48" s="285">
        <f>Tableau1[[#This Row],[Validation
(Oui/Non)]]</f>
        <v>0</v>
      </c>
      <c r="P48" s="287" t="str">
        <f>Tableau1[[#This Row],[Calendrier
de réalisation]]</f>
        <v>2019-Q3</v>
      </c>
      <c r="Q48" s="284"/>
      <c r="S48" s="286" t="str">
        <f>IFERROR(VLOOKUP('Plan 2019 consolidé'!$E48,Tableau5[],COLUMN(Tableau5[[#This Row],[Sexe2]]),FALSE),"")</f>
        <v>F</v>
      </c>
      <c r="W48" s="286">
        <f>IFERROR(VLOOKUP('Plan 2019 consolidé'!$E48,Tableau5[],COLUMN(Tableau5[[#This Row],[Age]]),FALSE),"")</f>
        <v>59</v>
      </c>
      <c r="X48" s="286">
        <f>IFERROR(VLOOKUP('Plan 2019 consolidé'!$E48,Tableau5[],COLUMN(Tableau5[[#This Row],[Nombre d''années d''ancienneté dans la société]]),FALSE),"")</f>
        <v>27</v>
      </c>
    </row>
    <row r="49" spans="1:24" x14ac:dyDescent="0.25">
      <c r="A49" s="284" t="str">
        <f>Tableau1[[#This Row],[Service]]</f>
        <v>DVC</v>
      </c>
      <c r="B49" s="284" t="str">
        <f>Tableau1[[#This Row],[Site]]</f>
        <v>Lattes</v>
      </c>
      <c r="C49" s="284" t="str">
        <f>Tableau1[[#This Row],[Manager]]</f>
        <v>VERNE</v>
      </c>
      <c r="D49" s="284">
        <f>Tableau1[[#This Row],[Matricule]]</f>
        <v>192053</v>
      </c>
      <c r="E49" s="284" t="str">
        <f>Tableau1[[#This Row],[Nom]]</f>
        <v>BONNEL</v>
      </c>
      <c r="F49" s="284" t="str">
        <f>Tableau1[[#This Row],[Prénom]]</f>
        <v>Anne</v>
      </c>
      <c r="G49" s="284" t="str">
        <f>Tableau1[[#This Row],[Axe
(Filières)]]</f>
        <v>Sécurité</v>
      </c>
      <c r="H49" s="284" t="str">
        <f>Tableau1[[#This Row],[Intitulé]]</f>
        <v>Risques chimiques</v>
      </c>
      <c r="I49" s="284">
        <f>Tableau1[[#This Row],[Priorité
mger]]</f>
        <v>0</v>
      </c>
      <c r="J49" s="284" t="str">
        <f>Tableau1[[#This Row],[Organisme]]</f>
        <v>APAVE</v>
      </c>
      <c r="K49" s="284">
        <f>Tableau1[[#This Row],[Durée
H]]</f>
        <v>7</v>
      </c>
      <c r="L49" s="92">
        <f>Tableau1[[#This Row],[Coût
péda.]]</f>
        <v>162</v>
      </c>
      <c r="M49" s="284" t="str">
        <f>Tableau1[[#This Row],[Dispositif
(Plan / DIF)]]</f>
        <v>Plan</v>
      </c>
      <c r="N49" s="284" t="str">
        <f>Tableau1[[#This Row],[Axe
  (note cadrage)]]</f>
        <v>Formation obligatoire</v>
      </c>
      <c r="O49" s="285">
        <f>Tableau1[[#This Row],[Validation
(Oui/Non)]]</f>
        <v>0</v>
      </c>
      <c r="P49" s="287" t="str">
        <f>Tableau1[[#This Row],[Calendrier
de réalisation]]</f>
        <v>2019-Q2</v>
      </c>
      <c r="Q49" s="284"/>
      <c r="S49" s="286" t="str">
        <f>IFERROR(VLOOKUP('Plan 2019 consolidé'!$E49,Tableau5[],COLUMN(Tableau5[[#This Row],[Sexe2]]),FALSE),"")</f>
        <v>F</v>
      </c>
      <c r="W49" s="286">
        <f>IFERROR(VLOOKUP('Plan 2019 consolidé'!$E49,Tableau5[],COLUMN(Tableau5[[#This Row],[Age]]),FALSE),"")</f>
        <v>59</v>
      </c>
      <c r="X49" s="286">
        <f>IFERROR(VLOOKUP('Plan 2019 consolidé'!$E49,Tableau5[],COLUMN(Tableau5[[#This Row],[Nombre d''années d''ancienneté dans la société]]),FALSE),"")</f>
        <v>27</v>
      </c>
    </row>
    <row r="50" spans="1:24" x14ac:dyDescent="0.25">
      <c r="A50" s="284" t="str">
        <f>Tableau1[[#This Row],[Service]]</f>
        <v>DVC</v>
      </c>
      <c r="B50" s="284" t="str">
        <f>Tableau1[[#This Row],[Site]]</f>
        <v>Lattes</v>
      </c>
      <c r="C50" s="284" t="str">
        <f>Tableau1[[#This Row],[Manager]]</f>
        <v>VERNE</v>
      </c>
      <c r="D50" s="284">
        <f>Tableau1[[#This Row],[Matricule]]</f>
        <v>192053</v>
      </c>
      <c r="E50" s="284" t="str">
        <f>Tableau1[[#This Row],[Nom]]</f>
        <v>BONNEL</v>
      </c>
      <c r="F50" s="284" t="str">
        <f>Tableau1[[#This Row],[Prénom]]</f>
        <v>Anne</v>
      </c>
      <c r="G50" s="284" t="str">
        <f>Tableau1[[#This Row],[Axe
(Filières)]]</f>
        <v>Sécurité</v>
      </c>
      <c r="H50" s="284" t="str">
        <f>Tableau1[[#This Row],[Intitulé]]</f>
        <v>Gestes et postures</v>
      </c>
      <c r="I50" s="284">
        <f>Tableau1[[#This Row],[Priorité
mger]]</f>
        <v>0</v>
      </c>
      <c r="J50" s="284" t="str">
        <f>Tableau1[[#This Row],[Organisme]]</f>
        <v>APAVE</v>
      </c>
      <c r="K50" s="284">
        <f>Tableau1[[#This Row],[Durée
H]]</f>
        <v>7</v>
      </c>
      <c r="L50" s="92">
        <f>Tableau1[[#This Row],[Coût
péda.]]</f>
        <v>124</v>
      </c>
      <c r="M50" s="284" t="str">
        <f>Tableau1[[#This Row],[Dispositif
(Plan / DIF)]]</f>
        <v>Plan</v>
      </c>
      <c r="N50" s="284" t="str">
        <f>Tableau1[[#This Row],[Axe
  (note cadrage)]]</f>
        <v>Formation obligatoire</v>
      </c>
      <c r="O50" s="285">
        <f>Tableau1[[#This Row],[Validation
(Oui/Non)]]</f>
        <v>0</v>
      </c>
      <c r="P50" s="287" t="str">
        <f>Tableau1[[#This Row],[Calendrier
de réalisation]]</f>
        <v>2019-Q3</v>
      </c>
      <c r="Q50" s="284"/>
      <c r="S50" s="286" t="str">
        <f>IFERROR(VLOOKUP('Plan 2019 consolidé'!$E50,Tableau5[],COLUMN(Tableau5[[#This Row],[Sexe2]]),FALSE),"")</f>
        <v>F</v>
      </c>
      <c r="W50" s="286">
        <f>IFERROR(VLOOKUP('Plan 2019 consolidé'!$E50,Tableau5[],COLUMN(Tableau5[[#This Row],[Age]]),FALSE),"")</f>
        <v>59</v>
      </c>
      <c r="X50" s="286">
        <f>IFERROR(VLOOKUP('Plan 2019 consolidé'!$E50,Tableau5[],COLUMN(Tableau5[[#This Row],[Nombre d''années d''ancienneté dans la société]]),FALSE),"")</f>
        <v>27</v>
      </c>
    </row>
    <row r="51" spans="1:24" x14ac:dyDescent="0.25">
      <c r="A51" s="284" t="str">
        <f>Tableau1[[#This Row],[Service]]</f>
        <v>DVC</v>
      </c>
      <c r="B51" s="284" t="str">
        <f>Tableau1[[#This Row],[Site]]</f>
        <v>Aub.</v>
      </c>
      <c r="C51" s="284" t="str">
        <f>Tableau1[[#This Row],[Manager]]</f>
        <v>ALIX</v>
      </c>
      <c r="D51" s="284">
        <f>Tableau1[[#This Row],[Matricule]]</f>
        <v>102987</v>
      </c>
      <c r="E51" s="284" t="str">
        <f>Tableau1[[#This Row],[Nom]]</f>
        <v>BOUCHIER</v>
      </c>
      <c r="F51" s="284" t="str">
        <f>Tableau1[[#This Row],[Prénom]]</f>
        <v>Dimitri</v>
      </c>
      <c r="G51" s="284" t="str">
        <f>Tableau1[[#This Row],[Axe
(Filières)]]</f>
        <v>Sécurité</v>
      </c>
      <c r="H51" s="284" t="str">
        <f>Tableau1[[#This Row],[Intitulé]]</f>
        <v>Incendie</v>
      </c>
      <c r="I51" s="284">
        <f>Tableau1[[#This Row],[Priorité
mger]]</f>
        <v>0</v>
      </c>
      <c r="J51" s="284" t="str">
        <f>Tableau1[[#This Row],[Organisme]]</f>
        <v>APAVE</v>
      </c>
      <c r="K51" s="284">
        <f>Tableau1[[#This Row],[Durée
H]]</f>
        <v>1.5</v>
      </c>
      <c r="L51" s="92">
        <f>Tableau1[[#This Row],[Coût
péda.]]</f>
        <v>53</v>
      </c>
      <c r="M51" s="284" t="str">
        <f>Tableau1[[#This Row],[Dispositif
(Plan / DIF)]]</f>
        <v>Plan</v>
      </c>
      <c r="N51" s="284" t="str">
        <f>Tableau1[[#This Row],[Axe
  (note cadrage)]]</f>
        <v>Formation obligatoire</v>
      </c>
      <c r="O51" s="285">
        <f>Tableau1[[#This Row],[Validation
(Oui/Non)]]</f>
        <v>0</v>
      </c>
      <c r="P51" s="287" t="str">
        <f>Tableau1[[#This Row],[Calendrier
de réalisation]]</f>
        <v>2019-Q2</v>
      </c>
      <c r="Q51" s="284"/>
      <c r="S51" s="286" t="str">
        <f>IFERROR(VLOOKUP('Plan 2019 consolidé'!$E51,Tableau5[],COLUMN(Tableau5[[#This Row],[Sexe2]]),FALSE),"")</f>
        <v>M</v>
      </c>
      <c r="W51" s="286">
        <f>IFERROR(VLOOKUP('Plan 2019 consolidé'!$E51,Tableau5[],COLUMN(Tableau5[[#This Row],[Age]]),FALSE),"")</f>
        <v>42</v>
      </c>
      <c r="X51" s="286">
        <f>IFERROR(VLOOKUP('Plan 2019 consolidé'!$E51,Tableau5[],COLUMN(Tableau5[[#This Row],[Nombre d''années d''ancienneté dans la société]]),FALSE),"")</f>
        <v>18</v>
      </c>
    </row>
    <row r="52" spans="1:24" x14ac:dyDescent="0.25">
      <c r="A52" s="284" t="str">
        <f>Tableau1[[#This Row],[Service]]</f>
        <v>DVC</v>
      </c>
      <c r="B52" s="284" t="str">
        <f>Tableau1[[#This Row],[Site]]</f>
        <v>Aub.</v>
      </c>
      <c r="C52" s="284" t="str">
        <f>Tableau1[[#This Row],[Manager]]</f>
        <v>PIFFAUT</v>
      </c>
      <c r="D52" s="284">
        <f>Tableau1[[#This Row],[Matricule]]</f>
        <v>102920</v>
      </c>
      <c r="E52" s="284" t="str">
        <f>Tableau1[[#This Row],[Nom]]</f>
        <v>BOUDIER</v>
      </c>
      <c r="F52" s="284" t="str">
        <f>Tableau1[[#This Row],[Prénom]]</f>
        <v>Eddy</v>
      </c>
      <c r="G52" s="284" t="str">
        <f>Tableau1[[#This Row],[Axe
(Filières)]]</f>
        <v>Sécurité</v>
      </c>
      <c r="H52" s="284" t="str">
        <f>Tableau1[[#This Row],[Intitulé]]</f>
        <v>Risques chimiques</v>
      </c>
      <c r="I52" s="284">
        <f>Tableau1[[#This Row],[Priorité
mger]]</f>
        <v>0</v>
      </c>
      <c r="J52" s="284" t="str">
        <f>Tableau1[[#This Row],[Organisme]]</f>
        <v>APAVE</v>
      </c>
      <c r="K52" s="284">
        <f>Tableau1[[#This Row],[Durée
H]]</f>
        <v>7</v>
      </c>
      <c r="L52" s="92">
        <f>Tableau1[[#This Row],[Coût
péda.]]</f>
        <v>162</v>
      </c>
      <c r="M52" s="284" t="str">
        <f>Tableau1[[#This Row],[Dispositif
(Plan / DIF)]]</f>
        <v>Plan</v>
      </c>
      <c r="N52" s="284" t="str">
        <f>Tableau1[[#This Row],[Axe
  (note cadrage)]]</f>
        <v>Formation obligatoire</v>
      </c>
      <c r="O52" s="285">
        <f>Tableau1[[#This Row],[Validation
(Oui/Non)]]</f>
        <v>0</v>
      </c>
      <c r="P52" s="287" t="str">
        <f>Tableau1[[#This Row],[Calendrier
de réalisation]]</f>
        <v>2019-Q4</v>
      </c>
      <c r="Q52" s="284"/>
      <c r="S52" s="286" t="str">
        <f>IFERROR(VLOOKUP('Plan 2019 consolidé'!$E52,Tableau5[],COLUMN(Tableau5[[#This Row],[Sexe2]]),FALSE),"")</f>
        <v>M</v>
      </c>
      <c r="W52" s="286">
        <f>IFERROR(VLOOKUP('Plan 2019 consolidé'!$E52,Tableau5[],COLUMN(Tableau5[[#This Row],[Age]]),FALSE),"")</f>
        <v>41</v>
      </c>
      <c r="X52" s="286">
        <f>IFERROR(VLOOKUP('Plan 2019 consolidé'!$E52,Tableau5[],COLUMN(Tableau5[[#This Row],[Nombre d''années d''ancienneté dans la société]]),FALSE),"")</f>
        <v>10</v>
      </c>
    </row>
    <row r="53" spans="1:24" x14ac:dyDescent="0.25">
      <c r="A53" s="284" t="str">
        <f>Tableau1[[#This Row],[Service]]</f>
        <v>DVC</v>
      </c>
      <c r="B53" s="284" t="str">
        <f>Tableau1[[#This Row],[Site]]</f>
        <v>Aub.</v>
      </c>
      <c r="C53" s="284" t="str">
        <f>Tableau1[[#This Row],[Manager]]</f>
        <v>SENEPART</v>
      </c>
      <c r="D53" s="284">
        <f>Tableau1[[#This Row],[Matricule]]</f>
        <v>102921</v>
      </c>
      <c r="E53" s="284" t="str">
        <f>Tableau1[[#This Row],[Nom]]</f>
        <v>BOULOGNE</v>
      </c>
      <c r="F53" s="284" t="str">
        <f>Tableau1[[#This Row],[Prénom]]</f>
        <v>Laurent</v>
      </c>
      <c r="G53" s="284" t="str">
        <f>Tableau1[[#This Row],[Axe
(Filières)]]</f>
        <v>Sécurité</v>
      </c>
      <c r="H53" s="284" t="str">
        <f>Tableau1[[#This Row],[Intitulé]]</f>
        <v>Incendie</v>
      </c>
      <c r="I53" s="284">
        <f>Tableau1[[#This Row],[Priorité
mger]]</f>
        <v>0</v>
      </c>
      <c r="J53" s="284" t="str">
        <f>Tableau1[[#This Row],[Organisme]]</f>
        <v>APAVE</v>
      </c>
      <c r="K53" s="284">
        <f>Tableau1[[#This Row],[Durée
H]]</f>
        <v>1.5</v>
      </c>
      <c r="L53" s="92">
        <f>Tableau1[[#This Row],[Coût
péda.]]</f>
        <v>53</v>
      </c>
      <c r="M53" s="284" t="str">
        <f>Tableau1[[#This Row],[Dispositif
(Plan / DIF)]]</f>
        <v>Plan</v>
      </c>
      <c r="N53" s="284" t="str">
        <f>Tableau1[[#This Row],[Axe
  (note cadrage)]]</f>
        <v>Formation obligatoire</v>
      </c>
      <c r="O53" s="285">
        <f>Tableau1[[#This Row],[Validation
(Oui/Non)]]</f>
        <v>0</v>
      </c>
      <c r="P53" s="287" t="str">
        <f>Tableau1[[#This Row],[Calendrier
de réalisation]]</f>
        <v>2019-Q2</v>
      </c>
      <c r="Q53" s="284"/>
      <c r="S53" s="286" t="str">
        <f>IFERROR(VLOOKUP('Plan 2019 consolidé'!$E53,Tableau5[],COLUMN(Tableau5[[#This Row],[Sexe2]]),FALSE),"")</f>
        <v>M</v>
      </c>
      <c r="W53" s="286">
        <f>IFERROR(VLOOKUP('Plan 2019 consolidé'!$E53,Tableau5[],COLUMN(Tableau5[[#This Row],[Age]]),FALSE),"")</f>
        <v>49</v>
      </c>
      <c r="X53" s="286">
        <f>IFERROR(VLOOKUP('Plan 2019 consolidé'!$E53,Tableau5[],COLUMN(Tableau5[[#This Row],[Nombre d''années d''ancienneté dans la société]]),FALSE),"")</f>
        <v>10</v>
      </c>
    </row>
    <row r="54" spans="1:24" x14ac:dyDescent="0.25">
      <c r="A54" s="284" t="str">
        <f>Tableau1[[#This Row],[Service]]</f>
        <v>DVC</v>
      </c>
      <c r="B54" s="284" t="str">
        <f>Tableau1[[#This Row],[Site]]</f>
        <v>Aub.</v>
      </c>
      <c r="C54" s="284" t="str">
        <f>Tableau1[[#This Row],[Manager]]</f>
        <v>SENEPART</v>
      </c>
      <c r="D54" s="284">
        <f>Tableau1[[#This Row],[Matricule]]</f>
        <v>102921</v>
      </c>
      <c r="E54" s="284" t="str">
        <f>Tableau1[[#This Row],[Nom]]</f>
        <v>BOULOGNE</v>
      </c>
      <c r="F54" s="284" t="str">
        <f>Tableau1[[#This Row],[Prénom]]</f>
        <v>Laurent</v>
      </c>
      <c r="G54" s="284" t="str">
        <f>Tableau1[[#This Row],[Axe
(Filières)]]</f>
        <v>Sécurité</v>
      </c>
      <c r="H54" s="284" t="str">
        <f>Tableau1[[#This Row],[Intitulé]]</f>
        <v>Recyclage SST</v>
      </c>
      <c r="I54" s="284">
        <f>Tableau1[[#This Row],[Priorité
mger]]</f>
        <v>0</v>
      </c>
      <c r="J54" s="284" t="str">
        <f>Tableau1[[#This Row],[Organisme]]</f>
        <v>CFSP</v>
      </c>
      <c r="K54" s="284">
        <f>Tableau1[[#This Row],[Durée
H]]</f>
        <v>7</v>
      </c>
      <c r="L54" s="92">
        <f>Tableau1[[#This Row],[Coût
péda.]]</f>
        <v>117</v>
      </c>
      <c r="M54" s="284" t="str">
        <f>Tableau1[[#This Row],[Dispositif
(Plan / DIF)]]</f>
        <v>Plan</v>
      </c>
      <c r="N54" s="284" t="str">
        <f>Tableau1[[#This Row],[Axe
  (note cadrage)]]</f>
        <v>Formation obligatoire</v>
      </c>
      <c r="O54" s="285">
        <f>Tableau1[[#This Row],[Validation
(Oui/Non)]]</f>
        <v>0</v>
      </c>
      <c r="P54" s="287" t="str">
        <f>Tableau1[[#This Row],[Calendrier
de réalisation]]</f>
        <v/>
      </c>
      <c r="Q54" s="284"/>
      <c r="S54" s="286" t="str">
        <f>IFERROR(VLOOKUP('Plan 2019 consolidé'!$E54,Tableau5[],COLUMN(Tableau5[[#This Row],[Sexe2]]),FALSE),"")</f>
        <v>M</v>
      </c>
      <c r="W54" s="286">
        <f>IFERROR(VLOOKUP('Plan 2019 consolidé'!$E54,Tableau5[],COLUMN(Tableau5[[#This Row],[Age]]),FALSE),"")</f>
        <v>49</v>
      </c>
      <c r="X54" s="286">
        <f>IFERROR(VLOOKUP('Plan 2019 consolidé'!$E54,Tableau5[],COLUMN(Tableau5[[#This Row],[Nombre d''années d''ancienneté dans la société]]),FALSE),"")</f>
        <v>10</v>
      </c>
    </row>
    <row r="55" spans="1:24" x14ac:dyDescent="0.25">
      <c r="A55" s="284" t="str">
        <f>Tableau1[[#This Row],[Service]]</f>
        <v>DVC</v>
      </c>
      <c r="B55" s="284" t="str">
        <f>Tableau1[[#This Row],[Site]]</f>
        <v>Aub.</v>
      </c>
      <c r="C55" s="284" t="str">
        <f>Tableau1[[#This Row],[Manager]]</f>
        <v>SENEPART</v>
      </c>
      <c r="D55" s="284">
        <f>Tableau1[[#This Row],[Matricule]]</f>
        <v>102921</v>
      </c>
      <c r="E55" s="284" t="str">
        <f>Tableau1[[#This Row],[Nom]]</f>
        <v>BOULOGNE</v>
      </c>
      <c r="F55" s="284" t="str">
        <f>Tableau1[[#This Row],[Prénom]]</f>
        <v>Laurent</v>
      </c>
      <c r="G55" s="284" t="str">
        <f>Tableau1[[#This Row],[Axe
(Filières)]]</f>
        <v>Sécurité</v>
      </c>
      <c r="H55" s="284" t="str">
        <f>Tableau1[[#This Row],[Intitulé]]</f>
        <v>HAB ELEC</v>
      </c>
      <c r="I55" s="284">
        <f>Tableau1[[#This Row],[Priorité
mger]]</f>
        <v>0</v>
      </c>
      <c r="J55" s="284" t="str">
        <f>Tableau1[[#This Row],[Organisme]]</f>
        <v>SEEF</v>
      </c>
      <c r="K55" s="284">
        <f>Tableau1[[#This Row],[Durée
H]]</f>
        <v>10.5</v>
      </c>
      <c r="L55" s="92">
        <f>Tableau1[[#This Row],[Coût
péda.]]</f>
        <v>260</v>
      </c>
      <c r="M55" s="284" t="str">
        <f>Tableau1[[#This Row],[Dispositif
(Plan / DIF)]]</f>
        <v>Plan</v>
      </c>
      <c r="N55" s="284" t="str">
        <f>Tableau1[[#This Row],[Axe
  (note cadrage)]]</f>
        <v>Formation obligatoire</v>
      </c>
      <c r="O55" s="285">
        <f>Tableau1[[#This Row],[Validation
(Oui/Non)]]</f>
        <v>0</v>
      </c>
      <c r="P55" s="287" t="str">
        <f>Tableau1[[#This Row],[Calendrier
de réalisation]]</f>
        <v/>
      </c>
      <c r="Q55" s="284"/>
      <c r="S55" s="286" t="str">
        <f>IFERROR(VLOOKUP('Plan 2019 consolidé'!$E55,Tableau5[],COLUMN(Tableau5[[#This Row],[Sexe2]]),FALSE),"")</f>
        <v>M</v>
      </c>
      <c r="W55" s="286">
        <f>IFERROR(VLOOKUP('Plan 2019 consolidé'!$E55,Tableau5[],COLUMN(Tableau5[[#This Row],[Age]]),FALSE),"")</f>
        <v>49</v>
      </c>
      <c r="X55" s="286">
        <f>IFERROR(VLOOKUP('Plan 2019 consolidé'!$E55,Tableau5[],COLUMN(Tableau5[[#This Row],[Nombre d''années d''ancienneté dans la société]]),FALSE),"")</f>
        <v>10</v>
      </c>
    </row>
    <row r="56" spans="1:24" x14ac:dyDescent="0.25">
      <c r="A56" s="284" t="str">
        <f>Tableau1[[#This Row],[Service]]</f>
        <v>DVC</v>
      </c>
      <c r="B56" s="284" t="str">
        <f>Tableau1[[#This Row],[Site]]</f>
        <v>STG</v>
      </c>
      <c r="C56" s="284" t="str">
        <f>Tableau1[[#This Row],[Manager]]</f>
        <v>XUEREB</v>
      </c>
      <c r="D56" s="284">
        <f>Tableau1[[#This Row],[Matricule]]</f>
        <v>104646</v>
      </c>
      <c r="E56" s="284" t="str">
        <f>Tableau1[[#This Row],[Nom]]</f>
        <v>BOUQUET</v>
      </c>
      <c r="F56" s="284" t="str">
        <f>Tableau1[[#This Row],[Prénom]]</f>
        <v>David</v>
      </c>
      <c r="G56" s="284" t="str">
        <f>Tableau1[[#This Row],[Axe
(Filières)]]</f>
        <v>Sécurité</v>
      </c>
      <c r="H56" s="284" t="str">
        <f>Tableau1[[#This Row],[Intitulé]]</f>
        <v>Incendie</v>
      </c>
      <c r="I56" s="284">
        <f>Tableau1[[#This Row],[Priorité
mger]]</f>
        <v>0</v>
      </c>
      <c r="J56" s="284" t="str">
        <f>Tableau1[[#This Row],[Organisme]]</f>
        <v>APAVE</v>
      </c>
      <c r="K56" s="284">
        <f>Tableau1[[#This Row],[Durée
H]]</f>
        <v>1.5</v>
      </c>
      <c r="L56" s="92">
        <f>Tableau1[[#This Row],[Coût
péda.]]</f>
        <v>53</v>
      </c>
      <c r="M56" s="284" t="str">
        <f>Tableau1[[#This Row],[Dispositif
(Plan / DIF)]]</f>
        <v>Plan</v>
      </c>
      <c r="N56" s="284" t="str">
        <f>Tableau1[[#This Row],[Axe
  (note cadrage)]]</f>
        <v>Formation obligatoire</v>
      </c>
      <c r="O56" s="285">
        <f>Tableau1[[#This Row],[Validation
(Oui/Non)]]</f>
        <v>0</v>
      </c>
      <c r="P56" s="287" t="str">
        <f>Tableau1[[#This Row],[Calendrier
de réalisation]]</f>
        <v>2019-Q1</v>
      </c>
      <c r="Q56" s="284"/>
      <c r="S56" s="286" t="str">
        <f>IFERROR(VLOOKUP('Plan 2019 consolidé'!$E56,Tableau5[],COLUMN(Tableau5[[#This Row],[Sexe2]]),FALSE),"")</f>
        <v>M</v>
      </c>
      <c r="W56" s="286">
        <f>IFERROR(VLOOKUP('Plan 2019 consolidé'!$E56,Tableau5[],COLUMN(Tableau5[[#This Row],[Age]]),FALSE),"")</f>
        <v>47</v>
      </c>
      <c r="X56" s="286">
        <f>IFERROR(VLOOKUP('Plan 2019 consolidé'!$E56,Tableau5[],COLUMN(Tableau5[[#This Row],[Nombre d''années d''ancienneté dans la société]]),FALSE),"")</f>
        <v>10</v>
      </c>
    </row>
    <row r="57" spans="1:24" x14ac:dyDescent="0.25">
      <c r="A57" s="284" t="str">
        <f>Tableau1[[#This Row],[Service]]</f>
        <v>DVC</v>
      </c>
      <c r="B57" s="284" t="str">
        <f>Tableau1[[#This Row],[Site]]</f>
        <v>STG</v>
      </c>
      <c r="C57" s="284" t="str">
        <f>Tableau1[[#This Row],[Manager]]</f>
        <v>XUEREB</v>
      </c>
      <c r="D57" s="284">
        <f>Tableau1[[#This Row],[Matricule]]</f>
        <v>104646</v>
      </c>
      <c r="E57" s="284" t="str">
        <f>Tableau1[[#This Row],[Nom]]</f>
        <v>BOUQUET</v>
      </c>
      <c r="F57" s="284" t="str">
        <f>Tableau1[[#This Row],[Prénom]]</f>
        <v>David</v>
      </c>
      <c r="G57" s="284" t="str">
        <f>Tableau1[[#This Row],[Axe
(Filières)]]</f>
        <v>Sécurité</v>
      </c>
      <c r="H57" s="284" t="str">
        <f>Tableau1[[#This Row],[Intitulé]]</f>
        <v>Recyclage SST</v>
      </c>
      <c r="I57" s="284">
        <f>Tableau1[[#This Row],[Priorité
mger]]</f>
        <v>0</v>
      </c>
      <c r="J57" s="284" t="str">
        <f>Tableau1[[#This Row],[Organisme]]</f>
        <v>CFSP</v>
      </c>
      <c r="K57" s="284">
        <f>Tableau1[[#This Row],[Durée
H]]</f>
        <v>7</v>
      </c>
      <c r="L57" s="92">
        <f>Tableau1[[#This Row],[Coût
péda.]]</f>
        <v>117</v>
      </c>
      <c r="M57" s="284" t="str">
        <f>Tableau1[[#This Row],[Dispositif
(Plan / DIF)]]</f>
        <v>Plan</v>
      </c>
      <c r="N57" s="284" t="str">
        <f>Tableau1[[#This Row],[Axe
  (note cadrage)]]</f>
        <v>Formation obligatoire</v>
      </c>
      <c r="O57" s="285">
        <f>Tableau1[[#This Row],[Validation
(Oui/Non)]]</f>
        <v>0</v>
      </c>
      <c r="P57" s="287" t="str">
        <f>Tableau1[[#This Row],[Calendrier
de réalisation]]</f>
        <v/>
      </c>
      <c r="Q57" s="284"/>
      <c r="S57" s="286" t="str">
        <f>IFERROR(VLOOKUP('Plan 2019 consolidé'!$E57,Tableau5[],COLUMN(Tableau5[[#This Row],[Sexe2]]),FALSE),"")</f>
        <v>M</v>
      </c>
      <c r="W57" s="286">
        <f>IFERROR(VLOOKUP('Plan 2019 consolidé'!$E57,Tableau5[],COLUMN(Tableau5[[#This Row],[Age]]),FALSE),"")</f>
        <v>47</v>
      </c>
      <c r="X57" s="286">
        <f>IFERROR(VLOOKUP('Plan 2019 consolidé'!$E57,Tableau5[],COLUMN(Tableau5[[#This Row],[Nombre d''années d''ancienneté dans la société]]),FALSE),"")</f>
        <v>10</v>
      </c>
    </row>
    <row r="58" spans="1:24" x14ac:dyDescent="0.25">
      <c r="A58" s="284" t="str">
        <f>Tableau1[[#This Row],[Service]]</f>
        <v>DVC</v>
      </c>
      <c r="B58" s="284" t="str">
        <f>Tableau1[[#This Row],[Site]]</f>
        <v>Aub.</v>
      </c>
      <c r="C58" s="284" t="str">
        <f>Tableau1[[#This Row],[Manager]]</f>
        <v>SENEPART</v>
      </c>
      <c r="D58" s="284">
        <f>Tableau1[[#This Row],[Matricule]]</f>
        <v>103039</v>
      </c>
      <c r="E58" s="284" t="str">
        <f>Tableau1[[#This Row],[Nom]]</f>
        <v>BRANJONNEAU</v>
      </c>
      <c r="F58" s="284" t="str">
        <f>Tableau1[[#This Row],[Prénom]]</f>
        <v>Didier</v>
      </c>
      <c r="G58" s="284" t="str">
        <f>Tableau1[[#This Row],[Axe
(Filières)]]</f>
        <v>Sécurité</v>
      </c>
      <c r="H58" s="284" t="str">
        <f>Tableau1[[#This Row],[Intitulé]]</f>
        <v>Gestes et postures</v>
      </c>
      <c r="I58" s="284">
        <f>Tableau1[[#This Row],[Priorité
mger]]</f>
        <v>0</v>
      </c>
      <c r="J58" s="284" t="str">
        <f>Tableau1[[#This Row],[Organisme]]</f>
        <v>APAVE</v>
      </c>
      <c r="K58" s="284">
        <f>Tableau1[[#This Row],[Durée
H]]</f>
        <v>7</v>
      </c>
      <c r="L58" s="92">
        <f>Tableau1[[#This Row],[Coût
péda.]]</f>
        <v>124</v>
      </c>
      <c r="M58" s="284" t="str">
        <f>Tableau1[[#This Row],[Dispositif
(Plan / DIF)]]</f>
        <v>Plan</v>
      </c>
      <c r="N58" s="284" t="str">
        <f>Tableau1[[#This Row],[Axe
  (note cadrage)]]</f>
        <v>Formation obligatoire</v>
      </c>
      <c r="O58" s="285">
        <f>Tableau1[[#This Row],[Validation
(Oui/Non)]]</f>
        <v>0</v>
      </c>
      <c r="P58" s="287" t="str">
        <f>Tableau1[[#This Row],[Calendrier
de réalisation]]</f>
        <v>2019-Q1</v>
      </c>
      <c r="Q58" s="284"/>
      <c r="S58" s="286" t="str">
        <f>IFERROR(VLOOKUP('Plan 2019 consolidé'!$E58,Tableau5[],COLUMN(Tableau5[[#This Row],[Sexe2]]),FALSE),"")</f>
        <v>M</v>
      </c>
      <c r="W58" s="286">
        <f>IFERROR(VLOOKUP('Plan 2019 consolidé'!$E58,Tableau5[],COLUMN(Tableau5[[#This Row],[Age]]),FALSE),"")</f>
        <v>55</v>
      </c>
      <c r="X58" s="286">
        <f>IFERROR(VLOOKUP('Plan 2019 consolidé'!$E58,Tableau5[],COLUMN(Tableau5[[#This Row],[Nombre d''années d''ancienneté dans la société]]),FALSE),"")</f>
        <v>32</v>
      </c>
    </row>
    <row r="59" spans="1:24" x14ac:dyDescent="0.25">
      <c r="A59" s="284" t="str">
        <f>Tableau1[[#This Row],[Service]]</f>
        <v>DVC</v>
      </c>
      <c r="B59" s="284" t="str">
        <f>Tableau1[[#This Row],[Site]]</f>
        <v>STG</v>
      </c>
      <c r="C59" s="284" t="str">
        <f>Tableau1[[#This Row],[Manager]]</f>
        <v>XUEREB</v>
      </c>
      <c r="D59" s="284">
        <f>Tableau1[[#This Row],[Matricule]]</f>
        <v>10559261</v>
      </c>
      <c r="E59" s="284" t="str">
        <f>Tableau1[[#This Row],[Nom]]</f>
        <v>BRISARD</v>
      </c>
      <c r="F59" s="284" t="str">
        <f>Tableau1[[#This Row],[Prénom]]</f>
        <v>Simon</v>
      </c>
      <c r="G59" s="284" t="str">
        <f>Tableau1[[#This Row],[Axe
(Filières)]]</f>
        <v>Sécurité</v>
      </c>
      <c r="H59" s="284" t="str">
        <f>Tableau1[[#This Row],[Intitulé]]</f>
        <v>Gestes et postures</v>
      </c>
      <c r="I59" s="284">
        <f>Tableau1[[#This Row],[Priorité
mger]]</f>
        <v>0</v>
      </c>
      <c r="J59" s="284" t="str">
        <f>Tableau1[[#This Row],[Organisme]]</f>
        <v>APAVE</v>
      </c>
      <c r="K59" s="284">
        <f>Tableau1[[#This Row],[Durée
H]]</f>
        <v>7</v>
      </c>
      <c r="L59" s="92">
        <f>Tableau1[[#This Row],[Coût
péda.]]</f>
        <v>124</v>
      </c>
      <c r="M59" s="284" t="str">
        <f>Tableau1[[#This Row],[Dispositif
(Plan / DIF)]]</f>
        <v>Plan</v>
      </c>
      <c r="N59" s="284" t="str">
        <f>Tableau1[[#This Row],[Axe
  (note cadrage)]]</f>
        <v>Formation obligatoire</v>
      </c>
      <c r="O59" s="285" t="str">
        <f>Tableau1[[#This Row],[Validation
(Oui/Non)]]</f>
        <v>Oui</v>
      </c>
      <c r="P59" s="287" t="str">
        <f>Tableau1[[#This Row],[Calendrier
de réalisation]]</f>
        <v>2019-Q2</v>
      </c>
      <c r="Q59" s="284"/>
      <c r="S59" s="286" t="str">
        <f>IFERROR(VLOOKUP('Plan 2019 consolidé'!$E59,Tableau5[],COLUMN(Tableau5[[#This Row],[Sexe2]]),FALSE),"")</f>
        <v>M</v>
      </c>
      <c r="W59" s="286">
        <f>IFERROR(VLOOKUP('Plan 2019 consolidé'!$E59,Tableau5[],COLUMN(Tableau5[[#This Row],[Age]]),FALSE),"")</f>
        <v>33</v>
      </c>
      <c r="X59" s="286">
        <f>IFERROR(VLOOKUP('Plan 2019 consolidé'!$E59,Tableau5[],COLUMN(Tableau5[[#This Row],[Nombre d''années d''ancienneté dans la société]]),FALSE),"")</f>
        <v>1</v>
      </c>
    </row>
    <row r="60" spans="1:24" x14ac:dyDescent="0.25">
      <c r="A60" s="284" t="str">
        <f>Tableau1[[#This Row],[Service]]</f>
        <v>DVC</v>
      </c>
      <c r="B60" s="284" t="str">
        <f>Tableau1[[#This Row],[Site]]</f>
        <v>STG</v>
      </c>
      <c r="C60" s="284" t="str">
        <f>Tableau1[[#This Row],[Manager]]</f>
        <v>XUEREB</v>
      </c>
      <c r="D60" s="284">
        <f>Tableau1[[#This Row],[Matricule]]</f>
        <v>10559261</v>
      </c>
      <c r="E60" s="284" t="str">
        <f>Tableau1[[#This Row],[Nom]]</f>
        <v>BRISARD</v>
      </c>
      <c r="F60" s="284" t="str">
        <f>Tableau1[[#This Row],[Prénom]]</f>
        <v>Simon</v>
      </c>
      <c r="G60" s="284" t="str">
        <f>Tableau1[[#This Row],[Axe
(Filières)]]</f>
        <v>Sécurité</v>
      </c>
      <c r="H60" s="284" t="str">
        <f>Tableau1[[#This Row],[Intitulé]]</f>
        <v>Incendie</v>
      </c>
      <c r="I60" s="284">
        <f>Tableau1[[#This Row],[Priorité
mger]]</f>
        <v>0</v>
      </c>
      <c r="J60" s="284" t="str">
        <f>Tableau1[[#This Row],[Organisme]]</f>
        <v>APAVE</v>
      </c>
      <c r="K60" s="284">
        <f>Tableau1[[#This Row],[Durée
H]]</f>
        <v>1.5</v>
      </c>
      <c r="L60" s="92">
        <f>Tableau1[[#This Row],[Coût
péda.]]</f>
        <v>53</v>
      </c>
      <c r="M60" s="284" t="str">
        <f>Tableau1[[#This Row],[Dispositif
(Plan / DIF)]]</f>
        <v>Plan</v>
      </c>
      <c r="N60" s="284" t="str">
        <f>Tableau1[[#This Row],[Axe
  (note cadrage)]]</f>
        <v>Formation obligatoire</v>
      </c>
      <c r="O60" s="285">
        <f>Tableau1[[#This Row],[Validation
(Oui/Non)]]</f>
        <v>0</v>
      </c>
      <c r="P60" s="287">
        <f>Tableau1[[#This Row],[Calendrier
de réalisation]]</f>
        <v>0</v>
      </c>
      <c r="Q60" s="284"/>
      <c r="S60" s="286" t="str">
        <f>IFERROR(VLOOKUP('Plan 2019 consolidé'!$E60,Tableau5[],COLUMN(Tableau5[[#This Row],[Sexe2]]),FALSE),"")</f>
        <v>M</v>
      </c>
      <c r="W60" s="286">
        <f>IFERROR(VLOOKUP('Plan 2019 consolidé'!$E60,Tableau5[],COLUMN(Tableau5[[#This Row],[Age]]),FALSE),"")</f>
        <v>33</v>
      </c>
      <c r="X60" s="286">
        <f>IFERROR(VLOOKUP('Plan 2019 consolidé'!$E60,Tableau5[],COLUMN(Tableau5[[#This Row],[Nombre d''années d''ancienneté dans la société]]),FALSE),"")</f>
        <v>1</v>
      </c>
    </row>
    <row r="61" spans="1:24" x14ac:dyDescent="0.25">
      <c r="A61" s="284" t="str">
        <f>Tableau1[[#This Row],[Service]]</f>
        <v>DVC</v>
      </c>
      <c r="B61" s="284" t="str">
        <f>Tableau1[[#This Row],[Site]]</f>
        <v>STG</v>
      </c>
      <c r="C61" s="284" t="str">
        <f>Tableau1[[#This Row],[Manager]]</f>
        <v>FOUASSIER</v>
      </c>
      <c r="D61" s="284">
        <f>Tableau1[[#This Row],[Matricule]]</f>
        <v>104658</v>
      </c>
      <c r="E61" s="284" t="str">
        <f>Tableau1[[#This Row],[Nom]]</f>
        <v>BRUN</v>
      </c>
      <c r="F61" s="284" t="str">
        <f>Tableau1[[#This Row],[Prénom]]</f>
        <v>Christian</v>
      </c>
      <c r="G61" s="284" t="str">
        <f>Tableau1[[#This Row],[Axe
(Filières)]]</f>
        <v>Sécurité</v>
      </c>
      <c r="H61" s="284" t="str">
        <f>Tableau1[[#This Row],[Intitulé]]</f>
        <v>Incendie</v>
      </c>
      <c r="I61" s="284">
        <f>Tableau1[[#This Row],[Priorité
mger]]</f>
        <v>0</v>
      </c>
      <c r="J61" s="284" t="str">
        <f>Tableau1[[#This Row],[Organisme]]</f>
        <v>APAVE</v>
      </c>
      <c r="K61" s="284">
        <f>Tableau1[[#This Row],[Durée
H]]</f>
        <v>1.5</v>
      </c>
      <c r="L61" s="92">
        <f>Tableau1[[#This Row],[Coût
péda.]]</f>
        <v>53</v>
      </c>
      <c r="M61" s="284" t="str">
        <f>Tableau1[[#This Row],[Dispositif
(Plan / DIF)]]</f>
        <v>Plan</v>
      </c>
      <c r="N61" s="284" t="str">
        <f>Tableau1[[#This Row],[Axe
  (note cadrage)]]</f>
        <v>Formation obligatoire</v>
      </c>
      <c r="O61" s="285">
        <f>Tableau1[[#This Row],[Validation
(Oui/Non)]]</f>
        <v>0</v>
      </c>
      <c r="P61" s="287" t="str">
        <f>Tableau1[[#This Row],[Calendrier
de réalisation]]</f>
        <v>2019-Q1</v>
      </c>
      <c r="Q61" s="284"/>
      <c r="S61" s="286" t="str">
        <f>IFERROR(VLOOKUP('Plan 2019 consolidé'!$E61,Tableau5[],COLUMN(Tableau5[[#This Row],[Sexe2]]),FALSE),"")</f>
        <v>M</v>
      </c>
      <c r="W61" s="286">
        <f>IFERROR(VLOOKUP('Plan 2019 consolidé'!$E61,Tableau5[],COLUMN(Tableau5[[#This Row],[Age]]),FALSE),"")</f>
        <v>52</v>
      </c>
      <c r="X61" s="286">
        <f>IFERROR(VLOOKUP('Plan 2019 consolidé'!$E61,Tableau5[],COLUMN(Tableau5[[#This Row],[Nombre d''années d''ancienneté dans la société]]),FALSE),"")</f>
        <v>10</v>
      </c>
    </row>
    <row r="62" spans="1:24" x14ac:dyDescent="0.25">
      <c r="A62" s="284" t="str">
        <f>Tableau1[[#This Row],[Service]]</f>
        <v>DVC</v>
      </c>
      <c r="B62" s="284" t="str">
        <f>Tableau1[[#This Row],[Site]]</f>
        <v>STG</v>
      </c>
      <c r="C62" s="284" t="str">
        <f>Tableau1[[#This Row],[Manager]]</f>
        <v>FOUASSIER</v>
      </c>
      <c r="D62" s="284">
        <f>Tableau1[[#This Row],[Matricule]]</f>
        <v>104658</v>
      </c>
      <c r="E62" s="284" t="str">
        <f>Tableau1[[#This Row],[Nom]]</f>
        <v>BRUN</v>
      </c>
      <c r="F62" s="284" t="str">
        <f>Tableau1[[#This Row],[Prénom]]</f>
        <v>Christian</v>
      </c>
      <c r="G62" s="284" t="str">
        <f>Tableau1[[#This Row],[Axe
(Filières)]]</f>
        <v>Sécurité</v>
      </c>
      <c r="H62" s="284" t="str">
        <f>Tableau1[[#This Row],[Intitulé]]</f>
        <v>Risques chimiques</v>
      </c>
      <c r="I62" s="284">
        <f>Tableau1[[#This Row],[Priorité
mger]]</f>
        <v>0</v>
      </c>
      <c r="J62" s="284" t="str">
        <f>Tableau1[[#This Row],[Organisme]]</f>
        <v>APAVE</v>
      </c>
      <c r="K62" s="284">
        <f>Tableau1[[#This Row],[Durée
H]]</f>
        <v>7</v>
      </c>
      <c r="L62" s="92">
        <f>Tableau1[[#This Row],[Coût
péda.]]</f>
        <v>162</v>
      </c>
      <c r="M62" s="284" t="str">
        <f>Tableau1[[#This Row],[Dispositif
(Plan / DIF)]]</f>
        <v>Plan</v>
      </c>
      <c r="N62" s="284" t="str">
        <f>Tableau1[[#This Row],[Axe
  (note cadrage)]]</f>
        <v>Formation obligatoire</v>
      </c>
      <c r="O62" s="285">
        <f>Tableau1[[#This Row],[Validation
(Oui/Non)]]</f>
        <v>0</v>
      </c>
      <c r="P62" s="287" t="str">
        <f>Tableau1[[#This Row],[Calendrier
de réalisation]]</f>
        <v>2019-Q2</v>
      </c>
      <c r="Q62" s="284"/>
      <c r="S62" s="286" t="str">
        <f>IFERROR(VLOOKUP('Plan 2019 consolidé'!$E62,Tableau5[],COLUMN(Tableau5[[#This Row],[Sexe2]]),FALSE),"")</f>
        <v>M</v>
      </c>
      <c r="W62" s="286">
        <f>IFERROR(VLOOKUP('Plan 2019 consolidé'!$E62,Tableau5[],COLUMN(Tableau5[[#This Row],[Age]]),FALSE),"")</f>
        <v>52</v>
      </c>
      <c r="X62" s="286">
        <f>IFERROR(VLOOKUP('Plan 2019 consolidé'!$E62,Tableau5[],COLUMN(Tableau5[[#This Row],[Nombre d''années d''ancienneté dans la société]]),FALSE),"")</f>
        <v>10</v>
      </c>
    </row>
    <row r="63" spans="1:24" x14ac:dyDescent="0.25">
      <c r="A63" s="284" t="str">
        <f>Tableau1[[#This Row],[Service]]</f>
        <v>DVC</v>
      </c>
      <c r="B63" s="284" t="str">
        <f>Tableau1[[#This Row],[Site]]</f>
        <v>Aub.</v>
      </c>
      <c r="C63" s="284" t="str">
        <f>Tableau1[[#This Row],[Manager]]</f>
        <v>ALIX</v>
      </c>
      <c r="D63" s="284">
        <f>Tableau1[[#This Row],[Matricule]]</f>
        <v>115869</v>
      </c>
      <c r="E63" s="284" t="str">
        <f>Tableau1[[#This Row],[Nom]]</f>
        <v>BRUNEL</v>
      </c>
      <c r="F63" s="284" t="str">
        <f>Tableau1[[#This Row],[Prénom]]</f>
        <v>Xavier</v>
      </c>
      <c r="G63" s="284" t="str">
        <f>Tableau1[[#This Row],[Axe
(Filières)]]</f>
        <v>Sécurité</v>
      </c>
      <c r="H63" s="284" t="str">
        <f>Tableau1[[#This Row],[Intitulé]]</f>
        <v>Recyclage SST</v>
      </c>
      <c r="I63" s="284">
        <f>Tableau1[[#This Row],[Priorité
mger]]</f>
        <v>0</v>
      </c>
      <c r="J63" s="284" t="str">
        <f>Tableau1[[#This Row],[Organisme]]</f>
        <v>CFSP</v>
      </c>
      <c r="K63" s="284">
        <f>Tableau1[[#This Row],[Durée
H]]</f>
        <v>7</v>
      </c>
      <c r="L63" s="92">
        <f>Tableau1[[#This Row],[Coût
péda.]]</f>
        <v>117</v>
      </c>
      <c r="M63" s="284" t="str">
        <f>Tableau1[[#This Row],[Dispositif
(Plan / DIF)]]</f>
        <v>Plan</v>
      </c>
      <c r="N63" s="284" t="str">
        <f>Tableau1[[#This Row],[Axe
  (note cadrage)]]</f>
        <v>Formation obligatoire</v>
      </c>
      <c r="O63" s="285">
        <f>Tableau1[[#This Row],[Validation
(Oui/Non)]]</f>
        <v>0</v>
      </c>
      <c r="P63" s="287" t="str">
        <f>Tableau1[[#This Row],[Calendrier
de réalisation]]</f>
        <v/>
      </c>
      <c r="Q63" s="284"/>
      <c r="S63" s="286" t="str">
        <f>IFERROR(VLOOKUP('Plan 2019 consolidé'!$E63,Tableau5[],COLUMN(Tableau5[[#This Row],[Sexe2]]),FALSE),"")</f>
        <v>M</v>
      </c>
      <c r="W63" s="286">
        <f>IFERROR(VLOOKUP('Plan 2019 consolidé'!$E63,Tableau5[],COLUMN(Tableau5[[#This Row],[Age]]),FALSE),"")</f>
        <v>39</v>
      </c>
      <c r="X63" s="286">
        <f>IFERROR(VLOOKUP('Plan 2019 consolidé'!$E63,Tableau5[],COLUMN(Tableau5[[#This Row],[Nombre d''années d''ancienneté dans la société]]),FALSE),"")</f>
        <v>10</v>
      </c>
    </row>
    <row r="64" spans="1:24" x14ac:dyDescent="0.25">
      <c r="A64" s="284" t="str">
        <f>Tableau1[[#This Row],[Service]]</f>
        <v>DVC</v>
      </c>
      <c r="B64" s="284" t="str">
        <f>Tableau1[[#This Row],[Site]]</f>
        <v>Aub.</v>
      </c>
      <c r="C64" s="284" t="str">
        <f>Tableau1[[#This Row],[Manager]]</f>
        <v>ALIX</v>
      </c>
      <c r="D64" s="284">
        <f>Tableau1[[#This Row],[Matricule]]</f>
        <v>115869</v>
      </c>
      <c r="E64" s="284" t="str">
        <f>Tableau1[[#This Row],[Nom]]</f>
        <v>BRUNEL</v>
      </c>
      <c r="F64" s="284" t="str">
        <f>Tableau1[[#This Row],[Prénom]]</f>
        <v>Xavier</v>
      </c>
      <c r="G64" s="284" t="str">
        <f>Tableau1[[#This Row],[Axe
(Filières)]]</f>
        <v>Sécurité</v>
      </c>
      <c r="H64" s="284" t="str">
        <f>Tableau1[[#This Row],[Intitulé]]</f>
        <v>HAB ELEC</v>
      </c>
      <c r="I64" s="284">
        <f>Tableau1[[#This Row],[Priorité
mger]]</f>
        <v>0</v>
      </c>
      <c r="J64" s="284" t="str">
        <f>Tableau1[[#This Row],[Organisme]]</f>
        <v>SEEF</v>
      </c>
      <c r="K64" s="284">
        <f>Tableau1[[#This Row],[Durée
H]]</f>
        <v>10.5</v>
      </c>
      <c r="L64" s="92">
        <f>Tableau1[[#This Row],[Coût
péda.]]</f>
        <v>260</v>
      </c>
      <c r="M64" s="284" t="str">
        <f>Tableau1[[#This Row],[Dispositif
(Plan / DIF)]]</f>
        <v>Plan</v>
      </c>
      <c r="N64" s="284" t="str">
        <f>Tableau1[[#This Row],[Axe
  (note cadrage)]]</f>
        <v>Formation obligatoire</v>
      </c>
      <c r="O64" s="285">
        <f>Tableau1[[#This Row],[Validation
(Oui/Non)]]</f>
        <v>0</v>
      </c>
      <c r="P64" s="287" t="str">
        <f>Tableau1[[#This Row],[Calendrier
de réalisation]]</f>
        <v/>
      </c>
      <c r="Q64" s="284"/>
      <c r="S64" s="286" t="str">
        <f>IFERROR(VLOOKUP('Plan 2019 consolidé'!$E64,Tableau5[],COLUMN(Tableau5[[#This Row],[Sexe2]]),FALSE),"")</f>
        <v>M</v>
      </c>
      <c r="W64" s="286">
        <f>IFERROR(VLOOKUP('Plan 2019 consolidé'!$E64,Tableau5[],COLUMN(Tableau5[[#This Row],[Age]]),FALSE),"")</f>
        <v>39</v>
      </c>
      <c r="X64" s="286">
        <f>IFERROR(VLOOKUP('Plan 2019 consolidé'!$E64,Tableau5[],COLUMN(Tableau5[[#This Row],[Nombre d''années d''ancienneté dans la société]]),FALSE),"")</f>
        <v>10</v>
      </c>
    </row>
    <row r="65" spans="1:24" x14ac:dyDescent="0.25">
      <c r="A65" s="284" t="str">
        <f>Tableau1[[#This Row],[Service]]</f>
        <v>DVC</v>
      </c>
      <c r="B65" s="284" t="str">
        <f>Tableau1[[#This Row],[Site]]</f>
        <v>STG</v>
      </c>
      <c r="C65" s="284" t="str">
        <f>Tableau1[[#This Row],[Manager]]</f>
        <v>FOUASSIER</v>
      </c>
      <c r="D65" s="284">
        <f>Tableau1[[#This Row],[Matricule]]</f>
        <v>104784</v>
      </c>
      <c r="E65" s="284" t="str">
        <f>Tableau1[[#This Row],[Nom]]</f>
        <v>BUISSON</v>
      </c>
      <c r="F65" s="284" t="str">
        <f>Tableau1[[#This Row],[Prénom]]</f>
        <v>Florian</v>
      </c>
      <c r="G65" s="284" t="str">
        <f>Tableau1[[#This Row],[Axe
(Filières)]]</f>
        <v>Sécurité</v>
      </c>
      <c r="H65" s="284" t="str">
        <f>Tableau1[[#This Row],[Intitulé]]</f>
        <v>Incendie</v>
      </c>
      <c r="I65" s="284">
        <f>Tableau1[[#This Row],[Priorité
mger]]</f>
        <v>0</v>
      </c>
      <c r="J65" s="284" t="str">
        <f>Tableau1[[#This Row],[Organisme]]</f>
        <v>APAVE</v>
      </c>
      <c r="K65" s="284">
        <f>Tableau1[[#This Row],[Durée
H]]</f>
        <v>1.5</v>
      </c>
      <c r="L65" s="92">
        <f>Tableau1[[#This Row],[Coût
péda.]]</f>
        <v>53</v>
      </c>
      <c r="M65" s="284" t="str">
        <f>Tableau1[[#This Row],[Dispositif
(Plan / DIF)]]</f>
        <v>Plan</v>
      </c>
      <c r="N65" s="284" t="str">
        <f>Tableau1[[#This Row],[Axe
  (note cadrage)]]</f>
        <v>Formation obligatoire</v>
      </c>
      <c r="O65" s="285">
        <f>Tableau1[[#This Row],[Validation
(Oui/Non)]]</f>
        <v>0</v>
      </c>
      <c r="P65" s="287" t="str">
        <f>Tableau1[[#This Row],[Calendrier
de réalisation]]</f>
        <v>2019-Q1</v>
      </c>
      <c r="Q65" s="284"/>
      <c r="S65" s="286" t="str">
        <f>IFERROR(VLOOKUP('Plan 2019 consolidé'!$E65,Tableau5[],COLUMN(Tableau5[[#This Row],[Sexe2]]),FALSE),"")</f>
        <v>M</v>
      </c>
      <c r="W65" s="286">
        <f>IFERROR(VLOOKUP('Plan 2019 consolidé'!$E65,Tableau5[],COLUMN(Tableau5[[#This Row],[Age]]),FALSE),"")</f>
        <v>33</v>
      </c>
      <c r="X65" s="286">
        <f>IFERROR(VLOOKUP('Plan 2019 consolidé'!$E65,Tableau5[],COLUMN(Tableau5[[#This Row],[Nombre d''années d''ancienneté dans la société]]),FALSE),"")</f>
        <v>10</v>
      </c>
    </row>
    <row r="66" spans="1:24" x14ac:dyDescent="0.25">
      <c r="A66" s="284" t="str">
        <f>Tableau1[[#This Row],[Service]]</f>
        <v>DVC</v>
      </c>
      <c r="B66" s="284" t="str">
        <f>Tableau1[[#This Row],[Site]]</f>
        <v>STG</v>
      </c>
      <c r="C66" s="284" t="str">
        <f>Tableau1[[#This Row],[Manager]]</f>
        <v>FOUASSIER</v>
      </c>
      <c r="D66" s="284">
        <f>Tableau1[[#This Row],[Matricule]]</f>
        <v>104784</v>
      </c>
      <c r="E66" s="284" t="str">
        <f>Tableau1[[#This Row],[Nom]]</f>
        <v>BUISSON</v>
      </c>
      <c r="F66" s="284" t="str">
        <f>Tableau1[[#This Row],[Prénom]]</f>
        <v>Florian</v>
      </c>
      <c r="G66" s="284" t="str">
        <f>Tableau1[[#This Row],[Axe
(Filières)]]</f>
        <v>Sécurité</v>
      </c>
      <c r="H66" s="284" t="str">
        <f>Tableau1[[#This Row],[Intitulé]]</f>
        <v>Recyclage SST</v>
      </c>
      <c r="I66" s="284">
        <f>Tableau1[[#This Row],[Priorité
mger]]</f>
        <v>0</v>
      </c>
      <c r="J66" s="284" t="str">
        <f>Tableau1[[#This Row],[Organisme]]</f>
        <v>CFSP</v>
      </c>
      <c r="K66" s="284">
        <f>Tableau1[[#This Row],[Durée
H]]</f>
        <v>7</v>
      </c>
      <c r="L66" s="92">
        <f>Tableau1[[#This Row],[Coût
péda.]]</f>
        <v>117</v>
      </c>
      <c r="M66" s="284" t="str">
        <f>Tableau1[[#This Row],[Dispositif
(Plan / DIF)]]</f>
        <v>Plan</v>
      </c>
      <c r="N66" s="284" t="str">
        <f>Tableau1[[#This Row],[Axe
  (note cadrage)]]</f>
        <v>Formation obligatoire</v>
      </c>
      <c r="O66" s="285">
        <f>Tableau1[[#This Row],[Validation
(Oui/Non)]]</f>
        <v>0</v>
      </c>
      <c r="P66" s="287" t="str">
        <f>Tableau1[[#This Row],[Calendrier
de réalisation]]</f>
        <v/>
      </c>
      <c r="Q66" s="284"/>
      <c r="S66" s="286" t="str">
        <f>IFERROR(VLOOKUP('Plan 2019 consolidé'!$E66,Tableau5[],COLUMN(Tableau5[[#This Row],[Sexe2]]),FALSE),"")</f>
        <v>M</v>
      </c>
      <c r="W66" s="286">
        <f>IFERROR(VLOOKUP('Plan 2019 consolidé'!$E66,Tableau5[],COLUMN(Tableau5[[#This Row],[Age]]),FALSE),"")</f>
        <v>33</v>
      </c>
      <c r="X66" s="286">
        <f>IFERROR(VLOOKUP('Plan 2019 consolidé'!$E66,Tableau5[],COLUMN(Tableau5[[#This Row],[Nombre d''années d''ancienneté dans la société]]),FALSE),"")</f>
        <v>10</v>
      </c>
    </row>
    <row r="67" spans="1:24" x14ac:dyDescent="0.25">
      <c r="A67" s="284" t="str">
        <f>Tableau1[[#This Row],[Service]]</f>
        <v>DVC</v>
      </c>
      <c r="B67" s="284" t="str">
        <f>Tableau1[[#This Row],[Site]]</f>
        <v>STG</v>
      </c>
      <c r="C67" s="284" t="str">
        <f>Tableau1[[#This Row],[Manager]]</f>
        <v>FOUASSIER</v>
      </c>
      <c r="D67" s="284">
        <f>Tableau1[[#This Row],[Matricule]]</f>
        <v>104784</v>
      </c>
      <c r="E67" s="284" t="str">
        <f>Tableau1[[#This Row],[Nom]]</f>
        <v>BUISSON</v>
      </c>
      <c r="F67" s="284" t="str">
        <f>Tableau1[[#This Row],[Prénom]]</f>
        <v>Florian</v>
      </c>
      <c r="G67" s="284" t="str">
        <f>Tableau1[[#This Row],[Axe
(Filières)]]</f>
        <v>Sécurité</v>
      </c>
      <c r="H67" s="284" t="str">
        <f>Tableau1[[#This Row],[Intitulé]]</f>
        <v>HAB ELEC</v>
      </c>
      <c r="I67" s="284">
        <f>Tableau1[[#This Row],[Priorité
mger]]</f>
        <v>0</v>
      </c>
      <c r="J67" s="284" t="str">
        <f>Tableau1[[#This Row],[Organisme]]</f>
        <v>SEEF</v>
      </c>
      <c r="K67" s="284">
        <f>Tableau1[[#This Row],[Durée
H]]</f>
        <v>10.5</v>
      </c>
      <c r="L67" s="92">
        <f>Tableau1[[#This Row],[Coût
péda.]]</f>
        <v>260</v>
      </c>
      <c r="M67" s="284" t="str">
        <f>Tableau1[[#This Row],[Dispositif
(Plan / DIF)]]</f>
        <v>Plan</v>
      </c>
      <c r="N67" s="284" t="str">
        <f>Tableau1[[#This Row],[Axe
  (note cadrage)]]</f>
        <v>Formation obligatoire</v>
      </c>
      <c r="O67" s="285">
        <f>Tableau1[[#This Row],[Validation
(Oui/Non)]]</f>
        <v>0</v>
      </c>
      <c r="P67" s="287" t="str">
        <f>Tableau1[[#This Row],[Calendrier
de réalisation]]</f>
        <v/>
      </c>
      <c r="Q67" s="284"/>
      <c r="S67" s="286" t="str">
        <f>IFERROR(VLOOKUP('Plan 2019 consolidé'!$E67,Tableau5[],COLUMN(Tableau5[[#This Row],[Sexe2]]),FALSE),"")</f>
        <v>M</v>
      </c>
      <c r="W67" s="286">
        <f>IFERROR(VLOOKUP('Plan 2019 consolidé'!$E67,Tableau5[],COLUMN(Tableau5[[#This Row],[Age]]),FALSE),"")</f>
        <v>33</v>
      </c>
      <c r="X67" s="286">
        <f>IFERROR(VLOOKUP('Plan 2019 consolidé'!$E67,Tableau5[],COLUMN(Tableau5[[#This Row],[Nombre d''années d''ancienneté dans la société]]),FALSE),"")</f>
        <v>10</v>
      </c>
    </row>
    <row r="68" spans="1:24" x14ac:dyDescent="0.25">
      <c r="A68" s="284" t="str">
        <f>Tableau1[[#This Row],[Service]]</f>
        <v>DVC</v>
      </c>
      <c r="B68" s="284" t="str">
        <f>Tableau1[[#This Row],[Site]]</f>
        <v>STG</v>
      </c>
      <c r="C68" s="284" t="str">
        <f>Tableau1[[#This Row],[Manager]]</f>
        <v>XUEREB</v>
      </c>
      <c r="D68" s="284">
        <f>Tableau1[[#This Row],[Matricule]]</f>
        <v>135347</v>
      </c>
      <c r="E68" s="284" t="str">
        <f>Tableau1[[#This Row],[Nom]]</f>
        <v>BUNEL</v>
      </c>
      <c r="F68" s="284" t="str">
        <f>Tableau1[[#This Row],[Prénom]]</f>
        <v>Stephane</v>
      </c>
      <c r="G68" s="284" t="str">
        <f>Tableau1[[#This Row],[Axe
(Filières)]]</f>
        <v>Sécurité</v>
      </c>
      <c r="H68" s="284" t="str">
        <f>Tableau1[[#This Row],[Intitulé]]</f>
        <v>Incendie</v>
      </c>
      <c r="I68" s="284">
        <f>Tableau1[[#This Row],[Priorité
mger]]</f>
        <v>0</v>
      </c>
      <c r="J68" s="284" t="str">
        <f>Tableau1[[#This Row],[Organisme]]</f>
        <v>APAVE</v>
      </c>
      <c r="K68" s="284">
        <f>Tableau1[[#This Row],[Durée
H]]</f>
        <v>1.5</v>
      </c>
      <c r="L68" s="92">
        <f>Tableau1[[#This Row],[Coût
péda.]]</f>
        <v>53</v>
      </c>
      <c r="M68" s="284" t="str">
        <f>Tableau1[[#This Row],[Dispositif
(Plan / DIF)]]</f>
        <v>Plan</v>
      </c>
      <c r="N68" s="284" t="str">
        <f>Tableau1[[#This Row],[Axe
  (note cadrage)]]</f>
        <v>Formation obligatoire</v>
      </c>
      <c r="O68" s="285">
        <f>Tableau1[[#This Row],[Validation
(Oui/Non)]]</f>
        <v>0</v>
      </c>
      <c r="P68" s="287" t="str">
        <f>Tableau1[[#This Row],[Calendrier
de réalisation]]</f>
        <v>2019-Q1</v>
      </c>
      <c r="Q68" s="284"/>
      <c r="S68" s="286" t="str">
        <f>IFERROR(VLOOKUP('Plan 2019 consolidé'!$E68,Tableau5[],COLUMN(Tableau5[[#This Row],[Sexe2]]),FALSE),"")</f>
        <v>M</v>
      </c>
      <c r="W68" s="286">
        <f>IFERROR(VLOOKUP('Plan 2019 consolidé'!$E68,Tableau5[],COLUMN(Tableau5[[#This Row],[Age]]),FALSE),"")</f>
        <v>52</v>
      </c>
      <c r="X68" s="286">
        <f>IFERROR(VLOOKUP('Plan 2019 consolidé'!$E68,Tableau5[],COLUMN(Tableau5[[#This Row],[Nombre d''années d''ancienneté dans la société]]),FALSE),"")</f>
        <v>26</v>
      </c>
    </row>
    <row r="69" spans="1:24" x14ac:dyDescent="0.25">
      <c r="A69" s="284" t="str">
        <f>Tableau1[[#This Row],[Service]]</f>
        <v>DVC</v>
      </c>
      <c r="B69" s="284" t="str">
        <f>Tableau1[[#This Row],[Site]]</f>
        <v>STG</v>
      </c>
      <c r="C69" s="284" t="str">
        <f>Tableau1[[#This Row],[Manager]]</f>
        <v>XUEREB</v>
      </c>
      <c r="D69" s="284">
        <f>Tableau1[[#This Row],[Matricule]]</f>
        <v>135347</v>
      </c>
      <c r="E69" s="284" t="str">
        <f>Tableau1[[#This Row],[Nom]]</f>
        <v>BUNEL</v>
      </c>
      <c r="F69" s="284" t="str">
        <f>Tableau1[[#This Row],[Prénom]]</f>
        <v>Stephane</v>
      </c>
      <c r="G69" s="284" t="str">
        <f>Tableau1[[#This Row],[Axe
(Filières)]]</f>
        <v>Sécurité</v>
      </c>
      <c r="H69" s="284" t="str">
        <f>Tableau1[[#This Row],[Intitulé]]</f>
        <v>Recyclage SST</v>
      </c>
      <c r="I69" s="284">
        <f>Tableau1[[#This Row],[Priorité
mger]]</f>
        <v>0</v>
      </c>
      <c r="J69" s="284" t="str">
        <f>Tableau1[[#This Row],[Organisme]]</f>
        <v>CFSP</v>
      </c>
      <c r="K69" s="284">
        <f>Tableau1[[#This Row],[Durée
H]]</f>
        <v>7</v>
      </c>
      <c r="L69" s="92">
        <f>Tableau1[[#This Row],[Coût
péda.]]</f>
        <v>117</v>
      </c>
      <c r="M69" s="284" t="str">
        <f>Tableau1[[#This Row],[Dispositif
(Plan / DIF)]]</f>
        <v>Plan</v>
      </c>
      <c r="N69" s="284" t="str">
        <f>Tableau1[[#This Row],[Axe
  (note cadrage)]]</f>
        <v>Formation obligatoire</v>
      </c>
      <c r="O69" s="285">
        <f>Tableau1[[#This Row],[Validation
(Oui/Non)]]</f>
        <v>0</v>
      </c>
      <c r="P69" s="287" t="str">
        <f>Tableau1[[#This Row],[Calendrier
de réalisation]]</f>
        <v/>
      </c>
      <c r="Q69" s="284"/>
      <c r="S69" s="286" t="str">
        <f>IFERROR(VLOOKUP('Plan 2019 consolidé'!$E69,Tableau5[],COLUMN(Tableau5[[#This Row],[Sexe2]]),FALSE),"")</f>
        <v>M</v>
      </c>
      <c r="W69" s="286">
        <f>IFERROR(VLOOKUP('Plan 2019 consolidé'!$E69,Tableau5[],COLUMN(Tableau5[[#This Row],[Age]]),FALSE),"")</f>
        <v>52</v>
      </c>
      <c r="X69" s="286">
        <f>IFERROR(VLOOKUP('Plan 2019 consolidé'!$E69,Tableau5[],COLUMN(Tableau5[[#This Row],[Nombre d''années d''ancienneté dans la société]]),FALSE),"")</f>
        <v>26</v>
      </c>
    </row>
    <row r="70" spans="1:24" x14ac:dyDescent="0.25">
      <c r="A70" s="284" t="str">
        <f>Tableau1[[#This Row],[Service]]</f>
        <v>DVC</v>
      </c>
      <c r="B70" s="284" t="str">
        <f>Tableau1[[#This Row],[Site]]</f>
        <v>STG</v>
      </c>
      <c r="C70" s="284" t="str">
        <f>Tableau1[[#This Row],[Manager]]</f>
        <v>XUEREB</v>
      </c>
      <c r="D70" s="284">
        <f>Tableau1[[#This Row],[Matricule]]</f>
        <v>135347</v>
      </c>
      <c r="E70" s="284" t="str">
        <f>Tableau1[[#This Row],[Nom]]</f>
        <v>BUNEL</v>
      </c>
      <c r="F70" s="284" t="str">
        <f>Tableau1[[#This Row],[Prénom]]</f>
        <v>Stephane</v>
      </c>
      <c r="G70" s="284" t="str">
        <f>Tableau1[[#This Row],[Axe
(Filières)]]</f>
        <v>Sécurité</v>
      </c>
      <c r="H70" s="284" t="str">
        <f>Tableau1[[#This Row],[Intitulé]]</f>
        <v>HAB ELEC</v>
      </c>
      <c r="I70" s="284">
        <f>Tableau1[[#This Row],[Priorité
mger]]</f>
        <v>0</v>
      </c>
      <c r="J70" s="284" t="str">
        <f>Tableau1[[#This Row],[Organisme]]</f>
        <v>SEEF</v>
      </c>
      <c r="K70" s="284">
        <f>Tableau1[[#This Row],[Durée
H]]</f>
        <v>10.5</v>
      </c>
      <c r="L70" s="92">
        <f>Tableau1[[#This Row],[Coût
péda.]]</f>
        <v>260</v>
      </c>
      <c r="M70" s="284" t="str">
        <f>Tableau1[[#This Row],[Dispositif
(Plan / DIF)]]</f>
        <v>Plan</v>
      </c>
      <c r="N70" s="284" t="str">
        <f>Tableau1[[#This Row],[Axe
  (note cadrage)]]</f>
        <v>Formation obligatoire</v>
      </c>
      <c r="O70" s="285">
        <f>Tableau1[[#This Row],[Validation
(Oui/Non)]]</f>
        <v>0</v>
      </c>
      <c r="P70" s="287" t="str">
        <f>Tableau1[[#This Row],[Calendrier
de réalisation]]</f>
        <v/>
      </c>
      <c r="Q70" s="284"/>
      <c r="S70" s="286" t="str">
        <f>IFERROR(VLOOKUP('Plan 2019 consolidé'!$E70,Tableau5[],COLUMN(Tableau5[[#This Row],[Sexe2]]),FALSE),"")</f>
        <v>M</v>
      </c>
      <c r="W70" s="286">
        <f>IFERROR(VLOOKUP('Plan 2019 consolidé'!$E70,Tableau5[],COLUMN(Tableau5[[#This Row],[Age]]),FALSE),"")</f>
        <v>52</v>
      </c>
      <c r="X70" s="286">
        <f>IFERROR(VLOOKUP('Plan 2019 consolidé'!$E70,Tableau5[],COLUMN(Tableau5[[#This Row],[Nombre d''années d''ancienneté dans la société]]),FALSE),"")</f>
        <v>26</v>
      </c>
    </row>
    <row r="71" spans="1:24" x14ac:dyDescent="0.25">
      <c r="A71" s="284" t="str">
        <f>Tableau1[[#This Row],[Service]]</f>
        <v>DVC</v>
      </c>
      <c r="B71" s="284" t="str">
        <f>Tableau1[[#This Row],[Site]]</f>
        <v>Lattes</v>
      </c>
      <c r="C71" s="284" t="str">
        <f>Tableau1[[#This Row],[Manager]]</f>
        <v>VERNE</v>
      </c>
      <c r="D71" s="284">
        <f>Tableau1[[#This Row],[Matricule]]</f>
        <v>191775</v>
      </c>
      <c r="E71" s="284" t="str">
        <f>Tableau1[[#This Row],[Nom]]</f>
        <v>CABANE</v>
      </c>
      <c r="F71" s="284" t="str">
        <f>Tableau1[[#This Row],[Prénom]]</f>
        <v>Sylvie</v>
      </c>
      <c r="G71" s="284" t="str">
        <f>Tableau1[[#This Row],[Axe
(Filières)]]</f>
        <v>Sécurité</v>
      </c>
      <c r="H71" s="284" t="str">
        <f>Tableau1[[#This Row],[Intitulé]]</f>
        <v>Gestes et postures</v>
      </c>
      <c r="I71" s="284">
        <f>Tableau1[[#This Row],[Priorité
mger]]</f>
        <v>0</v>
      </c>
      <c r="J71" s="284" t="str">
        <f>Tableau1[[#This Row],[Organisme]]</f>
        <v>APAVE</v>
      </c>
      <c r="K71" s="284">
        <f>Tableau1[[#This Row],[Durée
H]]</f>
        <v>7</v>
      </c>
      <c r="L71" s="92">
        <f>Tableau1[[#This Row],[Coût
péda.]]</f>
        <v>124</v>
      </c>
      <c r="M71" s="284" t="str">
        <f>Tableau1[[#This Row],[Dispositif
(Plan / DIF)]]</f>
        <v>Plan</v>
      </c>
      <c r="N71" s="284" t="str">
        <f>Tableau1[[#This Row],[Axe
  (note cadrage)]]</f>
        <v>Formation obligatoire</v>
      </c>
      <c r="O71" s="285">
        <f>Tableau1[[#This Row],[Validation
(Oui/Non)]]</f>
        <v>0</v>
      </c>
      <c r="P71" s="287" t="str">
        <f>Tableau1[[#This Row],[Calendrier
de réalisation]]</f>
        <v>2019-Q4</v>
      </c>
      <c r="Q71" s="284"/>
      <c r="S71" s="286" t="str">
        <f>IFERROR(VLOOKUP('Plan 2019 consolidé'!$E71,Tableau5[],COLUMN(Tableau5[[#This Row],[Sexe2]]),FALSE),"")</f>
        <v>F</v>
      </c>
      <c r="W71" s="286">
        <f>IFERROR(VLOOKUP('Plan 2019 consolidé'!$E71,Tableau5[],COLUMN(Tableau5[[#This Row],[Age]]),FALSE),"")</f>
        <v>53</v>
      </c>
      <c r="X71" s="286">
        <f>IFERROR(VLOOKUP('Plan 2019 consolidé'!$E71,Tableau5[],COLUMN(Tableau5[[#This Row],[Nombre d''années d''ancienneté dans la société]]),FALSE),"")</f>
        <v>31</v>
      </c>
    </row>
    <row r="72" spans="1:24" x14ac:dyDescent="0.25">
      <c r="A72" s="284" t="str">
        <f>Tableau1[[#This Row],[Service]]</f>
        <v>Non DVC</v>
      </c>
      <c r="B72" s="284" t="str">
        <f>Tableau1[[#This Row],[Site]]</f>
        <v>STG</v>
      </c>
      <c r="C72" s="284" t="str">
        <f>Tableau1[[#This Row],[Manager]]</f>
        <v>FOUASSIER</v>
      </c>
      <c r="D72" s="284">
        <f>Tableau1[[#This Row],[Matricule]]</f>
        <v>66339</v>
      </c>
      <c r="E72" s="284" t="str">
        <f>Tableau1[[#This Row],[Nom]]</f>
        <v>CAIANI</v>
      </c>
      <c r="F72" s="284" t="str">
        <f>Tableau1[[#This Row],[Prénom]]</f>
        <v>Alexandre</v>
      </c>
      <c r="G72" s="284" t="str">
        <f>Tableau1[[#This Row],[Axe
(Filières)]]</f>
        <v>Sécurité</v>
      </c>
      <c r="H72" s="284" t="str">
        <f>Tableau1[[#This Row],[Intitulé]]</f>
        <v>Incendie</v>
      </c>
      <c r="I72" s="284">
        <f>Tableau1[[#This Row],[Priorité
mger]]</f>
        <v>0</v>
      </c>
      <c r="J72" s="284" t="str">
        <f>Tableau1[[#This Row],[Organisme]]</f>
        <v>APAVE</v>
      </c>
      <c r="K72" s="284">
        <f>Tableau1[[#This Row],[Durée
H]]</f>
        <v>1.5</v>
      </c>
      <c r="L72" s="92">
        <f>Tableau1[[#This Row],[Coût
péda.]]</f>
        <v>53</v>
      </c>
      <c r="M72" s="284" t="str">
        <f>Tableau1[[#This Row],[Dispositif
(Plan / DIF)]]</f>
        <v>Plan</v>
      </c>
      <c r="N72" s="284" t="str">
        <f>Tableau1[[#This Row],[Axe
  (note cadrage)]]</f>
        <v>Formation obligatoire</v>
      </c>
      <c r="O72" s="285">
        <f>Tableau1[[#This Row],[Validation
(Oui/Non)]]</f>
        <v>0</v>
      </c>
      <c r="P72" s="287">
        <f>Tableau1[[#This Row],[Calendrier
de réalisation]]</f>
        <v>0</v>
      </c>
      <c r="Q72" s="284"/>
      <c r="S72" s="286" t="str">
        <f>IFERROR(VLOOKUP('Plan 2019 consolidé'!$E72,Tableau5[],COLUMN(Tableau5[[#This Row],[Sexe2]]),FALSE),"")</f>
        <v>M</v>
      </c>
      <c r="W72" s="286">
        <f>IFERROR(VLOOKUP('Plan 2019 consolidé'!$E72,Tableau5[],COLUMN(Tableau5[[#This Row],[Age]]),FALSE),"")</f>
        <v>46</v>
      </c>
      <c r="X72" s="286">
        <f>IFERROR(VLOOKUP('Plan 2019 consolidé'!$E72,Tableau5[],COLUMN(Tableau5[[#This Row],[Nombre d''années d''ancienneté dans la société]]),FALSE),"")</f>
        <v>0</v>
      </c>
    </row>
    <row r="73" spans="1:24" x14ac:dyDescent="0.25">
      <c r="A73" s="284" t="str">
        <f>Tableau1[[#This Row],[Service]]</f>
        <v>DVC</v>
      </c>
      <c r="B73" s="284" t="str">
        <f>Tableau1[[#This Row],[Site]]</f>
        <v>Aub.</v>
      </c>
      <c r="C73" s="284" t="str">
        <f>Tableau1[[#This Row],[Manager]]</f>
        <v>SAVY</v>
      </c>
      <c r="D73" s="284">
        <f>Tableau1[[#This Row],[Matricule]]</f>
        <v>102965</v>
      </c>
      <c r="E73" s="284" t="str">
        <f>Tableau1[[#This Row],[Nom]]</f>
        <v>CEYSSON</v>
      </c>
      <c r="F73" s="284" t="str">
        <f>Tableau1[[#This Row],[Prénom]]</f>
        <v>Frederic</v>
      </c>
      <c r="G73" s="284" t="str">
        <f>Tableau1[[#This Row],[Axe
(Filières)]]</f>
        <v>Sécurité</v>
      </c>
      <c r="H73" s="284" t="str">
        <f>Tableau1[[#This Row],[Intitulé]]</f>
        <v>Incendie</v>
      </c>
      <c r="I73" s="284">
        <f>Tableau1[[#This Row],[Priorité
mger]]</f>
        <v>0</v>
      </c>
      <c r="J73" s="284" t="str">
        <f>Tableau1[[#This Row],[Organisme]]</f>
        <v>APAVE</v>
      </c>
      <c r="K73" s="284">
        <f>Tableau1[[#This Row],[Durée
H]]</f>
        <v>1.5</v>
      </c>
      <c r="L73" s="92">
        <f>Tableau1[[#This Row],[Coût
péda.]]</f>
        <v>53</v>
      </c>
      <c r="M73" s="284" t="str">
        <f>Tableau1[[#This Row],[Dispositif
(Plan / DIF)]]</f>
        <v>Plan</v>
      </c>
      <c r="N73" s="284" t="str">
        <f>Tableau1[[#This Row],[Axe
  (note cadrage)]]</f>
        <v>Formation obligatoire</v>
      </c>
      <c r="O73" s="285">
        <f>Tableau1[[#This Row],[Validation
(Oui/Non)]]</f>
        <v>0</v>
      </c>
      <c r="P73" s="287" t="str">
        <f>Tableau1[[#This Row],[Calendrier
de réalisation]]</f>
        <v>2019-Q2</v>
      </c>
      <c r="Q73" s="284"/>
      <c r="S73" s="286" t="str">
        <f>IFERROR(VLOOKUP('Plan 2019 consolidé'!$E73,Tableau5[],COLUMN(Tableau5[[#This Row],[Sexe2]]),FALSE),"")</f>
        <v>M</v>
      </c>
      <c r="W73" s="286">
        <f>IFERROR(VLOOKUP('Plan 2019 consolidé'!$E73,Tableau5[],COLUMN(Tableau5[[#This Row],[Age]]),FALSE),"")</f>
        <v>41</v>
      </c>
      <c r="X73" s="286">
        <f>IFERROR(VLOOKUP('Plan 2019 consolidé'!$E73,Tableau5[],COLUMN(Tableau5[[#This Row],[Nombre d''années d''ancienneté dans la société]]),FALSE),"")</f>
        <v>17</v>
      </c>
    </row>
    <row r="74" spans="1:24" x14ac:dyDescent="0.25">
      <c r="A74" s="284" t="str">
        <f>Tableau1[[#This Row],[Service]]</f>
        <v>DVC</v>
      </c>
      <c r="B74" s="284" t="str">
        <f>Tableau1[[#This Row],[Site]]</f>
        <v>Aub.</v>
      </c>
      <c r="C74" s="284" t="str">
        <f>Tableau1[[#This Row],[Manager]]</f>
        <v>SENEPART</v>
      </c>
      <c r="D74" s="284">
        <f>Tableau1[[#This Row],[Matricule]]</f>
        <v>103027</v>
      </c>
      <c r="E74" s="284" t="str">
        <f>Tableau1[[#This Row],[Nom]]</f>
        <v>CHABERT</v>
      </c>
      <c r="F74" s="284" t="str">
        <f>Tableau1[[#This Row],[Prénom]]</f>
        <v>Stephane</v>
      </c>
      <c r="G74" s="284" t="str">
        <f>Tableau1[[#This Row],[Axe
(Filières)]]</f>
        <v>Sécurité</v>
      </c>
      <c r="H74" s="284" t="str">
        <f>Tableau1[[#This Row],[Intitulé]]</f>
        <v>Incendie</v>
      </c>
      <c r="I74" s="284">
        <f>Tableau1[[#This Row],[Priorité
mger]]</f>
        <v>0</v>
      </c>
      <c r="J74" s="284" t="str">
        <f>Tableau1[[#This Row],[Organisme]]</f>
        <v>APAVE</v>
      </c>
      <c r="K74" s="284">
        <f>Tableau1[[#This Row],[Durée
H]]</f>
        <v>1.5</v>
      </c>
      <c r="L74" s="92">
        <f>Tableau1[[#This Row],[Coût
péda.]]</f>
        <v>53</v>
      </c>
      <c r="M74" s="284" t="str">
        <f>Tableau1[[#This Row],[Dispositif
(Plan / DIF)]]</f>
        <v>Plan</v>
      </c>
      <c r="N74" s="284" t="str">
        <f>Tableau1[[#This Row],[Axe
  (note cadrage)]]</f>
        <v>Formation obligatoire</v>
      </c>
      <c r="O74" s="285">
        <f>Tableau1[[#This Row],[Validation
(Oui/Non)]]</f>
        <v>0</v>
      </c>
      <c r="P74" s="287" t="str">
        <f>Tableau1[[#This Row],[Calendrier
de réalisation]]</f>
        <v>2019-Q2</v>
      </c>
      <c r="Q74" s="284"/>
      <c r="S74" s="286" t="str">
        <f>IFERROR(VLOOKUP('Plan 2019 consolidé'!$E74,Tableau5[],COLUMN(Tableau5[[#This Row],[Sexe2]]),FALSE),"")</f>
        <v>M</v>
      </c>
      <c r="W74" s="286">
        <f>IFERROR(VLOOKUP('Plan 2019 consolidé'!$E74,Tableau5[],COLUMN(Tableau5[[#This Row],[Age]]),FALSE),"")</f>
        <v>50</v>
      </c>
      <c r="X74" s="286">
        <f>IFERROR(VLOOKUP('Plan 2019 consolidé'!$E74,Tableau5[],COLUMN(Tableau5[[#This Row],[Nombre d''années d''ancienneté dans la société]]),FALSE),"")</f>
        <v>27</v>
      </c>
    </row>
    <row r="75" spans="1:24" x14ac:dyDescent="0.25">
      <c r="A75" s="284" t="str">
        <f>Tableau1[[#This Row],[Service]]</f>
        <v>DVC</v>
      </c>
      <c r="B75" s="284" t="str">
        <f>Tableau1[[#This Row],[Site]]</f>
        <v>Aub.</v>
      </c>
      <c r="C75" s="284" t="str">
        <f>Tableau1[[#This Row],[Manager]]</f>
        <v>SENEPART</v>
      </c>
      <c r="D75" s="284">
        <f>Tableau1[[#This Row],[Matricule]]</f>
        <v>103027</v>
      </c>
      <c r="E75" s="284" t="str">
        <f>Tableau1[[#This Row],[Nom]]</f>
        <v>CHABERT</v>
      </c>
      <c r="F75" s="284" t="str">
        <f>Tableau1[[#This Row],[Prénom]]</f>
        <v>Stephane</v>
      </c>
      <c r="G75" s="284" t="str">
        <f>Tableau1[[#This Row],[Axe
(Filières)]]</f>
        <v>Sécurité</v>
      </c>
      <c r="H75" s="284" t="str">
        <f>Tableau1[[#This Row],[Intitulé]]</f>
        <v>Recyclage SST</v>
      </c>
      <c r="I75" s="284">
        <f>Tableau1[[#This Row],[Priorité
mger]]</f>
        <v>0</v>
      </c>
      <c r="J75" s="284" t="str">
        <f>Tableau1[[#This Row],[Organisme]]</f>
        <v>CFSP</v>
      </c>
      <c r="K75" s="284">
        <f>Tableau1[[#This Row],[Durée
H]]</f>
        <v>7</v>
      </c>
      <c r="L75" s="92">
        <f>Tableau1[[#This Row],[Coût
péda.]]</f>
        <v>117</v>
      </c>
      <c r="M75" s="284" t="str">
        <f>Tableau1[[#This Row],[Dispositif
(Plan / DIF)]]</f>
        <v>Plan</v>
      </c>
      <c r="N75" s="284" t="str">
        <f>Tableau1[[#This Row],[Axe
  (note cadrage)]]</f>
        <v>Formation obligatoire</v>
      </c>
      <c r="O75" s="285">
        <f>Tableau1[[#This Row],[Validation
(Oui/Non)]]</f>
        <v>0</v>
      </c>
      <c r="P75" s="287" t="str">
        <f>Tableau1[[#This Row],[Calendrier
de réalisation]]</f>
        <v/>
      </c>
      <c r="Q75" s="284"/>
      <c r="S75" s="286" t="str">
        <f>IFERROR(VLOOKUP('Plan 2019 consolidé'!$E75,Tableau5[],COLUMN(Tableau5[[#This Row],[Sexe2]]),FALSE),"")</f>
        <v>M</v>
      </c>
      <c r="W75" s="286">
        <f>IFERROR(VLOOKUP('Plan 2019 consolidé'!$E75,Tableau5[],COLUMN(Tableau5[[#This Row],[Age]]),FALSE),"")</f>
        <v>50</v>
      </c>
      <c r="X75" s="286">
        <f>IFERROR(VLOOKUP('Plan 2019 consolidé'!$E75,Tableau5[],COLUMN(Tableau5[[#This Row],[Nombre d''années d''ancienneté dans la société]]),FALSE),"")</f>
        <v>27</v>
      </c>
    </row>
    <row r="76" spans="1:24" x14ac:dyDescent="0.25">
      <c r="A76" s="284" t="str">
        <f>Tableau1[[#This Row],[Service]]</f>
        <v>DVC</v>
      </c>
      <c r="B76" s="284" t="str">
        <f>Tableau1[[#This Row],[Site]]</f>
        <v>Aub.</v>
      </c>
      <c r="C76" s="284" t="str">
        <f>Tableau1[[#This Row],[Manager]]</f>
        <v>ALIX</v>
      </c>
      <c r="D76" s="284">
        <f>Tableau1[[#This Row],[Matricule]]</f>
        <v>102966</v>
      </c>
      <c r="E76" s="284" t="str">
        <f>Tableau1[[#This Row],[Nom]]</f>
        <v>CHAMBON</v>
      </c>
      <c r="F76" s="284" t="str">
        <f>Tableau1[[#This Row],[Prénom]]</f>
        <v>Patrick</v>
      </c>
      <c r="G76" s="284" t="str">
        <f>Tableau1[[#This Row],[Axe
(Filières)]]</f>
        <v>Sécurité</v>
      </c>
      <c r="H76" s="284" t="str">
        <f>Tableau1[[#This Row],[Intitulé]]</f>
        <v>Gestes et postures</v>
      </c>
      <c r="I76" s="284">
        <f>Tableau1[[#This Row],[Priorité
mger]]</f>
        <v>0</v>
      </c>
      <c r="J76" s="284" t="str">
        <f>Tableau1[[#This Row],[Organisme]]</f>
        <v>APAVE</v>
      </c>
      <c r="K76" s="284">
        <f>Tableau1[[#This Row],[Durée
H]]</f>
        <v>7</v>
      </c>
      <c r="L76" s="92">
        <f>Tableau1[[#This Row],[Coût
péda.]]</f>
        <v>124</v>
      </c>
      <c r="M76" s="284" t="str">
        <f>Tableau1[[#This Row],[Dispositif
(Plan / DIF)]]</f>
        <v>Plan</v>
      </c>
      <c r="N76" s="284" t="str">
        <f>Tableau1[[#This Row],[Axe
  (note cadrage)]]</f>
        <v>Formation obligatoire</v>
      </c>
      <c r="O76" s="285">
        <f>Tableau1[[#This Row],[Validation
(Oui/Non)]]</f>
        <v>0</v>
      </c>
      <c r="P76" s="287" t="str">
        <f>Tableau1[[#This Row],[Calendrier
de réalisation]]</f>
        <v>2019-Q3</v>
      </c>
      <c r="Q76" s="284"/>
      <c r="S76" s="286" t="str">
        <f>IFERROR(VLOOKUP('Plan 2019 consolidé'!$E76,Tableau5[],COLUMN(Tableau5[[#This Row],[Sexe2]]),FALSE),"")</f>
        <v>M</v>
      </c>
      <c r="W76" s="286">
        <f>IFERROR(VLOOKUP('Plan 2019 consolidé'!$E76,Tableau5[],COLUMN(Tableau5[[#This Row],[Age]]),FALSE),"")</f>
        <v>53</v>
      </c>
      <c r="X76" s="286">
        <f>IFERROR(VLOOKUP('Plan 2019 consolidé'!$E76,Tableau5[],COLUMN(Tableau5[[#This Row],[Nombre d''années d''ancienneté dans la société]]),FALSE),"")</f>
        <v>17</v>
      </c>
    </row>
    <row r="77" spans="1:24" x14ac:dyDescent="0.25">
      <c r="A77" s="284" t="str">
        <f>Tableau1[[#This Row],[Service]]</f>
        <v>DVC</v>
      </c>
      <c r="B77" s="284" t="str">
        <f>Tableau1[[#This Row],[Site]]</f>
        <v>Aub.</v>
      </c>
      <c r="C77" s="284" t="str">
        <f>Tableau1[[#This Row],[Manager]]</f>
        <v>ALIX</v>
      </c>
      <c r="D77" s="284">
        <f>Tableau1[[#This Row],[Matricule]]</f>
        <v>102966</v>
      </c>
      <c r="E77" s="284" t="str">
        <f>Tableau1[[#This Row],[Nom]]</f>
        <v>CHAMBON</v>
      </c>
      <c r="F77" s="284" t="str">
        <f>Tableau1[[#This Row],[Prénom]]</f>
        <v>Patrick</v>
      </c>
      <c r="G77" s="284" t="str">
        <f>Tableau1[[#This Row],[Axe
(Filières)]]</f>
        <v>Sécurité</v>
      </c>
      <c r="H77" s="284" t="str">
        <f>Tableau1[[#This Row],[Intitulé]]</f>
        <v>Risques chimiques</v>
      </c>
      <c r="I77" s="284">
        <f>Tableau1[[#This Row],[Priorité
mger]]</f>
        <v>0</v>
      </c>
      <c r="J77" s="284" t="str">
        <f>Tableau1[[#This Row],[Organisme]]</f>
        <v>APAVE</v>
      </c>
      <c r="K77" s="284">
        <f>Tableau1[[#This Row],[Durée
H]]</f>
        <v>7</v>
      </c>
      <c r="L77" s="92">
        <f>Tableau1[[#This Row],[Coût
péda.]]</f>
        <v>162</v>
      </c>
      <c r="M77" s="284" t="str">
        <f>Tableau1[[#This Row],[Dispositif
(Plan / DIF)]]</f>
        <v>Plan</v>
      </c>
      <c r="N77" s="284" t="str">
        <f>Tableau1[[#This Row],[Axe
  (note cadrage)]]</f>
        <v>Formation obligatoire</v>
      </c>
      <c r="O77" s="285">
        <f>Tableau1[[#This Row],[Validation
(Oui/Non)]]</f>
        <v>0</v>
      </c>
      <c r="P77" s="287" t="str">
        <f>Tableau1[[#This Row],[Calendrier
de réalisation]]</f>
        <v>2019-Q1</v>
      </c>
      <c r="Q77" s="284"/>
      <c r="S77" s="286" t="str">
        <f>IFERROR(VLOOKUP('Plan 2019 consolidé'!$E77,Tableau5[],COLUMN(Tableau5[[#This Row],[Sexe2]]),FALSE),"")</f>
        <v>M</v>
      </c>
      <c r="W77" s="286">
        <f>IFERROR(VLOOKUP('Plan 2019 consolidé'!$E77,Tableau5[],COLUMN(Tableau5[[#This Row],[Age]]),FALSE),"")</f>
        <v>53</v>
      </c>
      <c r="X77" s="286">
        <f>IFERROR(VLOOKUP('Plan 2019 consolidé'!$E77,Tableau5[],COLUMN(Tableau5[[#This Row],[Nombre d''années d''ancienneté dans la société]]),FALSE),"")</f>
        <v>17</v>
      </c>
    </row>
    <row r="78" spans="1:24" x14ac:dyDescent="0.25">
      <c r="A78" s="284" t="str">
        <f>Tableau1[[#This Row],[Service]]</f>
        <v>DVC</v>
      </c>
      <c r="B78" s="284" t="str">
        <f>Tableau1[[#This Row],[Site]]</f>
        <v>Aub.</v>
      </c>
      <c r="C78" s="284" t="str">
        <f>Tableau1[[#This Row],[Manager]]</f>
        <v>SENEPART</v>
      </c>
      <c r="D78" s="284">
        <f>Tableau1[[#This Row],[Matricule]]</f>
        <v>103062</v>
      </c>
      <c r="E78" s="284" t="str">
        <f>Tableau1[[#This Row],[Nom]]</f>
        <v>CHANIOL</v>
      </c>
      <c r="F78" s="284" t="str">
        <f>Tableau1[[#This Row],[Prénom]]</f>
        <v>Serge</v>
      </c>
      <c r="G78" s="284" t="str">
        <f>Tableau1[[#This Row],[Axe
(Filières)]]</f>
        <v>Sécurité</v>
      </c>
      <c r="H78" s="284" t="str">
        <f>Tableau1[[#This Row],[Intitulé]]</f>
        <v>Incendie</v>
      </c>
      <c r="I78" s="284">
        <f>Tableau1[[#This Row],[Priorité
mger]]</f>
        <v>0</v>
      </c>
      <c r="J78" s="284" t="str">
        <f>Tableau1[[#This Row],[Organisme]]</f>
        <v>APAVE</v>
      </c>
      <c r="K78" s="284">
        <f>Tableau1[[#This Row],[Durée
H]]</f>
        <v>1.5</v>
      </c>
      <c r="L78" s="92">
        <f>Tableau1[[#This Row],[Coût
péda.]]</f>
        <v>53</v>
      </c>
      <c r="M78" s="284" t="str">
        <f>Tableau1[[#This Row],[Dispositif
(Plan / DIF)]]</f>
        <v>Plan</v>
      </c>
      <c r="N78" s="284" t="str">
        <f>Tableau1[[#This Row],[Axe
  (note cadrage)]]</f>
        <v>Formation obligatoire</v>
      </c>
      <c r="O78" s="285">
        <f>Tableau1[[#This Row],[Validation
(Oui/Non)]]</f>
        <v>0</v>
      </c>
      <c r="P78" s="287" t="str">
        <f>Tableau1[[#This Row],[Calendrier
de réalisation]]</f>
        <v>2019-Q2</v>
      </c>
      <c r="Q78" s="284"/>
      <c r="S78" s="286" t="str">
        <f>IFERROR(VLOOKUP('Plan 2019 consolidé'!$E78,Tableau5[],COLUMN(Tableau5[[#This Row],[Sexe2]]),FALSE),"")</f>
        <v>M</v>
      </c>
      <c r="W78" s="286">
        <f>IFERROR(VLOOKUP('Plan 2019 consolidé'!$E78,Tableau5[],COLUMN(Tableau5[[#This Row],[Age]]),FALSE),"")</f>
        <v>55</v>
      </c>
      <c r="X78" s="286">
        <f>IFERROR(VLOOKUP('Plan 2019 consolidé'!$E78,Tableau5[],COLUMN(Tableau5[[#This Row],[Nombre d''années d''ancienneté dans la société]]),FALSE),"")</f>
        <v>35</v>
      </c>
    </row>
    <row r="79" spans="1:24" x14ac:dyDescent="0.25">
      <c r="A79" s="284" t="str">
        <f>Tableau1[[#This Row],[Service]]</f>
        <v>DVC</v>
      </c>
      <c r="B79" s="284" t="str">
        <f>Tableau1[[#This Row],[Site]]</f>
        <v>Aub.</v>
      </c>
      <c r="C79" s="284" t="str">
        <f>Tableau1[[#This Row],[Manager]]</f>
        <v>FUENTES</v>
      </c>
      <c r="D79" s="284">
        <f>Tableau1[[#This Row],[Matricule]]</f>
        <v>103026</v>
      </c>
      <c r="E79" s="284" t="str">
        <f>Tableau1[[#This Row],[Nom]]</f>
        <v>CHAREYRE</v>
      </c>
      <c r="F79" s="284" t="str">
        <f>Tableau1[[#This Row],[Prénom]]</f>
        <v>Olivier</v>
      </c>
      <c r="G79" s="284" t="str">
        <f>Tableau1[[#This Row],[Axe
(Filières)]]</f>
        <v>Sécurité</v>
      </c>
      <c r="H79" s="284" t="str">
        <f>Tableau1[[#This Row],[Intitulé]]</f>
        <v>Gestes et postures</v>
      </c>
      <c r="I79" s="284">
        <f>Tableau1[[#This Row],[Priorité
mger]]</f>
        <v>0</v>
      </c>
      <c r="J79" s="284" t="str">
        <f>Tableau1[[#This Row],[Organisme]]</f>
        <v>APAVE</v>
      </c>
      <c r="K79" s="284">
        <f>Tableau1[[#This Row],[Durée
H]]</f>
        <v>7</v>
      </c>
      <c r="L79" s="92">
        <f>Tableau1[[#This Row],[Coût
péda.]]</f>
        <v>124</v>
      </c>
      <c r="M79" s="284" t="str">
        <f>Tableau1[[#This Row],[Dispositif
(Plan / DIF)]]</f>
        <v>Plan</v>
      </c>
      <c r="N79" s="284" t="str">
        <f>Tableau1[[#This Row],[Axe
  (note cadrage)]]</f>
        <v>Formation obligatoire</v>
      </c>
      <c r="O79" s="285">
        <f>Tableau1[[#This Row],[Validation
(Oui/Non)]]</f>
        <v>0</v>
      </c>
      <c r="P79" s="287" t="str">
        <f>Tableau1[[#This Row],[Calendrier
de réalisation]]</f>
        <v>2019-Q1</v>
      </c>
      <c r="Q79" s="284"/>
      <c r="S79" s="286" t="str">
        <f>IFERROR(VLOOKUP('Plan 2019 consolidé'!$E79,Tableau5[],COLUMN(Tableau5[[#This Row],[Sexe2]]),FALSE),"")</f>
        <v>M</v>
      </c>
      <c r="W79" s="286">
        <f>IFERROR(VLOOKUP('Plan 2019 consolidé'!$E79,Tableau5[],COLUMN(Tableau5[[#This Row],[Age]]),FALSE),"")</f>
        <v>51</v>
      </c>
      <c r="X79" s="286">
        <f>IFERROR(VLOOKUP('Plan 2019 consolidé'!$E79,Tableau5[],COLUMN(Tableau5[[#This Row],[Nombre d''années d''ancienneté dans la société]]),FALSE),"")</f>
        <v>27</v>
      </c>
    </row>
    <row r="80" spans="1:24" x14ac:dyDescent="0.25">
      <c r="A80" s="284" t="str">
        <f>Tableau1[[#This Row],[Service]]</f>
        <v>DVC</v>
      </c>
      <c r="B80" s="284" t="str">
        <f>Tableau1[[#This Row],[Site]]</f>
        <v>Aub.</v>
      </c>
      <c r="C80" s="284" t="str">
        <f>Tableau1[[#This Row],[Manager]]</f>
        <v>FUENTES</v>
      </c>
      <c r="D80" s="284">
        <f>Tableau1[[#This Row],[Matricule]]</f>
        <v>103026</v>
      </c>
      <c r="E80" s="284" t="str">
        <f>Tableau1[[#This Row],[Nom]]</f>
        <v>CHAREYRE</v>
      </c>
      <c r="F80" s="284" t="str">
        <f>Tableau1[[#This Row],[Prénom]]</f>
        <v>Olivier</v>
      </c>
      <c r="G80" s="284" t="str">
        <f>Tableau1[[#This Row],[Axe
(Filières)]]</f>
        <v>Sécurité</v>
      </c>
      <c r="H80" s="284" t="str">
        <f>Tableau1[[#This Row],[Intitulé]]</f>
        <v>Incendie</v>
      </c>
      <c r="I80" s="284">
        <f>Tableau1[[#This Row],[Priorité
mger]]</f>
        <v>0</v>
      </c>
      <c r="J80" s="284" t="str">
        <f>Tableau1[[#This Row],[Organisme]]</f>
        <v>APAVE</v>
      </c>
      <c r="K80" s="284">
        <f>Tableau1[[#This Row],[Durée
H]]</f>
        <v>1.5</v>
      </c>
      <c r="L80" s="92">
        <f>Tableau1[[#This Row],[Coût
péda.]]</f>
        <v>53</v>
      </c>
      <c r="M80" s="284" t="str">
        <f>Tableau1[[#This Row],[Dispositif
(Plan / DIF)]]</f>
        <v>Plan</v>
      </c>
      <c r="N80" s="284" t="str">
        <f>Tableau1[[#This Row],[Axe
  (note cadrage)]]</f>
        <v>Formation obligatoire</v>
      </c>
      <c r="O80" s="285">
        <f>Tableau1[[#This Row],[Validation
(Oui/Non)]]</f>
        <v>0</v>
      </c>
      <c r="P80" s="287" t="str">
        <f>Tableau1[[#This Row],[Calendrier
de réalisation]]</f>
        <v>2019-Q2</v>
      </c>
      <c r="Q80" s="284"/>
      <c r="S80" s="286" t="str">
        <f>IFERROR(VLOOKUP('Plan 2019 consolidé'!$E80,Tableau5[],COLUMN(Tableau5[[#This Row],[Sexe2]]),FALSE),"")</f>
        <v>M</v>
      </c>
      <c r="W80" s="286">
        <f>IFERROR(VLOOKUP('Plan 2019 consolidé'!$E80,Tableau5[],COLUMN(Tableau5[[#This Row],[Age]]),FALSE),"")</f>
        <v>51</v>
      </c>
      <c r="X80" s="286">
        <f>IFERROR(VLOOKUP('Plan 2019 consolidé'!$E80,Tableau5[],COLUMN(Tableau5[[#This Row],[Nombre d''années d''ancienneté dans la société]]),FALSE),"")</f>
        <v>27</v>
      </c>
    </row>
    <row r="81" spans="1:24" x14ac:dyDescent="0.25">
      <c r="A81" s="284" t="str">
        <f>Tableau1[[#This Row],[Service]]</f>
        <v>DVC</v>
      </c>
      <c r="B81" s="284" t="str">
        <f>Tableau1[[#This Row],[Site]]</f>
        <v>Aub.</v>
      </c>
      <c r="C81" s="284" t="str">
        <f>Tableau1[[#This Row],[Manager]]</f>
        <v>FUENTES</v>
      </c>
      <c r="D81" s="284">
        <f>Tableau1[[#This Row],[Matricule]]</f>
        <v>103026</v>
      </c>
      <c r="E81" s="284" t="str">
        <f>Tableau1[[#This Row],[Nom]]</f>
        <v>CHAREYRE</v>
      </c>
      <c r="F81" s="284" t="str">
        <f>Tableau1[[#This Row],[Prénom]]</f>
        <v>Olivier</v>
      </c>
      <c r="G81" s="284" t="str">
        <f>Tableau1[[#This Row],[Axe
(Filières)]]</f>
        <v>Sécurité</v>
      </c>
      <c r="H81" s="284" t="str">
        <f>Tableau1[[#This Row],[Intitulé]]</f>
        <v>Recyclage SST</v>
      </c>
      <c r="I81" s="284">
        <f>Tableau1[[#This Row],[Priorité
mger]]</f>
        <v>0</v>
      </c>
      <c r="J81" s="284" t="str">
        <f>Tableau1[[#This Row],[Organisme]]</f>
        <v>CFSP</v>
      </c>
      <c r="K81" s="284">
        <f>Tableau1[[#This Row],[Durée
H]]</f>
        <v>7</v>
      </c>
      <c r="L81" s="92">
        <f>Tableau1[[#This Row],[Coût
péda.]]</f>
        <v>117</v>
      </c>
      <c r="M81" s="284" t="str">
        <f>Tableau1[[#This Row],[Dispositif
(Plan / DIF)]]</f>
        <v>Plan</v>
      </c>
      <c r="N81" s="284" t="str">
        <f>Tableau1[[#This Row],[Axe
  (note cadrage)]]</f>
        <v>Formation obligatoire</v>
      </c>
      <c r="O81" s="285">
        <f>Tableau1[[#This Row],[Validation
(Oui/Non)]]</f>
        <v>0</v>
      </c>
      <c r="P81" s="287" t="str">
        <f>Tableau1[[#This Row],[Calendrier
de réalisation]]</f>
        <v/>
      </c>
      <c r="Q81" s="284"/>
      <c r="S81" s="286" t="str">
        <f>IFERROR(VLOOKUP('Plan 2019 consolidé'!$E81,Tableau5[],COLUMN(Tableau5[[#This Row],[Sexe2]]),FALSE),"")</f>
        <v>M</v>
      </c>
      <c r="W81" s="286">
        <f>IFERROR(VLOOKUP('Plan 2019 consolidé'!$E81,Tableau5[],COLUMN(Tableau5[[#This Row],[Age]]),FALSE),"")</f>
        <v>51</v>
      </c>
      <c r="X81" s="286">
        <f>IFERROR(VLOOKUP('Plan 2019 consolidé'!$E81,Tableau5[],COLUMN(Tableau5[[#This Row],[Nombre d''années d''ancienneté dans la société]]),FALSE),"")</f>
        <v>27</v>
      </c>
    </row>
    <row r="82" spans="1:24" x14ac:dyDescent="0.25">
      <c r="A82" s="284" t="str">
        <f>Tableau1[[#This Row],[Service]]</f>
        <v>DVC</v>
      </c>
      <c r="B82" s="284" t="str">
        <f>Tableau1[[#This Row],[Site]]</f>
        <v>STG</v>
      </c>
      <c r="C82" s="284" t="str">
        <f>Tableau1[[#This Row],[Manager]]</f>
        <v>XUEREB</v>
      </c>
      <c r="D82" s="284">
        <f>Tableau1[[#This Row],[Matricule]]</f>
        <v>104625</v>
      </c>
      <c r="E82" s="284" t="str">
        <f>Tableau1[[#This Row],[Nom]]</f>
        <v>CHENAVAS</v>
      </c>
      <c r="F82" s="284" t="str">
        <f>Tableau1[[#This Row],[Prénom]]</f>
        <v>Franck</v>
      </c>
      <c r="G82" s="284" t="str">
        <f>Tableau1[[#This Row],[Axe
(Filières)]]</f>
        <v>Sécurité</v>
      </c>
      <c r="H82" s="284" t="str">
        <f>Tableau1[[#This Row],[Intitulé]]</f>
        <v>Incendie</v>
      </c>
      <c r="I82" s="284">
        <f>Tableau1[[#This Row],[Priorité
mger]]</f>
        <v>0</v>
      </c>
      <c r="J82" s="284" t="str">
        <f>Tableau1[[#This Row],[Organisme]]</f>
        <v>APAVE</v>
      </c>
      <c r="K82" s="284">
        <f>Tableau1[[#This Row],[Durée
H]]</f>
        <v>1.5</v>
      </c>
      <c r="L82" s="92">
        <f>Tableau1[[#This Row],[Coût
péda.]]</f>
        <v>53</v>
      </c>
      <c r="M82" s="284" t="str">
        <f>Tableau1[[#This Row],[Dispositif
(Plan / DIF)]]</f>
        <v>Plan</v>
      </c>
      <c r="N82" s="284" t="str">
        <f>Tableau1[[#This Row],[Axe
  (note cadrage)]]</f>
        <v>Formation obligatoire</v>
      </c>
      <c r="O82" s="285">
        <f>Tableau1[[#This Row],[Validation
(Oui/Non)]]</f>
        <v>0</v>
      </c>
      <c r="P82" s="287" t="str">
        <f>Tableau1[[#This Row],[Calendrier
de réalisation]]</f>
        <v>2019-Q1</v>
      </c>
      <c r="Q82" s="284"/>
      <c r="S82" s="286" t="str">
        <f>IFERROR(VLOOKUP('Plan 2019 consolidé'!$E82,Tableau5[],COLUMN(Tableau5[[#This Row],[Sexe2]]),FALSE),"")</f>
        <v>M</v>
      </c>
      <c r="W82" s="286">
        <f>IFERROR(VLOOKUP('Plan 2019 consolidé'!$E82,Tableau5[],COLUMN(Tableau5[[#This Row],[Age]]),FALSE),"")</f>
        <v>47</v>
      </c>
      <c r="X82" s="286">
        <f>IFERROR(VLOOKUP('Plan 2019 consolidé'!$E82,Tableau5[],COLUMN(Tableau5[[#This Row],[Nombre d''années d''ancienneté dans la société]]),FALSE),"")</f>
        <v>10</v>
      </c>
    </row>
    <row r="83" spans="1:24" x14ac:dyDescent="0.25">
      <c r="A83" s="284" t="str">
        <f>Tableau1[[#This Row],[Service]]</f>
        <v>DVC</v>
      </c>
      <c r="B83" s="284" t="str">
        <f>Tableau1[[#This Row],[Site]]</f>
        <v>STG</v>
      </c>
      <c r="C83" s="284" t="str">
        <f>Tableau1[[#This Row],[Manager]]</f>
        <v>XUEREB</v>
      </c>
      <c r="D83" s="284">
        <f>Tableau1[[#This Row],[Matricule]]</f>
        <v>104625</v>
      </c>
      <c r="E83" s="284" t="str">
        <f>Tableau1[[#This Row],[Nom]]</f>
        <v>CHENAVAS</v>
      </c>
      <c r="F83" s="284" t="str">
        <f>Tableau1[[#This Row],[Prénom]]</f>
        <v>Franck</v>
      </c>
      <c r="G83" s="284" t="str">
        <f>Tableau1[[#This Row],[Axe
(Filières)]]</f>
        <v>Sécurité</v>
      </c>
      <c r="H83" s="284" t="str">
        <f>Tableau1[[#This Row],[Intitulé]]</f>
        <v>Recyclage pont rou</v>
      </c>
      <c r="I83" s="284">
        <f>Tableau1[[#This Row],[Priorité
mger]]</f>
        <v>0</v>
      </c>
      <c r="J83" s="284" t="str">
        <f>Tableau1[[#This Row],[Organisme]]</f>
        <v>APAVE</v>
      </c>
      <c r="K83" s="284">
        <f>Tableau1[[#This Row],[Durée
H]]</f>
        <v>7</v>
      </c>
      <c r="L83" s="92">
        <f>Tableau1[[#This Row],[Coût
péda.]]</f>
        <v>165</v>
      </c>
      <c r="M83" s="284" t="str">
        <f>Tableau1[[#This Row],[Dispositif
(Plan / DIF)]]</f>
        <v>Plan</v>
      </c>
      <c r="N83" s="284" t="str">
        <f>Tableau1[[#This Row],[Axe
  (note cadrage)]]</f>
        <v>Formation obligatoire</v>
      </c>
      <c r="O83" s="285">
        <f>Tableau1[[#This Row],[Validation
(Oui/Non)]]</f>
        <v>0</v>
      </c>
      <c r="P83" s="287" t="str">
        <f>Tableau1[[#This Row],[Calendrier
de réalisation]]</f>
        <v/>
      </c>
      <c r="Q83" s="284"/>
      <c r="S83" s="286" t="str">
        <f>IFERROR(VLOOKUP('Plan 2019 consolidé'!$E83,Tableau5[],COLUMN(Tableau5[[#This Row],[Sexe2]]),FALSE),"")</f>
        <v>M</v>
      </c>
      <c r="W83" s="286">
        <f>IFERROR(VLOOKUP('Plan 2019 consolidé'!$E83,Tableau5[],COLUMN(Tableau5[[#This Row],[Age]]),FALSE),"")</f>
        <v>47</v>
      </c>
      <c r="X83" s="286">
        <f>IFERROR(VLOOKUP('Plan 2019 consolidé'!$E83,Tableau5[],COLUMN(Tableau5[[#This Row],[Nombre d''années d''ancienneté dans la société]]),FALSE),"")</f>
        <v>10</v>
      </c>
    </row>
    <row r="84" spans="1:24" x14ac:dyDescent="0.25">
      <c r="A84" s="284" t="str">
        <f>Tableau1[[#This Row],[Service]]</f>
        <v>DVC</v>
      </c>
      <c r="B84" s="284" t="str">
        <f>Tableau1[[#This Row],[Site]]</f>
        <v>STG</v>
      </c>
      <c r="C84" s="284" t="str">
        <f>Tableau1[[#This Row],[Manager]]</f>
        <v>XUEREB</v>
      </c>
      <c r="D84" s="284">
        <f>Tableau1[[#This Row],[Matricule]]</f>
        <v>104625</v>
      </c>
      <c r="E84" s="284" t="str">
        <f>Tableau1[[#This Row],[Nom]]</f>
        <v>CHENAVAS</v>
      </c>
      <c r="F84" s="284" t="str">
        <f>Tableau1[[#This Row],[Prénom]]</f>
        <v>Franck</v>
      </c>
      <c r="G84" s="284" t="str">
        <f>Tableau1[[#This Row],[Axe
(Filières)]]</f>
        <v>Sécurité</v>
      </c>
      <c r="H84" s="284" t="str">
        <f>Tableau1[[#This Row],[Intitulé]]</f>
        <v>HAB ELEC</v>
      </c>
      <c r="I84" s="284">
        <f>Tableau1[[#This Row],[Priorité
mger]]</f>
        <v>0</v>
      </c>
      <c r="J84" s="284" t="str">
        <f>Tableau1[[#This Row],[Organisme]]</f>
        <v>SEEF</v>
      </c>
      <c r="K84" s="284">
        <f>Tableau1[[#This Row],[Durée
H]]</f>
        <v>10.5</v>
      </c>
      <c r="L84" s="92">
        <f>Tableau1[[#This Row],[Coût
péda.]]</f>
        <v>260</v>
      </c>
      <c r="M84" s="284" t="str">
        <f>Tableau1[[#This Row],[Dispositif
(Plan / DIF)]]</f>
        <v>Plan</v>
      </c>
      <c r="N84" s="284" t="str">
        <f>Tableau1[[#This Row],[Axe
  (note cadrage)]]</f>
        <v>Formation obligatoire</v>
      </c>
      <c r="O84" s="285">
        <f>Tableau1[[#This Row],[Validation
(Oui/Non)]]</f>
        <v>0</v>
      </c>
      <c r="P84" s="287" t="str">
        <f>Tableau1[[#This Row],[Calendrier
de réalisation]]</f>
        <v/>
      </c>
      <c r="Q84" s="284"/>
      <c r="S84" s="286" t="str">
        <f>IFERROR(VLOOKUP('Plan 2019 consolidé'!$E84,Tableau5[],COLUMN(Tableau5[[#This Row],[Sexe2]]),FALSE),"")</f>
        <v>M</v>
      </c>
      <c r="W84" s="286">
        <f>IFERROR(VLOOKUP('Plan 2019 consolidé'!$E84,Tableau5[],COLUMN(Tableau5[[#This Row],[Age]]),FALSE),"")</f>
        <v>47</v>
      </c>
      <c r="X84" s="286">
        <f>IFERROR(VLOOKUP('Plan 2019 consolidé'!$E84,Tableau5[],COLUMN(Tableau5[[#This Row],[Nombre d''années d''ancienneté dans la société]]),FALSE),"")</f>
        <v>10</v>
      </c>
    </row>
    <row r="85" spans="1:24" x14ac:dyDescent="0.25">
      <c r="A85" s="284" t="str">
        <f>Tableau1[[#This Row],[Service]]</f>
        <v>DVC</v>
      </c>
      <c r="B85" s="284" t="str">
        <f>Tableau1[[#This Row],[Site]]</f>
        <v>STG</v>
      </c>
      <c r="C85" s="284" t="str">
        <f>Tableau1[[#This Row],[Manager]]</f>
        <v>BUISSON</v>
      </c>
      <c r="D85" s="284">
        <f>Tableau1[[#This Row],[Matricule]]</f>
        <v>104649</v>
      </c>
      <c r="E85" s="284" t="str">
        <f>Tableau1[[#This Row],[Nom]]</f>
        <v>CHENAVIER</v>
      </c>
      <c r="F85" s="284" t="str">
        <f>Tableau1[[#This Row],[Prénom]]</f>
        <v>Patrick</v>
      </c>
      <c r="G85" s="284" t="str">
        <f>Tableau1[[#This Row],[Axe
(Filières)]]</f>
        <v>Sécurité</v>
      </c>
      <c r="H85" s="284" t="str">
        <f>Tableau1[[#This Row],[Intitulé]]</f>
        <v>Incendie</v>
      </c>
      <c r="I85" s="284">
        <f>Tableau1[[#This Row],[Priorité
mger]]</f>
        <v>0</v>
      </c>
      <c r="J85" s="284" t="str">
        <f>Tableau1[[#This Row],[Organisme]]</f>
        <v>APAVE</v>
      </c>
      <c r="K85" s="284">
        <f>Tableau1[[#This Row],[Durée
H]]</f>
        <v>1.5</v>
      </c>
      <c r="L85" s="92">
        <f>Tableau1[[#This Row],[Coût
péda.]]</f>
        <v>53</v>
      </c>
      <c r="M85" s="284" t="str">
        <f>Tableau1[[#This Row],[Dispositif
(Plan / DIF)]]</f>
        <v>Plan</v>
      </c>
      <c r="N85" s="284" t="str">
        <f>Tableau1[[#This Row],[Axe
  (note cadrage)]]</f>
        <v>Formation obligatoire</v>
      </c>
      <c r="O85" s="285">
        <f>Tableau1[[#This Row],[Validation
(Oui/Non)]]</f>
        <v>0</v>
      </c>
      <c r="P85" s="287" t="str">
        <f>Tableau1[[#This Row],[Calendrier
de réalisation]]</f>
        <v>2019-Q1</v>
      </c>
      <c r="Q85" s="284"/>
      <c r="S85" s="286" t="str">
        <f>IFERROR(VLOOKUP('Plan 2019 consolidé'!$E85,Tableau5[],COLUMN(Tableau5[[#This Row],[Sexe2]]),FALSE),"")</f>
        <v>M</v>
      </c>
      <c r="W85" s="286">
        <f>IFERROR(VLOOKUP('Plan 2019 consolidé'!$E85,Tableau5[],COLUMN(Tableau5[[#This Row],[Age]]),FALSE),"")</f>
        <v>50</v>
      </c>
      <c r="X85" s="286">
        <f>IFERROR(VLOOKUP('Plan 2019 consolidé'!$E85,Tableau5[],COLUMN(Tableau5[[#This Row],[Nombre d''années d''ancienneté dans la société]]),FALSE),"")</f>
        <v>10</v>
      </c>
    </row>
    <row r="86" spans="1:24" x14ac:dyDescent="0.25">
      <c r="A86" s="284" t="str">
        <f>Tableau1[[#This Row],[Service]]</f>
        <v>DVC</v>
      </c>
      <c r="B86" s="284" t="str">
        <f>Tableau1[[#This Row],[Site]]</f>
        <v>STG</v>
      </c>
      <c r="C86" s="284" t="str">
        <f>Tableau1[[#This Row],[Manager]]</f>
        <v>BUISSON</v>
      </c>
      <c r="D86" s="284">
        <f>Tableau1[[#This Row],[Matricule]]</f>
        <v>104649</v>
      </c>
      <c r="E86" s="284" t="str">
        <f>Tableau1[[#This Row],[Nom]]</f>
        <v>CHENAVIER</v>
      </c>
      <c r="F86" s="284" t="str">
        <f>Tableau1[[#This Row],[Prénom]]</f>
        <v>Patrick</v>
      </c>
      <c r="G86" s="284" t="str">
        <f>Tableau1[[#This Row],[Axe
(Filières)]]</f>
        <v>Sécurité</v>
      </c>
      <c r="H86" s="284" t="str">
        <f>Tableau1[[#This Row],[Intitulé]]</f>
        <v>HAB ELEC</v>
      </c>
      <c r="I86" s="284">
        <f>Tableau1[[#This Row],[Priorité
mger]]</f>
        <v>0</v>
      </c>
      <c r="J86" s="284" t="str">
        <f>Tableau1[[#This Row],[Organisme]]</f>
        <v>SEEF</v>
      </c>
      <c r="K86" s="284">
        <f>Tableau1[[#This Row],[Durée
H]]</f>
        <v>10.5</v>
      </c>
      <c r="L86" s="92">
        <f>Tableau1[[#This Row],[Coût
péda.]]</f>
        <v>260</v>
      </c>
      <c r="M86" s="284" t="str">
        <f>Tableau1[[#This Row],[Dispositif
(Plan / DIF)]]</f>
        <v>Plan</v>
      </c>
      <c r="N86" s="284" t="str">
        <f>Tableau1[[#This Row],[Axe
  (note cadrage)]]</f>
        <v>Formation obligatoire</v>
      </c>
      <c r="O86" s="285">
        <f>Tableau1[[#This Row],[Validation
(Oui/Non)]]</f>
        <v>0</v>
      </c>
      <c r="P86" s="287" t="str">
        <f>Tableau1[[#This Row],[Calendrier
de réalisation]]</f>
        <v/>
      </c>
      <c r="Q86" s="284"/>
      <c r="S86" s="286" t="str">
        <f>IFERROR(VLOOKUP('Plan 2019 consolidé'!$E86,Tableau5[],COLUMN(Tableau5[[#This Row],[Sexe2]]),FALSE),"")</f>
        <v>M</v>
      </c>
      <c r="W86" s="286">
        <f>IFERROR(VLOOKUP('Plan 2019 consolidé'!$E86,Tableau5[],COLUMN(Tableau5[[#This Row],[Age]]),FALSE),"")</f>
        <v>50</v>
      </c>
      <c r="X86" s="286">
        <f>IFERROR(VLOOKUP('Plan 2019 consolidé'!$E86,Tableau5[],COLUMN(Tableau5[[#This Row],[Nombre d''années d''ancienneté dans la société]]),FALSE),"")</f>
        <v>10</v>
      </c>
    </row>
    <row r="87" spans="1:24" x14ac:dyDescent="0.25">
      <c r="A87" s="284" t="str">
        <f>Tableau1[[#This Row],[Service]]</f>
        <v>Non DVC</v>
      </c>
      <c r="B87" s="284" t="str">
        <f>Tableau1[[#This Row],[Site]]</f>
        <v>Aub.</v>
      </c>
      <c r="C87" s="284" t="str">
        <f>Tableau1[[#This Row],[Manager]]</f>
        <v>HAON</v>
      </c>
      <c r="D87" s="284">
        <f>Tableau1[[#This Row],[Matricule]]</f>
        <v>102960</v>
      </c>
      <c r="E87" s="284" t="str">
        <f>Tableau1[[#This Row],[Nom]]</f>
        <v>CHOMBART</v>
      </c>
      <c r="F87" s="284" t="str">
        <f>Tableau1[[#This Row],[Prénom]]</f>
        <v>Francois</v>
      </c>
      <c r="G87" s="284" t="str">
        <f>Tableau1[[#This Row],[Axe
(Filières)]]</f>
        <v>Sécurité</v>
      </c>
      <c r="H87" s="284" t="str">
        <f>Tableau1[[#This Row],[Intitulé]]</f>
        <v>Incendie</v>
      </c>
      <c r="I87" s="284">
        <f>Tableau1[[#This Row],[Priorité
mger]]</f>
        <v>0</v>
      </c>
      <c r="J87" s="284" t="str">
        <f>Tableau1[[#This Row],[Organisme]]</f>
        <v>APAVE</v>
      </c>
      <c r="K87" s="284">
        <f>Tableau1[[#This Row],[Durée
H]]</f>
        <v>1.5</v>
      </c>
      <c r="L87" s="92">
        <f>Tableau1[[#This Row],[Coût
péda.]]</f>
        <v>53</v>
      </c>
      <c r="M87" s="284" t="str">
        <f>Tableau1[[#This Row],[Dispositif
(Plan / DIF)]]</f>
        <v>Plan</v>
      </c>
      <c r="N87" s="284" t="str">
        <f>Tableau1[[#This Row],[Axe
  (note cadrage)]]</f>
        <v>Formation obligatoire</v>
      </c>
      <c r="O87" s="285">
        <f>Tableau1[[#This Row],[Validation
(Oui/Non)]]</f>
        <v>0</v>
      </c>
      <c r="P87" s="287" t="str">
        <f>Tableau1[[#This Row],[Calendrier
de réalisation]]</f>
        <v>2019-Q2</v>
      </c>
      <c r="Q87" s="284"/>
      <c r="S87" s="286" t="str">
        <f>IFERROR(VLOOKUP('Plan 2019 consolidé'!$E87,Tableau5[],COLUMN(Tableau5[[#This Row],[Sexe2]]),FALSE),"")</f>
        <v>M</v>
      </c>
      <c r="W87" s="286">
        <f>IFERROR(VLOOKUP('Plan 2019 consolidé'!$E87,Tableau5[],COLUMN(Tableau5[[#This Row],[Age]]),FALSE),"")</f>
        <v>52</v>
      </c>
      <c r="X87" s="286">
        <f>IFERROR(VLOOKUP('Plan 2019 consolidé'!$E87,Tableau5[],COLUMN(Tableau5[[#This Row],[Nombre d''années d''ancienneté dans la société]]),FALSE),"")</f>
        <v>13</v>
      </c>
    </row>
    <row r="88" spans="1:24" x14ac:dyDescent="0.25">
      <c r="A88" s="284" t="str">
        <f>Tableau1[[#This Row],[Service]]</f>
        <v>Non DVC</v>
      </c>
      <c r="B88" s="284" t="str">
        <f>Tableau1[[#This Row],[Site]]</f>
        <v>Aub.</v>
      </c>
      <c r="C88" s="284" t="str">
        <f>Tableau1[[#This Row],[Manager]]</f>
        <v>HAON</v>
      </c>
      <c r="D88" s="284">
        <f>Tableau1[[#This Row],[Matricule]]</f>
        <v>102960</v>
      </c>
      <c r="E88" s="284" t="str">
        <f>Tableau1[[#This Row],[Nom]]</f>
        <v>CHOMBART</v>
      </c>
      <c r="F88" s="284" t="str">
        <f>Tableau1[[#This Row],[Prénom]]</f>
        <v>Francois</v>
      </c>
      <c r="G88" s="284" t="str">
        <f>Tableau1[[#This Row],[Axe
(Filières)]]</f>
        <v>Sécurité</v>
      </c>
      <c r="H88" s="284" t="str">
        <f>Tableau1[[#This Row],[Intitulé]]</f>
        <v>Risques chimiques</v>
      </c>
      <c r="I88" s="284">
        <f>Tableau1[[#This Row],[Priorité
mger]]</f>
        <v>0</v>
      </c>
      <c r="J88" s="284" t="str">
        <f>Tableau1[[#This Row],[Organisme]]</f>
        <v>APAVE</v>
      </c>
      <c r="K88" s="284">
        <f>Tableau1[[#This Row],[Durée
H]]</f>
        <v>7</v>
      </c>
      <c r="L88" s="92">
        <f>Tableau1[[#This Row],[Coût
péda.]]</f>
        <v>162</v>
      </c>
      <c r="M88" s="284" t="str">
        <f>Tableau1[[#This Row],[Dispositif
(Plan / DIF)]]</f>
        <v>Plan</v>
      </c>
      <c r="N88" s="284" t="str">
        <f>Tableau1[[#This Row],[Axe
  (note cadrage)]]</f>
        <v>Formation obligatoire</v>
      </c>
      <c r="O88" s="285">
        <f>Tableau1[[#This Row],[Validation
(Oui/Non)]]</f>
        <v>0</v>
      </c>
      <c r="P88" s="287" t="str">
        <f>Tableau1[[#This Row],[Calendrier
de réalisation]]</f>
        <v>2019-Q4</v>
      </c>
      <c r="Q88" s="284"/>
      <c r="S88" s="286" t="str">
        <f>IFERROR(VLOOKUP('Plan 2019 consolidé'!$E88,Tableau5[],COLUMN(Tableau5[[#This Row],[Sexe2]]),FALSE),"")</f>
        <v>M</v>
      </c>
      <c r="W88" s="286">
        <f>IFERROR(VLOOKUP('Plan 2019 consolidé'!$E88,Tableau5[],COLUMN(Tableau5[[#This Row],[Age]]),FALSE),"")</f>
        <v>52</v>
      </c>
      <c r="X88" s="286">
        <f>IFERROR(VLOOKUP('Plan 2019 consolidé'!$E88,Tableau5[],COLUMN(Tableau5[[#This Row],[Nombre d''années d''ancienneté dans la société]]),FALSE),"")</f>
        <v>13</v>
      </c>
    </row>
    <row r="89" spans="1:24" x14ac:dyDescent="0.25">
      <c r="A89" s="284" t="str">
        <f>Tableau1[[#This Row],[Service]]</f>
        <v>DVC</v>
      </c>
      <c r="B89" s="284" t="str">
        <f>Tableau1[[#This Row],[Site]]</f>
        <v>Lattes</v>
      </c>
      <c r="C89" s="284" t="str">
        <f>Tableau1[[#This Row],[Manager]]</f>
        <v>VERNE</v>
      </c>
      <c r="D89" s="284">
        <f>Tableau1[[#This Row],[Matricule]]</f>
        <v>191743</v>
      </c>
      <c r="E89" s="284" t="str">
        <f>Tableau1[[#This Row],[Nom]]</f>
        <v>CLAVEL</v>
      </c>
      <c r="F89" s="284" t="str">
        <f>Tableau1[[#This Row],[Prénom]]</f>
        <v>Jerome</v>
      </c>
      <c r="G89" s="284" t="str">
        <f>Tableau1[[#This Row],[Axe
(Filières)]]</f>
        <v>Sécurité</v>
      </c>
      <c r="H89" s="284" t="str">
        <f>Tableau1[[#This Row],[Intitulé]]</f>
        <v>Gestes et postures</v>
      </c>
      <c r="I89" s="284">
        <f>Tableau1[[#This Row],[Priorité
mger]]</f>
        <v>0</v>
      </c>
      <c r="J89" s="284" t="str">
        <f>Tableau1[[#This Row],[Organisme]]</f>
        <v>APAVE</v>
      </c>
      <c r="K89" s="284">
        <f>Tableau1[[#This Row],[Durée
H]]</f>
        <v>7</v>
      </c>
      <c r="L89" s="92">
        <f>Tableau1[[#This Row],[Coût
péda.]]</f>
        <v>124</v>
      </c>
      <c r="M89" s="284" t="str">
        <f>Tableau1[[#This Row],[Dispositif
(Plan / DIF)]]</f>
        <v>Plan</v>
      </c>
      <c r="N89" s="284" t="str">
        <f>Tableau1[[#This Row],[Axe
  (note cadrage)]]</f>
        <v>Formation obligatoire</v>
      </c>
      <c r="O89" s="285">
        <f>Tableau1[[#This Row],[Validation
(Oui/Non)]]</f>
        <v>0</v>
      </c>
      <c r="P89" s="287" t="str">
        <f>Tableau1[[#This Row],[Calendrier
de réalisation]]</f>
        <v>2019-Q3</v>
      </c>
      <c r="Q89" s="284"/>
      <c r="S89" s="286" t="str">
        <f>IFERROR(VLOOKUP('Plan 2019 consolidé'!$E89,Tableau5[],COLUMN(Tableau5[[#This Row],[Sexe2]]),FALSE),"")</f>
        <v>M</v>
      </c>
      <c r="W89" s="286">
        <f>IFERROR(VLOOKUP('Plan 2019 consolidé'!$E89,Tableau5[],COLUMN(Tableau5[[#This Row],[Age]]),FALSE),"")</f>
        <v>45</v>
      </c>
      <c r="X89" s="286">
        <f>IFERROR(VLOOKUP('Plan 2019 consolidé'!$E89,Tableau5[],COLUMN(Tableau5[[#This Row],[Nombre d''années d''ancienneté dans la société]]),FALSE),"")</f>
        <v>11</v>
      </c>
    </row>
    <row r="90" spans="1:24" x14ac:dyDescent="0.25">
      <c r="A90" s="284" t="str">
        <f>Tableau1[[#This Row],[Service]]</f>
        <v>DVC</v>
      </c>
      <c r="B90" s="284" t="str">
        <f>Tableau1[[#This Row],[Site]]</f>
        <v>STG</v>
      </c>
      <c r="C90" s="284" t="str">
        <f>Tableau1[[#This Row],[Manager]]</f>
        <v>XUEREB</v>
      </c>
      <c r="D90" s="284">
        <f>Tableau1[[#This Row],[Matricule]]</f>
        <v>104664</v>
      </c>
      <c r="E90" s="284" t="str">
        <f>Tableau1[[#This Row],[Nom]]</f>
        <v>COMBE</v>
      </c>
      <c r="F90" s="284" t="str">
        <f>Tableau1[[#This Row],[Prénom]]</f>
        <v>Dominique</v>
      </c>
      <c r="G90" s="284" t="str">
        <f>Tableau1[[#This Row],[Axe
(Filières)]]</f>
        <v>Sécurité</v>
      </c>
      <c r="H90" s="284" t="str">
        <f>Tableau1[[#This Row],[Intitulé]]</f>
        <v>Gestes et postures</v>
      </c>
      <c r="I90" s="284">
        <f>Tableau1[[#This Row],[Priorité
mger]]</f>
        <v>0</v>
      </c>
      <c r="J90" s="284" t="str">
        <f>Tableau1[[#This Row],[Organisme]]</f>
        <v>APAVE</v>
      </c>
      <c r="K90" s="284">
        <f>Tableau1[[#This Row],[Durée
H]]</f>
        <v>7</v>
      </c>
      <c r="L90" s="92">
        <f>Tableau1[[#This Row],[Coût
péda.]]</f>
        <v>124</v>
      </c>
      <c r="M90" s="284" t="str">
        <f>Tableau1[[#This Row],[Dispositif
(Plan / DIF)]]</f>
        <v>Plan</v>
      </c>
      <c r="N90" s="284" t="str">
        <f>Tableau1[[#This Row],[Axe
  (note cadrage)]]</f>
        <v>Formation obligatoire</v>
      </c>
      <c r="O90" s="285">
        <f>Tableau1[[#This Row],[Validation
(Oui/Non)]]</f>
        <v>0</v>
      </c>
      <c r="P90" s="287">
        <f>Tableau1[[#This Row],[Calendrier
de réalisation]]</f>
        <v>0</v>
      </c>
      <c r="Q90" s="284"/>
      <c r="S90" s="286" t="str">
        <f>IFERROR(VLOOKUP('Plan 2019 consolidé'!$E90,Tableau5[],COLUMN(Tableau5[[#This Row],[Sexe2]]),FALSE),"")</f>
        <v>M</v>
      </c>
      <c r="W90" s="286">
        <f>IFERROR(VLOOKUP('Plan 2019 consolidé'!$E90,Tableau5[],COLUMN(Tableau5[[#This Row],[Age]]),FALSE),"")</f>
        <v>50</v>
      </c>
      <c r="X90" s="286">
        <f>IFERROR(VLOOKUP('Plan 2019 consolidé'!$E90,Tableau5[],COLUMN(Tableau5[[#This Row],[Nombre d''années d''ancienneté dans la société]]),FALSE),"")</f>
        <v>10</v>
      </c>
    </row>
    <row r="91" spans="1:24" x14ac:dyDescent="0.25">
      <c r="A91" s="284" t="str">
        <f>Tableau1[[#This Row],[Service]]</f>
        <v>DVC</v>
      </c>
      <c r="B91" s="284" t="str">
        <f>Tableau1[[#This Row],[Site]]</f>
        <v>STG</v>
      </c>
      <c r="C91" s="284" t="str">
        <f>Tableau1[[#This Row],[Manager]]</f>
        <v>XUEREB</v>
      </c>
      <c r="D91" s="284">
        <f>Tableau1[[#This Row],[Matricule]]</f>
        <v>104664</v>
      </c>
      <c r="E91" s="284" t="str">
        <f>Tableau1[[#This Row],[Nom]]</f>
        <v>COMBE</v>
      </c>
      <c r="F91" s="284" t="str">
        <f>Tableau1[[#This Row],[Prénom]]</f>
        <v>Dominique</v>
      </c>
      <c r="G91" s="284" t="str">
        <f>Tableau1[[#This Row],[Axe
(Filières)]]</f>
        <v>Sécurité</v>
      </c>
      <c r="H91" s="284" t="str">
        <f>Tableau1[[#This Row],[Intitulé]]</f>
        <v>Incendie</v>
      </c>
      <c r="I91" s="284">
        <f>Tableau1[[#This Row],[Priorité
mger]]</f>
        <v>0</v>
      </c>
      <c r="J91" s="284" t="str">
        <f>Tableau1[[#This Row],[Organisme]]</f>
        <v>APAVE</v>
      </c>
      <c r="K91" s="284">
        <f>Tableau1[[#This Row],[Durée
H]]</f>
        <v>1.5</v>
      </c>
      <c r="L91" s="92">
        <f>Tableau1[[#This Row],[Coût
péda.]]</f>
        <v>53</v>
      </c>
      <c r="M91" s="284" t="str">
        <f>Tableau1[[#This Row],[Dispositif
(Plan / DIF)]]</f>
        <v>Plan</v>
      </c>
      <c r="N91" s="284" t="str">
        <f>Tableau1[[#This Row],[Axe
  (note cadrage)]]</f>
        <v>Formation obligatoire</v>
      </c>
      <c r="O91" s="285">
        <f>Tableau1[[#This Row],[Validation
(Oui/Non)]]</f>
        <v>0</v>
      </c>
      <c r="P91" s="287" t="str">
        <f>Tableau1[[#This Row],[Calendrier
de réalisation]]</f>
        <v>2019-Q1</v>
      </c>
      <c r="Q91" s="284"/>
      <c r="S91" s="286" t="str">
        <f>IFERROR(VLOOKUP('Plan 2019 consolidé'!$E91,Tableau5[],COLUMN(Tableau5[[#This Row],[Sexe2]]),FALSE),"")</f>
        <v>M</v>
      </c>
      <c r="W91" s="286">
        <f>IFERROR(VLOOKUP('Plan 2019 consolidé'!$E91,Tableau5[],COLUMN(Tableau5[[#This Row],[Age]]),FALSE),"")</f>
        <v>50</v>
      </c>
      <c r="X91" s="286">
        <f>IFERROR(VLOOKUP('Plan 2019 consolidé'!$E91,Tableau5[],COLUMN(Tableau5[[#This Row],[Nombre d''années d''ancienneté dans la société]]),FALSE),"")</f>
        <v>10</v>
      </c>
    </row>
    <row r="92" spans="1:24" x14ac:dyDescent="0.25">
      <c r="A92" s="284" t="str">
        <f>Tableau1[[#This Row],[Service]]</f>
        <v>DVC</v>
      </c>
      <c r="B92" s="284" t="str">
        <f>Tableau1[[#This Row],[Site]]</f>
        <v>STG</v>
      </c>
      <c r="C92" s="284" t="str">
        <f>Tableau1[[#This Row],[Manager]]</f>
        <v>XUEREB</v>
      </c>
      <c r="D92" s="284">
        <f>Tableau1[[#This Row],[Matricule]]</f>
        <v>104664</v>
      </c>
      <c r="E92" s="284" t="str">
        <f>Tableau1[[#This Row],[Nom]]</f>
        <v>COMBE</v>
      </c>
      <c r="F92" s="284" t="str">
        <f>Tableau1[[#This Row],[Prénom]]</f>
        <v>Dominique</v>
      </c>
      <c r="G92" s="284" t="str">
        <f>Tableau1[[#This Row],[Axe
(Filières)]]</f>
        <v>Sécurité</v>
      </c>
      <c r="H92" s="284" t="str">
        <f>Tableau1[[#This Row],[Intitulé]]</f>
        <v>Risques chimiques</v>
      </c>
      <c r="I92" s="284">
        <f>Tableau1[[#This Row],[Priorité
mger]]</f>
        <v>0</v>
      </c>
      <c r="J92" s="284" t="str">
        <f>Tableau1[[#This Row],[Organisme]]</f>
        <v>APAVE</v>
      </c>
      <c r="K92" s="284">
        <f>Tableau1[[#This Row],[Durée
H]]</f>
        <v>7</v>
      </c>
      <c r="L92" s="92">
        <f>Tableau1[[#This Row],[Coût
péda.]]</f>
        <v>162</v>
      </c>
      <c r="M92" s="284" t="str">
        <f>Tableau1[[#This Row],[Dispositif
(Plan / DIF)]]</f>
        <v>Plan</v>
      </c>
      <c r="N92" s="284" t="str">
        <f>Tableau1[[#This Row],[Axe
  (note cadrage)]]</f>
        <v>Formation obligatoire</v>
      </c>
      <c r="O92" s="285">
        <f>Tableau1[[#This Row],[Validation
(Oui/Non)]]</f>
        <v>0</v>
      </c>
      <c r="P92" s="287" t="str">
        <f>Tableau1[[#This Row],[Calendrier
de réalisation]]</f>
        <v>2019-Q2</v>
      </c>
      <c r="Q92" s="284"/>
      <c r="S92" s="286" t="str">
        <f>IFERROR(VLOOKUP('Plan 2019 consolidé'!$E92,Tableau5[],COLUMN(Tableau5[[#This Row],[Sexe2]]),FALSE),"")</f>
        <v>M</v>
      </c>
      <c r="W92" s="286">
        <f>IFERROR(VLOOKUP('Plan 2019 consolidé'!$E92,Tableau5[],COLUMN(Tableau5[[#This Row],[Age]]),FALSE),"")</f>
        <v>50</v>
      </c>
      <c r="X92" s="286">
        <f>IFERROR(VLOOKUP('Plan 2019 consolidé'!$E92,Tableau5[],COLUMN(Tableau5[[#This Row],[Nombre d''années d''ancienneté dans la société]]),FALSE),"")</f>
        <v>10</v>
      </c>
    </row>
    <row r="93" spans="1:24" x14ac:dyDescent="0.25">
      <c r="A93" s="284" t="str">
        <f>Tableau1[[#This Row],[Service]]</f>
        <v>DVC</v>
      </c>
      <c r="B93" s="284" t="str">
        <f>Tableau1[[#This Row],[Site]]</f>
        <v>STG</v>
      </c>
      <c r="C93" s="284" t="str">
        <f>Tableau1[[#This Row],[Manager]]</f>
        <v>BUISSON</v>
      </c>
      <c r="D93" s="284">
        <f>Tableau1[[#This Row],[Matricule]]</f>
        <v>332168</v>
      </c>
      <c r="E93" s="284" t="str">
        <f>Tableau1[[#This Row],[Nom]]</f>
        <v>COPPOLA</v>
      </c>
      <c r="F93" s="284" t="str">
        <f>Tableau1[[#This Row],[Prénom]]</f>
        <v>Sebastien</v>
      </c>
      <c r="G93" s="284" t="str">
        <f>Tableau1[[#This Row],[Axe
(Filières)]]</f>
        <v>Sécurité</v>
      </c>
      <c r="H93" s="284" t="str">
        <f>Tableau1[[#This Row],[Intitulé]]</f>
        <v>Gestes et postures</v>
      </c>
      <c r="I93" s="284">
        <f>Tableau1[[#This Row],[Priorité
mger]]</f>
        <v>0</v>
      </c>
      <c r="J93" s="284" t="str">
        <f>Tableau1[[#This Row],[Organisme]]</f>
        <v>APAVE</v>
      </c>
      <c r="K93" s="284">
        <f>Tableau1[[#This Row],[Durée
H]]</f>
        <v>7</v>
      </c>
      <c r="L93" s="92">
        <f>Tableau1[[#This Row],[Coût
péda.]]</f>
        <v>124</v>
      </c>
      <c r="M93" s="284" t="str">
        <f>Tableau1[[#This Row],[Dispositif
(Plan / DIF)]]</f>
        <v>Plan</v>
      </c>
      <c r="N93" s="284" t="str">
        <f>Tableau1[[#This Row],[Axe
  (note cadrage)]]</f>
        <v>Formation obligatoire</v>
      </c>
      <c r="O93" s="285">
        <f>Tableau1[[#This Row],[Validation
(Oui/Non)]]</f>
        <v>0</v>
      </c>
      <c r="P93" s="287" t="str">
        <f>Tableau1[[#This Row],[Calendrier
de réalisation]]</f>
        <v>2019-Q1</v>
      </c>
      <c r="Q93" s="284"/>
      <c r="S93" s="286" t="str">
        <f>IFERROR(VLOOKUP('Plan 2019 consolidé'!$E93,Tableau5[],COLUMN(Tableau5[[#This Row],[Sexe2]]),FALSE),"")</f>
        <v>M</v>
      </c>
      <c r="W93" s="286">
        <f>IFERROR(VLOOKUP('Plan 2019 consolidé'!$E93,Tableau5[],COLUMN(Tableau5[[#This Row],[Age]]),FALSE),"")</f>
        <v>35</v>
      </c>
      <c r="X93" s="286">
        <f>IFERROR(VLOOKUP('Plan 2019 consolidé'!$E93,Tableau5[],COLUMN(Tableau5[[#This Row],[Nombre d''années d''ancienneté dans la société]]),FALSE),"")</f>
        <v>3</v>
      </c>
    </row>
    <row r="94" spans="1:24" x14ac:dyDescent="0.25">
      <c r="A94" s="284" t="str">
        <f>Tableau1[[#This Row],[Service]]</f>
        <v>DVC</v>
      </c>
      <c r="B94" s="284" t="str">
        <f>Tableau1[[#This Row],[Site]]</f>
        <v>STG</v>
      </c>
      <c r="C94" s="284" t="str">
        <f>Tableau1[[#This Row],[Manager]]</f>
        <v>BUISSON</v>
      </c>
      <c r="D94" s="284">
        <f>Tableau1[[#This Row],[Matricule]]</f>
        <v>332168</v>
      </c>
      <c r="E94" s="284" t="str">
        <f>Tableau1[[#This Row],[Nom]]</f>
        <v>COPPOLA</v>
      </c>
      <c r="F94" s="284" t="str">
        <f>Tableau1[[#This Row],[Prénom]]</f>
        <v>Sebastien</v>
      </c>
      <c r="G94" s="284" t="str">
        <f>Tableau1[[#This Row],[Axe
(Filières)]]</f>
        <v>Sécurité</v>
      </c>
      <c r="H94" s="284" t="str">
        <f>Tableau1[[#This Row],[Intitulé]]</f>
        <v>Incendie</v>
      </c>
      <c r="I94" s="284">
        <f>Tableau1[[#This Row],[Priorité
mger]]</f>
        <v>0</v>
      </c>
      <c r="J94" s="284" t="str">
        <f>Tableau1[[#This Row],[Organisme]]</f>
        <v>APAVE</v>
      </c>
      <c r="K94" s="284">
        <f>Tableau1[[#This Row],[Durée
H]]</f>
        <v>1.5</v>
      </c>
      <c r="L94" s="92">
        <f>Tableau1[[#This Row],[Coût
péda.]]</f>
        <v>53</v>
      </c>
      <c r="M94" s="284" t="str">
        <f>Tableau1[[#This Row],[Dispositif
(Plan / DIF)]]</f>
        <v>Plan</v>
      </c>
      <c r="N94" s="284" t="str">
        <f>Tableau1[[#This Row],[Axe
  (note cadrage)]]</f>
        <v>Formation obligatoire</v>
      </c>
      <c r="O94" s="285">
        <f>Tableau1[[#This Row],[Validation
(Oui/Non)]]</f>
        <v>0</v>
      </c>
      <c r="P94" s="287" t="str">
        <f>Tableau1[[#This Row],[Calendrier
de réalisation]]</f>
        <v>2019-Q1</v>
      </c>
      <c r="Q94" s="284"/>
      <c r="S94" s="286" t="str">
        <f>IFERROR(VLOOKUP('Plan 2019 consolidé'!$E94,Tableau5[],COLUMN(Tableau5[[#This Row],[Sexe2]]),FALSE),"")</f>
        <v>M</v>
      </c>
      <c r="W94" s="286">
        <f>IFERROR(VLOOKUP('Plan 2019 consolidé'!$E94,Tableau5[],COLUMN(Tableau5[[#This Row],[Age]]),FALSE),"")</f>
        <v>35</v>
      </c>
      <c r="X94" s="286">
        <f>IFERROR(VLOOKUP('Plan 2019 consolidé'!$E94,Tableau5[],COLUMN(Tableau5[[#This Row],[Nombre d''années d''ancienneté dans la société]]),FALSE),"")</f>
        <v>3</v>
      </c>
    </row>
    <row r="95" spans="1:24" x14ac:dyDescent="0.25">
      <c r="A95" s="284" t="str">
        <f>Tableau1[[#This Row],[Service]]</f>
        <v>DVC</v>
      </c>
      <c r="B95" s="284" t="str">
        <f>Tableau1[[#This Row],[Site]]</f>
        <v>STG</v>
      </c>
      <c r="C95" s="284" t="str">
        <f>Tableau1[[#This Row],[Manager]]</f>
        <v>BUISSON</v>
      </c>
      <c r="D95" s="284">
        <f>Tableau1[[#This Row],[Matricule]]</f>
        <v>332168</v>
      </c>
      <c r="E95" s="284" t="str">
        <f>Tableau1[[#This Row],[Nom]]</f>
        <v>COPPOLA</v>
      </c>
      <c r="F95" s="284" t="str">
        <f>Tableau1[[#This Row],[Prénom]]</f>
        <v>Sebastien</v>
      </c>
      <c r="G95" s="284" t="str">
        <f>Tableau1[[#This Row],[Axe
(Filières)]]</f>
        <v>Sécurité</v>
      </c>
      <c r="H95" s="284" t="str">
        <f>Tableau1[[#This Row],[Intitulé]]</f>
        <v>HAB ELEC</v>
      </c>
      <c r="I95" s="284">
        <f>Tableau1[[#This Row],[Priorité
mger]]</f>
        <v>0</v>
      </c>
      <c r="J95" s="284" t="str">
        <f>Tableau1[[#This Row],[Organisme]]</f>
        <v>SEEF</v>
      </c>
      <c r="K95" s="284">
        <f>Tableau1[[#This Row],[Durée
H]]</f>
        <v>10.5</v>
      </c>
      <c r="L95" s="92">
        <f>Tableau1[[#This Row],[Coût
péda.]]</f>
        <v>260</v>
      </c>
      <c r="M95" s="284" t="str">
        <f>Tableau1[[#This Row],[Dispositif
(Plan / DIF)]]</f>
        <v>Plan</v>
      </c>
      <c r="N95" s="284" t="str">
        <f>Tableau1[[#This Row],[Axe
  (note cadrage)]]</f>
        <v>Formation obligatoire</v>
      </c>
      <c r="O95" s="285">
        <f>Tableau1[[#This Row],[Validation
(Oui/Non)]]</f>
        <v>0</v>
      </c>
      <c r="P95" s="287" t="str">
        <f>Tableau1[[#This Row],[Calendrier
de réalisation]]</f>
        <v/>
      </c>
      <c r="Q95" s="284"/>
      <c r="S95" s="286" t="str">
        <f>IFERROR(VLOOKUP('Plan 2019 consolidé'!$E95,Tableau5[],COLUMN(Tableau5[[#This Row],[Sexe2]]),FALSE),"")</f>
        <v>M</v>
      </c>
      <c r="W95" s="286">
        <f>IFERROR(VLOOKUP('Plan 2019 consolidé'!$E95,Tableau5[],COLUMN(Tableau5[[#This Row],[Age]]),FALSE),"")</f>
        <v>35</v>
      </c>
      <c r="X95" s="286">
        <f>IFERROR(VLOOKUP('Plan 2019 consolidé'!$E95,Tableau5[],COLUMN(Tableau5[[#This Row],[Nombre d''années d''ancienneté dans la société]]),FALSE),"")</f>
        <v>3</v>
      </c>
    </row>
    <row r="96" spans="1:24" x14ac:dyDescent="0.25">
      <c r="A96" s="284" t="str">
        <f>Tableau1[[#This Row],[Service]]</f>
        <v>DVC</v>
      </c>
      <c r="B96" s="284" t="str">
        <f>Tableau1[[#This Row],[Site]]</f>
        <v>Aub.</v>
      </c>
      <c r="C96" s="284" t="str">
        <f>Tableau1[[#This Row],[Manager]]</f>
        <v>SENEPART</v>
      </c>
      <c r="D96" s="284">
        <f>Tableau1[[#This Row],[Matricule]]</f>
        <v>103064</v>
      </c>
      <c r="E96" s="284" t="str">
        <f>Tableau1[[#This Row],[Nom]]</f>
        <v>COSTE</v>
      </c>
      <c r="F96" s="284" t="str">
        <f>Tableau1[[#This Row],[Prénom]]</f>
        <v>Gisele</v>
      </c>
      <c r="G96" s="284" t="str">
        <f>Tableau1[[#This Row],[Axe
(Filières)]]</f>
        <v>Sécurité</v>
      </c>
      <c r="H96" s="284" t="str">
        <f>Tableau1[[#This Row],[Intitulé]]</f>
        <v>Gestes et postures</v>
      </c>
      <c r="I96" s="284">
        <f>Tableau1[[#This Row],[Priorité
mger]]</f>
        <v>0</v>
      </c>
      <c r="J96" s="284" t="str">
        <f>Tableau1[[#This Row],[Organisme]]</f>
        <v>APAVE</v>
      </c>
      <c r="K96" s="284">
        <f>Tableau1[[#This Row],[Durée
H]]</f>
        <v>7</v>
      </c>
      <c r="L96" s="92">
        <f>Tableau1[[#This Row],[Coût
péda.]]</f>
        <v>124</v>
      </c>
      <c r="M96" s="284" t="str">
        <f>Tableau1[[#This Row],[Dispositif
(Plan / DIF)]]</f>
        <v>Plan</v>
      </c>
      <c r="N96" s="284" t="str">
        <f>Tableau1[[#This Row],[Axe
  (note cadrage)]]</f>
        <v>Formation obligatoire</v>
      </c>
      <c r="O96" s="285">
        <f>Tableau1[[#This Row],[Validation
(Oui/Non)]]</f>
        <v>0</v>
      </c>
      <c r="P96" s="287" t="str">
        <f>Tableau1[[#This Row],[Calendrier
de réalisation]]</f>
        <v>2019-Q1</v>
      </c>
      <c r="Q96" s="284"/>
      <c r="S96" s="286" t="str">
        <f>IFERROR(VLOOKUP('Plan 2019 consolidé'!$E96,Tableau5[],COLUMN(Tableau5[[#This Row],[Sexe2]]),FALSE),"")</f>
        <v>F</v>
      </c>
      <c r="W96" s="286">
        <f>IFERROR(VLOOKUP('Plan 2019 consolidé'!$E96,Tableau5[],COLUMN(Tableau5[[#This Row],[Age]]),FALSE),"")</f>
        <v>57</v>
      </c>
      <c r="X96" s="286">
        <f>IFERROR(VLOOKUP('Plan 2019 consolidé'!$E96,Tableau5[],COLUMN(Tableau5[[#This Row],[Nombre d''années d''ancienneté dans la société]]),FALSE),"")</f>
        <v>35</v>
      </c>
    </row>
    <row r="97" spans="1:24" x14ac:dyDescent="0.25">
      <c r="A97" s="284" t="str">
        <f>Tableau1[[#This Row],[Service]]</f>
        <v>DVC</v>
      </c>
      <c r="B97" s="284" t="str">
        <f>Tableau1[[#This Row],[Site]]</f>
        <v>Aub.</v>
      </c>
      <c r="C97" s="284" t="str">
        <f>Tableau1[[#This Row],[Manager]]</f>
        <v>SENEPART</v>
      </c>
      <c r="D97" s="284">
        <f>Tableau1[[#This Row],[Matricule]]</f>
        <v>103064</v>
      </c>
      <c r="E97" s="284" t="str">
        <f>Tableau1[[#This Row],[Nom]]</f>
        <v>COSTE</v>
      </c>
      <c r="F97" s="284" t="str">
        <f>Tableau1[[#This Row],[Prénom]]</f>
        <v>Gisele</v>
      </c>
      <c r="G97" s="284" t="str">
        <f>Tableau1[[#This Row],[Axe
(Filières)]]</f>
        <v>Sécurité</v>
      </c>
      <c r="H97" s="284" t="str">
        <f>Tableau1[[#This Row],[Intitulé]]</f>
        <v>Incendie</v>
      </c>
      <c r="I97" s="284">
        <f>Tableau1[[#This Row],[Priorité
mger]]</f>
        <v>0</v>
      </c>
      <c r="J97" s="284" t="str">
        <f>Tableau1[[#This Row],[Organisme]]</f>
        <v>APAVE</v>
      </c>
      <c r="K97" s="284">
        <f>Tableau1[[#This Row],[Durée
H]]</f>
        <v>1.5</v>
      </c>
      <c r="L97" s="92">
        <f>Tableau1[[#This Row],[Coût
péda.]]</f>
        <v>53</v>
      </c>
      <c r="M97" s="284" t="str">
        <f>Tableau1[[#This Row],[Dispositif
(Plan / DIF)]]</f>
        <v>Plan</v>
      </c>
      <c r="N97" s="284" t="str">
        <f>Tableau1[[#This Row],[Axe
  (note cadrage)]]</f>
        <v>Formation obligatoire</v>
      </c>
      <c r="O97" s="285">
        <f>Tableau1[[#This Row],[Validation
(Oui/Non)]]</f>
        <v>0</v>
      </c>
      <c r="P97" s="287">
        <f>Tableau1[[#This Row],[Calendrier
de réalisation]]</f>
        <v>0</v>
      </c>
      <c r="Q97" s="284"/>
      <c r="S97" s="286" t="str">
        <f>IFERROR(VLOOKUP('Plan 2019 consolidé'!$E97,Tableau5[],COLUMN(Tableau5[[#This Row],[Sexe2]]),FALSE),"")</f>
        <v>F</v>
      </c>
      <c r="W97" s="286">
        <f>IFERROR(VLOOKUP('Plan 2019 consolidé'!$E97,Tableau5[],COLUMN(Tableau5[[#This Row],[Age]]),FALSE),"")</f>
        <v>57</v>
      </c>
      <c r="X97" s="286">
        <f>IFERROR(VLOOKUP('Plan 2019 consolidé'!$E97,Tableau5[],COLUMN(Tableau5[[#This Row],[Nombre d''années d''ancienneté dans la société]]),FALSE),"")</f>
        <v>35</v>
      </c>
    </row>
    <row r="98" spans="1:24" x14ac:dyDescent="0.25">
      <c r="A98" s="284" t="str">
        <f>Tableau1[[#This Row],[Service]]</f>
        <v>DVC</v>
      </c>
      <c r="B98" s="284" t="str">
        <f>Tableau1[[#This Row],[Site]]</f>
        <v>STG</v>
      </c>
      <c r="C98" s="284" t="str">
        <f>Tableau1[[#This Row],[Manager]]</f>
        <v>XUEREB</v>
      </c>
      <c r="D98" s="284">
        <f>Tableau1[[#This Row],[Matricule]]</f>
        <v>104710</v>
      </c>
      <c r="E98" s="284" t="str">
        <f>Tableau1[[#This Row],[Nom]]</f>
        <v>COUTO</v>
      </c>
      <c r="F98" s="284" t="str">
        <f>Tableau1[[#This Row],[Prénom]]</f>
        <v>Adriano</v>
      </c>
      <c r="G98" s="284" t="str">
        <f>Tableau1[[#This Row],[Axe
(Filières)]]</f>
        <v>Sécurité</v>
      </c>
      <c r="H98" s="284" t="str">
        <f>Tableau1[[#This Row],[Intitulé]]</f>
        <v>Gestes et postures</v>
      </c>
      <c r="I98" s="284">
        <f>Tableau1[[#This Row],[Priorité
mger]]</f>
        <v>0</v>
      </c>
      <c r="J98" s="284" t="str">
        <f>Tableau1[[#This Row],[Organisme]]</f>
        <v>APAVE</v>
      </c>
      <c r="K98" s="284">
        <f>Tableau1[[#This Row],[Durée
H]]</f>
        <v>7</v>
      </c>
      <c r="L98" s="92">
        <f>Tableau1[[#This Row],[Coût
péda.]]</f>
        <v>124</v>
      </c>
      <c r="M98" s="284" t="str">
        <f>Tableau1[[#This Row],[Dispositif
(Plan / DIF)]]</f>
        <v>Plan</v>
      </c>
      <c r="N98" s="284" t="str">
        <f>Tableau1[[#This Row],[Axe
  (note cadrage)]]</f>
        <v>Formation obligatoire</v>
      </c>
      <c r="O98" s="285">
        <f>Tableau1[[#This Row],[Validation
(Oui/Non)]]</f>
        <v>0</v>
      </c>
      <c r="P98" s="287">
        <f>Tableau1[[#This Row],[Calendrier
de réalisation]]</f>
        <v>0</v>
      </c>
      <c r="Q98" s="284"/>
      <c r="S98" s="286" t="str">
        <f>IFERROR(VLOOKUP('Plan 2019 consolidé'!$E98,Tableau5[],COLUMN(Tableau5[[#This Row],[Sexe2]]),FALSE),"")</f>
        <v>M</v>
      </c>
      <c r="W98" s="286">
        <f>IFERROR(VLOOKUP('Plan 2019 consolidé'!$E98,Tableau5[],COLUMN(Tableau5[[#This Row],[Age]]),FALSE),"")</f>
        <v>56</v>
      </c>
      <c r="X98" s="286">
        <f>IFERROR(VLOOKUP('Plan 2019 consolidé'!$E98,Tableau5[],COLUMN(Tableau5[[#This Row],[Nombre d''années d''ancienneté dans la société]]),FALSE),"")</f>
        <v>10</v>
      </c>
    </row>
    <row r="99" spans="1:24" x14ac:dyDescent="0.25">
      <c r="A99" s="284" t="str">
        <f>Tableau1[[#This Row],[Service]]</f>
        <v>DVC</v>
      </c>
      <c r="B99" s="284" t="str">
        <f>Tableau1[[#This Row],[Site]]</f>
        <v>STG</v>
      </c>
      <c r="C99" s="284" t="str">
        <f>Tableau1[[#This Row],[Manager]]</f>
        <v>XUEREB</v>
      </c>
      <c r="D99" s="284">
        <f>Tableau1[[#This Row],[Matricule]]</f>
        <v>104710</v>
      </c>
      <c r="E99" s="284" t="str">
        <f>Tableau1[[#This Row],[Nom]]</f>
        <v>COUTO</v>
      </c>
      <c r="F99" s="284" t="str">
        <f>Tableau1[[#This Row],[Prénom]]</f>
        <v>Adriano</v>
      </c>
      <c r="G99" s="284" t="str">
        <f>Tableau1[[#This Row],[Axe
(Filières)]]</f>
        <v>Sécurité</v>
      </c>
      <c r="H99" s="284" t="str">
        <f>Tableau1[[#This Row],[Intitulé]]</f>
        <v>Recyclage pont rou</v>
      </c>
      <c r="I99" s="284">
        <f>Tableau1[[#This Row],[Priorité
mger]]</f>
        <v>0</v>
      </c>
      <c r="J99" s="284" t="str">
        <f>Tableau1[[#This Row],[Organisme]]</f>
        <v>APAVE</v>
      </c>
      <c r="K99" s="284">
        <f>Tableau1[[#This Row],[Durée
H]]</f>
        <v>7</v>
      </c>
      <c r="L99" s="92">
        <f>Tableau1[[#This Row],[Coût
péda.]]</f>
        <v>165</v>
      </c>
      <c r="M99" s="284" t="str">
        <f>Tableau1[[#This Row],[Dispositif
(Plan / DIF)]]</f>
        <v>Plan</v>
      </c>
      <c r="N99" s="284" t="str">
        <f>Tableau1[[#This Row],[Axe
  (note cadrage)]]</f>
        <v>Formation obligatoire</v>
      </c>
      <c r="O99" s="285">
        <f>Tableau1[[#This Row],[Validation
(Oui/Non)]]</f>
        <v>0</v>
      </c>
      <c r="P99" s="287" t="str">
        <f>Tableau1[[#This Row],[Calendrier
de réalisation]]</f>
        <v/>
      </c>
      <c r="Q99" s="284"/>
      <c r="S99" s="286" t="str">
        <f>IFERROR(VLOOKUP('Plan 2019 consolidé'!$E99,Tableau5[],COLUMN(Tableau5[[#This Row],[Sexe2]]),FALSE),"")</f>
        <v>M</v>
      </c>
      <c r="W99" s="286">
        <f>IFERROR(VLOOKUP('Plan 2019 consolidé'!$E99,Tableau5[],COLUMN(Tableau5[[#This Row],[Age]]),FALSE),"")</f>
        <v>56</v>
      </c>
      <c r="X99" s="286">
        <f>IFERROR(VLOOKUP('Plan 2019 consolidé'!$E99,Tableau5[],COLUMN(Tableau5[[#This Row],[Nombre d''années d''ancienneté dans la société]]),FALSE),"")</f>
        <v>10</v>
      </c>
    </row>
    <row r="100" spans="1:24" x14ac:dyDescent="0.25">
      <c r="A100" s="284" t="str">
        <f>Tableau1[[#This Row],[Service]]</f>
        <v>DVC</v>
      </c>
      <c r="B100" s="284" t="str">
        <f>Tableau1[[#This Row],[Site]]</f>
        <v>Aub.</v>
      </c>
      <c r="C100" s="284" t="str">
        <f>Tableau1[[#This Row],[Manager]]</f>
        <v>ALIX</v>
      </c>
      <c r="D100" s="284">
        <f>Tableau1[[#This Row],[Matricule]]</f>
        <v>102972</v>
      </c>
      <c r="E100" s="284" t="str">
        <f>Tableau1[[#This Row],[Nom]]</f>
        <v>CRUS</v>
      </c>
      <c r="F100" s="284" t="str">
        <f>Tableau1[[#This Row],[Prénom]]</f>
        <v>Jean-Louis</v>
      </c>
      <c r="G100" s="284" t="str">
        <f>Tableau1[[#This Row],[Axe
(Filières)]]</f>
        <v>Sécurité</v>
      </c>
      <c r="H100" s="284" t="str">
        <f>Tableau1[[#This Row],[Intitulé]]</f>
        <v>Gestes et postures</v>
      </c>
      <c r="I100" s="284">
        <f>Tableau1[[#This Row],[Priorité
mger]]</f>
        <v>0</v>
      </c>
      <c r="J100" s="284" t="str">
        <f>Tableau1[[#This Row],[Organisme]]</f>
        <v>APAVE</v>
      </c>
      <c r="K100" s="284">
        <f>Tableau1[[#This Row],[Durée
H]]</f>
        <v>7</v>
      </c>
      <c r="L100" s="92">
        <f>Tableau1[[#This Row],[Coût
péda.]]</f>
        <v>124</v>
      </c>
      <c r="M100" s="284" t="str">
        <f>Tableau1[[#This Row],[Dispositif
(Plan / DIF)]]</f>
        <v>Plan</v>
      </c>
      <c r="N100" s="284" t="str">
        <f>Tableau1[[#This Row],[Axe
  (note cadrage)]]</f>
        <v>Formation obligatoire</v>
      </c>
      <c r="O100" s="285">
        <f>Tableau1[[#This Row],[Validation
(Oui/Non)]]</f>
        <v>0</v>
      </c>
      <c r="P100" s="287" t="str">
        <f>Tableau1[[#This Row],[Calendrier
de réalisation]]</f>
        <v>2019-Q4</v>
      </c>
      <c r="Q100" s="284"/>
      <c r="S100" s="286" t="str">
        <f>IFERROR(VLOOKUP('Plan 2019 consolidé'!$E100,Tableau5[],COLUMN(Tableau5[[#This Row],[Sexe2]]),FALSE),"")</f>
        <v>M</v>
      </c>
      <c r="W100" s="286">
        <f>IFERROR(VLOOKUP('Plan 2019 consolidé'!$E100,Tableau5[],COLUMN(Tableau5[[#This Row],[Age]]),FALSE),"")</f>
        <v>57</v>
      </c>
      <c r="X100" s="286">
        <f>IFERROR(VLOOKUP('Plan 2019 consolidé'!$E100,Tableau5[],COLUMN(Tableau5[[#This Row],[Nombre d''années d''ancienneté dans la société]]),FALSE),"")</f>
        <v>17</v>
      </c>
    </row>
    <row r="101" spans="1:24" x14ac:dyDescent="0.25">
      <c r="A101" s="284" t="str">
        <f>Tableau1[[#This Row],[Service]]</f>
        <v>Non DVC</v>
      </c>
      <c r="B101" s="284" t="str">
        <f>Tableau1[[#This Row],[Site]]</f>
        <v>Aub.</v>
      </c>
      <c r="C101" s="284" t="str">
        <f>Tableau1[[#This Row],[Manager]]</f>
        <v>DARDARE</v>
      </c>
      <c r="D101" s="284">
        <f>Tableau1[[#This Row],[Matricule]]</f>
        <v>103034</v>
      </c>
      <c r="E101" s="284" t="str">
        <f>Tableau1[[#This Row],[Nom]]</f>
        <v>DALL ALBA</v>
      </c>
      <c r="F101" s="284" t="str">
        <f>Tableau1[[#This Row],[Prénom]]</f>
        <v>Didier</v>
      </c>
      <c r="G101" s="284" t="str">
        <f>Tableau1[[#This Row],[Axe
(Filières)]]</f>
        <v>Sécurité</v>
      </c>
      <c r="H101" s="284" t="str">
        <f>Tableau1[[#This Row],[Intitulé]]</f>
        <v>Recyclage SST</v>
      </c>
      <c r="I101" s="284">
        <f>Tableau1[[#This Row],[Priorité
mger]]</f>
        <v>0</v>
      </c>
      <c r="J101" s="284" t="str">
        <f>Tableau1[[#This Row],[Organisme]]</f>
        <v>CFSP</v>
      </c>
      <c r="K101" s="284">
        <f>Tableau1[[#This Row],[Durée
H]]</f>
        <v>7</v>
      </c>
      <c r="L101" s="92">
        <f>Tableau1[[#This Row],[Coût
péda.]]</f>
        <v>117</v>
      </c>
      <c r="M101" s="284" t="str">
        <f>Tableau1[[#This Row],[Dispositif
(Plan / DIF)]]</f>
        <v>Plan</v>
      </c>
      <c r="N101" s="284" t="str">
        <f>Tableau1[[#This Row],[Axe
  (note cadrage)]]</f>
        <v>Formation obligatoire</v>
      </c>
      <c r="O101" s="285">
        <f>Tableau1[[#This Row],[Validation
(Oui/Non)]]</f>
        <v>0</v>
      </c>
      <c r="P101" s="287" t="str">
        <f>Tableau1[[#This Row],[Calendrier
de réalisation]]</f>
        <v/>
      </c>
      <c r="Q101" s="284"/>
      <c r="S101" s="286" t="str">
        <f>IFERROR(VLOOKUP('Plan 2019 consolidé'!$E101,Tableau5[],COLUMN(Tableau5[[#This Row],[Sexe2]]),FALSE),"")</f>
        <v>M</v>
      </c>
      <c r="W101" s="286">
        <f>IFERROR(VLOOKUP('Plan 2019 consolidé'!$E101,Tableau5[],COLUMN(Tableau5[[#This Row],[Age]]),FALSE),"")</f>
        <v>53</v>
      </c>
      <c r="X101" s="286">
        <f>IFERROR(VLOOKUP('Plan 2019 consolidé'!$E101,Tableau5[],COLUMN(Tableau5[[#This Row],[Nombre d''années d''ancienneté dans la société]]),FALSE),"")</f>
        <v>33</v>
      </c>
    </row>
    <row r="102" spans="1:24" x14ac:dyDescent="0.25">
      <c r="A102" s="284" t="str">
        <f>Tableau1[[#This Row],[Service]]</f>
        <v>DVC</v>
      </c>
      <c r="B102" s="284" t="str">
        <f>Tableau1[[#This Row],[Site]]</f>
        <v>Aub.</v>
      </c>
      <c r="C102" s="284" t="str">
        <f>Tableau1[[#This Row],[Manager]]</f>
        <v>ALIX</v>
      </c>
      <c r="D102" s="284">
        <f>Tableau1[[#This Row],[Matricule]]</f>
        <v>102894</v>
      </c>
      <c r="E102" s="284" t="str">
        <f>Tableau1[[#This Row],[Nom]]</f>
        <v>DALLANEGRA</v>
      </c>
      <c r="F102" s="284" t="str">
        <f>Tableau1[[#This Row],[Prénom]]</f>
        <v>Gerald</v>
      </c>
      <c r="G102" s="284" t="str">
        <f>Tableau1[[#This Row],[Axe
(Filières)]]</f>
        <v>Sécurité</v>
      </c>
      <c r="H102" s="284" t="str">
        <f>Tableau1[[#This Row],[Intitulé]]</f>
        <v>Gestes et postures</v>
      </c>
      <c r="I102" s="284">
        <f>Tableau1[[#This Row],[Priorité
mger]]</f>
        <v>0</v>
      </c>
      <c r="J102" s="284" t="str">
        <f>Tableau1[[#This Row],[Organisme]]</f>
        <v>APAVE</v>
      </c>
      <c r="K102" s="284">
        <f>Tableau1[[#This Row],[Durée
H]]</f>
        <v>7</v>
      </c>
      <c r="L102" s="92">
        <f>Tableau1[[#This Row],[Coût
péda.]]</f>
        <v>124</v>
      </c>
      <c r="M102" s="284" t="str">
        <f>Tableau1[[#This Row],[Dispositif
(Plan / DIF)]]</f>
        <v>Plan</v>
      </c>
      <c r="N102" s="284" t="str">
        <f>Tableau1[[#This Row],[Axe
  (note cadrage)]]</f>
        <v>Formation obligatoire</v>
      </c>
      <c r="O102" s="285">
        <f>Tableau1[[#This Row],[Validation
(Oui/Non)]]</f>
        <v>0</v>
      </c>
      <c r="P102" s="287" t="str">
        <f>Tableau1[[#This Row],[Calendrier
de réalisation]]</f>
        <v>2019-Q1</v>
      </c>
      <c r="Q102" s="284"/>
      <c r="S102" s="286" t="str">
        <f>IFERROR(VLOOKUP('Plan 2019 consolidé'!$E102,Tableau5[],COLUMN(Tableau5[[#This Row],[Sexe2]]),FALSE),"")</f>
        <v>M</v>
      </c>
      <c r="W102" s="286">
        <f>IFERROR(VLOOKUP('Plan 2019 consolidé'!$E102,Tableau5[],COLUMN(Tableau5[[#This Row],[Age]]),FALSE),"")</f>
        <v>46</v>
      </c>
      <c r="X102" s="286">
        <f>IFERROR(VLOOKUP('Plan 2019 consolidé'!$E102,Tableau5[],COLUMN(Tableau5[[#This Row],[Nombre d''années d''ancienneté dans la société]]),FALSE),"")</f>
        <v>10</v>
      </c>
    </row>
    <row r="103" spans="1:24" x14ac:dyDescent="0.25">
      <c r="A103" s="284" t="str">
        <f>Tableau1[[#This Row],[Service]]</f>
        <v>DVC</v>
      </c>
      <c r="B103" s="284" t="str">
        <f>Tableau1[[#This Row],[Site]]</f>
        <v>Aub.</v>
      </c>
      <c r="C103" s="284" t="str">
        <f>Tableau1[[#This Row],[Manager]]</f>
        <v>ALIX</v>
      </c>
      <c r="D103" s="284">
        <f>Tableau1[[#This Row],[Matricule]]</f>
        <v>102894</v>
      </c>
      <c r="E103" s="284" t="str">
        <f>Tableau1[[#This Row],[Nom]]</f>
        <v>DALLANEGRA</v>
      </c>
      <c r="F103" s="284" t="str">
        <f>Tableau1[[#This Row],[Prénom]]</f>
        <v>Gerald</v>
      </c>
      <c r="G103" s="284" t="str">
        <f>Tableau1[[#This Row],[Axe
(Filières)]]</f>
        <v>Sécurité</v>
      </c>
      <c r="H103" s="284" t="str">
        <f>Tableau1[[#This Row],[Intitulé]]</f>
        <v>Incendie</v>
      </c>
      <c r="I103" s="284">
        <f>Tableau1[[#This Row],[Priorité
mger]]</f>
        <v>0</v>
      </c>
      <c r="J103" s="284" t="str">
        <f>Tableau1[[#This Row],[Organisme]]</f>
        <v>APAVE</v>
      </c>
      <c r="K103" s="284">
        <f>Tableau1[[#This Row],[Durée
H]]</f>
        <v>1.5</v>
      </c>
      <c r="L103" s="92">
        <f>Tableau1[[#This Row],[Coût
péda.]]</f>
        <v>53</v>
      </c>
      <c r="M103" s="284" t="str">
        <f>Tableau1[[#This Row],[Dispositif
(Plan / DIF)]]</f>
        <v>Plan</v>
      </c>
      <c r="N103" s="284" t="str">
        <f>Tableau1[[#This Row],[Axe
  (note cadrage)]]</f>
        <v>Formation obligatoire</v>
      </c>
      <c r="O103" s="285">
        <f>Tableau1[[#This Row],[Validation
(Oui/Non)]]</f>
        <v>0</v>
      </c>
      <c r="P103" s="287" t="str">
        <f>Tableau1[[#This Row],[Calendrier
de réalisation]]</f>
        <v>2019-Q2</v>
      </c>
      <c r="Q103" s="284"/>
      <c r="S103" s="286" t="str">
        <f>IFERROR(VLOOKUP('Plan 2019 consolidé'!$E103,Tableau5[],COLUMN(Tableau5[[#This Row],[Sexe2]]),FALSE),"")</f>
        <v>M</v>
      </c>
      <c r="W103" s="286">
        <f>IFERROR(VLOOKUP('Plan 2019 consolidé'!$E103,Tableau5[],COLUMN(Tableau5[[#This Row],[Age]]),FALSE),"")</f>
        <v>46</v>
      </c>
      <c r="X103" s="286">
        <f>IFERROR(VLOOKUP('Plan 2019 consolidé'!$E103,Tableau5[],COLUMN(Tableau5[[#This Row],[Nombre d''années d''ancienneté dans la société]]),FALSE),"")</f>
        <v>10</v>
      </c>
    </row>
    <row r="104" spans="1:24" x14ac:dyDescent="0.25">
      <c r="A104" s="284" t="str">
        <f>Tableau1[[#This Row],[Service]]</f>
        <v>Non DVC</v>
      </c>
      <c r="B104" s="284" t="str">
        <f>Tableau1[[#This Row],[Site]]</f>
        <v>Aub.</v>
      </c>
      <c r="C104" s="284" t="str">
        <f>Tableau1[[#This Row],[Manager]]</f>
        <v>CHATAIGNER</v>
      </c>
      <c r="D104" s="284">
        <f>Tableau1[[#This Row],[Matricule]]</f>
        <v>11655</v>
      </c>
      <c r="E104" s="284" t="str">
        <f>Tableau1[[#This Row],[Nom]]</f>
        <v>DARDARE</v>
      </c>
      <c r="F104" s="284" t="str">
        <f>Tableau1[[#This Row],[Prénom]]</f>
        <v>Olivier</v>
      </c>
      <c r="G104" s="284" t="str">
        <f>Tableau1[[#This Row],[Axe
(Filières)]]</f>
        <v>Sécurité</v>
      </c>
      <c r="H104" s="284" t="str">
        <f>Tableau1[[#This Row],[Intitulé]]</f>
        <v>Incendie</v>
      </c>
      <c r="I104" s="284">
        <f>Tableau1[[#This Row],[Priorité
mger]]</f>
        <v>0</v>
      </c>
      <c r="J104" s="284" t="str">
        <f>Tableau1[[#This Row],[Organisme]]</f>
        <v>APAVE</v>
      </c>
      <c r="K104" s="284">
        <f>Tableau1[[#This Row],[Durée
H]]</f>
        <v>1.5</v>
      </c>
      <c r="L104" s="92">
        <f>Tableau1[[#This Row],[Coût
péda.]]</f>
        <v>53</v>
      </c>
      <c r="M104" s="284" t="str">
        <f>Tableau1[[#This Row],[Dispositif
(Plan / DIF)]]</f>
        <v>Plan</v>
      </c>
      <c r="N104" s="284" t="str">
        <f>Tableau1[[#This Row],[Axe
  (note cadrage)]]</f>
        <v>Formation obligatoire</v>
      </c>
      <c r="O104" s="285">
        <f>Tableau1[[#This Row],[Validation
(Oui/Non)]]</f>
        <v>0</v>
      </c>
      <c r="P104" s="287">
        <f>Tableau1[[#This Row],[Calendrier
de réalisation]]</f>
        <v>0</v>
      </c>
      <c r="Q104" s="284"/>
      <c r="S104" s="286" t="str">
        <f>IFERROR(VLOOKUP('Plan 2019 consolidé'!$E104,Tableau5[],COLUMN(Tableau5[[#This Row],[Sexe2]]),FALSE),"")</f>
        <v>M</v>
      </c>
      <c r="W104" s="286">
        <f>IFERROR(VLOOKUP('Plan 2019 consolidé'!$E104,Tableau5[],COLUMN(Tableau5[[#This Row],[Age]]),FALSE),"")</f>
        <v>57</v>
      </c>
      <c r="X104" s="286">
        <f>IFERROR(VLOOKUP('Plan 2019 consolidé'!$E104,Tableau5[],COLUMN(Tableau5[[#This Row],[Nombre d''années d''ancienneté dans la société]]),FALSE),"")</f>
        <v>0</v>
      </c>
    </row>
    <row r="105" spans="1:24" x14ac:dyDescent="0.25">
      <c r="A105" s="284" t="str">
        <f>Tableau1[[#This Row],[Service]]</f>
        <v>DVC</v>
      </c>
      <c r="B105" s="284" t="str">
        <f>Tableau1[[#This Row],[Site]]</f>
        <v>STG</v>
      </c>
      <c r="C105" s="284" t="str">
        <f>Tableau1[[#This Row],[Manager]]</f>
        <v>XUEREB</v>
      </c>
      <c r="D105" s="284">
        <f>Tableau1[[#This Row],[Matricule]]</f>
        <v>10555317</v>
      </c>
      <c r="E105" s="284" t="str">
        <f>Tableau1[[#This Row],[Nom]]</f>
        <v>DJELLOULI</v>
      </c>
      <c r="F105" s="284" t="str">
        <f>Tableau1[[#This Row],[Prénom]]</f>
        <v>Brahim</v>
      </c>
      <c r="G105" s="284" t="str">
        <f>Tableau1[[#This Row],[Axe
(Filières)]]</f>
        <v>Sécurité</v>
      </c>
      <c r="H105" s="284" t="str">
        <f>Tableau1[[#This Row],[Intitulé]]</f>
        <v>Incendie</v>
      </c>
      <c r="I105" s="284">
        <f>Tableau1[[#This Row],[Priorité
mger]]</f>
        <v>0</v>
      </c>
      <c r="J105" s="284" t="str">
        <f>Tableau1[[#This Row],[Organisme]]</f>
        <v>APAVE</v>
      </c>
      <c r="K105" s="284">
        <f>Tableau1[[#This Row],[Durée
H]]</f>
        <v>1.5</v>
      </c>
      <c r="L105" s="92">
        <f>Tableau1[[#This Row],[Coût
péda.]]</f>
        <v>53</v>
      </c>
      <c r="M105" s="284" t="str">
        <f>Tableau1[[#This Row],[Dispositif
(Plan / DIF)]]</f>
        <v>Plan</v>
      </c>
      <c r="N105" s="284" t="str">
        <f>Tableau1[[#This Row],[Axe
  (note cadrage)]]</f>
        <v>Formation obligatoire</v>
      </c>
      <c r="O105" s="285">
        <f>Tableau1[[#This Row],[Validation
(Oui/Non)]]</f>
        <v>0</v>
      </c>
      <c r="P105" s="287">
        <f>Tableau1[[#This Row],[Calendrier
de réalisation]]</f>
        <v>0</v>
      </c>
      <c r="Q105" s="284"/>
      <c r="S105" s="286" t="str">
        <f>IFERROR(VLOOKUP('Plan 2019 consolidé'!$E105,Tableau5[],COLUMN(Tableau5[[#This Row],[Sexe2]]),FALSE),"")</f>
        <v>M</v>
      </c>
      <c r="W105" s="286">
        <f>IFERROR(VLOOKUP('Plan 2019 consolidé'!$E105,Tableau5[],COLUMN(Tableau5[[#This Row],[Age]]),FALSE),"")</f>
        <v>50</v>
      </c>
      <c r="X105" s="286">
        <f>IFERROR(VLOOKUP('Plan 2019 consolidé'!$E105,Tableau5[],COLUMN(Tableau5[[#This Row],[Nombre d''années d''ancienneté dans la société]]),FALSE),"")</f>
        <v>1</v>
      </c>
    </row>
    <row r="106" spans="1:24" x14ac:dyDescent="0.25">
      <c r="A106" s="284" t="str">
        <f>Tableau1[[#This Row],[Service]]</f>
        <v>Non DVC</v>
      </c>
      <c r="B106" s="284" t="str">
        <f>Tableau1[[#This Row],[Site]]</f>
        <v>Aub.</v>
      </c>
      <c r="C106" s="284" t="str">
        <f>Tableau1[[#This Row],[Manager]]</f>
        <v>DARDARE</v>
      </c>
      <c r="D106" s="284">
        <f>Tableau1[[#This Row],[Matricule]]</f>
        <v>68142</v>
      </c>
      <c r="E106" s="284" t="str">
        <f>Tableau1[[#This Row],[Nom]]</f>
        <v>DUBREUIL</v>
      </c>
      <c r="F106" s="284" t="str">
        <f>Tableau1[[#This Row],[Prénom]]</f>
        <v>Nicolas</v>
      </c>
      <c r="G106" s="284" t="str">
        <f>Tableau1[[#This Row],[Axe
(Filières)]]</f>
        <v>Sécurité</v>
      </c>
      <c r="H106" s="284" t="str">
        <f>Tableau1[[#This Row],[Intitulé]]</f>
        <v>Incendie</v>
      </c>
      <c r="I106" s="284">
        <f>Tableau1[[#This Row],[Priorité
mger]]</f>
        <v>0</v>
      </c>
      <c r="J106" s="284" t="str">
        <f>Tableau1[[#This Row],[Organisme]]</f>
        <v>APAVE</v>
      </c>
      <c r="K106" s="284">
        <f>Tableau1[[#This Row],[Durée
H]]</f>
        <v>1.5</v>
      </c>
      <c r="L106" s="92">
        <f>Tableau1[[#This Row],[Coût
péda.]]</f>
        <v>53</v>
      </c>
      <c r="M106" s="284" t="str">
        <f>Tableau1[[#This Row],[Dispositif
(Plan / DIF)]]</f>
        <v>Plan</v>
      </c>
      <c r="N106" s="284" t="str">
        <f>Tableau1[[#This Row],[Axe
  (note cadrage)]]</f>
        <v>Formation obligatoire</v>
      </c>
      <c r="O106" s="285">
        <f>Tableau1[[#This Row],[Validation
(Oui/Non)]]</f>
        <v>0</v>
      </c>
      <c r="P106" s="287">
        <f>Tableau1[[#This Row],[Calendrier
de réalisation]]</f>
        <v>0</v>
      </c>
      <c r="Q106" s="284"/>
      <c r="S106" s="286" t="str">
        <f>IFERROR(VLOOKUP('Plan 2019 consolidé'!$E106,Tableau5[],COLUMN(Tableau5[[#This Row],[Sexe2]]),FALSE),"")</f>
        <v>M</v>
      </c>
      <c r="W106" s="286">
        <f>IFERROR(VLOOKUP('Plan 2019 consolidé'!$E106,Tableau5[],COLUMN(Tableau5[[#This Row],[Age]]),FALSE),"")</f>
        <v>33</v>
      </c>
      <c r="X106" s="286">
        <f>IFERROR(VLOOKUP('Plan 2019 consolidé'!$E106,Tableau5[],COLUMN(Tableau5[[#This Row],[Nombre d''années d''ancienneté dans la société]]),FALSE),"")</f>
        <v>0</v>
      </c>
    </row>
    <row r="107" spans="1:24" x14ac:dyDescent="0.25">
      <c r="A107" s="284" t="str">
        <f>Tableau1[[#This Row],[Service]]</f>
        <v>Non DVC</v>
      </c>
      <c r="B107" s="284" t="str">
        <f>Tableau1[[#This Row],[Site]]</f>
        <v>Aub.</v>
      </c>
      <c r="C107" s="284" t="str">
        <f>Tableau1[[#This Row],[Manager]]</f>
        <v>DARDARE</v>
      </c>
      <c r="D107" s="284">
        <f>Tableau1[[#This Row],[Matricule]]</f>
        <v>68142</v>
      </c>
      <c r="E107" s="284" t="str">
        <f>Tableau1[[#This Row],[Nom]]</f>
        <v>DUBREUIL</v>
      </c>
      <c r="F107" s="284" t="str">
        <f>Tableau1[[#This Row],[Prénom]]</f>
        <v>Nicolas</v>
      </c>
      <c r="G107" s="284" t="str">
        <f>Tableau1[[#This Row],[Axe
(Filières)]]</f>
        <v>Sécurité</v>
      </c>
      <c r="H107" s="284" t="str">
        <f>Tableau1[[#This Row],[Intitulé]]</f>
        <v>Recyclage SST</v>
      </c>
      <c r="I107" s="284">
        <f>Tableau1[[#This Row],[Priorité
mger]]</f>
        <v>0</v>
      </c>
      <c r="J107" s="284" t="str">
        <f>Tableau1[[#This Row],[Organisme]]</f>
        <v>CFSP</v>
      </c>
      <c r="K107" s="284">
        <f>Tableau1[[#This Row],[Durée
H]]</f>
        <v>7</v>
      </c>
      <c r="L107" s="92">
        <f>Tableau1[[#This Row],[Coût
péda.]]</f>
        <v>117</v>
      </c>
      <c r="M107" s="284" t="str">
        <f>Tableau1[[#This Row],[Dispositif
(Plan / DIF)]]</f>
        <v>Plan</v>
      </c>
      <c r="N107" s="284" t="str">
        <f>Tableau1[[#This Row],[Axe
  (note cadrage)]]</f>
        <v>Formation obligatoire</v>
      </c>
      <c r="O107" s="285">
        <f>Tableau1[[#This Row],[Validation
(Oui/Non)]]</f>
        <v>0</v>
      </c>
      <c r="P107" s="287" t="str">
        <f>Tableau1[[#This Row],[Calendrier
de réalisation]]</f>
        <v/>
      </c>
      <c r="Q107" s="284"/>
      <c r="S107" s="286" t="str">
        <f>IFERROR(VLOOKUP('Plan 2019 consolidé'!$E107,Tableau5[],COLUMN(Tableau5[[#This Row],[Sexe2]]),FALSE),"")</f>
        <v>M</v>
      </c>
      <c r="W107" s="286">
        <f>IFERROR(VLOOKUP('Plan 2019 consolidé'!$E107,Tableau5[],COLUMN(Tableau5[[#This Row],[Age]]),FALSE),"")</f>
        <v>33</v>
      </c>
      <c r="X107" s="286">
        <f>IFERROR(VLOOKUP('Plan 2019 consolidé'!$E107,Tableau5[],COLUMN(Tableau5[[#This Row],[Nombre d''années d''ancienneté dans la société]]),FALSE),"")</f>
        <v>0</v>
      </c>
    </row>
    <row r="108" spans="1:24" x14ac:dyDescent="0.25">
      <c r="A108" s="284" t="str">
        <f>Tableau1[[#This Row],[Service]]</f>
        <v>DVC</v>
      </c>
      <c r="B108" s="284" t="str">
        <f>Tableau1[[#This Row],[Site]]</f>
        <v>Aub.</v>
      </c>
      <c r="C108" s="284" t="str">
        <f>Tableau1[[#This Row],[Manager]]</f>
        <v>SAVY</v>
      </c>
      <c r="D108" s="284">
        <f>Tableau1[[#This Row],[Matricule]]</f>
        <v>103003</v>
      </c>
      <c r="E108" s="284" t="str">
        <f>Tableau1[[#This Row],[Nom]]</f>
        <v>DUCROS</v>
      </c>
      <c r="F108" s="284" t="str">
        <f>Tableau1[[#This Row],[Prénom]]</f>
        <v>Remi</v>
      </c>
      <c r="G108" s="284" t="str">
        <f>Tableau1[[#This Row],[Axe
(Filières)]]</f>
        <v>Sécurité</v>
      </c>
      <c r="H108" s="284" t="str">
        <f>Tableau1[[#This Row],[Intitulé]]</f>
        <v>Gestes et postures</v>
      </c>
      <c r="I108" s="284">
        <f>Tableau1[[#This Row],[Priorité
mger]]</f>
        <v>0</v>
      </c>
      <c r="J108" s="284" t="str">
        <f>Tableau1[[#This Row],[Organisme]]</f>
        <v>APAVE</v>
      </c>
      <c r="K108" s="284">
        <f>Tableau1[[#This Row],[Durée
H]]</f>
        <v>7</v>
      </c>
      <c r="L108" s="92">
        <f>Tableau1[[#This Row],[Coût
péda.]]</f>
        <v>124</v>
      </c>
      <c r="M108" s="284" t="str">
        <f>Tableau1[[#This Row],[Dispositif
(Plan / DIF)]]</f>
        <v>Plan</v>
      </c>
      <c r="N108" s="284" t="str">
        <f>Tableau1[[#This Row],[Axe
  (note cadrage)]]</f>
        <v>Formation obligatoire</v>
      </c>
      <c r="O108" s="285">
        <f>Tableau1[[#This Row],[Validation
(Oui/Non)]]</f>
        <v>0</v>
      </c>
      <c r="P108" s="287" t="str">
        <f>Tableau1[[#This Row],[Calendrier
de réalisation]]</f>
        <v>2019-Q1</v>
      </c>
      <c r="Q108" s="284"/>
      <c r="S108" s="286" t="str">
        <f>IFERROR(VLOOKUP('Plan 2019 consolidé'!$E108,Tableau5[],COLUMN(Tableau5[[#This Row],[Sexe2]]),FALSE),"")</f>
        <v>M</v>
      </c>
      <c r="W108" s="286">
        <f>IFERROR(VLOOKUP('Plan 2019 consolidé'!$E108,Tableau5[],COLUMN(Tableau5[[#This Row],[Age]]),FALSE),"")</f>
        <v>55</v>
      </c>
      <c r="X108" s="286">
        <f>IFERROR(VLOOKUP('Plan 2019 consolidé'!$E108,Tableau5[],COLUMN(Tableau5[[#This Row],[Nombre d''années d''ancienneté dans la société]]),FALSE),"")</f>
        <v>20</v>
      </c>
    </row>
    <row r="109" spans="1:24" x14ac:dyDescent="0.25">
      <c r="A109" s="284" t="str">
        <f>Tableau1[[#This Row],[Service]]</f>
        <v>DVC</v>
      </c>
      <c r="B109" s="284" t="str">
        <f>Tableau1[[#This Row],[Site]]</f>
        <v>Aub.</v>
      </c>
      <c r="C109" s="284" t="str">
        <f>Tableau1[[#This Row],[Manager]]</f>
        <v>SAVY</v>
      </c>
      <c r="D109" s="284">
        <f>Tableau1[[#This Row],[Matricule]]</f>
        <v>103003</v>
      </c>
      <c r="E109" s="284" t="str">
        <f>Tableau1[[#This Row],[Nom]]</f>
        <v>DUCROS</v>
      </c>
      <c r="F109" s="284" t="str">
        <f>Tableau1[[#This Row],[Prénom]]</f>
        <v>Remi</v>
      </c>
      <c r="G109" s="284" t="str">
        <f>Tableau1[[#This Row],[Axe
(Filières)]]</f>
        <v>Sécurité</v>
      </c>
      <c r="H109" s="284" t="str">
        <f>Tableau1[[#This Row],[Intitulé]]</f>
        <v>Incendie</v>
      </c>
      <c r="I109" s="284">
        <f>Tableau1[[#This Row],[Priorité
mger]]</f>
        <v>0</v>
      </c>
      <c r="J109" s="284" t="str">
        <f>Tableau1[[#This Row],[Organisme]]</f>
        <v>APAVE</v>
      </c>
      <c r="K109" s="284">
        <f>Tableau1[[#This Row],[Durée
H]]</f>
        <v>1.5</v>
      </c>
      <c r="L109" s="92">
        <f>Tableau1[[#This Row],[Coût
péda.]]</f>
        <v>53</v>
      </c>
      <c r="M109" s="284" t="str">
        <f>Tableau1[[#This Row],[Dispositif
(Plan / DIF)]]</f>
        <v>Plan</v>
      </c>
      <c r="N109" s="284" t="str">
        <f>Tableau1[[#This Row],[Axe
  (note cadrage)]]</f>
        <v>Formation obligatoire</v>
      </c>
      <c r="O109" s="285">
        <f>Tableau1[[#This Row],[Validation
(Oui/Non)]]</f>
        <v>0</v>
      </c>
      <c r="P109" s="287" t="str">
        <f>Tableau1[[#This Row],[Calendrier
de réalisation]]</f>
        <v>2019-Q2</v>
      </c>
      <c r="Q109" s="284"/>
      <c r="S109" s="286" t="str">
        <f>IFERROR(VLOOKUP('Plan 2019 consolidé'!$E109,Tableau5[],COLUMN(Tableau5[[#This Row],[Sexe2]]),FALSE),"")</f>
        <v>M</v>
      </c>
      <c r="W109" s="286">
        <f>IFERROR(VLOOKUP('Plan 2019 consolidé'!$E109,Tableau5[],COLUMN(Tableau5[[#This Row],[Age]]),FALSE),"")</f>
        <v>55</v>
      </c>
      <c r="X109" s="286">
        <f>IFERROR(VLOOKUP('Plan 2019 consolidé'!$E109,Tableau5[],COLUMN(Tableau5[[#This Row],[Nombre d''années d''ancienneté dans la société]]),FALSE),"")</f>
        <v>20</v>
      </c>
    </row>
    <row r="110" spans="1:24" x14ac:dyDescent="0.25">
      <c r="A110" s="284" t="str">
        <f>Tableau1[[#This Row],[Service]]</f>
        <v>DVC</v>
      </c>
      <c r="B110" s="284" t="str">
        <f>Tableau1[[#This Row],[Site]]</f>
        <v>Aub.</v>
      </c>
      <c r="C110" s="284" t="str">
        <f>Tableau1[[#This Row],[Manager]]</f>
        <v>SAVY</v>
      </c>
      <c r="D110" s="284">
        <f>Tableau1[[#This Row],[Matricule]]</f>
        <v>103003</v>
      </c>
      <c r="E110" s="284" t="str">
        <f>Tableau1[[#This Row],[Nom]]</f>
        <v>DUCROS</v>
      </c>
      <c r="F110" s="284" t="str">
        <f>Tableau1[[#This Row],[Prénom]]</f>
        <v>Remi</v>
      </c>
      <c r="G110" s="284" t="str">
        <f>Tableau1[[#This Row],[Axe
(Filières)]]</f>
        <v>Sécurité</v>
      </c>
      <c r="H110" s="284" t="str">
        <f>Tableau1[[#This Row],[Intitulé]]</f>
        <v>Risques chimiques</v>
      </c>
      <c r="I110" s="284">
        <f>Tableau1[[#This Row],[Priorité
mger]]</f>
        <v>0</v>
      </c>
      <c r="J110" s="284" t="str">
        <f>Tableau1[[#This Row],[Organisme]]</f>
        <v>APAVE</v>
      </c>
      <c r="K110" s="284">
        <f>Tableau1[[#This Row],[Durée
H]]</f>
        <v>7</v>
      </c>
      <c r="L110" s="92">
        <f>Tableau1[[#This Row],[Coût
péda.]]</f>
        <v>162</v>
      </c>
      <c r="M110" s="284" t="str">
        <f>Tableau1[[#This Row],[Dispositif
(Plan / DIF)]]</f>
        <v>Plan</v>
      </c>
      <c r="N110" s="284" t="str">
        <f>Tableau1[[#This Row],[Axe
  (note cadrage)]]</f>
        <v>Formation obligatoire</v>
      </c>
      <c r="O110" s="285">
        <f>Tableau1[[#This Row],[Validation
(Oui/Non)]]</f>
        <v>0</v>
      </c>
      <c r="P110" s="287" t="str">
        <f>Tableau1[[#This Row],[Calendrier
de réalisation]]</f>
        <v>2019-Q4</v>
      </c>
      <c r="Q110" s="284"/>
      <c r="S110" s="286" t="str">
        <f>IFERROR(VLOOKUP('Plan 2019 consolidé'!$E110,Tableau5[],COLUMN(Tableau5[[#This Row],[Sexe2]]),FALSE),"")</f>
        <v>M</v>
      </c>
      <c r="W110" s="286">
        <f>IFERROR(VLOOKUP('Plan 2019 consolidé'!$E110,Tableau5[],COLUMN(Tableau5[[#This Row],[Age]]),FALSE),"")</f>
        <v>55</v>
      </c>
      <c r="X110" s="286">
        <f>IFERROR(VLOOKUP('Plan 2019 consolidé'!$E110,Tableau5[],COLUMN(Tableau5[[#This Row],[Nombre d''années d''ancienneté dans la société]]),FALSE),"")</f>
        <v>20</v>
      </c>
    </row>
    <row r="111" spans="1:24" x14ac:dyDescent="0.25">
      <c r="A111" s="284" t="str">
        <f>Tableau1[[#This Row],[Service]]</f>
        <v>DVC</v>
      </c>
      <c r="B111" s="284" t="str">
        <f>Tableau1[[#This Row],[Site]]</f>
        <v>Aub.</v>
      </c>
      <c r="C111" s="284" t="str">
        <f>Tableau1[[#This Row],[Manager]]</f>
        <v>SAVY</v>
      </c>
      <c r="D111" s="284">
        <f>Tableau1[[#This Row],[Matricule]]</f>
        <v>103003</v>
      </c>
      <c r="E111" s="284" t="str">
        <f>Tableau1[[#This Row],[Nom]]</f>
        <v>DUCROS</v>
      </c>
      <c r="F111" s="284" t="str">
        <f>Tableau1[[#This Row],[Prénom]]</f>
        <v>Remi</v>
      </c>
      <c r="G111" s="284" t="str">
        <f>Tableau1[[#This Row],[Axe
(Filières)]]</f>
        <v>Sécurité</v>
      </c>
      <c r="H111" s="284" t="str">
        <f>Tableau1[[#This Row],[Intitulé]]</f>
        <v>Recyclage CACES3 5</v>
      </c>
      <c r="I111" s="284">
        <f>Tableau1[[#This Row],[Priorité
mger]]</f>
        <v>0</v>
      </c>
      <c r="J111" s="284" t="str">
        <f>Tableau1[[#This Row],[Organisme]]</f>
        <v>APAVE</v>
      </c>
      <c r="K111" s="284">
        <f>Tableau1[[#This Row],[Durée
H]]</f>
        <v>14</v>
      </c>
      <c r="L111" s="92">
        <f>Tableau1[[#This Row],[Coût
péda.]]</f>
        <v>297</v>
      </c>
      <c r="M111" s="284" t="str">
        <f>Tableau1[[#This Row],[Dispositif
(Plan / DIF)]]</f>
        <v>Plan</v>
      </c>
      <c r="N111" s="284" t="str">
        <f>Tableau1[[#This Row],[Axe
  (note cadrage)]]</f>
        <v>Formation obligatoire</v>
      </c>
      <c r="O111" s="285">
        <f>Tableau1[[#This Row],[Validation
(Oui/Non)]]</f>
        <v>0</v>
      </c>
      <c r="P111" s="287" t="str">
        <f>Tableau1[[#This Row],[Calendrier
de réalisation]]</f>
        <v>2019-Q2</v>
      </c>
      <c r="Q111" s="284"/>
      <c r="S111" s="286" t="str">
        <f>IFERROR(VLOOKUP('Plan 2019 consolidé'!$E111,Tableau5[],COLUMN(Tableau5[[#This Row],[Sexe2]]),FALSE),"")</f>
        <v>M</v>
      </c>
      <c r="W111" s="286">
        <f>IFERROR(VLOOKUP('Plan 2019 consolidé'!$E111,Tableau5[],COLUMN(Tableau5[[#This Row],[Age]]),FALSE),"")</f>
        <v>55</v>
      </c>
      <c r="X111" s="286">
        <f>IFERROR(VLOOKUP('Plan 2019 consolidé'!$E111,Tableau5[],COLUMN(Tableau5[[#This Row],[Nombre d''années d''ancienneté dans la société]]),FALSE),"")</f>
        <v>20</v>
      </c>
    </row>
    <row r="112" spans="1:24" x14ac:dyDescent="0.25">
      <c r="A112" s="284" t="str">
        <f>Tableau1[[#This Row],[Service]]</f>
        <v>Non DVC</v>
      </c>
      <c r="B112" s="284" t="str">
        <f>Tableau1[[#This Row],[Site]]</f>
        <v>Aub.</v>
      </c>
      <c r="C112" s="284" t="str">
        <f>Tableau1[[#This Row],[Manager]]</f>
        <v>FELDER</v>
      </c>
      <c r="D112" s="284">
        <f>Tableau1[[#This Row],[Matricule]]</f>
        <v>103074</v>
      </c>
      <c r="E112" s="284" t="str">
        <f>Tableau1[[#This Row],[Nom]]</f>
        <v>DUNY</v>
      </c>
      <c r="F112" s="284" t="str">
        <f>Tableau1[[#This Row],[Prénom]]</f>
        <v>Gilles</v>
      </c>
      <c r="G112" s="284" t="str">
        <f>Tableau1[[#This Row],[Axe
(Filières)]]</f>
        <v>Sécurité</v>
      </c>
      <c r="H112" s="284" t="str">
        <f>Tableau1[[#This Row],[Intitulé]]</f>
        <v>Gestes et postures</v>
      </c>
      <c r="I112" s="284">
        <f>Tableau1[[#This Row],[Priorité
mger]]</f>
        <v>0</v>
      </c>
      <c r="J112" s="284" t="str">
        <f>Tableau1[[#This Row],[Organisme]]</f>
        <v>APAVE</v>
      </c>
      <c r="K112" s="284">
        <f>Tableau1[[#This Row],[Durée
H]]</f>
        <v>7</v>
      </c>
      <c r="L112" s="92">
        <f>Tableau1[[#This Row],[Coût
péda.]]</f>
        <v>124</v>
      </c>
      <c r="M112" s="284" t="str">
        <f>Tableau1[[#This Row],[Dispositif
(Plan / DIF)]]</f>
        <v>Plan</v>
      </c>
      <c r="N112" s="284" t="str">
        <f>Tableau1[[#This Row],[Axe
  (note cadrage)]]</f>
        <v>Formation obligatoire</v>
      </c>
      <c r="O112" s="285">
        <f>Tableau1[[#This Row],[Validation
(Oui/Non)]]</f>
        <v>0</v>
      </c>
      <c r="P112" s="287" t="str">
        <f>Tableau1[[#This Row],[Calendrier
de réalisation]]</f>
        <v>2019-Q1</v>
      </c>
      <c r="Q112" s="284"/>
      <c r="S112" s="286" t="str">
        <f>IFERROR(VLOOKUP('Plan 2019 consolidé'!$E112,Tableau5[],COLUMN(Tableau5[[#This Row],[Sexe2]]),FALSE),"")</f>
        <v>M</v>
      </c>
      <c r="W112" s="286">
        <f>IFERROR(VLOOKUP('Plan 2019 consolidé'!$E112,Tableau5[],COLUMN(Tableau5[[#This Row],[Age]]),FALSE),"")</f>
        <v>56</v>
      </c>
      <c r="X112" s="286">
        <f>IFERROR(VLOOKUP('Plan 2019 consolidé'!$E112,Tableau5[],COLUMN(Tableau5[[#This Row],[Nombre d''années d''ancienneté dans la société]]),FALSE),"")</f>
        <v>35</v>
      </c>
    </row>
    <row r="113" spans="1:24" x14ac:dyDescent="0.25">
      <c r="A113" s="284" t="str">
        <f>Tableau1[[#This Row],[Service]]</f>
        <v>DVC</v>
      </c>
      <c r="B113" s="284" t="str">
        <f>Tableau1[[#This Row],[Site]]</f>
        <v>Aub.</v>
      </c>
      <c r="C113" s="284" t="str">
        <f>Tableau1[[#This Row],[Manager]]</f>
        <v>SENEPART</v>
      </c>
      <c r="D113" s="284">
        <f>Tableau1[[#This Row],[Matricule]]</f>
        <v>102984</v>
      </c>
      <c r="E113" s="284" t="str">
        <f>Tableau1[[#This Row],[Nom]]</f>
        <v>DUPLAN</v>
      </c>
      <c r="F113" s="284" t="str">
        <f>Tableau1[[#This Row],[Prénom]]</f>
        <v>Jerome</v>
      </c>
      <c r="G113" s="284" t="str">
        <f>Tableau1[[#This Row],[Axe
(Filières)]]</f>
        <v>Sécurité</v>
      </c>
      <c r="H113" s="284" t="str">
        <f>Tableau1[[#This Row],[Intitulé]]</f>
        <v>Incendie</v>
      </c>
      <c r="I113" s="284">
        <f>Tableau1[[#This Row],[Priorité
mger]]</f>
        <v>0</v>
      </c>
      <c r="J113" s="284" t="str">
        <f>Tableau1[[#This Row],[Organisme]]</f>
        <v>APAVE</v>
      </c>
      <c r="K113" s="284">
        <f>Tableau1[[#This Row],[Durée
H]]</f>
        <v>1.5</v>
      </c>
      <c r="L113" s="92">
        <f>Tableau1[[#This Row],[Coût
péda.]]</f>
        <v>53</v>
      </c>
      <c r="M113" s="284" t="str">
        <f>Tableau1[[#This Row],[Dispositif
(Plan / DIF)]]</f>
        <v>Plan</v>
      </c>
      <c r="N113" s="284" t="str">
        <f>Tableau1[[#This Row],[Axe
  (note cadrage)]]</f>
        <v>Formation obligatoire</v>
      </c>
      <c r="O113" s="285">
        <f>Tableau1[[#This Row],[Validation
(Oui/Non)]]</f>
        <v>0</v>
      </c>
      <c r="P113" s="287" t="str">
        <f>Tableau1[[#This Row],[Calendrier
de réalisation]]</f>
        <v>2019-Q2</v>
      </c>
      <c r="Q113" s="284"/>
      <c r="S113" s="286" t="str">
        <f>IFERROR(VLOOKUP('Plan 2019 consolidé'!$E113,Tableau5[],COLUMN(Tableau5[[#This Row],[Sexe2]]),FALSE),"")</f>
        <v>M</v>
      </c>
      <c r="W113" s="286">
        <f>IFERROR(VLOOKUP('Plan 2019 consolidé'!$E113,Tableau5[],COLUMN(Tableau5[[#This Row],[Age]]),FALSE),"")</f>
        <v>42</v>
      </c>
      <c r="X113" s="286">
        <f>IFERROR(VLOOKUP('Plan 2019 consolidé'!$E113,Tableau5[],COLUMN(Tableau5[[#This Row],[Nombre d''années d''ancienneté dans la société]]),FALSE),"")</f>
        <v>19</v>
      </c>
    </row>
    <row r="114" spans="1:24" x14ac:dyDescent="0.25">
      <c r="A114" s="284" t="str">
        <f>Tableau1[[#This Row],[Service]]</f>
        <v>DVC</v>
      </c>
      <c r="B114" s="284" t="str">
        <f>Tableau1[[#This Row],[Site]]</f>
        <v>Aub.</v>
      </c>
      <c r="C114" s="284" t="str">
        <f>Tableau1[[#This Row],[Manager]]</f>
        <v>SENEPART</v>
      </c>
      <c r="D114" s="284">
        <f>Tableau1[[#This Row],[Matricule]]</f>
        <v>102984</v>
      </c>
      <c r="E114" s="284" t="str">
        <f>Tableau1[[#This Row],[Nom]]</f>
        <v>DUPLAN</v>
      </c>
      <c r="F114" s="284" t="str">
        <f>Tableau1[[#This Row],[Prénom]]</f>
        <v>Jerome</v>
      </c>
      <c r="G114" s="284" t="str">
        <f>Tableau1[[#This Row],[Axe
(Filières)]]</f>
        <v>Sécurité</v>
      </c>
      <c r="H114" s="284" t="str">
        <f>Tableau1[[#This Row],[Intitulé]]</f>
        <v>Recyclage SST</v>
      </c>
      <c r="I114" s="284">
        <f>Tableau1[[#This Row],[Priorité
mger]]</f>
        <v>0</v>
      </c>
      <c r="J114" s="284" t="str">
        <f>Tableau1[[#This Row],[Organisme]]</f>
        <v>CFSP</v>
      </c>
      <c r="K114" s="284">
        <f>Tableau1[[#This Row],[Durée
H]]</f>
        <v>7</v>
      </c>
      <c r="L114" s="92">
        <f>Tableau1[[#This Row],[Coût
péda.]]</f>
        <v>117</v>
      </c>
      <c r="M114" s="284" t="str">
        <f>Tableau1[[#This Row],[Dispositif
(Plan / DIF)]]</f>
        <v>Plan</v>
      </c>
      <c r="N114" s="284" t="str">
        <f>Tableau1[[#This Row],[Axe
  (note cadrage)]]</f>
        <v>Formation obligatoire</v>
      </c>
      <c r="O114" s="285">
        <f>Tableau1[[#This Row],[Validation
(Oui/Non)]]</f>
        <v>0</v>
      </c>
      <c r="P114" s="287" t="str">
        <f>Tableau1[[#This Row],[Calendrier
de réalisation]]</f>
        <v/>
      </c>
      <c r="Q114" s="284"/>
      <c r="S114" s="286" t="str">
        <f>IFERROR(VLOOKUP('Plan 2019 consolidé'!$E114,Tableau5[],COLUMN(Tableau5[[#This Row],[Sexe2]]),FALSE),"")</f>
        <v>M</v>
      </c>
      <c r="W114" s="286">
        <f>IFERROR(VLOOKUP('Plan 2019 consolidé'!$E114,Tableau5[],COLUMN(Tableau5[[#This Row],[Age]]),FALSE),"")</f>
        <v>42</v>
      </c>
      <c r="X114" s="286">
        <f>IFERROR(VLOOKUP('Plan 2019 consolidé'!$E114,Tableau5[],COLUMN(Tableau5[[#This Row],[Nombre d''années d''ancienneté dans la société]]),FALSE),"")</f>
        <v>19</v>
      </c>
    </row>
    <row r="115" spans="1:24" x14ac:dyDescent="0.25">
      <c r="A115" s="284" t="str">
        <f>Tableau1[[#This Row],[Service]]</f>
        <v>DVC</v>
      </c>
      <c r="B115" s="284" t="str">
        <f>Tableau1[[#This Row],[Site]]</f>
        <v>Aub.</v>
      </c>
      <c r="C115" s="284" t="str">
        <f>Tableau1[[#This Row],[Manager]]</f>
        <v>ALIX</v>
      </c>
      <c r="D115" s="284">
        <f>Tableau1[[#This Row],[Matricule]]</f>
        <v>102981</v>
      </c>
      <c r="E115" s="284" t="str">
        <f>Tableau1[[#This Row],[Nom]]</f>
        <v>DURAND</v>
      </c>
      <c r="F115" s="284" t="str">
        <f>Tableau1[[#This Row],[Prénom]]</f>
        <v>Guy</v>
      </c>
      <c r="G115" s="284" t="str">
        <f>Tableau1[[#This Row],[Axe
(Filières)]]</f>
        <v>Sécurité</v>
      </c>
      <c r="H115" s="284" t="str">
        <f>Tableau1[[#This Row],[Intitulé]]</f>
        <v>Incendie</v>
      </c>
      <c r="I115" s="284">
        <f>Tableau1[[#This Row],[Priorité
mger]]</f>
        <v>0</v>
      </c>
      <c r="J115" s="284" t="str">
        <f>Tableau1[[#This Row],[Organisme]]</f>
        <v>APAVE</v>
      </c>
      <c r="K115" s="284">
        <f>Tableau1[[#This Row],[Durée
H]]</f>
        <v>1.5</v>
      </c>
      <c r="L115" s="92">
        <f>Tableau1[[#This Row],[Coût
péda.]]</f>
        <v>53</v>
      </c>
      <c r="M115" s="284" t="str">
        <f>Tableau1[[#This Row],[Dispositif
(Plan / DIF)]]</f>
        <v>Plan</v>
      </c>
      <c r="N115" s="284" t="str">
        <f>Tableau1[[#This Row],[Axe
  (note cadrage)]]</f>
        <v>Formation obligatoire</v>
      </c>
      <c r="O115" s="285">
        <f>Tableau1[[#This Row],[Validation
(Oui/Non)]]</f>
        <v>0</v>
      </c>
      <c r="P115" s="287" t="str">
        <f>Tableau1[[#This Row],[Calendrier
de réalisation]]</f>
        <v>2019-Q1</v>
      </c>
      <c r="Q115" s="284"/>
      <c r="S115" s="286" t="str">
        <f>IFERROR(VLOOKUP('Plan 2019 consolidé'!$E115,Tableau5[],COLUMN(Tableau5[[#This Row],[Sexe2]]),FALSE),"")</f>
        <v>M</v>
      </c>
      <c r="W115" s="286">
        <f>IFERROR(VLOOKUP('Plan 2019 consolidé'!$E115,Tableau5[],COLUMN(Tableau5[[#This Row],[Age]]),FALSE),"")</f>
        <v>51</v>
      </c>
      <c r="X115" s="286">
        <f>IFERROR(VLOOKUP('Plan 2019 consolidé'!$E115,Tableau5[],COLUMN(Tableau5[[#This Row],[Nombre d''années d''ancienneté dans la société]]),FALSE),"")</f>
        <v>20</v>
      </c>
    </row>
    <row r="116" spans="1:24" x14ac:dyDescent="0.25">
      <c r="A116" s="284" t="str">
        <f>Tableau1[[#This Row],[Service]]</f>
        <v>DVC</v>
      </c>
      <c r="B116" s="284" t="str">
        <f>Tableau1[[#This Row],[Site]]</f>
        <v>Aub.</v>
      </c>
      <c r="C116" s="284" t="str">
        <f>Tableau1[[#This Row],[Manager]]</f>
        <v>ALIX</v>
      </c>
      <c r="D116" s="284">
        <f>Tableau1[[#This Row],[Matricule]]</f>
        <v>102981</v>
      </c>
      <c r="E116" s="284" t="str">
        <f>Tableau1[[#This Row],[Nom]]</f>
        <v>DURAND</v>
      </c>
      <c r="F116" s="284" t="str">
        <f>Tableau1[[#This Row],[Prénom]]</f>
        <v>Guy</v>
      </c>
      <c r="G116" s="284" t="str">
        <f>Tableau1[[#This Row],[Axe
(Filières)]]</f>
        <v>Sécurité</v>
      </c>
      <c r="H116" s="284" t="str">
        <f>Tableau1[[#This Row],[Intitulé]]</f>
        <v>Recyclage SST</v>
      </c>
      <c r="I116" s="284">
        <f>Tableau1[[#This Row],[Priorité
mger]]</f>
        <v>0</v>
      </c>
      <c r="J116" s="284" t="str">
        <f>Tableau1[[#This Row],[Organisme]]</f>
        <v>CFSP</v>
      </c>
      <c r="K116" s="284">
        <f>Tableau1[[#This Row],[Durée
H]]</f>
        <v>7</v>
      </c>
      <c r="L116" s="92">
        <f>Tableau1[[#This Row],[Coût
péda.]]</f>
        <v>117</v>
      </c>
      <c r="M116" s="284" t="str">
        <f>Tableau1[[#This Row],[Dispositif
(Plan / DIF)]]</f>
        <v>Plan</v>
      </c>
      <c r="N116" s="284" t="str">
        <f>Tableau1[[#This Row],[Axe
  (note cadrage)]]</f>
        <v>Formation obligatoire</v>
      </c>
      <c r="O116" s="285">
        <f>Tableau1[[#This Row],[Validation
(Oui/Non)]]</f>
        <v>0</v>
      </c>
      <c r="P116" s="287" t="str">
        <f>Tableau1[[#This Row],[Calendrier
de réalisation]]</f>
        <v/>
      </c>
      <c r="Q116" s="284"/>
      <c r="S116" s="286" t="str">
        <f>IFERROR(VLOOKUP('Plan 2019 consolidé'!$E116,Tableau5[],COLUMN(Tableau5[[#This Row],[Sexe2]]),FALSE),"")</f>
        <v>M</v>
      </c>
      <c r="W116" s="286">
        <f>IFERROR(VLOOKUP('Plan 2019 consolidé'!$E116,Tableau5[],COLUMN(Tableau5[[#This Row],[Age]]),FALSE),"")</f>
        <v>51</v>
      </c>
      <c r="X116" s="286">
        <f>IFERROR(VLOOKUP('Plan 2019 consolidé'!$E116,Tableau5[],COLUMN(Tableau5[[#This Row],[Nombre d''années d''ancienneté dans la société]]),FALSE),"")</f>
        <v>20</v>
      </c>
    </row>
    <row r="117" spans="1:24" x14ac:dyDescent="0.25">
      <c r="A117" s="284" t="str">
        <f>Tableau1[[#This Row],[Service]]</f>
        <v>DVC</v>
      </c>
      <c r="B117" s="284" t="str">
        <f>Tableau1[[#This Row],[Site]]</f>
        <v>Aub.</v>
      </c>
      <c r="C117" s="284" t="str">
        <f>Tableau1[[#This Row],[Manager]]</f>
        <v>ALIX</v>
      </c>
      <c r="D117" s="284">
        <f>Tableau1[[#This Row],[Matricule]]</f>
        <v>102981</v>
      </c>
      <c r="E117" s="284" t="str">
        <f>Tableau1[[#This Row],[Nom]]</f>
        <v>DURAND</v>
      </c>
      <c r="F117" s="284" t="str">
        <f>Tableau1[[#This Row],[Prénom]]</f>
        <v>Guy</v>
      </c>
      <c r="G117" s="284" t="str">
        <f>Tableau1[[#This Row],[Axe
(Filières)]]</f>
        <v>Sécurité</v>
      </c>
      <c r="H117" s="284" t="str">
        <f>Tableau1[[#This Row],[Intitulé]]</f>
        <v>HAB ELEC</v>
      </c>
      <c r="I117" s="284">
        <f>Tableau1[[#This Row],[Priorité
mger]]</f>
        <v>0</v>
      </c>
      <c r="J117" s="284" t="str">
        <f>Tableau1[[#This Row],[Organisme]]</f>
        <v>SEEF</v>
      </c>
      <c r="K117" s="284">
        <f>Tableau1[[#This Row],[Durée
H]]</f>
        <v>10.5</v>
      </c>
      <c r="L117" s="92">
        <f>Tableau1[[#This Row],[Coût
péda.]]</f>
        <v>260</v>
      </c>
      <c r="M117" s="284" t="str">
        <f>Tableau1[[#This Row],[Dispositif
(Plan / DIF)]]</f>
        <v>Plan</v>
      </c>
      <c r="N117" s="284" t="str">
        <f>Tableau1[[#This Row],[Axe
  (note cadrage)]]</f>
        <v>Formation obligatoire</v>
      </c>
      <c r="O117" s="285">
        <f>Tableau1[[#This Row],[Validation
(Oui/Non)]]</f>
        <v>0</v>
      </c>
      <c r="P117" s="287" t="str">
        <f>Tableau1[[#This Row],[Calendrier
de réalisation]]</f>
        <v/>
      </c>
      <c r="Q117" s="284"/>
      <c r="S117" s="286" t="str">
        <f>IFERROR(VLOOKUP('Plan 2019 consolidé'!$E117,Tableau5[],COLUMN(Tableau5[[#This Row],[Sexe2]]),FALSE),"")</f>
        <v>M</v>
      </c>
      <c r="W117" s="286">
        <f>IFERROR(VLOOKUP('Plan 2019 consolidé'!$E117,Tableau5[],COLUMN(Tableau5[[#This Row],[Age]]),FALSE),"")</f>
        <v>51</v>
      </c>
      <c r="X117" s="286">
        <f>IFERROR(VLOOKUP('Plan 2019 consolidé'!$E117,Tableau5[],COLUMN(Tableau5[[#This Row],[Nombre d''années d''ancienneté dans la société]]),FALSE),"")</f>
        <v>20</v>
      </c>
    </row>
    <row r="118" spans="1:24" x14ac:dyDescent="0.25">
      <c r="A118" s="284" t="str">
        <f>Tableau1[[#This Row],[Service]]</f>
        <v>Non DVC</v>
      </c>
      <c r="B118" s="284" t="str">
        <f>Tableau1[[#This Row],[Site]]</f>
        <v>Aub.</v>
      </c>
      <c r="C118" s="284" t="str">
        <f>Tableau1[[#This Row],[Manager]]</f>
        <v>DARDARE</v>
      </c>
      <c r="D118" s="284">
        <f>Tableau1[[#This Row],[Matricule]]</f>
        <v>102983</v>
      </c>
      <c r="E118" s="284" t="str">
        <f>Tableau1[[#This Row],[Nom]]</f>
        <v>DURIEU</v>
      </c>
      <c r="F118" s="284" t="str">
        <f>Tableau1[[#This Row],[Prénom]]</f>
        <v>Michel</v>
      </c>
      <c r="G118" s="284" t="str">
        <f>Tableau1[[#This Row],[Axe
(Filières)]]</f>
        <v>Sécurité</v>
      </c>
      <c r="H118" s="284" t="str">
        <f>Tableau1[[#This Row],[Intitulé]]</f>
        <v>Incendie</v>
      </c>
      <c r="I118" s="284">
        <f>Tableau1[[#This Row],[Priorité
mger]]</f>
        <v>0</v>
      </c>
      <c r="J118" s="284" t="str">
        <f>Tableau1[[#This Row],[Organisme]]</f>
        <v>APAVE</v>
      </c>
      <c r="K118" s="284">
        <f>Tableau1[[#This Row],[Durée
H]]</f>
        <v>1.5</v>
      </c>
      <c r="L118" s="92">
        <f>Tableau1[[#This Row],[Coût
péda.]]</f>
        <v>53</v>
      </c>
      <c r="M118" s="284" t="str">
        <f>Tableau1[[#This Row],[Dispositif
(Plan / DIF)]]</f>
        <v>Plan</v>
      </c>
      <c r="N118" s="284" t="str">
        <f>Tableau1[[#This Row],[Axe
  (note cadrage)]]</f>
        <v>Formation obligatoire</v>
      </c>
      <c r="O118" s="285">
        <f>Tableau1[[#This Row],[Validation
(Oui/Non)]]</f>
        <v>0</v>
      </c>
      <c r="P118" s="287" t="str">
        <f>Tableau1[[#This Row],[Calendrier
de réalisation]]</f>
        <v>2019-Q2</v>
      </c>
      <c r="Q118" s="284"/>
      <c r="S118" s="286" t="str">
        <f>IFERROR(VLOOKUP('Plan 2019 consolidé'!$E118,Tableau5[],COLUMN(Tableau5[[#This Row],[Sexe2]]),FALSE),"")</f>
        <v>M</v>
      </c>
      <c r="W118" s="286">
        <f>IFERROR(VLOOKUP('Plan 2019 consolidé'!$E118,Tableau5[],COLUMN(Tableau5[[#This Row],[Age]]),FALSE),"")</f>
        <v>42</v>
      </c>
      <c r="X118" s="286">
        <f>IFERROR(VLOOKUP('Plan 2019 consolidé'!$E118,Tableau5[],COLUMN(Tableau5[[#This Row],[Nombre d''années d''ancienneté dans la société]]),FALSE),"")</f>
        <v>18</v>
      </c>
    </row>
    <row r="119" spans="1:24" x14ac:dyDescent="0.25">
      <c r="A119" s="284" t="str">
        <f>Tableau1[[#This Row],[Service]]</f>
        <v>Non DVC</v>
      </c>
      <c r="B119" s="284" t="str">
        <f>Tableau1[[#This Row],[Site]]</f>
        <v>Aub.</v>
      </c>
      <c r="C119" s="284" t="str">
        <f>Tableau1[[#This Row],[Manager]]</f>
        <v>DARDARE</v>
      </c>
      <c r="D119" s="284">
        <f>Tableau1[[#This Row],[Matricule]]</f>
        <v>102983</v>
      </c>
      <c r="E119" s="284" t="str">
        <f>Tableau1[[#This Row],[Nom]]</f>
        <v>DURIEU</v>
      </c>
      <c r="F119" s="284" t="str">
        <f>Tableau1[[#This Row],[Prénom]]</f>
        <v>Michel</v>
      </c>
      <c r="G119" s="284" t="str">
        <f>Tableau1[[#This Row],[Axe
(Filières)]]</f>
        <v>Sécurité</v>
      </c>
      <c r="H119" s="284" t="str">
        <f>Tableau1[[#This Row],[Intitulé]]</f>
        <v>HAB ELEC</v>
      </c>
      <c r="I119" s="284">
        <f>Tableau1[[#This Row],[Priorité
mger]]</f>
        <v>0</v>
      </c>
      <c r="J119" s="284" t="str">
        <f>Tableau1[[#This Row],[Organisme]]</f>
        <v>SEEF</v>
      </c>
      <c r="K119" s="284">
        <f>Tableau1[[#This Row],[Durée
H]]</f>
        <v>10.5</v>
      </c>
      <c r="L119" s="92">
        <f>Tableau1[[#This Row],[Coût
péda.]]</f>
        <v>260</v>
      </c>
      <c r="M119" s="284" t="str">
        <f>Tableau1[[#This Row],[Dispositif
(Plan / DIF)]]</f>
        <v>Plan</v>
      </c>
      <c r="N119" s="284" t="str">
        <f>Tableau1[[#This Row],[Axe
  (note cadrage)]]</f>
        <v>Formation obligatoire</v>
      </c>
      <c r="O119" s="285">
        <f>Tableau1[[#This Row],[Validation
(Oui/Non)]]</f>
        <v>0</v>
      </c>
      <c r="P119" s="287" t="str">
        <f>Tableau1[[#This Row],[Calendrier
de réalisation]]</f>
        <v/>
      </c>
      <c r="Q119" s="284"/>
      <c r="S119" s="286" t="str">
        <f>IFERROR(VLOOKUP('Plan 2019 consolidé'!$E119,Tableau5[],COLUMN(Tableau5[[#This Row],[Sexe2]]),FALSE),"")</f>
        <v>M</v>
      </c>
      <c r="W119" s="286">
        <f>IFERROR(VLOOKUP('Plan 2019 consolidé'!$E119,Tableau5[],COLUMN(Tableau5[[#This Row],[Age]]),FALSE),"")</f>
        <v>42</v>
      </c>
      <c r="X119" s="286">
        <f>IFERROR(VLOOKUP('Plan 2019 consolidé'!$E119,Tableau5[],COLUMN(Tableau5[[#This Row],[Nombre d''années d''ancienneté dans la société]]),FALSE),"")</f>
        <v>18</v>
      </c>
    </row>
    <row r="120" spans="1:24" x14ac:dyDescent="0.25">
      <c r="A120" s="284" t="str">
        <f>Tableau1[[#This Row],[Service]]</f>
        <v>DVC</v>
      </c>
      <c r="B120" s="284" t="str">
        <f>Tableau1[[#This Row],[Site]]</f>
        <v>Lattes</v>
      </c>
      <c r="C120" s="284" t="str">
        <f>Tableau1[[#This Row],[Manager]]</f>
        <v>VERNE</v>
      </c>
      <c r="D120" s="284">
        <f>Tableau1[[#This Row],[Matricule]]</f>
        <v>191667</v>
      </c>
      <c r="E120" s="284" t="str">
        <f>Tableau1[[#This Row],[Nom]]</f>
        <v>ENNAOUI</v>
      </c>
      <c r="F120" s="284" t="str">
        <f>Tableau1[[#This Row],[Prénom]]</f>
        <v>Mohamed</v>
      </c>
      <c r="G120" s="284" t="str">
        <f>Tableau1[[#This Row],[Axe
(Filières)]]</f>
        <v>Sécurité</v>
      </c>
      <c r="H120" s="284" t="str">
        <f>Tableau1[[#This Row],[Intitulé]]</f>
        <v>Gestes et postures</v>
      </c>
      <c r="I120" s="284">
        <f>Tableau1[[#This Row],[Priorité
mger]]</f>
        <v>0</v>
      </c>
      <c r="J120" s="284" t="str">
        <f>Tableau1[[#This Row],[Organisme]]</f>
        <v>APAVE</v>
      </c>
      <c r="K120" s="284">
        <f>Tableau1[[#This Row],[Durée
H]]</f>
        <v>7</v>
      </c>
      <c r="L120" s="92">
        <f>Tableau1[[#This Row],[Coût
péda.]]</f>
        <v>124</v>
      </c>
      <c r="M120" s="284" t="str">
        <f>Tableau1[[#This Row],[Dispositif
(Plan / DIF)]]</f>
        <v>Plan</v>
      </c>
      <c r="N120" s="284" t="str">
        <f>Tableau1[[#This Row],[Axe
  (note cadrage)]]</f>
        <v>Formation obligatoire</v>
      </c>
      <c r="O120" s="285">
        <f>Tableau1[[#This Row],[Validation
(Oui/Non)]]</f>
        <v>0</v>
      </c>
      <c r="P120" s="287" t="str">
        <f>Tableau1[[#This Row],[Calendrier
de réalisation]]</f>
        <v>2019-Q3</v>
      </c>
      <c r="Q120" s="284"/>
      <c r="S120" s="286" t="str">
        <f>IFERROR(VLOOKUP('Plan 2019 consolidé'!$E120,Tableau5[],COLUMN(Tableau5[[#This Row],[Sexe2]]),FALSE),"")</f>
        <v>M</v>
      </c>
      <c r="W120" s="286">
        <f>IFERROR(VLOOKUP('Plan 2019 consolidé'!$E120,Tableau5[],COLUMN(Tableau5[[#This Row],[Age]]),FALSE),"")</f>
        <v>50</v>
      </c>
      <c r="X120" s="286">
        <f>IFERROR(VLOOKUP('Plan 2019 consolidé'!$E120,Tableau5[],COLUMN(Tableau5[[#This Row],[Nombre d''années d''ancienneté dans la société]]),FALSE),"")</f>
        <v>27</v>
      </c>
    </row>
    <row r="121" spans="1:24" x14ac:dyDescent="0.25">
      <c r="A121" s="284" t="str">
        <f>Tableau1[[#This Row],[Service]]</f>
        <v>DVC</v>
      </c>
      <c r="B121" s="284" t="str">
        <f>Tableau1[[#This Row],[Site]]</f>
        <v>Lattes</v>
      </c>
      <c r="C121" s="284" t="str">
        <f>Tableau1[[#This Row],[Manager]]</f>
        <v>VERNE</v>
      </c>
      <c r="D121" s="284">
        <f>Tableau1[[#This Row],[Matricule]]</f>
        <v>191667</v>
      </c>
      <c r="E121" s="284" t="str">
        <f>Tableau1[[#This Row],[Nom]]</f>
        <v>ENNAOUI</v>
      </c>
      <c r="F121" s="284" t="str">
        <f>Tableau1[[#This Row],[Prénom]]</f>
        <v>Mohamed</v>
      </c>
      <c r="G121" s="284" t="str">
        <f>Tableau1[[#This Row],[Axe
(Filières)]]</f>
        <v>Sécurité</v>
      </c>
      <c r="H121" s="284" t="str">
        <f>Tableau1[[#This Row],[Intitulé]]</f>
        <v>Risques chimiques</v>
      </c>
      <c r="I121" s="284">
        <f>Tableau1[[#This Row],[Priorité
mger]]</f>
        <v>0</v>
      </c>
      <c r="J121" s="284" t="str">
        <f>Tableau1[[#This Row],[Organisme]]</f>
        <v>APAVE</v>
      </c>
      <c r="K121" s="284">
        <f>Tableau1[[#This Row],[Durée
H]]</f>
        <v>7</v>
      </c>
      <c r="L121" s="92">
        <f>Tableau1[[#This Row],[Coût
péda.]]</f>
        <v>162</v>
      </c>
      <c r="M121" s="284" t="str">
        <f>Tableau1[[#This Row],[Dispositif
(Plan / DIF)]]</f>
        <v>Plan</v>
      </c>
      <c r="N121" s="284" t="str">
        <f>Tableau1[[#This Row],[Axe
  (note cadrage)]]</f>
        <v>Formation obligatoire</v>
      </c>
      <c r="O121" s="285">
        <f>Tableau1[[#This Row],[Validation
(Oui/Non)]]</f>
        <v>0</v>
      </c>
      <c r="P121" s="287" t="str">
        <f>Tableau1[[#This Row],[Calendrier
de réalisation]]</f>
        <v>2019-Q1</v>
      </c>
      <c r="Q121" s="284"/>
      <c r="S121" s="286" t="str">
        <f>IFERROR(VLOOKUP('Plan 2019 consolidé'!$E121,Tableau5[],COLUMN(Tableau5[[#This Row],[Sexe2]]),FALSE),"")</f>
        <v>M</v>
      </c>
      <c r="W121" s="286">
        <f>IFERROR(VLOOKUP('Plan 2019 consolidé'!$E121,Tableau5[],COLUMN(Tableau5[[#This Row],[Age]]),FALSE),"")</f>
        <v>50</v>
      </c>
      <c r="X121" s="286">
        <f>IFERROR(VLOOKUP('Plan 2019 consolidé'!$E121,Tableau5[],COLUMN(Tableau5[[#This Row],[Nombre d''années d''ancienneté dans la société]]),FALSE),"")</f>
        <v>27</v>
      </c>
    </row>
    <row r="122" spans="1:24" x14ac:dyDescent="0.25">
      <c r="A122" s="284" t="str">
        <f>Tableau1[[#This Row],[Service]]</f>
        <v>DVC</v>
      </c>
      <c r="B122" s="284" t="str">
        <f>Tableau1[[#This Row],[Site]]</f>
        <v>Aub.</v>
      </c>
      <c r="C122" s="284" t="str">
        <f>Tableau1[[#This Row],[Manager]]</f>
        <v>SAVY</v>
      </c>
      <c r="D122" s="284">
        <f>Tableau1[[#This Row],[Matricule]]</f>
        <v>103061</v>
      </c>
      <c r="E122" s="284" t="str">
        <f>Tableau1[[#This Row],[Nom]]</f>
        <v>ESCLANGON</v>
      </c>
      <c r="F122" s="284" t="str">
        <f>Tableau1[[#This Row],[Prénom]]</f>
        <v>Frederic</v>
      </c>
      <c r="G122" s="284" t="str">
        <f>Tableau1[[#This Row],[Axe
(Filières)]]</f>
        <v>Sécurité</v>
      </c>
      <c r="H122" s="284" t="str">
        <f>Tableau1[[#This Row],[Intitulé]]</f>
        <v>Gestes et postures</v>
      </c>
      <c r="I122" s="284">
        <f>Tableau1[[#This Row],[Priorité
mger]]</f>
        <v>0</v>
      </c>
      <c r="J122" s="284" t="str">
        <f>Tableau1[[#This Row],[Organisme]]</f>
        <v>APAVE</v>
      </c>
      <c r="K122" s="284">
        <f>Tableau1[[#This Row],[Durée
H]]</f>
        <v>7</v>
      </c>
      <c r="L122" s="92">
        <f>Tableau1[[#This Row],[Coût
péda.]]</f>
        <v>124</v>
      </c>
      <c r="M122" s="284" t="str">
        <f>Tableau1[[#This Row],[Dispositif
(Plan / DIF)]]</f>
        <v>Plan</v>
      </c>
      <c r="N122" s="284" t="str">
        <f>Tableau1[[#This Row],[Axe
  (note cadrage)]]</f>
        <v>Formation obligatoire</v>
      </c>
      <c r="O122" s="285">
        <f>Tableau1[[#This Row],[Validation
(Oui/Non)]]</f>
        <v>0</v>
      </c>
      <c r="P122" s="287" t="str">
        <f>Tableau1[[#This Row],[Calendrier
de réalisation]]</f>
        <v>2019-Q1</v>
      </c>
      <c r="Q122" s="284"/>
      <c r="S122" s="286" t="str">
        <f>IFERROR(VLOOKUP('Plan 2019 consolidé'!$E122,Tableau5[],COLUMN(Tableau5[[#This Row],[Sexe2]]),FALSE),"")</f>
        <v>M</v>
      </c>
      <c r="W122" s="286">
        <f>IFERROR(VLOOKUP('Plan 2019 consolidé'!$E122,Tableau5[],COLUMN(Tableau5[[#This Row],[Age]]),FALSE),"")</f>
        <v>55</v>
      </c>
      <c r="X122" s="286">
        <f>IFERROR(VLOOKUP('Plan 2019 consolidé'!$E122,Tableau5[],COLUMN(Tableau5[[#This Row],[Nombre d''années d''ancienneté dans la société]]),FALSE),"")</f>
        <v>33</v>
      </c>
    </row>
    <row r="123" spans="1:24" x14ac:dyDescent="0.25">
      <c r="A123" s="284" t="str">
        <f>Tableau1[[#This Row],[Service]]</f>
        <v>DVC</v>
      </c>
      <c r="B123" s="284" t="str">
        <f>Tableau1[[#This Row],[Site]]</f>
        <v>Aub.</v>
      </c>
      <c r="C123" s="284" t="str">
        <f>Tableau1[[#This Row],[Manager]]</f>
        <v>SAVY</v>
      </c>
      <c r="D123" s="284">
        <f>Tableau1[[#This Row],[Matricule]]</f>
        <v>103061</v>
      </c>
      <c r="E123" s="284" t="str">
        <f>Tableau1[[#This Row],[Nom]]</f>
        <v>ESCLANGON</v>
      </c>
      <c r="F123" s="284" t="str">
        <f>Tableau1[[#This Row],[Prénom]]</f>
        <v>Frederic</v>
      </c>
      <c r="G123" s="284" t="str">
        <f>Tableau1[[#This Row],[Axe
(Filières)]]</f>
        <v>Sécurité</v>
      </c>
      <c r="H123" s="284" t="str">
        <f>Tableau1[[#This Row],[Intitulé]]</f>
        <v>Incendie</v>
      </c>
      <c r="I123" s="284">
        <f>Tableau1[[#This Row],[Priorité
mger]]</f>
        <v>0</v>
      </c>
      <c r="J123" s="284" t="str">
        <f>Tableau1[[#This Row],[Organisme]]</f>
        <v>APAVE</v>
      </c>
      <c r="K123" s="284">
        <f>Tableau1[[#This Row],[Durée
H]]</f>
        <v>1.5</v>
      </c>
      <c r="L123" s="92">
        <f>Tableau1[[#This Row],[Coût
péda.]]</f>
        <v>53</v>
      </c>
      <c r="M123" s="284" t="str">
        <f>Tableau1[[#This Row],[Dispositif
(Plan / DIF)]]</f>
        <v>Plan</v>
      </c>
      <c r="N123" s="284" t="str">
        <f>Tableau1[[#This Row],[Axe
  (note cadrage)]]</f>
        <v>Formation obligatoire</v>
      </c>
      <c r="O123" s="285">
        <f>Tableau1[[#This Row],[Validation
(Oui/Non)]]</f>
        <v>0</v>
      </c>
      <c r="P123" s="287" t="str">
        <f>Tableau1[[#This Row],[Calendrier
de réalisation]]</f>
        <v>2019-Q2</v>
      </c>
      <c r="Q123" s="284"/>
      <c r="S123" s="286" t="str">
        <f>IFERROR(VLOOKUP('Plan 2019 consolidé'!$E123,Tableau5[],COLUMN(Tableau5[[#This Row],[Sexe2]]),FALSE),"")</f>
        <v>M</v>
      </c>
      <c r="W123" s="286">
        <f>IFERROR(VLOOKUP('Plan 2019 consolidé'!$E123,Tableau5[],COLUMN(Tableau5[[#This Row],[Age]]),FALSE),"")</f>
        <v>55</v>
      </c>
      <c r="X123" s="286">
        <f>IFERROR(VLOOKUP('Plan 2019 consolidé'!$E123,Tableau5[],COLUMN(Tableau5[[#This Row],[Nombre d''années d''ancienneté dans la société]]),FALSE),"")</f>
        <v>33</v>
      </c>
    </row>
    <row r="124" spans="1:24" x14ac:dyDescent="0.25">
      <c r="A124" s="284" t="str">
        <f>Tableau1[[#This Row],[Service]]</f>
        <v>DVC</v>
      </c>
      <c r="B124" s="284" t="str">
        <f>Tableau1[[#This Row],[Site]]</f>
        <v>Aub.</v>
      </c>
      <c r="C124" s="284" t="str">
        <f>Tableau1[[#This Row],[Manager]]</f>
        <v>SAVY</v>
      </c>
      <c r="D124" s="284">
        <f>Tableau1[[#This Row],[Matricule]]</f>
        <v>103061</v>
      </c>
      <c r="E124" s="284" t="str">
        <f>Tableau1[[#This Row],[Nom]]</f>
        <v>ESCLANGON</v>
      </c>
      <c r="F124" s="284" t="str">
        <f>Tableau1[[#This Row],[Prénom]]</f>
        <v>Frederic</v>
      </c>
      <c r="G124" s="284" t="str">
        <f>Tableau1[[#This Row],[Axe
(Filières)]]</f>
        <v>Sécurité</v>
      </c>
      <c r="H124" s="284" t="str">
        <f>Tableau1[[#This Row],[Intitulé]]</f>
        <v>Risques chimiques</v>
      </c>
      <c r="I124" s="284">
        <f>Tableau1[[#This Row],[Priorité
mger]]</f>
        <v>0</v>
      </c>
      <c r="J124" s="284" t="str">
        <f>Tableau1[[#This Row],[Organisme]]</f>
        <v>APAVE</v>
      </c>
      <c r="K124" s="284">
        <f>Tableau1[[#This Row],[Durée
H]]</f>
        <v>7</v>
      </c>
      <c r="L124" s="92">
        <f>Tableau1[[#This Row],[Coût
péda.]]</f>
        <v>162</v>
      </c>
      <c r="M124" s="284" t="str">
        <f>Tableau1[[#This Row],[Dispositif
(Plan / DIF)]]</f>
        <v>Plan</v>
      </c>
      <c r="N124" s="284" t="str">
        <f>Tableau1[[#This Row],[Axe
  (note cadrage)]]</f>
        <v>Formation obligatoire</v>
      </c>
      <c r="O124" s="285">
        <f>Tableau1[[#This Row],[Validation
(Oui/Non)]]</f>
        <v>0</v>
      </c>
      <c r="P124" s="287" t="str">
        <f>Tableau1[[#This Row],[Calendrier
de réalisation]]</f>
        <v>2019-Q4</v>
      </c>
      <c r="Q124" s="284"/>
      <c r="S124" s="286" t="str">
        <f>IFERROR(VLOOKUP('Plan 2019 consolidé'!$E124,Tableau5[],COLUMN(Tableau5[[#This Row],[Sexe2]]),FALSE),"")</f>
        <v>M</v>
      </c>
      <c r="W124" s="286">
        <f>IFERROR(VLOOKUP('Plan 2019 consolidé'!$E124,Tableau5[],COLUMN(Tableau5[[#This Row],[Age]]),FALSE),"")</f>
        <v>55</v>
      </c>
      <c r="X124" s="286">
        <f>IFERROR(VLOOKUP('Plan 2019 consolidé'!$E124,Tableau5[],COLUMN(Tableau5[[#This Row],[Nombre d''années d''ancienneté dans la société]]),FALSE),"")</f>
        <v>33</v>
      </c>
    </row>
    <row r="125" spans="1:24" x14ac:dyDescent="0.25">
      <c r="A125" s="284" t="str">
        <f>Tableau1[[#This Row],[Service]]</f>
        <v>DVC</v>
      </c>
      <c r="B125" s="284" t="str">
        <f>Tableau1[[#This Row],[Site]]</f>
        <v>Aub.</v>
      </c>
      <c r="C125" s="284" t="str">
        <f>Tableau1[[#This Row],[Manager]]</f>
        <v>ALIX</v>
      </c>
      <c r="D125" s="284">
        <f>Tableau1[[#This Row],[Matricule]]</f>
        <v>102990</v>
      </c>
      <c r="E125" s="284" t="str">
        <f>Tableau1[[#This Row],[Nom]]</f>
        <v>ESTEBAN</v>
      </c>
      <c r="F125" s="284" t="str">
        <f>Tableau1[[#This Row],[Prénom]]</f>
        <v>Manuel</v>
      </c>
      <c r="G125" s="284" t="str">
        <f>Tableau1[[#This Row],[Axe
(Filières)]]</f>
        <v>Sécurité</v>
      </c>
      <c r="H125" s="284" t="str">
        <f>Tableau1[[#This Row],[Intitulé]]</f>
        <v>Incendie</v>
      </c>
      <c r="I125" s="284">
        <f>Tableau1[[#This Row],[Priorité
mger]]</f>
        <v>0</v>
      </c>
      <c r="J125" s="284" t="str">
        <f>Tableau1[[#This Row],[Organisme]]</f>
        <v>APAVE</v>
      </c>
      <c r="K125" s="284">
        <f>Tableau1[[#This Row],[Durée
H]]</f>
        <v>1.5</v>
      </c>
      <c r="L125" s="92">
        <f>Tableau1[[#This Row],[Coût
péda.]]</f>
        <v>53</v>
      </c>
      <c r="M125" s="284" t="str">
        <f>Tableau1[[#This Row],[Dispositif
(Plan / DIF)]]</f>
        <v>Plan</v>
      </c>
      <c r="N125" s="284" t="str">
        <f>Tableau1[[#This Row],[Axe
  (note cadrage)]]</f>
        <v>Formation obligatoire</v>
      </c>
      <c r="O125" s="285">
        <f>Tableau1[[#This Row],[Validation
(Oui/Non)]]</f>
        <v>0</v>
      </c>
      <c r="P125" s="287" t="str">
        <f>Tableau1[[#This Row],[Calendrier
de réalisation]]</f>
        <v>2019-Q2</v>
      </c>
      <c r="Q125" s="284"/>
      <c r="S125" s="286" t="str">
        <f>IFERROR(VLOOKUP('Plan 2019 consolidé'!$E125,Tableau5[],COLUMN(Tableau5[[#This Row],[Sexe2]]),FALSE),"")</f>
        <v>M</v>
      </c>
      <c r="W125" s="286">
        <f>IFERROR(VLOOKUP('Plan 2019 consolidé'!$E125,Tableau5[],COLUMN(Tableau5[[#This Row],[Age]]),FALSE),"")</f>
        <v>42</v>
      </c>
      <c r="X125" s="286">
        <f>IFERROR(VLOOKUP('Plan 2019 consolidé'!$E125,Tableau5[],COLUMN(Tableau5[[#This Row],[Nombre d''années d''ancienneté dans la société]]),FALSE),"")</f>
        <v>18</v>
      </c>
    </row>
    <row r="126" spans="1:24" x14ac:dyDescent="0.25">
      <c r="A126" s="284" t="str">
        <f>Tableau1[[#This Row],[Service]]</f>
        <v>DVC</v>
      </c>
      <c r="B126" s="284" t="str">
        <f>Tableau1[[#This Row],[Site]]</f>
        <v>Aub.</v>
      </c>
      <c r="C126" s="284" t="str">
        <f>Tableau1[[#This Row],[Manager]]</f>
        <v>PIFFAUT</v>
      </c>
      <c r="D126" s="284">
        <f>Tableau1[[#This Row],[Matricule]]</f>
        <v>103056</v>
      </c>
      <c r="E126" s="284" t="str">
        <f>Tableau1[[#This Row],[Nom]]</f>
        <v>ETIENNE</v>
      </c>
      <c r="F126" s="284" t="str">
        <f>Tableau1[[#This Row],[Prénom]]</f>
        <v>Patrick</v>
      </c>
      <c r="G126" s="284" t="str">
        <f>Tableau1[[#This Row],[Axe
(Filières)]]</f>
        <v>Sécurité</v>
      </c>
      <c r="H126" s="284" t="str">
        <f>Tableau1[[#This Row],[Intitulé]]</f>
        <v>Incendie</v>
      </c>
      <c r="I126" s="284">
        <f>Tableau1[[#This Row],[Priorité
mger]]</f>
        <v>0</v>
      </c>
      <c r="J126" s="284" t="str">
        <f>Tableau1[[#This Row],[Organisme]]</f>
        <v>APAVE</v>
      </c>
      <c r="K126" s="284">
        <f>Tableau1[[#This Row],[Durée
H]]</f>
        <v>1.5</v>
      </c>
      <c r="L126" s="92">
        <f>Tableau1[[#This Row],[Coût
péda.]]</f>
        <v>53</v>
      </c>
      <c r="M126" s="284" t="str">
        <f>Tableau1[[#This Row],[Dispositif
(Plan / DIF)]]</f>
        <v>Plan</v>
      </c>
      <c r="N126" s="284" t="str">
        <f>Tableau1[[#This Row],[Axe
  (note cadrage)]]</f>
        <v>Formation obligatoire</v>
      </c>
      <c r="O126" s="285">
        <f>Tableau1[[#This Row],[Validation
(Oui/Non)]]</f>
        <v>0</v>
      </c>
      <c r="P126" s="287">
        <f>Tableau1[[#This Row],[Calendrier
de réalisation]]</f>
        <v>0</v>
      </c>
      <c r="Q126" s="284"/>
      <c r="S126" s="286" t="str">
        <f>IFERROR(VLOOKUP('Plan 2019 consolidé'!$E126,Tableau5[],COLUMN(Tableau5[[#This Row],[Sexe2]]),FALSE),"")</f>
        <v>M</v>
      </c>
      <c r="W126" s="286">
        <f>IFERROR(VLOOKUP('Plan 2019 consolidé'!$E126,Tableau5[],COLUMN(Tableau5[[#This Row],[Age]]),FALSE),"")</f>
        <v>53</v>
      </c>
      <c r="X126" s="286">
        <f>IFERROR(VLOOKUP('Plan 2019 consolidé'!$E126,Tableau5[],COLUMN(Tableau5[[#This Row],[Nombre d''années d''ancienneté dans la société]]),FALSE),"")</f>
        <v>34</v>
      </c>
    </row>
    <row r="127" spans="1:24" x14ac:dyDescent="0.25">
      <c r="A127" s="284" t="str">
        <f>Tableau1[[#This Row],[Service]]</f>
        <v>DVC</v>
      </c>
      <c r="B127" s="284" t="str">
        <f>Tableau1[[#This Row],[Site]]</f>
        <v>Aub.</v>
      </c>
      <c r="C127" s="284" t="str">
        <f>Tableau1[[#This Row],[Manager]]</f>
        <v>PIFFAUT</v>
      </c>
      <c r="D127" s="284">
        <f>Tableau1[[#This Row],[Matricule]]</f>
        <v>103056</v>
      </c>
      <c r="E127" s="284" t="str">
        <f>Tableau1[[#This Row],[Nom]]</f>
        <v>ETIENNE</v>
      </c>
      <c r="F127" s="284" t="str">
        <f>Tableau1[[#This Row],[Prénom]]</f>
        <v>Patrick</v>
      </c>
      <c r="G127" s="284" t="str">
        <f>Tableau1[[#This Row],[Axe
(Filières)]]</f>
        <v>Sécurité</v>
      </c>
      <c r="H127" s="284" t="str">
        <f>Tableau1[[#This Row],[Intitulé]]</f>
        <v>Recyclage SST</v>
      </c>
      <c r="I127" s="284">
        <f>Tableau1[[#This Row],[Priorité
mger]]</f>
        <v>0</v>
      </c>
      <c r="J127" s="284" t="str">
        <f>Tableau1[[#This Row],[Organisme]]</f>
        <v>CFSP</v>
      </c>
      <c r="K127" s="284">
        <f>Tableau1[[#This Row],[Durée
H]]</f>
        <v>7</v>
      </c>
      <c r="L127" s="92">
        <f>Tableau1[[#This Row],[Coût
péda.]]</f>
        <v>117</v>
      </c>
      <c r="M127" s="284" t="str">
        <f>Tableau1[[#This Row],[Dispositif
(Plan / DIF)]]</f>
        <v>Plan</v>
      </c>
      <c r="N127" s="284" t="str">
        <f>Tableau1[[#This Row],[Axe
  (note cadrage)]]</f>
        <v>Formation obligatoire</v>
      </c>
      <c r="O127" s="285">
        <f>Tableau1[[#This Row],[Validation
(Oui/Non)]]</f>
        <v>0</v>
      </c>
      <c r="P127" s="287" t="str">
        <f>Tableau1[[#This Row],[Calendrier
de réalisation]]</f>
        <v/>
      </c>
      <c r="Q127" s="284"/>
      <c r="S127" s="286" t="str">
        <f>IFERROR(VLOOKUP('Plan 2019 consolidé'!$E127,Tableau5[],COLUMN(Tableau5[[#This Row],[Sexe2]]),FALSE),"")</f>
        <v>M</v>
      </c>
      <c r="W127" s="286">
        <f>IFERROR(VLOOKUP('Plan 2019 consolidé'!$E127,Tableau5[],COLUMN(Tableau5[[#This Row],[Age]]),FALSE),"")</f>
        <v>53</v>
      </c>
      <c r="X127" s="286">
        <f>IFERROR(VLOOKUP('Plan 2019 consolidé'!$E127,Tableau5[],COLUMN(Tableau5[[#This Row],[Nombre d''années d''ancienneté dans la société]]),FALSE),"")</f>
        <v>34</v>
      </c>
    </row>
    <row r="128" spans="1:24" x14ac:dyDescent="0.25">
      <c r="A128" s="284" t="str">
        <f>Tableau1[[#This Row],[Service]]</f>
        <v>Non DVC</v>
      </c>
      <c r="B128" s="284" t="str">
        <f>Tableau1[[#This Row],[Site]]</f>
        <v>Aub.</v>
      </c>
      <c r="C128" s="284" t="str">
        <f>Tableau1[[#This Row],[Manager]]</f>
        <v>CHATAIGNER</v>
      </c>
      <c r="D128" s="284">
        <f>Tableau1[[#This Row],[Matricule]]</f>
        <v>69432</v>
      </c>
      <c r="E128" s="284" t="str">
        <f>Tableau1[[#This Row],[Nom]]</f>
        <v>FELDER</v>
      </c>
      <c r="F128" s="284" t="str">
        <f>Tableau1[[#This Row],[Prénom]]</f>
        <v>Martin</v>
      </c>
      <c r="G128" s="284" t="str">
        <f>Tableau1[[#This Row],[Axe
(Filières)]]</f>
        <v>Sécurité</v>
      </c>
      <c r="H128" s="284" t="str">
        <f>Tableau1[[#This Row],[Intitulé]]</f>
        <v>Gestes et postures</v>
      </c>
      <c r="I128" s="284">
        <f>Tableau1[[#This Row],[Priorité
mger]]</f>
        <v>0</v>
      </c>
      <c r="J128" s="284" t="str">
        <f>Tableau1[[#This Row],[Organisme]]</f>
        <v>APAVE</v>
      </c>
      <c r="K128" s="284">
        <f>Tableau1[[#This Row],[Durée
H]]</f>
        <v>7</v>
      </c>
      <c r="L128" s="92">
        <f>Tableau1[[#This Row],[Coût
péda.]]</f>
        <v>124</v>
      </c>
      <c r="M128" s="284" t="str">
        <f>Tableau1[[#This Row],[Dispositif
(Plan / DIF)]]</f>
        <v>Plan</v>
      </c>
      <c r="N128" s="284" t="str">
        <f>Tableau1[[#This Row],[Axe
  (note cadrage)]]</f>
        <v>Formation obligatoire</v>
      </c>
      <c r="O128" s="285">
        <f>Tableau1[[#This Row],[Validation
(Oui/Non)]]</f>
        <v>0</v>
      </c>
      <c r="P128" s="287" t="str">
        <f>Tableau1[[#This Row],[Calendrier
de réalisation]]</f>
        <v>2019-Q1</v>
      </c>
      <c r="Q128" s="284"/>
      <c r="S128" s="286" t="str">
        <f>IFERROR(VLOOKUP('Plan 2019 consolidé'!$E128,Tableau5[],COLUMN(Tableau5[[#This Row],[Sexe2]]),FALSE),"")</f>
        <v>M</v>
      </c>
      <c r="W128" s="286">
        <f>IFERROR(VLOOKUP('Plan 2019 consolidé'!$E128,Tableau5[],COLUMN(Tableau5[[#This Row],[Age]]),FALSE),"")</f>
        <v>53</v>
      </c>
      <c r="X128" s="286">
        <f>IFERROR(VLOOKUP('Plan 2019 consolidé'!$E128,Tableau5[],COLUMN(Tableau5[[#This Row],[Nombre d''années d''ancienneté dans la société]]),FALSE),"")</f>
        <v>11</v>
      </c>
    </row>
    <row r="129" spans="1:24" x14ac:dyDescent="0.25">
      <c r="A129" s="284" t="str">
        <f>Tableau1[[#This Row],[Service]]</f>
        <v>DVC</v>
      </c>
      <c r="B129" s="284" t="str">
        <f>Tableau1[[#This Row],[Site]]</f>
        <v>Aub.</v>
      </c>
      <c r="C129" s="284" t="str">
        <f>Tableau1[[#This Row],[Manager]]</f>
        <v>SAVY</v>
      </c>
      <c r="D129" s="284">
        <f>Tableau1[[#This Row],[Matricule]]</f>
        <v>103092</v>
      </c>
      <c r="E129" s="284" t="str">
        <f>Tableau1[[#This Row],[Nom]]</f>
        <v>FERRERO</v>
      </c>
      <c r="F129" s="284" t="str">
        <f>Tableau1[[#This Row],[Prénom]]</f>
        <v>Christian</v>
      </c>
      <c r="G129" s="284" t="str">
        <f>Tableau1[[#This Row],[Axe
(Filières)]]</f>
        <v>Sécurité</v>
      </c>
      <c r="H129" s="284" t="str">
        <f>Tableau1[[#This Row],[Intitulé]]</f>
        <v>Gestes et postures</v>
      </c>
      <c r="I129" s="284">
        <f>Tableau1[[#This Row],[Priorité
mger]]</f>
        <v>0</v>
      </c>
      <c r="J129" s="284" t="str">
        <f>Tableau1[[#This Row],[Organisme]]</f>
        <v>APAVE</v>
      </c>
      <c r="K129" s="284">
        <f>Tableau1[[#This Row],[Durée
H]]</f>
        <v>7</v>
      </c>
      <c r="L129" s="92">
        <f>Tableau1[[#This Row],[Coût
péda.]]</f>
        <v>124</v>
      </c>
      <c r="M129" s="284" t="str">
        <f>Tableau1[[#This Row],[Dispositif
(Plan / DIF)]]</f>
        <v>Plan</v>
      </c>
      <c r="N129" s="284" t="str">
        <f>Tableau1[[#This Row],[Axe
  (note cadrage)]]</f>
        <v>Formation obligatoire</v>
      </c>
      <c r="O129" s="285">
        <f>Tableau1[[#This Row],[Validation
(Oui/Non)]]</f>
        <v>0</v>
      </c>
      <c r="P129" s="287" t="str">
        <f>Tableau1[[#This Row],[Calendrier
de réalisation]]</f>
        <v>2019-Q1</v>
      </c>
      <c r="Q129" s="284"/>
      <c r="S129" s="286" t="str">
        <f>IFERROR(VLOOKUP('Plan 2019 consolidé'!$E129,Tableau5[],COLUMN(Tableau5[[#This Row],[Sexe2]]),FALSE),"")</f>
        <v>M</v>
      </c>
      <c r="W129" s="286">
        <f>IFERROR(VLOOKUP('Plan 2019 consolidé'!$E129,Tableau5[],COLUMN(Tableau5[[#This Row],[Age]]),FALSE),"")</f>
        <v>56</v>
      </c>
      <c r="X129" s="286">
        <f>IFERROR(VLOOKUP('Plan 2019 consolidé'!$E129,Tableau5[],COLUMN(Tableau5[[#This Row],[Nombre d''années d''ancienneté dans la société]]),FALSE),"")</f>
        <v>36</v>
      </c>
    </row>
    <row r="130" spans="1:24" x14ac:dyDescent="0.25">
      <c r="A130" s="284" t="str">
        <f>Tableau1[[#This Row],[Service]]</f>
        <v>DVC</v>
      </c>
      <c r="B130" s="284" t="str">
        <f>Tableau1[[#This Row],[Site]]</f>
        <v>Aub.</v>
      </c>
      <c r="C130" s="284" t="str">
        <f>Tableau1[[#This Row],[Manager]]</f>
        <v>SAVY</v>
      </c>
      <c r="D130" s="284">
        <f>Tableau1[[#This Row],[Matricule]]</f>
        <v>103092</v>
      </c>
      <c r="E130" s="284" t="str">
        <f>Tableau1[[#This Row],[Nom]]</f>
        <v>FERRERO</v>
      </c>
      <c r="F130" s="284" t="str">
        <f>Tableau1[[#This Row],[Prénom]]</f>
        <v>Christian</v>
      </c>
      <c r="G130" s="284" t="str">
        <f>Tableau1[[#This Row],[Axe
(Filières)]]</f>
        <v>Sécurité</v>
      </c>
      <c r="H130" s="284" t="str">
        <f>Tableau1[[#This Row],[Intitulé]]</f>
        <v>Risques chimiques</v>
      </c>
      <c r="I130" s="284">
        <f>Tableau1[[#This Row],[Priorité
mger]]</f>
        <v>0</v>
      </c>
      <c r="J130" s="284" t="str">
        <f>Tableau1[[#This Row],[Organisme]]</f>
        <v>APAVE</v>
      </c>
      <c r="K130" s="284">
        <f>Tableau1[[#This Row],[Durée
H]]</f>
        <v>7</v>
      </c>
      <c r="L130" s="92">
        <f>Tableau1[[#This Row],[Coût
péda.]]</f>
        <v>162</v>
      </c>
      <c r="M130" s="284" t="str">
        <f>Tableau1[[#This Row],[Dispositif
(Plan / DIF)]]</f>
        <v>Plan</v>
      </c>
      <c r="N130" s="284" t="str">
        <f>Tableau1[[#This Row],[Axe
  (note cadrage)]]</f>
        <v>Formation obligatoire</v>
      </c>
      <c r="O130" s="285">
        <f>Tableau1[[#This Row],[Validation
(Oui/Non)]]</f>
        <v>0</v>
      </c>
      <c r="P130" s="287" t="str">
        <f>Tableau1[[#This Row],[Calendrier
de réalisation]]</f>
        <v>2019-Q4</v>
      </c>
      <c r="Q130" s="284"/>
      <c r="S130" s="286" t="str">
        <f>IFERROR(VLOOKUP('Plan 2019 consolidé'!$E130,Tableau5[],COLUMN(Tableau5[[#This Row],[Sexe2]]),FALSE),"")</f>
        <v>M</v>
      </c>
      <c r="W130" s="286">
        <f>IFERROR(VLOOKUP('Plan 2019 consolidé'!$E130,Tableau5[],COLUMN(Tableau5[[#This Row],[Age]]),FALSE),"")</f>
        <v>56</v>
      </c>
      <c r="X130" s="286">
        <f>IFERROR(VLOOKUP('Plan 2019 consolidé'!$E130,Tableau5[],COLUMN(Tableau5[[#This Row],[Nombre d''années d''ancienneté dans la société]]),FALSE),"")</f>
        <v>36</v>
      </c>
    </row>
    <row r="131" spans="1:24" x14ac:dyDescent="0.25">
      <c r="A131" s="284" t="str">
        <f>Tableau1[[#This Row],[Service]]</f>
        <v>DVC</v>
      </c>
      <c r="B131" s="284" t="str">
        <f>Tableau1[[#This Row],[Site]]</f>
        <v>Aub.</v>
      </c>
      <c r="C131" s="284" t="str">
        <f>Tableau1[[#This Row],[Manager]]</f>
        <v>SAVY</v>
      </c>
      <c r="D131" s="284">
        <f>Tableau1[[#This Row],[Matricule]]</f>
        <v>103092</v>
      </c>
      <c r="E131" s="284" t="str">
        <f>Tableau1[[#This Row],[Nom]]</f>
        <v>FERRERO</v>
      </c>
      <c r="F131" s="284" t="str">
        <f>Tableau1[[#This Row],[Prénom]]</f>
        <v>Christian</v>
      </c>
      <c r="G131" s="284" t="str">
        <f>Tableau1[[#This Row],[Axe
(Filières)]]</f>
        <v>Sécurité</v>
      </c>
      <c r="H131" s="284" t="str">
        <f>Tableau1[[#This Row],[Intitulé]]</f>
        <v>Recyclage CACES2</v>
      </c>
      <c r="I131" s="284">
        <f>Tableau1[[#This Row],[Priorité
mger]]</f>
        <v>0</v>
      </c>
      <c r="J131" s="284" t="str">
        <f>Tableau1[[#This Row],[Organisme]]</f>
        <v>APAVE</v>
      </c>
      <c r="K131" s="284">
        <f>Tableau1[[#This Row],[Durée
H]]</f>
        <v>14</v>
      </c>
      <c r="L131" s="92">
        <f>Tableau1[[#This Row],[Coût
péda.]]</f>
        <v>297</v>
      </c>
      <c r="M131" s="284" t="str">
        <f>Tableau1[[#This Row],[Dispositif
(Plan / DIF)]]</f>
        <v>Plan</v>
      </c>
      <c r="N131" s="284" t="str">
        <f>Tableau1[[#This Row],[Axe
  (note cadrage)]]</f>
        <v>Formation obligatoire</v>
      </c>
      <c r="O131" s="285">
        <f>Tableau1[[#This Row],[Validation
(Oui/Non)]]</f>
        <v>0</v>
      </c>
      <c r="P131" s="287" t="str">
        <f>Tableau1[[#This Row],[Calendrier
de réalisation]]</f>
        <v>2019-Q3</v>
      </c>
      <c r="Q131" s="284"/>
      <c r="S131" s="286" t="str">
        <f>IFERROR(VLOOKUP('Plan 2019 consolidé'!$E131,Tableau5[],COLUMN(Tableau5[[#This Row],[Sexe2]]),FALSE),"")</f>
        <v>M</v>
      </c>
      <c r="W131" s="286">
        <f>IFERROR(VLOOKUP('Plan 2019 consolidé'!$E131,Tableau5[],COLUMN(Tableau5[[#This Row],[Age]]),FALSE),"")</f>
        <v>56</v>
      </c>
      <c r="X131" s="286">
        <f>IFERROR(VLOOKUP('Plan 2019 consolidé'!$E131,Tableau5[],COLUMN(Tableau5[[#This Row],[Nombre d''années d''ancienneté dans la société]]),FALSE),"")</f>
        <v>36</v>
      </c>
    </row>
    <row r="132" spans="1:24" x14ac:dyDescent="0.25">
      <c r="A132" s="284" t="str">
        <f>Tableau1[[#This Row],[Service]]</f>
        <v>DVC</v>
      </c>
      <c r="B132" s="284" t="str">
        <f>Tableau1[[#This Row],[Site]]</f>
        <v>Aub.</v>
      </c>
      <c r="C132" s="284" t="str">
        <f>Tableau1[[#This Row],[Manager]]</f>
        <v>SAVY</v>
      </c>
      <c r="D132" s="284">
        <f>Tableau1[[#This Row],[Matricule]]</f>
        <v>102896</v>
      </c>
      <c r="E132" s="284" t="str">
        <f>Tableau1[[#This Row],[Nom]]</f>
        <v>FONTAINE</v>
      </c>
      <c r="F132" s="284" t="str">
        <f>Tableau1[[#This Row],[Prénom]]</f>
        <v>Gael</v>
      </c>
      <c r="G132" s="284" t="str">
        <f>Tableau1[[#This Row],[Axe
(Filières)]]</f>
        <v>Sécurité</v>
      </c>
      <c r="H132" s="284" t="str">
        <f>Tableau1[[#This Row],[Intitulé]]</f>
        <v>Gestes et postures</v>
      </c>
      <c r="I132" s="284">
        <f>Tableau1[[#This Row],[Priorité
mger]]</f>
        <v>0</v>
      </c>
      <c r="J132" s="284" t="str">
        <f>Tableau1[[#This Row],[Organisme]]</f>
        <v>APAVE</v>
      </c>
      <c r="K132" s="284">
        <f>Tableau1[[#This Row],[Durée
H]]</f>
        <v>7</v>
      </c>
      <c r="L132" s="92">
        <f>Tableau1[[#This Row],[Coût
péda.]]</f>
        <v>124</v>
      </c>
      <c r="M132" s="284" t="str">
        <f>Tableau1[[#This Row],[Dispositif
(Plan / DIF)]]</f>
        <v>Plan</v>
      </c>
      <c r="N132" s="284" t="str">
        <f>Tableau1[[#This Row],[Axe
  (note cadrage)]]</f>
        <v>Formation obligatoire</v>
      </c>
      <c r="O132" s="285">
        <f>Tableau1[[#This Row],[Validation
(Oui/Non)]]</f>
        <v>0</v>
      </c>
      <c r="P132" s="287" t="str">
        <f>Tableau1[[#This Row],[Calendrier
de réalisation]]</f>
        <v>2019-Q3</v>
      </c>
      <c r="Q132" s="284"/>
      <c r="S132" s="286" t="str">
        <f>IFERROR(VLOOKUP('Plan 2019 consolidé'!$E132,Tableau5[],COLUMN(Tableau5[[#This Row],[Sexe2]]),FALSE),"")</f>
        <v>M</v>
      </c>
      <c r="W132" s="286">
        <f>IFERROR(VLOOKUP('Plan 2019 consolidé'!$E132,Tableau5[],COLUMN(Tableau5[[#This Row],[Age]]),FALSE),"")</f>
        <v>44</v>
      </c>
      <c r="X132" s="286">
        <f>IFERROR(VLOOKUP('Plan 2019 consolidé'!$E132,Tableau5[],COLUMN(Tableau5[[#This Row],[Nombre d''années d''ancienneté dans la société]]),FALSE),"")</f>
        <v>10</v>
      </c>
    </row>
    <row r="133" spans="1:24" x14ac:dyDescent="0.25">
      <c r="A133" s="284" t="str">
        <f>Tableau1[[#This Row],[Service]]</f>
        <v>DVC</v>
      </c>
      <c r="B133" s="284" t="str">
        <f>Tableau1[[#This Row],[Site]]</f>
        <v>Aub.</v>
      </c>
      <c r="C133" s="284" t="str">
        <f>Tableau1[[#This Row],[Manager]]</f>
        <v>SAVY</v>
      </c>
      <c r="D133" s="284">
        <f>Tableau1[[#This Row],[Matricule]]</f>
        <v>102896</v>
      </c>
      <c r="E133" s="284" t="str">
        <f>Tableau1[[#This Row],[Nom]]</f>
        <v>FONTAINE</v>
      </c>
      <c r="F133" s="284" t="str">
        <f>Tableau1[[#This Row],[Prénom]]</f>
        <v>Gael</v>
      </c>
      <c r="G133" s="284" t="str">
        <f>Tableau1[[#This Row],[Axe
(Filières)]]</f>
        <v>Sécurité</v>
      </c>
      <c r="H133" s="284" t="str">
        <f>Tableau1[[#This Row],[Intitulé]]</f>
        <v>Risques chimiques</v>
      </c>
      <c r="I133" s="284">
        <f>Tableau1[[#This Row],[Priorité
mger]]</f>
        <v>0</v>
      </c>
      <c r="J133" s="284" t="str">
        <f>Tableau1[[#This Row],[Organisme]]</f>
        <v>APAVE</v>
      </c>
      <c r="K133" s="284">
        <f>Tableau1[[#This Row],[Durée
H]]</f>
        <v>7</v>
      </c>
      <c r="L133" s="92">
        <f>Tableau1[[#This Row],[Coût
péda.]]</f>
        <v>162</v>
      </c>
      <c r="M133" s="284" t="str">
        <f>Tableau1[[#This Row],[Dispositif
(Plan / DIF)]]</f>
        <v>Plan</v>
      </c>
      <c r="N133" s="284" t="str">
        <f>Tableau1[[#This Row],[Axe
  (note cadrage)]]</f>
        <v>Formation obligatoire</v>
      </c>
      <c r="O133" s="285">
        <f>Tableau1[[#This Row],[Validation
(Oui/Non)]]</f>
        <v>0</v>
      </c>
      <c r="P133" s="287" t="str">
        <f>Tableau1[[#This Row],[Calendrier
de réalisation]]</f>
        <v>2019-Q1</v>
      </c>
      <c r="Q133" s="284"/>
      <c r="S133" s="286" t="str">
        <f>IFERROR(VLOOKUP('Plan 2019 consolidé'!$E133,Tableau5[],COLUMN(Tableau5[[#This Row],[Sexe2]]),FALSE),"")</f>
        <v>M</v>
      </c>
      <c r="W133" s="286">
        <f>IFERROR(VLOOKUP('Plan 2019 consolidé'!$E133,Tableau5[],COLUMN(Tableau5[[#This Row],[Age]]),FALSE),"")</f>
        <v>44</v>
      </c>
      <c r="X133" s="286">
        <f>IFERROR(VLOOKUP('Plan 2019 consolidé'!$E133,Tableau5[],COLUMN(Tableau5[[#This Row],[Nombre d''années d''ancienneté dans la société]]),FALSE),"")</f>
        <v>10</v>
      </c>
    </row>
    <row r="134" spans="1:24" x14ac:dyDescent="0.25">
      <c r="A134" s="284" t="str">
        <f>Tableau1[[#This Row],[Service]]</f>
        <v>DVC</v>
      </c>
      <c r="B134" s="284" t="str">
        <f>Tableau1[[#This Row],[Site]]</f>
        <v>Aub.</v>
      </c>
      <c r="C134" s="284" t="str">
        <f>Tableau1[[#This Row],[Manager]]</f>
        <v>SAVY</v>
      </c>
      <c r="D134" s="284">
        <f>Tableau1[[#This Row],[Matricule]]</f>
        <v>102896</v>
      </c>
      <c r="E134" s="284" t="str">
        <f>Tableau1[[#This Row],[Nom]]</f>
        <v>FONTAINE</v>
      </c>
      <c r="F134" s="284" t="str">
        <f>Tableau1[[#This Row],[Prénom]]</f>
        <v>Gael</v>
      </c>
      <c r="G134" s="284" t="str">
        <f>Tableau1[[#This Row],[Axe
(Filières)]]</f>
        <v>Sécurité</v>
      </c>
      <c r="H134" s="284" t="str">
        <f>Tableau1[[#This Row],[Intitulé]]</f>
        <v>Recyclage CACES3 5</v>
      </c>
      <c r="I134" s="284">
        <f>Tableau1[[#This Row],[Priorité
mger]]</f>
        <v>0</v>
      </c>
      <c r="J134" s="284" t="str">
        <f>Tableau1[[#This Row],[Organisme]]</f>
        <v>APAVE</v>
      </c>
      <c r="K134" s="284">
        <f>Tableau1[[#This Row],[Durée
H]]</f>
        <v>14</v>
      </c>
      <c r="L134" s="92">
        <f>Tableau1[[#This Row],[Coût
péda.]]</f>
        <v>297</v>
      </c>
      <c r="M134" s="284" t="str">
        <f>Tableau1[[#This Row],[Dispositif
(Plan / DIF)]]</f>
        <v>Plan</v>
      </c>
      <c r="N134" s="284" t="str">
        <f>Tableau1[[#This Row],[Axe
  (note cadrage)]]</f>
        <v>Formation obligatoire</v>
      </c>
      <c r="O134" s="285">
        <f>Tableau1[[#This Row],[Validation
(Oui/Non)]]</f>
        <v>0</v>
      </c>
      <c r="P134" s="287" t="str">
        <f>Tableau1[[#This Row],[Calendrier
de réalisation]]</f>
        <v>2019-Q2</v>
      </c>
      <c r="Q134" s="284"/>
      <c r="S134" s="286" t="str">
        <f>IFERROR(VLOOKUP('Plan 2019 consolidé'!$E134,Tableau5[],COLUMN(Tableau5[[#This Row],[Sexe2]]),FALSE),"")</f>
        <v>M</v>
      </c>
      <c r="W134" s="286">
        <f>IFERROR(VLOOKUP('Plan 2019 consolidé'!$E134,Tableau5[],COLUMN(Tableau5[[#This Row],[Age]]),FALSE),"")</f>
        <v>44</v>
      </c>
      <c r="X134" s="286">
        <f>IFERROR(VLOOKUP('Plan 2019 consolidé'!$E134,Tableau5[],COLUMN(Tableau5[[#This Row],[Nombre d''années d''ancienneté dans la société]]),FALSE),"")</f>
        <v>10</v>
      </c>
    </row>
    <row r="135" spans="1:24" x14ac:dyDescent="0.25">
      <c r="A135" s="284" t="str">
        <f>Tableau1[[#This Row],[Service]]</f>
        <v>DVC</v>
      </c>
      <c r="B135" s="284" t="str">
        <f>Tableau1[[#This Row],[Site]]</f>
        <v>Aub.</v>
      </c>
      <c r="C135" s="284" t="str">
        <f>Tableau1[[#This Row],[Manager]]</f>
        <v>ALIX</v>
      </c>
      <c r="D135" s="284">
        <f>Tableau1[[#This Row],[Matricule]]</f>
        <v>102897</v>
      </c>
      <c r="E135" s="284" t="str">
        <f>Tableau1[[#This Row],[Nom]]</f>
        <v>FONTIBUS</v>
      </c>
      <c r="F135" s="284" t="str">
        <f>Tableau1[[#This Row],[Prénom]]</f>
        <v>Romuald</v>
      </c>
      <c r="G135" s="284" t="str">
        <f>Tableau1[[#This Row],[Axe
(Filières)]]</f>
        <v>Sécurité</v>
      </c>
      <c r="H135" s="284" t="str">
        <f>Tableau1[[#This Row],[Intitulé]]</f>
        <v>Incendie</v>
      </c>
      <c r="I135" s="284">
        <f>Tableau1[[#This Row],[Priorité
mger]]</f>
        <v>0</v>
      </c>
      <c r="J135" s="284" t="str">
        <f>Tableau1[[#This Row],[Organisme]]</f>
        <v>APAVE</v>
      </c>
      <c r="K135" s="284">
        <f>Tableau1[[#This Row],[Durée
H]]</f>
        <v>1.5</v>
      </c>
      <c r="L135" s="92">
        <f>Tableau1[[#This Row],[Coût
péda.]]</f>
        <v>53</v>
      </c>
      <c r="M135" s="284" t="str">
        <f>Tableau1[[#This Row],[Dispositif
(Plan / DIF)]]</f>
        <v>Plan</v>
      </c>
      <c r="N135" s="284" t="str">
        <f>Tableau1[[#This Row],[Axe
  (note cadrage)]]</f>
        <v>Formation obligatoire</v>
      </c>
      <c r="O135" s="285">
        <f>Tableau1[[#This Row],[Validation
(Oui/Non)]]</f>
        <v>0</v>
      </c>
      <c r="P135" s="287" t="str">
        <f>Tableau1[[#This Row],[Calendrier
de réalisation]]</f>
        <v>2019-Q2</v>
      </c>
      <c r="Q135" s="284"/>
      <c r="S135" s="286" t="str">
        <f>IFERROR(VLOOKUP('Plan 2019 consolidé'!$E135,Tableau5[],COLUMN(Tableau5[[#This Row],[Sexe2]]),FALSE),"")</f>
        <v>M</v>
      </c>
      <c r="W135" s="286">
        <f>IFERROR(VLOOKUP('Plan 2019 consolidé'!$E135,Tableau5[],COLUMN(Tableau5[[#This Row],[Age]]),FALSE),"")</f>
        <v>41</v>
      </c>
      <c r="X135" s="286">
        <f>IFERROR(VLOOKUP('Plan 2019 consolidé'!$E135,Tableau5[],COLUMN(Tableau5[[#This Row],[Nombre d''années d''ancienneté dans la société]]),FALSE),"")</f>
        <v>10</v>
      </c>
    </row>
    <row r="136" spans="1:24" x14ac:dyDescent="0.25">
      <c r="A136" s="284" t="str">
        <f>Tableau1[[#This Row],[Service]]</f>
        <v>DVC</v>
      </c>
      <c r="B136" s="284" t="str">
        <f>Tableau1[[#This Row],[Site]]</f>
        <v>Aub.</v>
      </c>
      <c r="C136" s="284" t="str">
        <f>Tableau1[[#This Row],[Manager]]</f>
        <v>ALIX</v>
      </c>
      <c r="D136" s="284">
        <f>Tableau1[[#This Row],[Matricule]]</f>
        <v>102897</v>
      </c>
      <c r="E136" s="284" t="str">
        <f>Tableau1[[#This Row],[Nom]]</f>
        <v>FONTIBUS</v>
      </c>
      <c r="F136" s="284" t="str">
        <f>Tableau1[[#This Row],[Prénom]]</f>
        <v>Romuald</v>
      </c>
      <c r="G136" s="284" t="str">
        <f>Tableau1[[#This Row],[Axe
(Filières)]]</f>
        <v>Sécurité</v>
      </c>
      <c r="H136" s="284" t="str">
        <f>Tableau1[[#This Row],[Intitulé]]</f>
        <v>Recyclage SST</v>
      </c>
      <c r="I136" s="284">
        <f>Tableau1[[#This Row],[Priorité
mger]]</f>
        <v>0</v>
      </c>
      <c r="J136" s="284" t="str">
        <f>Tableau1[[#This Row],[Organisme]]</f>
        <v>CFSP</v>
      </c>
      <c r="K136" s="284">
        <f>Tableau1[[#This Row],[Durée
H]]</f>
        <v>7</v>
      </c>
      <c r="L136" s="92">
        <f>Tableau1[[#This Row],[Coût
péda.]]</f>
        <v>117</v>
      </c>
      <c r="M136" s="284" t="str">
        <f>Tableau1[[#This Row],[Dispositif
(Plan / DIF)]]</f>
        <v>Plan</v>
      </c>
      <c r="N136" s="284" t="str">
        <f>Tableau1[[#This Row],[Axe
  (note cadrage)]]</f>
        <v>Formation obligatoire</v>
      </c>
      <c r="O136" s="285">
        <f>Tableau1[[#This Row],[Validation
(Oui/Non)]]</f>
        <v>0</v>
      </c>
      <c r="P136" s="287" t="str">
        <f>Tableau1[[#This Row],[Calendrier
de réalisation]]</f>
        <v/>
      </c>
      <c r="Q136" s="284"/>
      <c r="S136" s="286" t="str">
        <f>IFERROR(VLOOKUP('Plan 2019 consolidé'!$E136,Tableau5[],COLUMN(Tableau5[[#This Row],[Sexe2]]),FALSE),"")</f>
        <v>M</v>
      </c>
      <c r="W136" s="286">
        <f>IFERROR(VLOOKUP('Plan 2019 consolidé'!$E136,Tableau5[],COLUMN(Tableau5[[#This Row],[Age]]),FALSE),"")</f>
        <v>41</v>
      </c>
      <c r="X136" s="286">
        <f>IFERROR(VLOOKUP('Plan 2019 consolidé'!$E136,Tableau5[],COLUMN(Tableau5[[#This Row],[Nombre d''années d''ancienneté dans la société]]),FALSE),"")</f>
        <v>10</v>
      </c>
    </row>
    <row r="137" spans="1:24" x14ac:dyDescent="0.25">
      <c r="A137" s="284" t="str">
        <f>Tableau1[[#This Row],[Service]]</f>
        <v>Non DVC</v>
      </c>
      <c r="B137" s="284" t="str">
        <f>Tableau1[[#This Row],[Site]]</f>
        <v>STG</v>
      </c>
      <c r="C137" s="284" t="str">
        <f>Tableau1[[#This Row],[Manager]]</f>
        <v>CHATAIGNER</v>
      </c>
      <c r="D137" s="284">
        <f>Tableau1[[#This Row],[Matricule]]</f>
        <v>12837</v>
      </c>
      <c r="E137" s="284" t="str">
        <f>Tableau1[[#This Row],[Nom]]</f>
        <v>FOUASSIER</v>
      </c>
      <c r="F137" s="284" t="str">
        <f>Tableau1[[#This Row],[Prénom]]</f>
        <v>Cecile</v>
      </c>
      <c r="G137" s="284" t="str">
        <f>Tableau1[[#This Row],[Axe
(Filières)]]</f>
        <v>Sécurité</v>
      </c>
      <c r="H137" s="284" t="str">
        <f>Tableau1[[#This Row],[Intitulé]]</f>
        <v>Incendie</v>
      </c>
      <c r="I137" s="284">
        <f>Tableau1[[#This Row],[Priorité
mger]]</f>
        <v>0</v>
      </c>
      <c r="J137" s="284" t="str">
        <f>Tableau1[[#This Row],[Organisme]]</f>
        <v>APAVE</v>
      </c>
      <c r="K137" s="284">
        <f>Tableau1[[#This Row],[Durée
H]]</f>
        <v>1.5</v>
      </c>
      <c r="L137" s="92">
        <f>Tableau1[[#This Row],[Coût
péda.]]</f>
        <v>53</v>
      </c>
      <c r="M137" s="284" t="str">
        <f>Tableau1[[#This Row],[Dispositif
(Plan / DIF)]]</f>
        <v>Plan</v>
      </c>
      <c r="N137" s="284" t="str">
        <f>Tableau1[[#This Row],[Axe
  (note cadrage)]]</f>
        <v>Formation obligatoire</v>
      </c>
      <c r="O137" s="285">
        <f>Tableau1[[#This Row],[Validation
(Oui/Non)]]</f>
        <v>0</v>
      </c>
      <c r="P137" s="287">
        <f>Tableau1[[#This Row],[Calendrier
de réalisation]]</f>
        <v>0</v>
      </c>
      <c r="Q137" s="284"/>
      <c r="S137" s="286" t="str">
        <f>IFERROR(VLOOKUP('Plan 2019 consolidé'!$E137,Tableau5[],COLUMN(Tableau5[[#This Row],[Sexe2]]),FALSE),"")</f>
        <v>F</v>
      </c>
      <c r="W137" s="286">
        <f>IFERROR(VLOOKUP('Plan 2019 consolidé'!$E137,Tableau5[],COLUMN(Tableau5[[#This Row],[Age]]),FALSE),"")</f>
        <v>43</v>
      </c>
      <c r="X137" s="286">
        <f>IFERROR(VLOOKUP('Plan 2019 consolidé'!$E137,Tableau5[],COLUMN(Tableau5[[#This Row],[Nombre d''années d''ancienneté dans la société]]),FALSE),"")</f>
        <v>17</v>
      </c>
    </row>
    <row r="138" spans="1:24" x14ac:dyDescent="0.25">
      <c r="A138" s="284" t="str">
        <f>Tableau1[[#This Row],[Service]]</f>
        <v>DVC</v>
      </c>
      <c r="B138" s="284" t="str">
        <f>Tableau1[[#This Row],[Site]]</f>
        <v>Aub.</v>
      </c>
      <c r="C138" s="284" t="str">
        <f>Tableau1[[#This Row],[Manager]]</f>
        <v>SENEPART</v>
      </c>
      <c r="D138" s="284">
        <f>Tableau1[[#This Row],[Matricule]]</f>
        <v>103083</v>
      </c>
      <c r="E138" s="284" t="str">
        <f>Tableau1[[#This Row],[Nom]]</f>
        <v>FOUREL</v>
      </c>
      <c r="F138" s="284" t="str">
        <f>Tableau1[[#This Row],[Prénom]]</f>
        <v>Catherine</v>
      </c>
      <c r="G138" s="284" t="str">
        <f>Tableau1[[#This Row],[Axe
(Filières)]]</f>
        <v>Sécurité</v>
      </c>
      <c r="H138" s="284" t="str">
        <f>Tableau1[[#This Row],[Intitulé]]</f>
        <v>Incendie</v>
      </c>
      <c r="I138" s="284">
        <f>Tableau1[[#This Row],[Priorité
mger]]</f>
        <v>0</v>
      </c>
      <c r="J138" s="284" t="str">
        <f>Tableau1[[#This Row],[Organisme]]</f>
        <v>APAVE</v>
      </c>
      <c r="K138" s="284">
        <f>Tableau1[[#This Row],[Durée
H]]</f>
        <v>1.5</v>
      </c>
      <c r="L138" s="92">
        <f>Tableau1[[#This Row],[Coût
péda.]]</f>
        <v>53</v>
      </c>
      <c r="M138" s="284" t="str">
        <f>Tableau1[[#This Row],[Dispositif
(Plan / DIF)]]</f>
        <v>Plan</v>
      </c>
      <c r="N138" s="284" t="str">
        <f>Tableau1[[#This Row],[Axe
  (note cadrage)]]</f>
        <v>Formation obligatoire</v>
      </c>
      <c r="O138" s="285">
        <f>Tableau1[[#This Row],[Validation
(Oui/Non)]]</f>
        <v>0</v>
      </c>
      <c r="P138" s="287" t="str">
        <f>Tableau1[[#This Row],[Calendrier
de réalisation]]</f>
        <v>2019-Q2</v>
      </c>
      <c r="Q138" s="284"/>
      <c r="S138" s="286" t="str">
        <f>IFERROR(VLOOKUP('Plan 2019 consolidé'!$E138,Tableau5[],COLUMN(Tableau5[[#This Row],[Sexe2]]),FALSE),"")</f>
        <v>F</v>
      </c>
      <c r="W138" s="286">
        <f>IFERROR(VLOOKUP('Plan 2019 consolidé'!$E138,Tableau5[],COLUMN(Tableau5[[#This Row],[Age]]),FALSE),"")</f>
        <v>57</v>
      </c>
      <c r="X138" s="286">
        <f>IFERROR(VLOOKUP('Plan 2019 consolidé'!$E138,Tableau5[],COLUMN(Tableau5[[#This Row],[Nombre d''années d''ancienneté dans la société]]),FALSE),"")</f>
        <v>35</v>
      </c>
    </row>
    <row r="139" spans="1:24" x14ac:dyDescent="0.25">
      <c r="A139" s="284" t="str">
        <f>Tableau1[[#This Row],[Service]]</f>
        <v>DVC</v>
      </c>
      <c r="B139" s="284" t="str">
        <f>Tableau1[[#This Row],[Site]]</f>
        <v>Aub.</v>
      </c>
      <c r="C139" s="284" t="str">
        <f>Tableau1[[#This Row],[Manager]]</f>
        <v>SAVY</v>
      </c>
      <c r="D139" s="284">
        <f>Tableau1[[#This Row],[Matricule]]</f>
        <v>103017</v>
      </c>
      <c r="E139" s="284" t="str">
        <f>Tableau1[[#This Row],[Nom]]</f>
        <v>FOURQUET</v>
      </c>
      <c r="F139" s="284" t="str">
        <f>Tableau1[[#This Row],[Prénom]]</f>
        <v>Fabienne</v>
      </c>
      <c r="G139" s="284" t="str">
        <f>Tableau1[[#This Row],[Axe
(Filières)]]</f>
        <v>Sécurité</v>
      </c>
      <c r="H139" s="284" t="str">
        <f>Tableau1[[#This Row],[Intitulé]]</f>
        <v>Recyclage SST</v>
      </c>
      <c r="I139" s="284">
        <f>Tableau1[[#This Row],[Priorité
mger]]</f>
        <v>0</v>
      </c>
      <c r="J139" s="284" t="str">
        <f>Tableau1[[#This Row],[Organisme]]</f>
        <v>CFSP</v>
      </c>
      <c r="K139" s="284">
        <f>Tableau1[[#This Row],[Durée
H]]</f>
        <v>7</v>
      </c>
      <c r="L139" s="92">
        <f>Tableau1[[#This Row],[Coût
péda.]]</f>
        <v>117</v>
      </c>
      <c r="M139" s="284" t="str">
        <f>Tableau1[[#This Row],[Dispositif
(Plan / DIF)]]</f>
        <v>Plan</v>
      </c>
      <c r="N139" s="284" t="str">
        <f>Tableau1[[#This Row],[Axe
  (note cadrage)]]</f>
        <v>Formation obligatoire</v>
      </c>
      <c r="O139" s="285">
        <f>Tableau1[[#This Row],[Validation
(Oui/Non)]]</f>
        <v>0</v>
      </c>
      <c r="P139" s="287" t="str">
        <f>Tableau1[[#This Row],[Calendrier
de réalisation]]</f>
        <v/>
      </c>
      <c r="Q139" s="284"/>
      <c r="S139" s="286" t="str">
        <f>IFERROR(VLOOKUP('Plan 2019 consolidé'!$E139,Tableau5[],COLUMN(Tableau5[[#This Row],[Sexe2]]),FALSE),"")</f>
        <v>F</v>
      </c>
      <c r="W139" s="286">
        <f>IFERROR(VLOOKUP('Plan 2019 consolidé'!$E139,Tableau5[],COLUMN(Tableau5[[#This Row],[Age]]),FALSE),"")</f>
        <v>54</v>
      </c>
      <c r="X139" s="286">
        <f>IFERROR(VLOOKUP('Plan 2019 consolidé'!$E139,Tableau5[],COLUMN(Tableau5[[#This Row],[Nombre d''années d''ancienneté dans la société]]),FALSE),"")</f>
        <v>25</v>
      </c>
    </row>
    <row r="140" spans="1:24" x14ac:dyDescent="0.25">
      <c r="A140" s="284" t="str">
        <f>Tableau1[[#This Row],[Service]]</f>
        <v>Non DVC</v>
      </c>
      <c r="B140" s="284" t="str">
        <f>Tableau1[[#This Row],[Site]]</f>
        <v>Aub.</v>
      </c>
      <c r="C140" s="284" t="str">
        <f>Tableau1[[#This Row],[Manager]]</f>
        <v>CHATAIGNER</v>
      </c>
      <c r="D140" s="284">
        <f>Tableau1[[#This Row],[Matricule]]</f>
        <v>10631106</v>
      </c>
      <c r="E140" s="284" t="str">
        <f>Tableau1[[#This Row],[Nom]]</f>
        <v>FROLOVA RIVASI</v>
      </c>
      <c r="F140" s="284" t="str">
        <f>Tableau1[[#This Row],[Prénom]]</f>
        <v>Maria</v>
      </c>
      <c r="G140" s="284" t="str">
        <f>Tableau1[[#This Row],[Axe
(Filières)]]</f>
        <v>Sécurité</v>
      </c>
      <c r="H140" s="284" t="str">
        <f>Tableau1[[#This Row],[Intitulé]]</f>
        <v>Incendie</v>
      </c>
      <c r="I140" s="284">
        <f>Tableau1[[#This Row],[Priorité
mger]]</f>
        <v>0</v>
      </c>
      <c r="J140" s="284" t="str">
        <f>Tableau1[[#This Row],[Organisme]]</f>
        <v>APAVE</v>
      </c>
      <c r="K140" s="284">
        <f>Tableau1[[#This Row],[Durée
H]]</f>
        <v>1.5</v>
      </c>
      <c r="L140" s="92">
        <f>Tableau1[[#This Row],[Coût
péda.]]</f>
        <v>53</v>
      </c>
      <c r="M140" s="284" t="str">
        <f>Tableau1[[#This Row],[Dispositif
(Plan / DIF)]]</f>
        <v>Plan</v>
      </c>
      <c r="N140" s="284" t="str">
        <f>Tableau1[[#This Row],[Axe
  (note cadrage)]]</f>
        <v>Formation obligatoire</v>
      </c>
      <c r="O140" s="285">
        <f>Tableau1[[#This Row],[Validation
(Oui/Non)]]</f>
        <v>0</v>
      </c>
      <c r="P140" s="287">
        <f>Tableau1[[#This Row],[Calendrier
de réalisation]]</f>
        <v>0</v>
      </c>
      <c r="Q140" s="284"/>
      <c r="S140" s="286" t="str">
        <f>IFERROR(VLOOKUP('Plan 2019 consolidé'!$E140,Tableau5[],COLUMN(Tableau5[[#This Row],[Sexe2]]),FALSE),"")</f>
        <v>F</v>
      </c>
      <c r="W140" s="286">
        <f>IFERROR(VLOOKUP('Plan 2019 consolidé'!$E140,Tableau5[],COLUMN(Tableau5[[#This Row],[Age]]),FALSE),"")</f>
        <v>33</v>
      </c>
      <c r="X140" s="286">
        <f>IFERROR(VLOOKUP('Plan 2019 consolidé'!$E140,Tableau5[],COLUMN(Tableau5[[#This Row],[Nombre d''années d''ancienneté dans la société]]),FALSE),"")</f>
        <v>0</v>
      </c>
    </row>
    <row r="141" spans="1:24" x14ac:dyDescent="0.25">
      <c r="A141" s="284" t="str">
        <f>Tableau1[[#This Row],[Service]]</f>
        <v>Non DVC</v>
      </c>
      <c r="B141" s="284" t="str">
        <f>Tableau1[[#This Row],[Site]]</f>
        <v>Aub.</v>
      </c>
      <c r="C141" s="284" t="str">
        <f>Tableau1[[#This Row],[Manager]]</f>
        <v>DARDARE</v>
      </c>
      <c r="D141" s="284">
        <f>Tableau1[[#This Row],[Matricule]]</f>
        <v>103019</v>
      </c>
      <c r="E141" s="284" t="str">
        <f>Tableau1[[#This Row],[Nom]]</f>
        <v>FUENTES</v>
      </c>
      <c r="F141" s="284" t="str">
        <f>Tableau1[[#This Row],[Prénom]]</f>
        <v>Teofilo</v>
      </c>
      <c r="G141" s="284" t="str">
        <f>Tableau1[[#This Row],[Axe
(Filières)]]</f>
        <v>Sécurité</v>
      </c>
      <c r="H141" s="284" t="str">
        <f>Tableau1[[#This Row],[Intitulé]]</f>
        <v>Incendie</v>
      </c>
      <c r="I141" s="284">
        <f>Tableau1[[#This Row],[Priorité
mger]]</f>
        <v>0</v>
      </c>
      <c r="J141" s="284" t="str">
        <f>Tableau1[[#This Row],[Organisme]]</f>
        <v>APAVE</v>
      </c>
      <c r="K141" s="284">
        <f>Tableau1[[#This Row],[Durée
H]]</f>
        <v>1.5</v>
      </c>
      <c r="L141" s="92">
        <f>Tableau1[[#This Row],[Coût
péda.]]</f>
        <v>53</v>
      </c>
      <c r="M141" s="284" t="str">
        <f>Tableau1[[#This Row],[Dispositif
(Plan / DIF)]]</f>
        <v>Plan</v>
      </c>
      <c r="N141" s="284" t="str">
        <f>Tableau1[[#This Row],[Axe
  (note cadrage)]]</f>
        <v>Formation obligatoire</v>
      </c>
      <c r="O141" s="285">
        <f>Tableau1[[#This Row],[Validation
(Oui/Non)]]</f>
        <v>0</v>
      </c>
      <c r="P141" s="287" t="str">
        <f>Tableau1[[#This Row],[Calendrier
de réalisation]]</f>
        <v>2019-Q2</v>
      </c>
      <c r="Q141" s="284"/>
      <c r="S141" s="286" t="str">
        <f>IFERROR(VLOOKUP('Plan 2019 consolidé'!$E141,Tableau5[],COLUMN(Tableau5[[#This Row],[Sexe2]]),FALSE),"")</f>
        <v>M</v>
      </c>
      <c r="W141" s="286">
        <f>IFERROR(VLOOKUP('Plan 2019 consolidé'!$E141,Tableau5[],COLUMN(Tableau5[[#This Row],[Age]]),FALSE),"")</f>
        <v>53</v>
      </c>
      <c r="X141" s="286">
        <f>IFERROR(VLOOKUP('Plan 2019 consolidé'!$E141,Tableau5[],COLUMN(Tableau5[[#This Row],[Nombre d''années d''ancienneté dans la société]]),FALSE),"")</f>
        <v>24</v>
      </c>
    </row>
    <row r="142" spans="1:24" x14ac:dyDescent="0.25">
      <c r="A142" s="284" t="str">
        <f>Tableau1[[#This Row],[Service]]</f>
        <v>Non DVC</v>
      </c>
      <c r="B142" s="284" t="str">
        <f>Tableau1[[#This Row],[Site]]</f>
        <v>Aub.</v>
      </c>
      <c r="C142" s="284" t="str">
        <f>Tableau1[[#This Row],[Manager]]</f>
        <v>DARDARE</v>
      </c>
      <c r="D142" s="284">
        <f>Tableau1[[#This Row],[Matricule]]</f>
        <v>103019</v>
      </c>
      <c r="E142" s="284" t="str">
        <f>Tableau1[[#This Row],[Nom]]</f>
        <v>FUENTES</v>
      </c>
      <c r="F142" s="284" t="str">
        <f>Tableau1[[#This Row],[Prénom]]</f>
        <v>Teofilo</v>
      </c>
      <c r="G142" s="284" t="str">
        <f>Tableau1[[#This Row],[Axe
(Filières)]]</f>
        <v>Sécurité</v>
      </c>
      <c r="H142" s="284" t="str">
        <f>Tableau1[[#This Row],[Intitulé]]</f>
        <v>Recyclage SST</v>
      </c>
      <c r="I142" s="284">
        <f>Tableau1[[#This Row],[Priorité
mger]]</f>
        <v>0</v>
      </c>
      <c r="J142" s="284" t="str">
        <f>Tableau1[[#This Row],[Organisme]]</f>
        <v>CFSP</v>
      </c>
      <c r="K142" s="284">
        <f>Tableau1[[#This Row],[Durée
H]]</f>
        <v>7</v>
      </c>
      <c r="L142" s="92">
        <f>Tableau1[[#This Row],[Coût
péda.]]</f>
        <v>117</v>
      </c>
      <c r="M142" s="284" t="str">
        <f>Tableau1[[#This Row],[Dispositif
(Plan / DIF)]]</f>
        <v>Plan</v>
      </c>
      <c r="N142" s="284" t="str">
        <f>Tableau1[[#This Row],[Axe
  (note cadrage)]]</f>
        <v>Formation obligatoire</v>
      </c>
      <c r="O142" s="285">
        <f>Tableau1[[#This Row],[Validation
(Oui/Non)]]</f>
        <v>0</v>
      </c>
      <c r="P142" s="287" t="str">
        <f>Tableau1[[#This Row],[Calendrier
de réalisation]]</f>
        <v/>
      </c>
      <c r="Q142" s="284"/>
      <c r="S142" s="286" t="str">
        <f>IFERROR(VLOOKUP('Plan 2019 consolidé'!$E142,Tableau5[],COLUMN(Tableau5[[#This Row],[Sexe2]]),FALSE),"")</f>
        <v>M</v>
      </c>
      <c r="W142" s="286">
        <f>IFERROR(VLOOKUP('Plan 2019 consolidé'!$E142,Tableau5[],COLUMN(Tableau5[[#This Row],[Age]]),FALSE),"")</f>
        <v>53</v>
      </c>
      <c r="X142" s="286">
        <f>IFERROR(VLOOKUP('Plan 2019 consolidé'!$E142,Tableau5[],COLUMN(Tableau5[[#This Row],[Nombre d''années d''ancienneté dans la société]]),FALSE),"")</f>
        <v>24</v>
      </c>
    </row>
    <row r="143" spans="1:24" x14ac:dyDescent="0.25">
      <c r="A143" s="284" t="str">
        <f>Tableau1[[#This Row],[Service]]</f>
        <v>Non DVC</v>
      </c>
      <c r="B143" s="284" t="str">
        <f>Tableau1[[#This Row],[Site]]</f>
        <v>Aub.</v>
      </c>
      <c r="C143" s="284" t="str">
        <f>Tableau1[[#This Row],[Manager]]</f>
        <v>RICCARDI</v>
      </c>
      <c r="D143" s="284">
        <f>Tableau1[[#This Row],[Matricule]]</f>
        <v>103057</v>
      </c>
      <c r="E143" s="284" t="str">
        <f>Tableau1[[#This Row],[Nom]]</f>
        <v>GAILLARD</v>
      </c>
      <c r="F143" s="284" t="str">
        <f>Tableau1[[#This Row],[Prénom]]</f>
        <v>Alain</v>
      </c>
      <c r="G143" s="284" t="str">
        <f>Tableau1[[#This Row],[Axe
(Filières)]]</f>
        <v>Sécurité</v>
      </c>
      <c r="H143" s="284" t="str">
        <f>Tableau1[[#This Row],[Intitulé]]</f>
        <v>Incendie</v>
      </c>
      <c r="I143" s="284">
        <f>Tableau1[[#This Row],[Priorité
mger]]</f>
        <v>0</v>
      </c>
      <c r="J143" s="284" t="str">
        <f>Tableau1[[#This Row],[Organisme]]</f>
        <v>APAVE</v>
      </c>
      <c r="K143" s="284">
        <f>Tableau1[[#This Row],[Durée
H]]</f>
        <v>1.5</v>
      </c>
      <c r="L143" s="92">
        <f>Tableau1[[#This Row],[Coût
péda.]]</f>
        <v>53</v>
      </c>
      <c r="M143" s="284" t="str">
        <f>Tableau1[[#This Row],[Dispositif
(Plan / DIF)]]</f>
        <v>Plan</v>
      </c>
      <c r="N143" s="284" t="str">
        <f>Tableau1[[#This Row],[Axe
  (note cadrage)]]</f>
        <v>Formation obligatoire</v>
      </c>
      <c r="O143" s="285">
        <f>Tableau1[[#This Row],[Validation
(Oui/Non)]]</f>
        <v>0</v>
      </c>
      <c r="P143" s="287" t="str">
        <f>Tableau1[[#This Row],[Calendrier
de réalisation]]</f>
        <v>2019-Q2</v>
      </c>
      <c r="Q143" s="284"/>
      <c r="S143" s="286" t="str">
        <f>IFERROR(VLOOKUP('Plan 2019 consolidé'!$E143,Tableau5[],COLUMN(Tableau5[[#This Row],[Sexe2]]),FALSE),"")</f>
        <v>M</v>
      </c>
      <c r="W143" s="286">
        <f>IFERROR(VLOOKUP('Plan 2019 consolidé'!$E143,Tableau5[],COLUMN(Tableau5[[#This Row],[Age]]),FALSE),"")</f>
        <v>56</v>
      </c>
      <c r="X143" s="286">
        <f>IFERROR(VLOOKUP('Plan 2019 consolidé'!$E143,Tableau5[],COLUMN(Tableau5[[#This Row],[Nombre d''années d''ancienneté dans la société]]),FALSE),"")</f>
        <v>34</v>
      </c>
    </row>
    <row r="144" spans="1:24" x14ac:dyDescent="0.25">
      <c r="A144" s="284" t="str">
        <f>Tableau1[[#This Row],[Service]]</f>
        <v>DVC</v>
      </c>
      <c r="B144" s="284" t="str">
        <f>Tableau1[[#This Row],[Site]]</f>
        <v>Aub.</v>
      </c>
      <c r="C144" s="284" t="str">
        <f>Tableau1[[#This Row],[Manager]]</f>
        <v>SENEPART</v>
      </c>
      <c r="D144" s="284">
        <f>Tableau1[[#This Row],[Matricule]]</f>
        <v>102898</v>
      </c>
      <c r="E144" s="284" t="str">
        <f>Tableau1[[#This Row],[Nom]]</f>
        <v>GARCIA</v>
      </c>
      <c r="F144" s="284" t="str">
        <f>Tableau1[[#This Row],[Prénom]]</f>
        <v>Mickael</v>
      </c>
      <c r="G144" s="284" t="str">
        <f>Tableau1[[#This Row],[Axe
(Filières)]]</f>
        <v>Sécurité</v>
      </c>
      <c r="H144" s="284" t="str">
        <f>Tableau1[[#This Row],[Intitulé]]</f>
        <v>Incendie</v>
      </c>
      <c r="I144" s="284">
        <f>Tableau1[[#This Row],[Priorité
mger]]</f>
        <v>0</v>
      </c>
      <c r="J144" s="284" t="str">
        <f>Tableau1[[#This Row],[Organisme]]</f>
        <v>APAVE</v>
      </c>
      <c r="K144" s="284">
        <f>Tableau1[[#This Row],[Durée
H]]</f>
        <v>1.5</v>
      </c>
      <c r="L144" s="92">
        <f>Tableau1[[#This Row],[Coût
péda.]]</f>
        <v>53</v>
      </c>
      <c r="M144" s="284" t="str">
        <f>Tableau1[[#This Row],[Dispositif
(Plan / DIF)]]</f>
        <v>Plan</v>
      </c>
      <c r="N144" s="284" t="str">
        <f>Tableau1[[#This Row],[Axe
  (note cadrage)]]</f>
        <v>Formation obligatoire</v>
      </c>
      <c r="O144" s="285">
        <f>Tableau1[[#This Row],[Validation
(Oui/Non)]]</f>
        <v>0</v>
      </c>
      <c r="P144" s="287" t="str">
        <f>Tableau1[[#This Row],[Calendrier
de réalisation]]</f>
        <v>2019-Q2</v>
      </c>
      <c r="Q144" s="284"/>
      <c r="S144" s="286" t="str">
        <f>IFERROR(VLOOKUP('Plan 2019 consolidé'!$E144,Tableau5[],COLUMN(Tableau5[[#This Row],[Sexe2]]),FALSE),"")</f>
        <v>M</v>
      </c>
      <c r="W144" s="286">
        <f>IFERROR(VLOOKUP('Plan 2019 consolidé'!$E144,Tableau5[],COLUMN(Tableau5[[#This Row],[Age]]),FALSE),"")</f>
        <v>45</v>
      </c>
      <c r="X144" s="286">
        <f>IFERROR(VLOOKUP('Plan 2019 consolidé'!$E144,Tableau5[],COLUMN(Tableau5[[#This Row],[Nombre d''années d''ancienneté dans la société]]),FALSE),"")</f>
        <v>10</v>
      </c>
    </row>
    <row r="145" spans="1:24" x14ac:dyDescent="0.25">
      <c r="A145" s="284" t="str">
        <f>Tableau1[[#This Row],[Service]]</f>
        <v>DVC</v>
      </c>
      <c r="B145" s="284" t="str">
        <f>Tableau1[[#This Row],[Site]]</f>
        <v>Aub.</v>
      </c>
      <c r="C145" s="284" t="str">
        <f>Tableau1[[#This Row],[Manager]]</f>
        <v>SENEPART</v>
      </c>
      <c r="D145" s="284">
        <f>Tableau1[[#This Row],[Matricule]]</f>
        <v>102898</v>
      </c>
      <c r="E145" s="284" t="str">
        <f>Tableau1[[#This Row],[Nom]]</f>
        <v>GARCIA</v>
      </c>
      <c r="F145" s="284" t="str">
        <f>Tableau1[[#This Row],[Prénom]]</f>
        <v>Mickael</v>
      </c>
      <c r="G145" s="284" t="str">
        <f>Tableau1[[#This Row],[Axe
(Filières)]]</f>
        <v>Sécurité</v>
      </c>
      <c r="H145" s="284" t="str">
        <f>Tableau1[[#This Row],[Intitulé]]</f>
        <v>Recyclage SST</v>
      </c>
      <c r="I145" s="284">
        <f>Tableau1[[#This Row],[Priorité
mger]]</f>
        <v>0</v>
      </c>
      <c r="J145" s="284" t="str">
        <f>Tableau1[[#This Row],[Organisme]]</f>
        <v>CFSP</v>
      </c>
      <c r="K145" s="284">
        <f>Tableau1[[#This Row],[Durée
H]]</f>
        <v>7</v>
      </c>
      <c r="L145" s="92">
        <f>Tableau1[[#This Row],[Coût
péda.]]</f>
        <v>117</v>
      </c>
      <c r="M145" s="284" t="str">
        <f>Tableau1[[#This Row],[Dispositif
(Plan / DIF)]]</f>
        <v>Plan</v>
      </c>
      <c r="N145" s="284" t="str">
        <f>Tableau1[[#This Row],[Axe
  (note cadrage)]]</f>
        <v>Formation obligatoire</v>
      </c>
      <c r="O145" s="285">
        <f>Tableau1[[#This Row],[Validation
(Oui/Non)]]</f>
        <v>0</v>
      </c>
      <c r="P145" s="287" t="str">
        <f>Tableau1[[#This Row],[Calendrier
de réalisation]]</f>
        <v/>
      </c>
      <c r="Q145" s="284"/>
      <c r="S145" s="286" t="str">
        <f>IFERROR(VLOOKUP('Plan 2019 consolidé'!$E145,Tableau5[],COLUMN(Tableau5[[#This Row],[Sexe2]]),FALSE),"")</f>
        <v>M</v>
      </c>
      <c r="W145" s="286">
        <f>IFERROR(VLOOKUP('Plan 2019 consolidé'!$E145,Tableau5[],COLUMN(Tableau5[[#This Row],[Age]]),FALSE),"")</f>
        <v>45</v>
      </c>
      <c r="X145" s="286">
        <f>IFERROR(VLOOKUP('Plan 2019 consolidé'!$E145,Tableau5[],COLUMN(Tableau5[[#This Row],[Nombre d''années d''ancienneté dans la société]]),FALSE),"")</f>
        <v>10</v>
      </c>
    </row>
    <row r="146" spans="1:24" x14ac:dyDescent="0.25">
      <c r="A146" s="284" t="str">
        <f>Tableau1[[#This Row],[Service]]</f>
        <v>Non DVC</v>
      </c>
      <c r="B146" s="284" t="str">
        <f>Tableau1[[#This Row],[Site]]</f>
        <v>Lattes</v>
      </c>
      <c r="C146" s="284" t="str">
        <f>Tableau1[[#This Row],[Manager]]</f>
        <v>VERNE</v>
      </c>
      <c r="D146" s="284">
        <f>Tableau1[[#This Row],[Matricule]]</f>
        <v>190953</v>
      </c>
      <c r="E146" s="284" t="str">
        <f>Tableau1[[#This Row],[Nom]]</f>
        <v>GASCARD</v>
      </c>
      <c r="F146" s="284" t="str">
        <f>Tableau1[[#This Row],[Prénom]]</f>
        <v>Olivier</v>
      </c>
      <c r="G146" s="284" t="str">
        <f>Tableau1[[#This Row],[Axe
(Filières)]]</f>
        <v>Sécurité</v>
      </c>
      <c r="H146" s="284" t="str">
        <f>Tableau1[[#This Row],[Intitulé]]</f>
        <v>SENER</v>
      </c>
      <c r="I146" s="284">
        <f>Tableau1[[#This Row],[Priorité
mger]]</f>
        <v>0</v>
      </c>
      <c r="J146" s="284" t="str">
        <f>Tableau1[[#This Row],[Organisme]]</f>
        <v>SEEF</v>
      </c>
      <c r="K146" s="284">
        <f>Tableau1[[#This Row],[Durée
H]]</f>
        <v>7</v>
      </c>
      <c r="L146" s="92">
        <f>Tableau1[[#This Row],[Coût
péda.]]</f>
        <v>220</v>
      </c>
      <c r="M146" s="284" t="str">
        <f>Tableau1[[#This Row],[Dispositif
(Plan / DIF)]]</f>
        <v>Plan</v>
      </c>
      <c r="N146" s="284" t="str">
        <f>Tableau1[[#This Row],[Axe
  (note cadrage)]]</f>
        <v>Formation obligatoire</v>
      </c>
      <c r="O146" s="285">
        <f>Tableau1[[#This Row],[Validation
(Oui/Non)]]</f>
        <v>0</v>
      </c>
      <c r="P146" s="287" t="str">
        <f>Tableau1[[#This Row],[Calendrier
de réalisation]]</f>
        <v/>
      </c>
      <c r="Q146" s="284"/>
      <c r="S146" s="286" t="str">
        <f>IFERROR(VLOOKUP('Plan 2019 consolidé'!$E146,Tableau5[],COLUMN(Tableau5[[#This Row],[Sexe2]]),FALSE),"")</f>
        <v>M</v>
      </c>
      <c r="W146" s="286">
        <f>IFERROR(VLOOKUP('Plan 2019 consolidé'!$E146,Tableau5[],COLUMN(Tableau5[[#This Row],[Age]]),FALSE),"")</f>
        <v>46</v>
      </c>
      <c r="X146" s="286">
        <f>IFERROR(VLOOKUP('Plan 2019 consolidé'!$E146,Tableau5[],COLUMN(Tableau5[[#This Row],[Nombre d''années d''ancienneté dans la société]]),FALSE),"")</f>
        <v>14</v>
      </c>
    </row>
    <row r="147" spans="1:24" x14ac:dyDescent="0.25">
      <c r="A147" s="284" t="str">
        <f>Tableau1[[#This Row],[Service]]</f>
        <v>DVC</v>
      </c>
      <c r="B147" s="284" t="str">
        <f>Tableau1[[#This Row],[Site]]</f>
        <v>Aub.</v>
      </c>
      <c r="C147" s="284" t="str">
        <f>Tableau1[[#This Row],[Manager]]</f>
        <v>SENEPART</v>
      </c>
      <c r="D147" s="284">
        <f>Tableau1[[#This Row],[Matricule]]</f>
        <v>103081</v>
      </c>
      <c r="E147" s="284" t="str">
        <f>Tableau1[[#This Row],[Nom]]</f>
        <v>GAUTHIER</v>
      </c>
      <c r="F147" s="284" t="str">
        <f>Tableau1[[#This Row],[Prénom]]</f>
        <v>Laurent</v>
      </c>
      <c r="G147" s="284" t="str">
        <f>Tableau1[[#This Row],[Axe
(Filières)]]</f>
        <v>Sécurité</v>
      </c>
      <c r="H147" s="284" t="str">
        <f>Tableau1[[#This Row],[Intitulé]]</f>
        <v>Incendie</v>
      </c>
      <c r="I147" s="284">
        <f>Tableau1[[#This Row],[Priorité
mger]]</f>
        <v>0</v>
      </c>
      <c r="J147" s="284" t="str">
        <f>Tableau1[[#This Row],[Organisme]]</f>
        <v>APAVE</v>
      </c>
      <c r="K147" s="284">
        <f>Tableau1[[#This Row],[Durée
H]]</f>
        <v>1.5</v>
      </c>
      <c r="L147" s="92">
        <f>Tableau1[[#This Row],[Coût
péda.]]</f>
        <v>53</v>
      </c>
      <c r="M147" s="284" t="str">
        <f>Tableau1[[#This Row],[Dispositif
(Plan / DIF)]]</f>
        <v>Plan</v>
      </c>
      <c r="N147" s="284" t="str">
        <f>Tableau1[[#This Row],[Axe
  (note cadrage)]]</f>
        <v>Formation obligatoire</v>
      </c>
      <c r="O147" s="285">
        <f>Tableau1[[#This Row],[Validation
(Oui/Non)]]</f>
        <v>0</v>
      </c>
      <c r="P147" s="287" t="str">
        <f>Tableau1[[#This Row],[Calendrier
de réalisation]]</f>
        <v>2019-Q2</v>
      </c>
      <c r="Q147" s="284"/>
      <c r="S147" s="286" t="str">
        <f>IFERROR(VLOOKUP('Plan 2019 consolidé'!$E147,Tableau5[],COLUMN(Tableau5[[#This Row],[Sexe2]]),FALSE),"")</f>
        <v>M</v>
      </c>
      <c r="W147" s="286">
        <f>IFERROR(VLOOKUP('Plan 2019 consolidé'!$E147,Tableau5[],COLUMN(Tableau5[[#This Row],[Age]]),FALSE),"")</f>
        <v>56</v>
      </c>
      <c r="X147" s="286">
        <f>IFERROR(VLOOKUP('Plan 2019 consolidé'!$E147,Tableau5[],COLUMN(Tableau5[[#This Row],[Nombre d''années d''ancienneté dans la société]]),FALSE),"")</f>
        <v>35</v>
      </c>
    </row>
    <row r="148" spans="1:24" x14ac:dyDescent="0.25">
      <c r="A148" s="284" t="str">
        <f>Tableau1[[#This Row],[Service]]</f>
        <v>DVC</v>
      </c>
      <c r="B148" s="284" t="str">
        <f>Tableau1[[#This Row],[Site]]</f>
        <v>Aub.</v>
      </c>
      <c r="C148" s="284" t="str">
        <f>Tableau1[[#This Row],[Manager]]</f>
        <v>SENEPART</v>
      </c>
      <c r="D148" s="284">
        <f>Tableau1[[#This Row],[Matricule]]</f>
        <v>103081</v>
      </c>
      <c r="E148" s="284" t="str">
        <f>Tableau1[[#This Row],[Nom]]</f>
        <v>GAUTHIER</v>
      </c>
      <c r="F148" s="284" t="str">
        <f>Tableau1[[#This Row],[Prénom]]</f>
        <v>Laurent</v>
      </c>
      <c r="G148" s="284" t="str">
        <f>Tableau1[[#This Row],[Axe
(Filières)]]</f>
        <v>Sécurité</v>
      </c>
      <c r="H148" s="284" t="str">
        <f>Tableau1[[#This Row],[Intitulé]]</f>
        <v>Recyclage SST</v>
      </c>
      <c r="I148" s="284">
        <f>Tableau1[[#This Row],[Priorité
mger]]</f>
        <v>0</v>
      </c>
      <c r="J148" s="284" t="str">
        <f>Tableau1[[#This Row],[Organisme]]</f>
        <v>CFSP</v>
      </c>
      <c r="K148" s="284">
        <f>Tableau1[[#This Row],[Durée
H]]</f>
        <v>7</v>
      </c>
      <c r="L148" s="92">
        <f>Tableau1[[#This Row],[Coût
péda.]]</f>
        <v>117</v>
      </c>
      <c r="M148" s="284" t="str">
        <f>Tableau1[[#This Row],[Dispositif
(Plan / DIF)]]</f>
        <v>Plan</v>
      </c>
      <c r="N148" s="284" t="str">
        <f>Tableau1[[#This Row],[Axe
  (note cadrage)]]</f>
        <v>Formation obligatoire</v>
      </c>
      <c r="O148" s="285">
        <f>Tableau1[[#This Row],[Validation
(Oui/Non)]]</f>
        <v>0</v>
      </c>
      <c r="P148" s="287" t="str">
        <f>Tableau1[[#This Row],[Calendrier
de réalisation]]</f>
        <v/>
      </c>
      <c r="Q148" s="284"/>
      <c r="S148" s="286" t="str">
        <f>IFERROR(VLOOKUP('Plan 2019 consolidé'!$E148,Tableau5[],COLUMN(Tableau5[[#This Row],[Sexe2]]),FALSE),"")</f>
        <v>M</v>
      </c>
      <c r="W148" s="286">
        <f>IFERROR(VLOOKUP('Plan 2019 consolidé'!$E148,Tableau5[],COLUMN(Tableau5[[#This Row],[Age]]),FALSE),"")</f>
        <v>56</v>
      </c>
      <c r="X148" s="286">
        <f>IFERROR(VLOOKUP('Plan 2019 consolidé'!$E148,Tableau5[],COLUMN(Tableau5[[#This Row],[Nombre d''années d''ancienneté dans la société]]),FALSE),"")</f>
        <v>35</v>
      </c>
    </row>
    <row r="149" spans="1:24" x14ac:dyDescent="0.25">
      <c r="A149" s="284" t="str">
        <f>Tableau1[[#This Row],[Service]]</f>
        <v>DVC</v>
      </c>
      <c r="B149" s="284" t="str">
        <f>Tableau1[[#This Row],[Site]]</f>
        <v>STG</v>
      </c>
      <c r="C149" s="284" t="str">
        <f>Tableau1[[#This Row],[Manager]]</f>
        <v>XUEREB</v>
      </c>
      <c r="D149" s="284">
        <f>Tableau1[[#This Row],[Matricule]]</f>
        <v>104638</v>
      </c>
      <c r="E149" s="284" t="str">
        <f>Tableau1[[#This Row],[Nom]]</f>
        <v>GAYAT</v>
      </c>
      <c r="F149" s="284" t="str">
        <f>Tableau1[[#This Row],[Prénom]]</f>
        <v>Frederic</v>
      </c>
      <c r="G149" s="284" t="str">
        <f>Tableau1[[#This Row],[Axe
(Filières)]]</f>
        <v>Sécurité</v>
      </c>
      <c r="H149" s="284" t="str">
        <f>Tableau1[[#This Row],[Intitulé]]</f>
        <v>Gestes et postures</v>
      </c>
      <c r="I149" s="284">
        <f>Tableau1[[#This Row],[Priorité
mger]]</f>
        <v>0</v>
      </c>
      <c r="J149" s="284" t="str">
        <f>Tableau1[[#This Row],[Organisme]]</f>
        <v>APAVE</v>
      </c>
      <c r="K149" s="284">
        <f>Tableau1[[#This Row],[Durée
H]]</f>
        <v>7</v>
      </c>
      <c r="L149" s="92">
        <f>Tableau1[[#This Row],[Coût
péda.]]</f>
        <v>124</v>
      </c>
      <c r="M149" s="284" t="str">
        <f>Tableau1[[#This Row],[Dispositif
(Plan / DIF)]]</f>
        <v>Plan</v>
      </c>
      <c r="N149" s="284" t="str">
        <f>Tableau1[[#This Row],[Axe
  (note cadrage)]]</f>
        <v>Formation obligatoire</v>
      </c>
      <c r="O149" s="285">
        <f>Tableau1[[#This Row],[Validation
(Oui/Non)]]</f>
        <v>0</v>
      </c>
      <c r="P149" s="287">
        <f>Tableau1[[#This Row],[Calendrier
de réalisation]]</f>
        <v>0</v>
      </c>
      <c r="Q149" s="284"/>
      <c r="S149" s="286" t="str">
        <f>IFERROR(VLOOKUP('Plan 2019 consolidé'!$E149,Tableau5[],COLUMN(Tableau5[[#This Row],[Sexe2]]),FALSE),"")</f>
        <v>M</v>
      </c>
      <c r="W149" s="286">
        <f>IFERROR(VLOOKUP('Plan 2019 consolidé'!$E149,Tableau5[],COLUMN(Tableau5[[#This Row],[Age]]),FALSE),"")</f>
        <v>41</v>
      </c>
      <c r="X149" s="286">
        <f>IFERROR(VLOOKUP('Plan 2019 consolidé'!$E149,Tableau5[],COLUMN(Tableau5[[#This Row],[Nombre d''années d''ancienneté dans la société]]),FALSE),"")</f>
        <v>10</v>
      </c>
    </row>
    <row r="150" spans="1:24" x14ac:dyDescent="0.25">
      <c r="A150" s="284" t="str">
        <f>Tableau1[[#This Row],[Service]]</f>
        <v>DVC</v>
      </c>
      <c r="B150" s="284" t="str">
        <f>Tableau1[[#This Row],[Site]]</f>
        <v>STG</v>
      </c>
      <c r="C150" s="284" t="str">
        <f>Tableau1[[#This Row],[Manager]]</f>
        <v>XUEREB</v>
      </c>
      <c r="D150" s="284">
        <f>Tableau1[[#This Row],[Matricule]]</f>
        <v>104638</v>
      </c>
      <c r="E150" s="284" t="str">
        <f>Tableau1[[#This Row],[Nom]]</f>
        <v>GAYAT</v>
      </c>
      <c r="F150" s="284" t="str">
        <f>Tableau1[[#This Row],[Prénom]]</f>
        <v>Frederic</v>
      </c>
      <c r="G150" s="284" t="str">
        <f>Tableau1[[#This Row],[Axe
(Filières)]]</f>
        <v>Sécurité</v>
      </c>
      <c r="H150" s="284" t="str">
        <f>Tableau1[[#This Row],[Intitulé]]</f>
        <v>Incendie</v>
      </c>
      <c r="I150" s="284">
        <f>Tableau1[[#This Row],[Priorité
mger]]</f>
        <v>0</v>
      </c>
      <c r="J150" s="284" t="str">
        <f>Tableau1[[#This Row],[Organisme]]</f>
        <v>APAVE</v>
      </c>
      <c r="K150" s="284">
        <f>Tableau1[[#This Row],[Durée
H]]</f>
        <v>1.5</v>
      </c>
      <c r="L150" s="92">
        <f>Tableau1[[#This Row],[Coût
péda.]]</f>
        <v>53</v>
      </c>
      <c r="M150" s="284" t="str">
        <f>Tableau1[[#This Row],[Dispositif
(Plan / DIF)]]</f>
        <v>Plan</v>
      </c>
      <c r="N150" s="284" t="str">
        <f>Tableau1[[#This Row],[Axe
  (note cadrage)]]</f>
        <v>Formation obligatoire</v>
      </c>
      <c r="O150" s="285">
        <f>Tableau1[[#This Row],[Validation
(Oui/Non)]]</f>
        <v>0</v>
      </c>
      <c r="P150" s="287" t="str">
        <f>Tableau1[[#This Row],[Calendrier
de réalisation]]</f>
        <v>2019-Q1</v>
      </c>
      <c r="Q150" s="284"/>
      <c r="S150" s="286" t="str">
        <f>IFERROR(VLOOKUP('Plan 2019 consolidé'!$E150,Tableau5[],COLUMN(Tableau5[[#This Row],[Sexe2]]),FALSE),"")</f>
        <v>M</v>
      </c>
      <c r="W150" s="286">
        <f>IFERROR(VLOOKUP('Plan 2019 consolidé'!$E150,Tableau5[],COLUMN(Tableau5[[#This Row],[Age]]),FALSE),"")</f>
        <v>41</v>
      </c>
      <c r="X150" s="286">
        <f>IFERROR(VLOOKUP('Plan 2019 consolidé'!$E150,Tableau5[],COLUMN(Tableau5[[#This Row],[Nombre d''années d''ancienneté dans la société]]),FALSE),"")</f>
        <v>10</v>
      </c>
    </row>
    <row r="151" spans="1:24" x14ac:dyDescent="0.25">
      <c r="A151" s="284" t="str">
        <f>Tableau1[[#This Row],[Service]]</f>
        <v>DVC</v>
      </c>
      <c r="B151" s="284" t="str">
        <f>Tableau1[[#This Row],[Site]]</f>
        <v>STG</v>
      </c>
      <c r="C151" s="284" t="str">
        <f>Tableau1[[#This Row],[Manager]]</f>
        <v>XUEREB</v>
      </c>
      <c r="D151" s="284">
        <f>Tableau1[[#This Row],[Matricule]]</f>
        <v>104638</v>
      </c>
      <c r="E151" s="284" t="str">
        <f>Tableau1[[#This Row],[Nom]]</f>
        <v>GAYAT</v>
      </c>
      <c r="F151" s="284" t="str">
        <f>Tableau1[[#This Row],[Prénom]]</f>
        <v>Frederic</v>
      </c>
      <c r="G151" s="284" t="str">
        <f>Tableau1[[#This Row],[Axe
(Filières)]]</f>
        <v>Sécurité</v>
      </c>
      <c r="H151" s="284" t="str">
        <f>Tableau1[[#This Row],[Intitulé]]</f>
        <v>Recyclage pont rou</v>
      </c>
      <c r="I151" s="284">
        <f>Tableau1[[#This Row],[Priorité
mger]]</f>
        <v>0</v>
      </c>
      <c r="J151" s="284" t="str">
        <f>Tableau1[[#This Row],[Organisme]]</f>
        <v>APAVE</v>
      </c>
      <c r="K151" s="284">
        <f>Tableau1[[#This Row],[Durée
H]]</f>
        <v>7</v>
      </c>
      <c r="L151" s="92">
        <f>Tableau1[[#This Row],[Coût
péda.]]</f>
        <v>165</v>
      </c>
      <c r="M151" s="284" t="str">
        <f>Tableau1[[#This Row],[Dispositif
(Plan / DIF)]]</f>
        <v>Plan</v>
      </c>
      <c r="N151" s="284" t="str">
        <f>Tableau1[[#This Row],[Axe
  (note cadrage)]]</f>
        <v>Formation obligatoire</v>
      </c>
      <c r="O151" s="285">
        <f>Tableau1[[#This Row],[Validation
(Oui/Non)]]</f>
        <v>0</v>
      </c>
      <c r="P151" s="287" t="str">
        <f>Tableau1[[#This Row],[Calendrier
de réalisation]]</f>
        <v/>
      </c>
      <c r="Q151" s="284"/>
      <c r="S151" s="286" t="str">
        <f>IFERROR(VLOOKUP('Plan 2019 consolidé'!$E151,Tableau5[],COLUMN(Tableau5[[#This Row],[Sexe2]]),FALSE),"")</f>
        <v>M</v>
      </c>
      <c r="W151" s="286">
        <f>IFERROR(VLOOKUP('Plan 2019 consolidé'!$E151,Tableau5[],COLUMN(Tableau5[[#This Row],[Age]]),FALSE),"")</f>
        <v>41</v>
      </c>
      <c r="X151" s="286">
        <f>IFERROR(VLOOKUP('Plan 2019 consolidé'!$E151,Tableau5[],COLUMN(Tableau5[[#This Row],[Nombre d''années d''ancienneté dans la société]]),FALSE),"")</f>
        <v>10</v>
      </c>
    </row>
    <row r="152" spans="1:24" x14ac:dyDescent="0.25">
      <c r="A152" s="284" t="str">
        <f>Tableau1[[#This Row],[Service]]</f>
        <v>DVC</v>
      </c>
      <c r="B152" s="284" t="str">
        <f>Tableau1[[#This Row],[Site]]</f>
        <v>STG</v>
      </c>
      <c r="C152" s="284" t="str">
        <f>Tableau1[[#This Row],[Manager]]</f>
        <v>XUEREB</v>
      </c>
      <c r="D152" s="284">
        <f>Tableau1[[#This Row],[Matricule]]</f>
        <v>104638</v>
      </c>
      <c r="E152" s="284" t="str">
        <f>Tableau1[[#This Row],[Nom]]</f>
        <v>GAYAT</v>
      </c>
      <c r="F152" s="284" t="str">
        <f>Tableau1[[#This Row],[Prénom]]</f>
        <v>Frederic</v>
      </c>
      <c r="G152" s="284" t="str">
        <f>Tableau1[[#This Row],[Axe
(Filières)]]</f>
        <v>Sécurité</v>
      </c>
      <c r="H152" s="284" t="str">
        <f>Tableau1[[#This Row],[Intitulé]]</f>
        <v>Recyclage SST</v>
      </c>
      <c r="I152" s="284">
        <f>Tableau1[[#This Row],[Priorité
mger]]</f>
        <v>0</v>
      </c>
      <c r="J152" s="284" t="str">
        <f>Tableau1[[#This Row],[Organisme]]</f>
        <v>CFSP</v>
      </c>
      <c r="K152" s="284">
        <f>Tableau1[[#This Row],[Durée
H]]</f>
        <v>7</v>
      </c>
      <c r="L152" s="92">
        <f>Tableau1[[#This Row],[Coût
péda.]]</f>
        <v>117</v>
      </c>
      <c r="M152" s="284" t="str">
        <f>Tableau1[[#This Row],[Dispositif
(Plan / DIF)]]</f>
        <v>Plan</v>
      </c>
      <c r="N152" s="284" t="str">
        <f>Tableau1[[#This Row],[Axe
  (note cadrage)]]</f>
        <v>Formation obligatoire</v>
      </c>
      <c r="O152" s="285">
        <f>Tableau1[[#This Row],[Validation
(Oui/Non)]]</f>
        <v>0</v>
      </c>
      <c r="P152" s="287" t="str">
        <f>Tableau1[[#This Row],[Calendrier
de réalisation]]</f>
        <v/>
      </c>
      <c r="Q152" s="284"/>
      <c r="S152" s="286" t="str">
        <f>IFERROR(VLOOKUP('Plan 2019 consolidé'!$E152,Tableau5[],COLUMN(Tableau5[[#This Row],[Sexe2]]),FALSE),"")</f>
        <v>M</v>
      </c>
      <c r="W152" s="286">
        <f>IFERROR(VLOOKUP('Plan 2019 consolidé'!$E152,Tableau5[],COLUMN(Tableau5[[#This Row],[Age]]),FALSE),"")</f>
        <v>41</v>
      </c>
      <c r="X152" s="286">
        <f>IFERROR(VLOOKUP('Plan 2019 consolidé'!$E152,Tableau5[],COLUMN(Tableau5[[#This Row],[Nombre d''années d''ancienneté dans la société]]),FALSE),"")</f>
        <v>10</v>
      </c>
    </row>
    <row r="153" spans="1:24" x14ac:dyDescent="0.25">
      <c r="A153" s="284" t="str">
        <f>Tableau1[[#This Row],[Service]]</f>
        <v>DVC</v>
      </c>
      <c r="B153" s="284" t="str">
        <f>Tableau1[[#This Row],[Site]]</f>
        <v>STG</v>
      </c>
      <c r="C153" s="284" t="str">
        <f>Tableau1[[#This Row],[Manager]]</f>
        <v>XUEREB</v>
      </c>
      <c r="D153" s="284">
        <f>Tableau1[[#This Row],[Matricule]]</f>
        <v>104638</v>
      </c>
      <c r="E153" s="284" t="str">
        <f>Tableau1[[#This Row],[Nom]]</f>
        <v>GAYAT</v>
      </c>
      <c r="F153" s="284" t="str">
        <f>Tableau1[[#This Row],[Prénom]]</f>
        <v>Frederic</v>
      </c>
      <c r="G153" s="284" t="str">
        <f>Tableau1[[#This Row],[Axe
(Filières)]]</f>
        <v>Sécurité</v>
      </c>
      <c r="H153" s="284" t="str">
        <f>Tableau1[[#This Row],[Intitulé]]</f>
        <v>HAB ELEC</v>
      </c>
      <c r="I153" s="284">
        <f>Tableau1[[#This Row],[Priorité
mger]]</f>
        <v>0</v>
      </c>
      <c r="J153" s="284" t="str">
        <f>Tableau1[[#This Row],[Organisme]]</f>
        <v>SEEF</v>
      </c>
      <c r="K153" s="284">
        <f>Tableau1[[#This Row],[Durée
H]]</f>
        <v>10.5</v>
      </c>
      <c r="L153" s="92">
        <f>Tableau1[[#This Row],[Coût
péda.]]</f>
        <v>260</v>
      </c>
      <c r="M153" s="284" t="str">
        <f>Tableau1[[#This Row],[Dispositif
(Plan / DIF)]]</f>
        <v>Plan</v>
      </c>
      <c r="N153" s="284" t="str">
        <f>Tableau1[[#This Row],[Axe
  (note cadrage)]]</f>
        <v>Formation obligatoire</v>
      </c>
      <c r="O153" s="285">
        <f>Tableau1[[#This Row],[Validation
(Oui/Non)]]</f>
        <v>0</v>
      </c>
      <c r="P153" s="287" t="str">
        <f>Tableau1[[#This Row],[Calendrier
de réalisation]]</f>
        <v/>
      </c>
      <c r="Q153" s="284"/>
      <c r="S153" s="286" t="str">
        <f>IFERROR(VLOOKUP('Plan 2019 consolidé'!$E153,Tableau5[],COLUMN(Tableau5[[#This Row],[Sexe2]]),FALSE),"")</f>
        <v>M</v>
      </c>
      <c r="W153" s="286">
        <f>IFERROR(VLOOKUP('Plan 2019 consolidé'!$E153,Tableau5[],COLUMN(Tableau5[[#This Row],[Age]]),FALSE),"")</f>
        <v>41</v>
      </c>
      <c r="X153" s="286">
        <f>IFERROR(VLOOKUP('Plan 2019 consolidé'!$E153,Tableau5[],COLUMN(Tableau5[[#This Row],[Nombre d''années d''ancienneté dans la société]]),FALSE),"")</f>
        <v>10</v>
      </c>
    </row>
    <row r="154" spans="1:24" x14ac:dyDescent="0.25">
      <c r="A154" s="284" t="str">
        <f>Tableau1[[#This Row],[Service]]</f>
        <v>DVC</v>
      </c>
      <c r="B154" s="284" t="str">
        <f>Tableau1[[#This Row],[Site]]</f>
        <v>STG</v>
      </c>
      <c r="C154" s="284" t="str">
        <f>Tableau1[[#This Row],[Manager]]</f>
        <v>FOUASSIER</v>
      </c>
      <c r="D154" s="284">
        <f>Tableau1[[#This Row],[Matricule]]</f>
        <v>76818</v>
      </c>
      <c r="E154" s="284" t="str">
        <f>Tableau1[[#This Row],[Nom]]</f>
        <v>GENNARO</v>
      </c>
      <c r="F154" s="284" t="str">
        <f>Tableau1[[#This Row],[Prénom]]</f>
        <v>Serge</v>
      </c>
      <c r="G154" s="284" t="str">
        <f>Tableau1[[#This Row],[Axe
(Filières)]]</f>
        <v>Sécurité</v>
      </c>
      <c r="H154" s="284" t="str">
        <f>Tableau1[[#This Row],[Intitulé]]</f>
        <v>Recyclage CACES3</v>
      </c>
      <c r="I154" s="284">
        <f>Tableau1[[#This Row],[Priorité
mger]]</f>
        <v>0</v>
      </c>
      <c r="J154" s="284" t="str">
        <f>Tableau1[[#This Row],[Organisme]]</f>
        <v>APAVE</v>
      </c>
      <c r="K154" s="284">
        <f>Tableau1[[#This Row],[Durée
H]]</f>
        <v>14</v>
      </c>
      <c r="L154" s="92">
        <f>Tableau1[[#This Row],[Coût
péda.]]</f>
        <v>297</v>
      </c>
      <c r="M154" s="284" t="str">
        <f>Tableau1[[#This Row],[Dispositif
(Plan / DIF)]]</f>
        <v>Plan</v>
      </c>
      <c r="N154" s="284" t="str">
        <f>Tableau1[[#This Row],[Axe
  (note cadrage)]]</f>
        <v>Formation obligatoire</v>
      </c>
      <c r="O154" s="285">
        <f>Tableau1[[#This Row],[Validation
(Oui/Non)]]</f>
        <v>0</v>
      </c>
      <c r="P154" s="287" t="str">
        <f>Tableau1[[#This Row],[Calendrier
de réalisation]]</f>
        <v>2019-Q2</v>
      </c>
      <c r="Q154" s="284"/>
      <c r="S154" s="286" t="str">
        <f>IFERROR(VLOOKUP('Plan 2019 consolidé'!$E154,Tableau5[],COLUMN(Tableau5[[#This Row],[Sexe2]]),FALSE),"")</f>
        <v>M</v>
      </c>
      <c r="W154" s="286">
        <f>IFERROR(VLOOKUP('Plan 2019 consolidé'!$E154,Tableau5[],COLUMN(Tableau5[[#This Row],[Age]]),FALSE),"")</f>
        <v>57</v>
      </c>
      <c r="X154" s="286">
        <f>IFERROR(VLOOKUP('Plan 2019 consolidé'!$E154,Tableau5[],COLUMN(Tableau5[[#This Row],[Nombre d''années d''ancienneté dans la société]]),FALSE),"")</f>
        <v>0</v>
      </c>
    </row>
    <row r="155" spans="1:24" x14ac:dyDescent="0.25">
      <c r="A155" s="284" t="str">
        <f>Tableau1[[#This Row],[Service]]</f>
        <v>Non DVC</v>
      </c>
      <c r="B155" s="284" t="str">
        <f>Tableau1[[#This Row],[Site]]</f>
        <v>Aub.</v>
      </c>
      <c r="C155" s="284" t="str">
        <f>Tableau1[[#This Row],[Manager]]</f>
        <v>DARDARE</v>
      </c>
      <c r="D155" s="284">
        <f>Tableau1[[#This Row],[Matricule]]</f>
        <v>103004</v>
      </c>
      <c r="E155" s="284" t="str">
        <f>Tableau1[[#This Row],[Nom]]</f>
        <v>GHERSA</v>
      </c>
      <c r="F155" s="284" t="str">
        <f>Tableau1[[#This Row],[Prénom]]</f>
        <v>Ouali</v>
      </c>
      <c r="G155" s="284" t="str">
        <f>Tableau1[[#This Row],[Axe
(Filières)]]</f>
        <v>Sécurité</v>
      </c>
      <c r="H155" s="284" t="str">
        <f>Tableau1[[#This Row],[Intitulé]]</f>
        <v>Incendie</v>
      </c>
      <c r="I155" s="284">
        <f>Tableau1[[#This Row],[Priorité
mger]]</f>
        <v>0</v>
      </c>
      <c r="J155" s="284" t="str">
        <f>Tableau1[[#This Row],[Organisme]]</f>
        <v>APAVE</v>
      </c>
      <c r="K155" s="284">
        <f>Tableau1[[#This Row],[Durée
H]]</f>
        <v>1.5</v>
      </c>
      <c r="L155" s="92">
        <f>Tableau1[[#This Row],[Coût
péda.]]</f>
        <v>53</v>
      </c>
      <c r="M155" s="284" t="str">
        <f>Tableau1[[#This Row],[Dispositif
(Plan / DIF)]]</f>
        <v>Plan</v>
      </c>
      <c r="N155" s="284" t="str">
        <f>Tableau1[[#This Row],[Axe
  (note cadrage)]]</f>
        <v>Formation obligatoire</v>
      </c>
      <c r="O155" s="285">
        <f>Tableau1[[#This Row],[Validation
(Oui/Non)]]</f>
        <v>0</v>
      </c>
      <c r="P155" s="287" t="str">
        <f>Tableau1[[#This Row],[Calendrier
de réalisation]]</f>
        <v>2019-Q2</v>
      </c>
      <c r="Q155" s="284"/>
      <c r="S155" s="286" t="str">
        <f>IFERROR(VLOOKUP('Plan 2019 consolidé'!$E155,Tableau5[],COLUMN(Tableau5[[#This Row],[Sexe2]]),FALSE),"")</f>
        <v>M</v>
      </c>
      <c r="W155" s="286">
        <f>IFERROR(VLOOKUP('Plan 2019 consolidé'!$E155,Tableau5[],COLUMN(Tableau5[[#This Row],[Age]]),FALSE),"")</f>
        <v>50</v>
      </c>
      <c r="X155" s="286">
        <f>IFERROR(VLOOKUP('Plan 2019 consolidé'!$E155,Tableau5[],COLUMN(Tableau5[[#This Row],[Nombre d''années d''ancienneté dans la société]]),FALSE),"")</f>
        <v>20</v>
      </c>
    </row>
    <row r="156" spans="1:24" x14ac:dyDescent="0.25">
      <c r="A156" s="284" t="str">
        <f>Tableau1[[#This Row],[Service]]</f>
        <v>Non DVC</v>
      </c>
      <c r="B156" s="284" t="str">
        <f>Tableau1[[#This Row],[Site]]</f>
        <v>Aub.</v>
      </c>
      <c r="C156" s="284" t="str">
        <f>Tableau1[[#This Row],[Manager]]</f>
        <v>DARDARE</v>
      </c>
      <c r="D156" s="284">
        <f>Tableau1[[#This Row],[Matricule]]</f>
        <v>103004</v>
      </c>
      <c r="E156" s="284" t="str">
        <f>Tableau1[[#This Row],[Nom]]</f>
        <v>GHERSA</v>
      </c>
      <c r="F156" s="284" t="str">
        <f>Tableau1[[#This Row],[Prénom]]</f>
        <v>Ouali</v>
      </c>
      <c r="G156" s="284" t="str">
        <f>Tableau1[[#This Row],[Axe
(Filières)]]</f>
        <v>Sécurité</v>
      </c>
      <c r="H156" s="284" t="str">
        <f>Tableau1[[#This Row],[Intitulé]]</f>
        <v>Recyclage SST</v>
      </c>
      <c r="I156" s="284">
        <f>Tableau1[[#This Row],[Priorité
mger]]</f>
        <v>0</v>
      </c>
      <c r="J156" s="284" t="str">
        <f>Tableau1[[#This Row],[Organisme]]</f>
        <v>CFSP</v>
      </c>
      <c r="K156" s="284">
        <f>Tableau1[[#This Row],[Durée
H]]</f>
        <v>7</v>
      </c>
      <c r="L156" s="92">
        <f>Tableau1[[#This Row],[Coût
péda.]]</f>
        <v>117</v>
      </c>
      <c r="M156" s="284" t="str">
        <f>Tableau1[[#This Row],[Dispositif
(Plan / DIF)]]</f>
        <v>Plan</v>
      </c>
      <c r="N156" s="284" t="str">
        <f>Tableau1[[#This Row],[Axe
  (note cadrage)]]</f>
        <v>Formation obligatoire</v>
      </c>
      <c r="O156" s="285">
        <f>Tableau1[[#This Row],[Validation
(Oui/Non)]]</f>
        <v>0</v>
      </c>
      <c r="P156" s="287" t="str">
        <f>Tableau1[[#This Row],[Calendrier
de réalisation]]</f>
        <v/>
      </c>
      <c r="Q156" s="284"/>
      <c r="S156" s="286" t="str">
        <f>IFERROR(VLOOKUP('Plan 2019 consolidé'!$E156,Tableau5[],COLUMN(Tableau5[[#This Row],[Sexe2]]),FALSE),"")</f>
        <v>M</v>
      </c>
      <c r="W156" s="286">
        <f>IFERROR(VLOOKUP('Plan 2019 consolidé'!$E156,Tableau5[],COLUMN(Tableau5[[#This Row],[Age]]),FALSE),"")</f>
        <v>50</v>
      </c>
      <c r="X156" s="286">
        <f>IFERROR(VLOOKUP('Plan 2019 consolidé'!$E156,Tableau5[],COLUMN(Tableau5[[#This Row],[Nombre d''années d''ancienneté dans la société]]),FALSE),"")</f>
        <v>20</v>
      </c>
    </row>
    <row r="157" spans="1:24" x14ac:dyDescent="0.25">
      <c r="A157" s="284" t="str">
        <f>Tableau1[[#This Row],[Service]]</f>
        <v>DVC</v>
      </c>
      <c r="B157" s="284" t="str">
        <f>Tableau1[[#This Row],[Site]]</f>
        <v>Aub.</v>
      </c>
      <c r="C157" s="284" t="str">
        <f>Tableau1[[#This Row],[Manager]]</f>
        <v>PIFFAUT</v>
      </c>
      <c r="D157" s="284">
        <f>Tableau1[[#This Row],[Matricule]]</f>
        <v>103046</v>
      </c>
      <c r="E157" s="284" t="str">
        <f>Tableau1[[#This Row],[Nom]]</f>
        <v>GINESTE</v>
      </c>
      <c r="F157" s="284" t="str">
        <f>Tableau1[[#This Row],[Prénom]]</f>
        <v>Thierry</v>
      </c>
      <c r="G157" s="284" t="str">
        <f>Tableau1[[#This Row],[Axe
(Filières)]]</f>
        <v>Sécurité</v>
      </c>
      <c r="H157" s="284" t="str">
        <f>Tableau1[[#This Row],[Intitulé]]</f>
        <v>Incendie</v>
      </c>
      <c r="I157" s="284">
        <f>Tableau1[[#This Row],[Priorité
mger]]</f>
        <v>0</v>
      </c>
      <c r="J157" s="284" t="str">
        <f>Tableau1[[#This Row],[Organisme]]</f>
        <v>APAVE</v>
      </c>
      <c r="K157" s="284">
        <f>Tableau1[[#This Row],[Durée
H]]</f>
        <v>1.5</v>
      </c>
      <c r="L157" s="92">
        <f>Tableau1[[#This Row],[Coût
péda.]]</f>
        <v>53</v>
      </c>
      <c r="M157" s="284" t="str">
        <f>Tableau1[[#This Row],[Dispositif
(Plan / DIF)]]</f>
        <v>Plan</v>
      </c>
      <c r="N157" s="284" t="str">
        <f>Tableau1[[#This Row],[Axe
  (note cadrage)]]</f>
        <v>Formation obligatoire</v>
      </c>
      <c r="O157" s="285">
        <f>Tableau1[[#This Row],[Validation
(Oui/Non)]]</f>
        <v>0</v>
      </c>
      <c r="P157" s="287" t="str">
        <f>Tableau1[[#This Row],[Calendrier
de réalisation]]</f>
        <v>2019-Q2</v>
      </c>
      <c r="Q157" s="284"/>
      <c r="S157" s="286" t="str">
        <f>IFERROR(VLOOKUP('Plan 2019 consolidé'!$E157,Tableau5[],COLUMN(Tableau5[[#This Row],[Sexe2]]),FALSE),"")</f>
        <v>M</v>
      </c>
      <c r="W157" s="286">
        <f>IFERROR(VLOOKUP('Plan 2019 consolidé'!$E157,Tableau5[],COLUMN(Tableau5[[#This Row],[Age]]),FALSE),"")</f>
        <v>49</v>
      </c>
      <c r="X157" s="286">
        <f>IFERROR(VLOOKUP('Plan 2019 consolidé'!$E157,Tableau5[],COLUMN(Tableau5[[#This Row],[Nombre d''années d''ancienneté dans la société]]),FALSE),"")</f>
        <v>28</v>
      </c>
    </row>
    <row r="158" spans="1:24" x14ac:dyDescent="0.25">
      <c r="A158" s="284" t="str">
        <f>Tableau1[[#This Row],[Service]]</f>
        <v>DVC</v>
      </c>
      <c r="B158" s="284" t="str">
        <f>Tableau1[[#This Row],[Site]]</f>
        <v>Aub.</v>
      </c>
      <c r="C158" s="284" t="str">
        <f>Tableau1[[#This Row],[Manager]]</f>
        <v>PIFFAUT</v>
      </c>
      <c r="D158" s="284">
        <f>Tableau1[[#This Row],[Matricule]]</f>
        <v>103046</v>
      </c>
      <c r="E158" s="284" t="str">
        <f>Tableau1[[#This Row],[Nom]]</f>
        <v>GINESTE</v>
      </c>
      <c r="F158" s="284" t="str">
        <f>Tableau1[[#This Row],[Prénom]]</f>
        <v>Thierry</v>
      </c>
      <c r="G158" s="284" t="str">
        <f>Tableau1[[#This Row],[Axe
(Filières)]]</f>
        <v>Sécurité</v>
      </c>
      <c r="H158" s="284" t="str">
        <f>Tableau1[[#This Row],[Intitulé]]</f>
        <v>HAB ELEC</v>
      </c>
      <c r="I158" s="284">
        <f>Tableau1[[#This Row],[Priorité
mger]]</f>
        <v>0</v>
      </c>
      <c r="J158" s="284" t="str">
        <f>Tableau1[[#This Row],[Organisme]]</f>
        <v>SEEF</v>
      </c>
      <c r="K158" s="284">
        <f>Tableau1[[#This Row],[Durée
H]]</f>
        <v>10.5</v>
      </c>
      <c r="L158" s="92">
        <f>Tableau1[[#This Row],[Coût
péda.]]</f>
        <v>260</v>
      </c>
      <c r="M158" s="284" t="str">
        <f>Tableau1[[#This Row],[Dispositif
(Plan / DIF)]]</f>
        <v>Plan</v>
      </c>
      <c r="N158" s="284" t="str">
        <f>Tableau1[[#This Row],[Axe
  (note cadrage)]]</f>
        <v>Formation obligatoire</v>
      </c>
      <c r="O158" s="285">
        <f>Tableau1[[#This Row],[Validation
(Oui/Non)]]</f>
        <v>0</v>
      </c>
      <c r="P158" s="287" t="str">
        <f>Tableau1[[#This Row],[Calendrier
de réalisation]]</f>
        <v/>
      </c>
      <c r="Q158" s="284"/>
      <c r="S158" s="286" t="str">
        <f>IFERROR(VLOOKUP('Plan 2019 consolidé'!$E158,Tableau5[],COLUMN(Tableau5[[#This Row],[Sexe2]]),FALSE),"")</f>
        <v>M</v>
      </c>
      <c r="W158" s="286">
        <f>IFERROR(VLOOKUP('Plan 2019 consolidé'!$E158,Tableau5[],COLUMN(Tableau5[[#This Row],[Age]]),FALSE),"")</f>
        <v>49</v>
      </c>
      <c r="X158" s="286">
        <f>IFERROR(VLOOKUP('Plan 2019 consolidé'!$E158,Tableau5[],COLUMN(Tableau5[[#This Row],[Nombre d''années d''ancienneté dans la société]]),FALSE),"")</f>
        <v>28</v>
      </c>
    </row>
    <row r="159" spans="1:24" x14ac:dyDescent="0.25">
      <c r="A159" s="284" t="str">
        <f>Tableau1[[#This Row],[Service]]</f>
        <v>DVC</v>
      </c>
      <c r="B159" s="284" t="str">
        <f>Tableau1[[#This Row],[Site]]</f>
        <v>STG</v>
      </c>
      <c r="C159" s="284" t="str">
        <f>Tableau1[[#This Row],[Manager]]</f>
        <v>BUISSON</v>
      </c>
      <c r="D159" s="284">
        <f>Tableau1[[#This Row],[Matricule]]</f>
        <v>104656</v>
      </c>
      <c r="E159" s="284" t="str">
        <f>Tableau1[[#This Row],[Nom]]</f>
        <v>GOURBAT</v>
      </c>
      <c r="F159" s="284" t="str">
        <f>Tableau1[[#This Row],[Prénom]]</f>
        <v>Thierry</v>
      </c>
      <c r="G159" s="284" t="str">
        <f>Tableau1[[#This Row],[Axe
(Filières)]]</f>
        <v>Sécurité</v>
      </c>
      <c r="H159" s="284" t="str">
        <f>Tableau1[[#This Row],[Intitulé]]</f>
        <v>Gestes et postures</v>
      </c>
      <c r="I159" s="284">
        <f>Tableau1[[#This Row],[Priorité
mger]]</f>
        <v>0</v>
      </c>
      <c r="J159" s="284" t="str">
        <f>Tableau1[[#This Row],[Organisme]]</f>
        <v>APAVE</v>
      </c>
      <c r="K159" s="284">
        <f>Tableau1[[#This Row],[Durée
H]]</f>
        <v>7</v>
      </c>
      <c r="L159" s="92">
        <f>Tableau1[[#This Row],[Coût
péda.]]</f>
        <v>124</v>
      </c>
      <c r="M159" s="284" t="str">
        <f>Tableau1[[#This Row],[Dispositif
(Plan / DIF)]]</f>
        <v>Plan</v>
      </c>
      <c r="N159" s="284" t="str">
        <f>Tableau1[[#This Row],[Axe
  (note cadrage)]]</f>
        <v>Formation obligatoire</v>
      </c>
      <c r="O159" s="285">
        <f>Tableau1[[#This Row],[Validation
(Oui/Non)]]</f>
        <v>0</v>
      </c>
      <c r="P159" s="287">
        <f>Tableau1[[#This Row],[Calendrier
de réalisation]]</f>
        <v>0</v>
      </c>
      <c r="Q159" s="284"/>
      <c r="S159" s="286" t="str">
        <f>IFERROR(VLOOKUP('Plan 2019 consolidé'!$E159,Tableau5[],COLUMN(Tableau5[[#This Row],[Sexe2]]),FALSE),"")</f>
        <v>M</v>
      </c>
      <c r="W159" s="286">
        <f>IFERROR(VLOOKUP('Plan 2019 consolidé'!$E159,Tableau5[],COLUMN(Tableau5[[#This Row],[Age]]),FALSE),"")</f>
        <v>54</v>
      </c>
      <c r="X159" s="286">
        <f>IFERROR(VLOOKUP('Plan 2019 consolidé'!$E159,Tableau5[],COLUMN(Tableau5[[#This Row],[Nombre d''années d''ancienneté dans la société]]),FALSE),"")</f>
        <v>10</v>
      </c>
    </row>
    <row r="160" spans="1:24" x14ac:dyDescent="0.25">
      <c r="A160" s="284" t="str">
        <f>Tableau1[[#This Row],[Service]]</f>
        <v>DVC</v>
      </c>
      <c r="B160" s="284" t="str">
        <f>Tableau1[[#This Row],[Site]]</f>
        <v>STG</v>
      </c>
      <c r="C160" s="284" t="str">
        <f>Tableau1[[#This Row],[Manager]]</f>
        <v>BUISSON</v>
      </c>
      <c r="D160" s="284">
        <f>Tableau1[[#This Row],[Matricule]]</f>
        <v>104656</v>
      </c>
      <c r="E160" s="284" t="str">
        <f>Tableau1[[#This Row],[Nom]]</f>
        <v>GOURBAT</v>
      </c>
      <c r="F160" s="284" t="str">
        <f>Tableau1[[#This Row],[Prénom]]</f>
        <v>Thierry</v>
      </c>
      <c r="G160" s="284" t="str">
        <f>Tableau1[[#This Row],[Axe
(Filières)]]</f>
        <v>Sécurité</v>
      </c>
      <c r="H160" s="284" t="str">
        <f>Tableau1[[#This Row],[Intitulé]]</f>
        <v>HAB ELEC</v>
      </c>
      <c r="I160" s="284">
        <f>Tableau1[[#This Row],[Priorité
mger]]</f>
        <v>0</v>
      </c>
      <c r="J160" s="284" t="str">
        <f>Tableau1[[#This Row],[Organisme]]</f>
        <v>SEEF</v>
      </c>
      <c r="K160" s="284">
        <f>Tableau1[[#This Row],[Durée
H]]</f>
        <v>10.5</v>
      </c>
      <c r="L160" s="92">
        <f>Tableau1[[#This Row],[Coût
péda.]]</f>
        <v>260</v>
      </c>
      <c r="M160" s="284" t="str">
        <f>Tableau1[[#This Row],[Dispositif
(Plan / DIF)]]</f>
        <v>Plan</v>
      </c>
      <c r="N160" s="284" t="str">
        <f>Tableau1[[#This Row],[Axe
  (note cadrage)]]</f>
        <v>Formation obligatoire</v>
      </c>
      <c r="O160" s="285">
        <f>Tableau1[[#This Row],[Validation
(Oui/Non)]]</f>
        <v>0</v>
      </c>
      <c r="P160" s="287" t="str">
        <f>Tableau1[[#This Row],[Calendrier
de réalisation]]</f>
        <v/>
      </c>
      <c r="Q160" s="284"/>
      <c r="S160" s="286" t="str">
        <f>IFERROR(VLOOKUP('Plan 2019 consolidé'!$E160,Tableau5[],COLUMN(Tableau5[[#This Row],[Sexe2]]),FALSE),"")</f>
        <v>M</v>
      </c>
      <c r="W160" s="286">
        <f>IFERROR(VLOOKUP('Plan 2019 consolidé'!$E160,Tableau5[],COLUMN(Tableau5[[#This Row],[Age]]),FALSE),"")</f>
        <v>54</v>
      </c>
      <c r="X160" s="286">
        <f>IFERROR(VLOOKUP('Plan 2019 consolidé'!$E160,Tableau5[],COLUMN(Tableau5[[#This Row],[Nombre d''années d''ancienneté dans la société]]),FALSE),"")</f>
        <v>10</v>
      </c>
    </row>
    <row r="161" spans="1:24" x14ac:dyDescent="0.25">
      <c r="A161" s="284" t="str">
        <f>Tableau1[[#This Row],[Service]]</f>
        <v>DVC</v>
      </c>
      <c r="B161" s="284" t="str">
        <f>Tableau1[[#This Row],[Site]]</f>
        <v>Aub.</v>
      </c>
      <c r="C161" s="284" t="str">
        <f>Tableau1[[#This Row],[Manager]]</f>
        <v>SAVY</v>
      </c>
      <c r="D161" s="284">
        <f>Tableau1[[#This Row],[Matricule]]</f>
        <v>103093</v>
      </c>
      <c r="E161" s="284" t="str">
        <f>Tableau1[[#This Row],[Nom]]</f>
        <v>GRABARZ</v>
      </c>
      <c r="F161" s="284" t="str">
        <f>Tableau1[[#This Row],[Prénom]]</f>
        <v>Pierre</v>
      </c>
      <c r="G161" s="284" t="str">
        <f>Tableau1[[#This Row],[Axe
(Filières)]]</f>
        <v>Sécurité</v>
      </c>
      <c r="H161" s="284" t="str">
        <f>Tableau1[[#This Row],[Intitulé]]</f>
        <v>Risques chimiques</v>
      </c>
      <c r="I161" s="284">
        <f>Tableau1[[#This Row],[Priorité
mger]]</f>
        <v>0</v>
      </c>
      <c r="J161" s="284" t="str">
        <f>Tableau1[[#This Row],[Organisme]]</f>
        <v>APAVE</v>
      </c>
      <c r="K161" s="284">
        <f>Tableau1[[#This Row],[Durée
H]]</f>
        <v>7</v>
      </c>
      <c r="L161" s="92">
        <f>Tableau1[[#This Row],[Coût
péda.]]</f>
        <v>162</v>
      </c>
      <c r="M161" s="284" t="str">
        <f>Tableau1[[#This Row],[Dispositif
(Plan / DIF)]]</f>
        <v>Plan</v>
      </c>
      <c r="N161" s="284" t="str">
        <f>Tableau1[[#This Row],[Axe
  (note cadrage)]]</f>
        <v>Formation obligatoire</v>
      </c>
      <c r="O161" s="285">
        <f>Tableau1[[#This Row],[Validation
(Oui/Non)]]</f>
        <v>0</v>
      </c>
      <c r="P161" s="287" t="str">
        <f>Tableau1[[#This Row],[Calendrier
de réalisation]]</f>
        <v>2019-Q4</v>
      </c>
      <c r="Q161" s="284"/>
      <c r="S161" s="286" t="str">
        <f>IFERROR(VLOOKUP('Plan 2019 consolidé'!$E161,Tableau5[],COLUMN(Tableau5[[#This Row],[Sexe2]]),FALSE),"")</f>
        <v>M</v>
      </c>
      <c r="W161" s="286">
        <f>IFERROR(VLOOKUP('Plan 2019 consolidé'!$E161,Tableau5[],COLUMN(Tableau5[[#This Row],[Age]]),FALSE),"")</f>
        <v>56</v>
      </c>
      <c r="X161" s="286">
        <f>IFERROR(VLOOKUP('Plan 2019 consolidé'!$E161,Tableau5[],COLUMN(Tableau5[[#This Row],[Nombre d''années d''ancienneté dans la société]]),FALSE),"")</f>
        <v>36</v>
      </c>
    </row>
    <row r="162" spans="1:24" x14ac:dyDescent="0.25">
      <c r="A162" s="284" t="str">
        <f>Tableau1[[#This Row],[Service]]</f>
        <v>DVC</v>
      </c>
      <c r="B162" s="284" t="str">
        <f>Tableau1[[#This Row],[Site]]</f>
        <v>STG</v>
      </c>
      <c r="C162" s="284" t="str">
        <f>Tableau1[[#This Row],[Manager]]</f>
        <v>XUEREB</v>
      </c>
      <c r="D162" s="284">
        <f>Tableau1[[#This Row],[Matricule]]</f>
        <v>104655</v>
      </c>
      <c r="E162" s="284" t="str">
        <f>Tableau1[[#This Row],[Nom]]</f>
        <v>GRANGIER</v>
      </c>
      <c r="F162" s="284" t="str">
        <f>Tableau1[[#This Row],[Prénom]]</f>
        <v>Eric</v>
      </c>
      <c r="G162" s="284" t="str">
        <f>Tableau1[[#This Row],[Axe
(Filières)]]</f>
        <v>Sécurité</v>
      </c>
      <c r="H162" s="284" t="str">
        <f>Tableau1[[#This Row],[Intitulé]]</f>
        <v>Gestes et postures</v>
      </c>
      <c r="I162" s="284">
        <f>Tableau1[[#This Row],[Priorité
mger]]</f>
        <v>0</v>
      </c>
      <c r="J162" s="284" t="str">
        <f>Tableau1[[#This Row],[Organisme]]</f>
        <v>APAVE</v>
      </c>
      <c r="K162" s="284">
        <f>Tableau1[[#This Row],[Durée
H]]</f>
        <v>7</v>
      </c>
      <c r="L162" s="92">
        <f>Tableau1[[#This Row],[Coût
péda.]]</f>
        <v>124</v>
      </c>
      <c r="M162" s="284" t="str">
        <f>Tableau1[[#This Row],[Dispositif
(Plan / DIF)]]</f>
        <v>Plan</v>
      </c>
      <c r="N162" s="284" t="str">
        <f>Tableau1[[#This Row],[Axe
  (note cadrage)]]</f>
        <v>Formation obligatoire</v>
      </c>
      <c r="O162" s="285">
        <f>Tableau1[[#This Row],[Validation
(Oui/Non)]]</f>
        <v>0</v>
      </c>
      <c r="P162" s="287">
        <f>Tableau1[[#This Row],[Calendrier
de réalisation]]</f>
        <v>0</v>
      </c>
      <c r="Q162" s="284"/>
      <c r="S162" s="286" t="str">
        <f>IFERROR(VLOOKUP('Plan 2019 consolidé'!$E162,Tableau5[],COLUMN(Tableau5[[#This Row],[Sexe2]]),FALSE),"")</f>
        <v>M</v>
      </c>
      <c r="W162" s="286">
        <f>IFERROR(VLOOKUP('Plan 2019 consolidé'!$E162,Tableau5[],COLUMN(Tableau5[[#This Row],[Age]]),FALSE),"")</f>
        <v>54</v>
      </c>
      <c r="X162" s="286">
        <f>IFERROR(VLOOKUP('Plan 2019 consolidé'!$E162,Tableau5[],COLUMN(Tableau5[[#This Row],[Nombre d''années d''ancienneté dans la société]]),FALSE),"")</f>
        <v>10</v>
      </c>
    </row>
    <row r="163" spans="1:24" x14ac:dyDescent="0.25">
      <c r="A163" s="284" t="str">
        <f>Tableau1[[#This Row],[Service]]</f>
        <v>DVC</v>
      </c>
      <c r="B163" s="284" t="str">
        <f>Tableau1[[#This Row],[Site]]</f>
        <v>STG</v>
      </c>
      <c r="C163" s="284" t="str">
        <f>Tableau1[[#This Row],[Manager]]</f>
        <v>XUEREB</v>
      </c>
      <c r="D163" s="284">
        <f>Tableau1[[#This Row],[Matricule]]</f>
        <v>104655</v>
      </c>
      <c r="E163" s="284" t="str">
        <f>Tableau1[[#This Row],[Nom]]</f>
        <v>GRANGIER</v>
      </c>
      <c r="F163" s="284" t="str">
        <f>Tableau1[[#This Row],[Prénom]]</f>
        <v>Eric</v>
      </c>
      <c r="G163" s="284" t="str">
        <f>Tableau1[[#This Row],[Axe
(Filières)]]</f>
        <v>Sécurité</v>
      </c>
      <c r="H163" s="284" t="str">
        <f>Tableau1[[#This Row],[Intitulé]]</f>
        <v>Risques chimiques</v>
      </c>
      <c r="I163" s="284">
        <f>Tableau1[[#This Row],[Priorité
mger]]</f>
        <v>0</v>
      </c>
      <c r="J163" s="284" t="str">
        <f>Tableau1[[#This Row],[Organisme]]</f>
        <v>APAVE</v>
      </c>
      <c r="K163" s="284">
        <f>Tableau1[[#This Row],[Durée
H]]</f>
        <v>7</v>
      </c>
      <c r="L163" s="92">
        <f>Tableau1[[#This Row],[Coût
péda.]]</f>
        <v>162</v>
      </c>
      <c r="M163" s="284" t="str">
        <f>Tableau1[[#This Row],[Dispositif
(Plan / DIF)]]</f>
        <v>Plan</v>
      </c>
      <c r="N163" s="284" t="str">
        <f>Tableau1[[#This Row],[Axe
  (note cadrage)]]</f>
        <v>Formation obligatoire</v>
      </c>
      <c r="O163" s="285">
        <f>Tableau1[[#This Row],[Validation
(Oui/Non)]]</f>
        <v>0</v>
      </c>
      <c r="P163" s="287" t="str">
        <f>Tableau1[[#This Row],[Calendrier
de réalisation]]</f>
        <v>2019-Q2</v>
      </c>
      <c r="Q163" s="284"/>
      <c r="S163" s="286" t="str">
        <f>IFERROR(VLOOKUP('Plan 2019 consolidé'!$E163,Tableau5[],COLUMN(Tableau5[[#This Row],[Sexe2]]),FALSE),"")</f>
        <v>M</v>
      </c>
      <c r="W163" s="286">
        <f>IFERROR(VLOOKUP('Plan 2019 consolidé'!$E163,Tableau5[],COLUMN(Tableau5[[#This Row],[Age]]),FALSE),"")</f>
        <v>54</v>
      </c>
      <c r="X163" s="286">
        <f>IFERROR(VLOOKUP('Plan 2019 consolidé'!$E163,Tableau5[],COLUMN(Tableau5[[#This Row],[Nombre d''années d''ancienneté dans la société]]),FALSE),"")</f>
        <v>10</v>
      </c>
    </row>
    <row r="164" spans="1:24" x14ac:dyDescent="0.25">
      <c r="A164" s="284" t="str">
        <f>Tableau1[[#This Row],[Service]]</f>
        <v>DVC</v>
      </c>
      <c r="B164" s="284" t="str">
        <f>Tableau1[[#This Row],[Site]]</f>
        <v>STG</v>
      </c>
      <c r="C164" s="284" t="str">
        <f>Tableau1[[#This Row],[Manager]]</f>
        <v>XUEREB</v>
      </c>
      <c r="D164" s="284">
        <f>Tableau1[[#This Row],[Matricule]]</f>
        <v>104655</v>
      </c>
      <c r="E164" s="284" t="str">
        <f>Tableau1[[#This Row],[Nom]]</f>
        <v>GRANGIER</v>
      </c>
      <c r="F164" s="284" t="str">
        <f>Tableau1[[#This Row],[Prénom]]</f>
        <v>Eric</v>
      </c>
      <c r="G164" s="284" t="str">
        <f>Tableau1[[#This Row],[Axe
(Filières)]]</f>
        <v>Sécurité</v>
      </c>
      <c r="H164" s="284" t="str">
        <f>Tableau1[[#This Row],[Intitulé]]</f>
        <v>Recyclage SST</v>
      </c>
      <c r="I164" s="284">
        <f>Tableau1[[#This Row],[Priorité
mger]]</f>
        <v>0</v>
      </c>
      <c r="J164" s="284" t="str">
        <f>Tableau1[[#This Row],[Organisme]]</f>
        <v>CFSP</v>
      </c>
      <c r="K164" s="284">
        <f>Tableau1[[#This Row],[Durée
H]]</f>
        <v>7</v>
      </c>
      <c r="L164" s="92">
        <f>Tableau1[[#This Row],[Coût
péda.]]</f>
        <v>117</v>
      </c>
      <c r="M164" s="284" t="str">
        <f>Tableau1[[#This Row],[Dispositif
(Plan / DIF)]]</f>
        <v>Plan</v>
      </c>
      <c r="N164" s="284" t="str">
        <f>Tableau1[[#This Row],[Axe
  (note cadrage)]]</f>
        <v>Formation obligatoire</v>
      </c>
      <c r="O164" s="285">
        <f>Tableau1[[#This Row],[Validation
(Oui/Non)]]</f>
        <v>0</v>
      </c>
      <c r="P164" s="287" t="str">
        <f>Tableau1[[#This Row],[Calendrier
de réalisation]]</f>
        <v/>
      </c>
      <c r="Q164" s="284"/>
      <c r="S164" s="286" t="str">
        <f>IFERROR(VLOOKUP('Plan 2019 consolidé'!$E164,Tableau5[],COLUMN(Tableau5[[#This Row],[Sexe2]]),FALSE),"")</f>
        <v>M</v>
      </c>
      <c r="W164" s="286">
        <f>IFERROR(VLOOKUP('Plan 2019 consolidé'!$E164,Tableau5[],COLUMN(Tableau5[[#This Row],[Age]]),FALSE),"")</f>
        <v>54</v>
      </c>
      <c r="X164" s="286">
        <f>IFERROR(VLOOKUP('Plan 2019 consolidé'!$E164,Tableau5[],COLUMN(Tableau5[[#This Row],[Nombre d''années d''ancienneté dans la société]]),FALSE),"")</f>
        <v>10</v>
      </c>
    </row>
    <row r="165" spans="1:24" x14ac:dyDescent="0.25">
      <c r="A165" s="284" t="str">
        <f>Tableau1[[#This Row],[Service]]</f>
        <v>DVC</v>
      </c>
      <c r="B165" s="284" t="str">
        <f>Tableau1[[#This Row],[Site]]</f>
        <v>Aub.</v>
      </c>
      <c r="C165" s="284" t="str">
        <f>Tableau1[[#This Row],[Manager]]</f>
        <v>ALIX</v>
      </c>
      <c r="D165" s="284">
        <f>Tableau1[[#This Row],[Matricule]]</f>
        <v>103063</v>
      </c>
      <c r="E165" s="284" t="str">
        <f>Tableau1[[#This Row],[Nom]]</f>
        <v>GRASSET</v>
      </c>
      <c r="F165" s="284" t="str">
        <f>Tableau1[[#This Row],[Prénom]]</f>
        <v>Alain</v>
      </c>
      <c r="G165" s="284" t="str">
        <f>Tableau1[[#This Row],[Axe
(Filières)]]</f>
        <v>Sécurité</v>
      </c>
      <c r="H165" s="284" t="str">
        <f>Tableau1[[#This Row],[Intitulé]]</f>
        <v>Recyclage SST</v>
      </c>
      <c r="I165" s="284">
        <f>Tableau1[[#This Row],[Priorité
mger]]</f>
        <v>0</v>
      </c>
      <c r="J165" s="284" t="str">
        <f>Tableau1[[#This Row],[Organisme]]</f>
        <v>CFSP</v>
      </c>
      <c r="K165" s="284">
        <f>Tableau1[[#This Row],[Durée
H]]</f>
        <v>7</v>
      </c>
      <c r="L165" s="92">
        <f>Tableau1[[#This Row],[Coût
péda.]]</f>
        <v>117</v>
      </c>
      <c r="M165" s="284" t="str">
        <f>Tableau1[[#This Row],[Dispositif
(Plan / DIF)]]</f>
        <v>Plan</v>
      </c>
      <c r="N165" s="284" t="str">
        <f>Tableau1[[#This Row],[Axe
  (note cadrage)]]</f>
        <v>Formation obligatoire</v>
      </c>
      <c r="O165" s="285">
        <f>Tableau1[[#This Row],[Validation
(Oui/Non)]]</f>
        <v>0</v>
      </c>
      <c r="P165" s="287" t="str">
        <f>Tableau1[[#This Row],[Calendrier
de réalisation]]</f>
        <v/>
      </c>
      <c r="Q165" s="284"/>
      <c r="S165" s="286" t="str">
        <f>IFERROR(VLOOKUP('Plan 2019 consolidé'!$E165,Tableau5[],COLUMN(Tableau5[[#This Row],[Sexe2]]),FALSE),"")</f>
        <v>M</v>
      </c>
      <c r="W165" s="286">
        <f>IFERROR(VLOOKUP('Plan 2019 consolidé'!$E165,Tableau5[],COLUMN(Tableau5[[#This Row],[Age]]),FALSE),"")</f>
        <v>55</v>
      </c>
      <c r="X165" s="286">
        <f>IFERROR(VLOOKUP('Plan 2019 consolidé'!$E165,Tableau5[],COLUMN(Tableau5[[#This Row],[Nombre d''années d''ancienneté dans la société]]),FALSE),"")</f>
        <v>35</v>
      </c>
    </row>
    <row r="166" spans="1:24" x14ac:dyDescent="0.25">
      <c r="A166" s="284" t="str">
        <f>Tableau1[[#This Row],[Service]]</f>
        <v>DVC</v>
      </c>
      <c r="B166" s="284" t="str">
        <f>Tableau1[[#This Row],[Site]]</f>
        <v>STG</v>
      </c>
      <c r="C166" s="284" t="str">
        <f>Tableau1[[#This Row],[Manager]]</f>
        <v>XUEREB</v>
      </c>
      <c r="D166" s="284">
        <f>Tableau1[[#This Row],[Matricule]]</f>
        <v>10555049</v>
      </c>
      <c r="E166" s="284" t="str">
        <f>Tableau1[[#This Row],[Nom]]</f>
        <v>GREPPAT</v>
      </c>
      <c r="F166" s="284" t="str">
        <f>Tableau1[[#This Row],[Prénom]]</f>
        <v>Christophe</v>
      </c>
      <c r="G166" s="284" t="str">
        <f>Tableau1[[#This Row],[Axe
(Filières)]]</f>
        <v>Sécurité</v>
      </c>
      <c r="H166" s="284" t="str">
        <f>Tableau1[[#This Row],[Intitulé]]</f>
        <v>Gestes et postures</v>
      </c>
      <c r="I166" s="284">
        <f>Tableau1[[#This Row],[Priorité
mger]]</f>
        <v>0</v>
      </c>
      <c r="J166" s="284" t="str">
        <f>Tableau1[[#This Row],[Organisme]]</f>
        <v>APAVE</v>
      </c>
      <c r="K166" s="284">
        <f>Tableau1[[#This Row],[Durée
H]]</f>
        <v>7</v>
      </c>
      <c r="L166" s="92">
        <f>Tableau1[[#This Row],[Coût
péda.]]</f>
        <v>124</v>
      </c>
      <c r="M166" s="284" t="str">
        <f>Tableau1[[#This Row],[Dispositif
(Plan / DIF)]]</f>
        <v>Plan</v>
      </c>
      <c r="N166" s="284" t="str">
        <f>Tableau1[[#This Row],[Axe
  (note cadrage)]]</f>
        <v>Formation obligatoire</v>
      </c>
      <c r="O166" s="285">
        <f>Tableau1[[#This Row],[Validation
(Oui/Non)]]</f>
        <v>0</v>
      </c>
      <c r="P166" s="287">
        <f>Tableau1[[#This Row],[Calendrier
de réalisation]]</f>
        <v>0</v>
      </c>
      <c r="Q166" s="284"/>
      <c r="S166" s="286" t="str">
        <f>IFERROR(VLOOKUP('Plan 2019 consolidé'!$E166,Tableau5[],COLUMN(Tableau5[[#This Row],[Sexe2]]),FALSE),"")</f>
        <v>M</v>
      </c>
      <c r="W166" s="286">
        <f>IFERROR(VLOOKUP('Plan 2019 consolidé'!$E166,Tableau5[],COLUMN(Tableau5[[#This Row],[Age]]),FALSE),"")</f>
        <v>43</v>
      </c>
      <c r="X166" s="286">
        <f>IFERROR(VLOOKUP('Plan 2019 consolidé'!$E166,Tableau5[],COLUMN(Tableau5[[#This Row],[Nombre d''années d''ancienneté dans la société]]),FALSE),"")</f>
        <v>1</v>
      </c>
    </row>
    <row r="167" spans="1:24" x14ac:dyDescent="0.25">
      <c r="A167" s="284" t="str">
        <f>Tableau1[[#This Row],[Service]]</f>
        <v>DVC</v>
      </c>
      <c r="B167" s="284" t="str">
        <f>Tableau1[[#This Row],[Site]]</f>
        <v>Aub.</v>
      </c>
      <c r="C167" s="284" t="str">
        <f>Tableau1[[#This Row],[Manager]]</f>
        <v>ALIX</v>
      </c>
      <c r="D167" s="284">
        <f>Tableau1[[#This Row],[Matricule]]</f>
        <v>102985</v>
      </c>
      <c r="E167" s="284" t="str">
        <f>Tableau1[[#This Row],[Nom]]</f>
        <v>GROUPIERRE</v>
      </c>
      <c r="F167" s="284" t="str">
        <f>Tableau1[[#This Row],[Prénom]]</f>
        <v>Eric</v>
      </c>
      <c r="G167" s="284" t="str">
        <f>Tableau1[[#This Row],[Axe
(Filières)]]</f>
        <v>Sécurité</v>
      </c>
      <c r="H167" s="284" t="str">
        <f>Tableau1[[#This Row],[Intitulé]]</f>
        <v>HAB ELEC</v>
      </c>
      <c r="I167" s="284">
        <f>Tableau1[[#This Row],[Priorité
mger]]</f>
        <v>0</v>
      </c>
      <c r="J167" s="284" t="str">
        <f>Tableau1[[#This Row],[Organisme]]</f>
        <v>SEEF</v>
      </c>
      <c r="K167" s="284">
        <f>Tableau1[[#This Row],[Durée
H]]</f>
        <v>10.5</v>
      </c>
      <c r="L167" s="92">
        <f>Tableau1[[#This Row],[Coût
péda.]]</f>
        <v>260</v>
      </c>
      <c r="M167" s="284" t="str">
        <f>Tableau1[[#This Row],[Dispositif
(Plan / DIF)]]</f>
        <v>Plan</v>
      </c>
      <c r="N167" s="284" t="str">
        <f>Tableau1[[#This Row],[Axe
  (note cadrage)]]</f>
        <v>Formation obligatoire</v>
      </c>
      <c r="O167" s="285">
        <f>Tableau1[[#This Row],[Validation
(Oui/Non)]]</f>
        <v>0</v>
      </c>
      <c r="P167" s="287" t="str">
        <f>Tableau1[[#This Row],[Calendrier
de réalisation]]</f>
        <v/>
      </c>
      <c r="Q167" s="284"/>
      <c r="S167" s="286" t="str">
        <f>IFERROR(VLOOKUP('Plan 2019 consolidé'!$E167,Tableau5[],COLUMN(Tableau5[[#This Row],[Sexe2]]),FALSE),"")</f>
        <v>M</v>
      </c>
      <c r="W167" s="286">
        <f>IFERROR(VLOOKUP('Plan 2019 consolidé'!$E167,Tableau5[],COLUMN(Tableau5[[#This Row],[Age]]),FALSE),"")</f>
        <v>51</v>
      </c>
      <c r="X167" s="286">
        <f>IFERROR(VLOOKUP('Plan 2019 consolidé'!$E167,Tableau5[],COLUMN(Tableau5[[#This Row],[Nombre d''années d''ancienneté dans la société]]),FALSE),"")</f>
        <v>19</v>
      </c>
    </row>
    <row r="168" spans="1:24" x14ac:dyDescent="0.25">
      <c r="A168" s="284" t="str">
        <f>Tableau1[[#This Row],[Service]]</f>
        <v>DVC</v>
      </c>
      <c r="B168" s="284" t="str">
        <f>Tableau1[[#This Row],[Site]]</f>
        <v>Aub.</v>
      </c>
      <c r="C168" s="284" t="str">
        <f>Tableau1[[#This Row],[Manager]]</f>
        <v>FUENTES</v>
      </c>
      <c r="D168" s="284">
        <f>Tableau1[[#This Row],[Matricule]]</f>
        <v>103035</v>
      </c>
      <c r="E168" s="284" t="str">
        <f>Tableau1[[#This Row],[Nom]]</f>
        <v>GUILHON</v>
      </c>
      <c r="F168" s="284" t="str">
        <f>Tableau1[[#This Row],[Prénom]]</f>
        <v>Bernard</v>
      </c>
      <c r="G168" s="284" t="str">
        <f>Tableau1[[#This Row],[Axe
(Filières)]]</f>
        <v>Sécurité</v>
      </c>
      <c r="H168" s="284" t="str">
        <f>Tableau1[[#This Row],[Intitulé]]</f>
        <v>Incendie</v>
      </c>
      <c r="I168" s="284">
        <f>Tableau1[[#This Row],[Priorité
mger]]</f>
        <v>0</v>
      </c>
      <c r="J168" s="284" t="str">
        <f>Tableau1[[#This Row],[Organisme]]</f>
        <v>APAVE</v>
      </c>
      <c r="K168" s="284">
        <f>Tableau1[[#This Row],[Durée
H]]</f>
        <v>1.5</v>
      </c>
      <c r="L168" s="92">
        <f>Tableau1[[#This Row],[Coût
péda.]]</f>
        <v>53</v>
      </c>
      <c r="M168" s="284" t="str">
        <f>Tableau1[[#This Row],[Dispositif
(Plan / DIF)]]</f>
        <v>Plan</v>
      </c>
      <c r="N168" s="284" t="str">
        <f>Tableau1[[#This Row],[Axe
  (note cadrage)]]</f>
        <v>Formation obligatoire</v>
      </c>
      <c r="O168" s="285">
        <f>Tableau1[[#This Row],[Validation
(Oui/Non)]]</f>
        <v>0</v>
      </c>
      <c r="P168" s="287" t="str">
        <f>Tableau1[[#This Row],[Calendrier
de réalisation]]</f>
        <v>2019-Q2</v>
      </c>
      <c r="Q168" s="284"/>
      <c r="S168" s="286" t="str">
        <f>IFERROR(VLOOKUP('Plan 2019 consolidé'!$E168,Tableau5[],COLUMN(Tableau5[[#This Row],[Sexe2]]),FALSE),"")</f>
        <v>M</v>
      </c>
      <c r="W168" s="286">
        <f>IFERROR(VLOOKUP('Plan 2019 consolidé'!$E168,Tableau5[],COLUMN(Tableau5[[#This Row],[Age]]),FALSE),"")</f>
        <v>54</v>
      </c>
      <c r="X168" s="286">
        <f>IFERROR(VLOOKUP('Plan 2019 consolidé'!$E168,Tableau5[],COLUMN(Tableau5[[#This Row],[Nombre d''années d''ancienneté dans la société]]),FALSE),"")</f>
        <v>33</v>
      </c>
    </row>
    <row r="169" spans="1:24" x14ac:dyDescent="0.25">
      <c r="A169" s="284" t="str">
        <f>Tableau1[[#This Row],[Service]]</f>
        <v>DVC</v>
      </c>
      <c r="B169" s="284" t="str">
        <f>Tableau1[[#This Row],[Site]]</f>
        <v>Aub.</v>
      </c>
      <c r="C169" s="284" t="str">
        <f>Tableau1[[#This Row],[Manager]]</f>
        <v>FUENTES</v>
      </c>
      <c r="D169" s="284">
        <f>Tableau1[[#This Row],[Matricule]]</f>
        <v>103035</v>
      </c>
      <c r="E169" s="284" t="str">
        <f>Tableau1[[#This Row],[Nom]]</f>
        <v>GUILHON</v>
      </c>
      <c r="F169" s="284" t="str">
        <f>Tableau1[[#This Row],[Prénom]]</f>
        <v>Bernard</v>
      </c>
      <c r="G169" s="284" t="str">
        <f>Tableau1[[#This Row],[Axe
(Filières)]]</f>
        <v>Sécurité</v>
      </c>
      <c r="H169" s="284" t="str">
        <f>Tableau1[[#This Row],[Intitulé]]</f>
        <v>Risques chimiques</v>
      </c>
      <c r="I169" s="284">
        <f>Tableau1[[#This Row],[Priorité
mger]]</f>
        <v>0</v>
      </c>
      <c r="J169" s="284" t="str">
        <f>Tableau1[[#This Row],[Organisme]]</f>
        <v>APAVE</v>
      </c>
      <c r="K169" s="284">
        <f>Tableau1[[#This Row],[Durée
H]]</f>
        <v>7</v>
      </c>
      <c r="L169" s="92">
        <f>Tableau1[[#This Row],[Coût
péda.]]</f>
        <v>162</v>
      </c>
      <c r="M169" s="284" t="str">
        <f>Tableau1[[#This Row],[Dispositif
(Plan / DIF)]]</f>
        <v>Plan</v>
      </c>
      <c r="N169" s="284" t="str">
        <f>Tableau1[[#This Row],[Axe
  (note cadrage)]]</f>
        <v>Formation obligatoire</v>
      </c>
      <c r="O169" s="285">
        <f>Tableau1[[#This Row],[Validation
(Oui/Non)]]</f>
        <v>0</v>
      </c>
      <c r="P169" s="287" t="str">
        <f>Tableau1[[#This Row],[Calendrier
de réalisation]]</f>
        <v>2019-Q4</v>
      </c>
      <c r="Q169" s="284"/>
      <c r="S169" s="286" t="str">
        <f>IFERROR(VLOOKUP('Plan 2019 consolidé'!$E169,Tableau5[],COLUMN(Tableau5[[#This Row],[Sexe2]]),FALSE),"")</f>
        <v>M</v>
      </c>
      <c r="W169" s="286">
        <f>IFERROR(VLOOKUP('Plan 2019 consolidé'!$E169,Tableau5[],COLUMN(Tableau5[[#This Row],[Age]]),FALSE),"")</f>
        <v>54</v>
      </c>
      <c r="X169" s="286">
        <f>IFERROR(VLOOKUP('Plan 2019 consolidé'!$E169,Tableau5[],COLUMN(Tableau5[[#This Row],[Nombre d''années d''ancienneté dans la société]]),FALSE),"")</f>
        <v>33</v>
      </c>
    </row>
    <row r="170" spans="1:24" x14ac:dyDescent="0.25">
      <c r="A170" s="284" t="str">
        <f>Tableau1[[#This Row],[Service]]</f>
        <v>DVC</v>
      </c>
      <c r="B170" s="284" t="str">
        <f>Tableau1[[#This Row],[Site]]</f>
        <v>STG</v>
      </c>
      <c r="C170" s="284" t="str">
        <f>Tableau1[[#This Row],[Manager]]</f>
        <v>XUEREB</v>
      </c>
      <c r="D170" s="284">
        <f>Tableau1[[#This Row],[Matricule]]</f>
        <v>104685</v>
      </c>
      <c r="E170" s="284" t="str">
        <f>Tableau1[[#This Row],[Nom]]</f>
        <v>GUILLAUD</v>
      </c>
      <c r="F170" s="284" t="str">
        <f>Tableau1[[#This Row],[Prénom]]</f>
        <v>Michel</v>
      </c>
      <c r="G170" s="284" t="str">
        <f>Tableau1[[#This Row],[Axe
(Filières)]]</f>
        <v>Sécurité</v>
      </c>
      <c r="H170" s="284" t="str">
        <f>Tableau1[[#This Row],[Intitulé]]</f>
        <v>Gestes et postures</v>
      </c>
      <c r="I170" s="284">
        <f>Tableau1[[#This Row],[Priorité
mger]]</f>
        <v>0</v>
      </c>
      <c r="J170" s="284" t="str">
        <f>Tableau1[[#This Row],[Organisme]]</f>
        <v>APAVE</v>
      </c>
      <c r="K170" s="284">
        <f>Tableau1[[#This Row],[Durée
H]]</f>
        <v>7</v>
      </c>
      <c r="L170" s="92">
        <f>Tableau1[[#This Row],[Coût
péda.]]</f>
        <v>124</v>
      </c>
      <c r="M170" s="284" t="str">
        <f>Tableau1[[#This Row],[Dispositif
(Plan / DIF)]]</f>
        <v>Plan</v>
      </c>
      <c r="N170" s="284" t="str">
        <f>Tableau1[[#This Row],[Axe
  (note cadrage)]]</f>
        <v>Formation obligatoire</v>
      </c>
      <c r="O170" s="285">
        <f>Tableau1[[#This Row],[Validation
(Oui/Non)]]</f>
        <v>0</v>
      </c>
      <c r="P170" s="287">
        <f>Tableau1[[#This Row],[Calendrier
de réalisation]]</f>
        <v>0</v>
      </c>
      <c r="Q170" s="284"/>
      <c r="S170" s="286" t="str">
        <f>IFERROR(VLOOKUP('Plan 2019 consolidé'!$E170,Tableau5[],COLUMN(Tableau5[[#This Row],[Sexe2]]),FALSE),"")</f>
        <v>M</v>
      </c>
      <c r="W170" s="286">
        <f>IFERROR(VLOOKUP('Plan 2019 consolidé'!$E170,Tableau5[],COLUMN(Tableau5[[#This Row],[Age]]),FALSE),"")</f>
        <v>58</v>
      </c>
      <c r="X170" s="286">
        <f>IFERROR(VLOOKUP('Plan 2019 consolidé'!$E170,Tableau5[],COLUMN(Tableau5[[#This Row],[Nombre d''années d''ancienneté dans la société]]),FALSE),"")</f>
        <v>10</v>
      </c>
    </row>
    <row r="171" spans="1:24" x14ac:dyDescent="0.25">
      <c r="A171" s="284" t="str">
        <f>Tableau1[[#This Row],[Service]]</f>
        <v>DVC</v>
      </c>
      <c r="B171" s="284" t="str">
        <f>Tableau1[[#This Row],[Site]]</f>
        <v>STG</v>
      </c>
      <c r="C171" s="284" t="str">
        <f>Tableau1[[#This Row],[Manager]]</f>
        <v>XUEREB</v>
      </c>
      <c r="D171" s="284">
        <f>Tableau1[[#This Row],[Matricule]]</f>
        <v>104685</v>
      </c>
      <c r="E171" s="284" t="str">
        <f>Tableau1[[#This Row],[Nom]]</f>
        <v>GUILLAUD</v>
      </c>
      <c r="F171" s="284" t="str">
        <f>Tableau1[[#This Row],[Prénom]]</f>
        <v>Michel</v>
      </c>
      <c r="G171" s="284" t="str">
        <f>Tableau1[[#This Row],[Axe
(Filières)]]</f>
        <v>Sécurité</v>
      </c>
      <c r="H171" s="284" t="str">
        <f>Tableau1[[#This Row],[Intitulé]]</f>
        <v>Incendie</v>
      </c>
      <c r="I171" s="284">
        <f>Tableau1[[#This Row],[Priorité
mger]]</f>
        <v>0</v>
      </c>
      <c r="J171" s="284" t="str">
        <f>Tableau1[[#This Row],[Organisme]]</f>
        <v>APAVE</v>
      </c>
      <c r="K171" s="284">
        <f>Tableau1[[#This Row],[Durée
H]]</f>
        <v>1.5</v>
      </c>
      <c r="L171" s="92">
        <f>Tableau1[[#This Row],[Coût
péda.]]</f>
        <v>53</v>
      </c>
      <c r="M171" s="284" t="str">
        <f>Tableau1[[#This Row],[Dispositif
(Plan / DIF)]]</f>
        <v>Plan</v>
      </c>
      <c r="N171" s="284" t="str">
        <f>Tableau1[[#This Row],[Axe
  (note cadrage)]]</f>
        <v>Formation obligatoire</v>
      </c>
      <c r="O171" s="285">
        <f>Tableau1[[#This Row],[Validation
(Oui/Non)]]</f>
        <v>0</v>
      </c>
      <c r="P171" s="287" t="str">
        <f>Tableau1[[#This Row],[Calendrier
de réalisation]]</f>
        <v>2019-Q1</v>
      </c>
      <c r="Q171" s="284"/>
      <c r="S171" s="286" t="str">
        <f>IFERROR(VLOOKUP('Plan 2019 consolidé'!$E171,Tableau5[],COLUMN(Tableau5[[#This Row],[Sexe2]]),FALSE),"")</f>
        <v>M</v>
      </c>
      <c r="W171" s="286">
        <f>IFERROR(VLOOKUP('Plan 2019 consolidé'!$E171,Tableau5[],COLUMN(Tableau5[[#This Row],[Age]]),FALSE),"")</f>
        <v>58</v>
      </c>
      <c r="X171" s="286">
        <f>IFERROR(VLOOKUP('Plan 2019 consolidé'!$E171,Tableau5[],COLUMN(Tableau5[[#This Row],[Nombre d''années d''ancienneté dans la société]]),FALSE),"")</f>
        <v>10</v>
      </c>
    </row>
    <row r="172" spans="1:24" x14ac:dyDescent="0.25">
      <c r="A172" s="284" t="str">
        <f>Tableau1[[#This Row],[Service]]</f>
        <v>Non DVC</v>
      </c>
      <c r="B172" s="284" t="str">
        <f>Tableau1[[#This Row],[Site]]</f>
        <v>Aub.</v>
      </c>
      <c r="C172" s="284" t="str">
        <f>Tableau1[[#This Row],[Manager]]</f>
        <v>PIFFAUT</v>
      </c>
      <c r="D172" s="284">
        <f>Tableau1[[#This Row],[Matricule]]</f>
        <v>103114</v>
      </c>
      <c r="E172" s="284" t="str">
        <f>Tableau1[[#This Row],[Nom]]</f>
        <v>HAON</v>
      </c>
      <c r="F172" s="284" t="str">
        <f>Tableau1[[#This Row],[Prénom]]</f>
        <v>Patrick</v>
      </c>
      <c r="G172" s="284" t="str">
        <f>Tableau1[[#This Row],[Axe
(Filières)]]</f>
        <v>Sécurité</v>
      </c>
      <c r="H172" s="284" t="str">
        <f>Tableau1[[#This Row],[Intitulé]]</f>
        <v>Recyclage SST</v>
      </c>
      <c r="I172" s="284">
        <f>Tableau1[[#This Row],[Priorité
mger]]</f>
        <v>0</v>
      </c>
      <c r="J172" s="284" t="str">
        <f>Tableau1[[#This Row],[Organisme]]</f>
        <v>CFSP</v>
      </c>
      <c r="K172" s="284">
        <f>Tableau1[[#This Row],[Durée
H]]</f>
        <v>7</v>
      </c>
      <c r="L172" s="92">
        <f>Tableau1[[#This Row],[Coût
péda.]]</f>
        <v>117</v>
      </c>
      <c r="M172" s="284" t="str">
        <f>Tableau1[[#This Row],[Dispositif
(Plan / DIF)]]</f>
        <v>Plan</v>
      </c>
      <c r="N172" s="284" t="str">
        <f>Tableau1[[#This Row],[Axe
  (note cadrage)]]</f>
        <v>Formation obligatoire</v>
      </c>
      <c r="O172" s="285">
        <f>Tableau1[[#This Row],[Validation
(Oui/Non)]]</f>
        <v>0</v>
      </c>
      <c r="P172" s="287" t="str">
        <f>Tableau1[[#This Row],[Calendrier
de réalisation]]</f>
        <v/>
      </c>
      <c r="Q172" s="284"/>
      <c r="S172" s="286" t="str">
        <f>IFERROR(VLOOKUP('Plan 2019 consolidé'!$E172,Tableau5[],COLUMN(Tableau5[[#This Row],[Sexe2]]),FALSE),"")</f>
        <v>M</v>
      </c>
      <c r="W172" s="286">
        <f>IFERROR(VLOOKUP('Plan 2019 consolidé'!$E172,Tableau5[],COLUMN(Tableau5[[#This Row],[Age]]),FALSE),"")</f>
        <v>57</v>
      </c>
      <c r="X172" s="286">
        <f>IFERROR(VLOOKUP('Plan 2019 consolidé'!$E172,Tableau5[],COLUMN(Tableau5[[#This Row],[Nombre d''années d''ancienneté dans la société]]),FALSE),"")</f>
        <v>36</v>
      </c>
    </row>
    <row r="173" spans="1:24" x14ac:dyDescent="0.25">
      <c r="A173" s="284" t="str">
        <f>Tableau1[[#This Row],[Service]]</f>
        <v>DVC</v>
      </c>
      <c r="B173" s="284" t="str">
        <f>Tableau1[[#This Row],[Site]]</f>
        <v>Lattes</v>
      </c>
      <c r="C173" s="284" t="str">
        <f>Tableau1[[#This Row],[Manager]]</f>
        <v>VERNE</v>
      </c>
      <c r="D173" s="284">
        <f>Tableau1[[#This Row],[Matricule]]</f>
        <v>191520</v>
      </c>
      <c r="E173" s="284" t="str">
        <f>Tableau1[[#This Row],[Nom]]</f>
        <v>HAUTOT</v>
      </c>
      <c r="F173" s="284" t="str">
        <f>Tableau1[[#This Row],[Prénom]]</f>
        <v>Pascal</v>
      </c>
      <c r="G173" s="284" t="str">
        <f>Tableau1[[#This Row],[Axe
(Filières)]]</f>
        <v>Sécurité</v>
      </c>
      <c r="H173" s="284" t="str">
        <f>Tableau1[[#This Row],[Intitulé]]</f>
        <v>Gestes et postures</v>
      </c>
      <c r="I173" s="284">
        <f>Tableau1[[#This Row],[Priorité
mger]]</f>
        <v>0</v>
      </c>
      <c r="J173" s="284" t="str">
        <f>Tableau1[[#This Row],[Organisme]]</f>
        <v>APAVE</v>
      </c>
      <c r="K173" s="284">
        <f>Tableau1[[#This Row],[Durée
H]]</f>
        <v>7</v>
      </c>
      <c r="L173" s="92">
        <f>Tableau1[[#This Row],[Coût
péda.]]</f>
        <v>124</v>
      </c>
      <c r="M173" s="284" t="str">
        <f>Tableau1[[#This Row],[Dispositif
(Plan / DIF)]]</f>
        <v>Plan</v>
      </c>
      <c r="N173" s="284" t="str">
        <f>Tableau1[[#This Row],[Axe
  (note cadrage)]]</f>
        <v>Formation obligatoire</v>
      </c>
      <c r="O173" s="285">
        <f>Tableau1[[#This Row],[Validation
(Oui/Non)]]</f>
        <v>0</v>
      </c>
      <c r="P173" s="287" t="str">
        <f>Tableau1[[#This Row],[Calendrier
de réalisation]]</f>
        <v>2019-Q3</v>
      </c>
      <c r="Q173" s="284"/>
      <c r="S173" s="286" t="str">
        <f>IFERROR(VLOOKUP('Plan 2019 consolidé'!$E173,Tableau5[],COLUMN(Tableau5[[#This Row],[Sexe2]]),FALSE),"")</f>
        <v>M</v>
      </c>
      <c r="W173" s="286">
        <f>IFERROR(VLOOKUP('Plan 2019 consolidé'!$E173,Tableau5[],COLUMN(Tableau5[[#This Row],[Age]]),FALSE),"")</f>
        <v>57</v>
      </c>
      <c r="X173" s="286">
        <f>IFERROR(VLOOKUP('Plan 2019 consolidé'!$E173,Tableau5[],COLUMN(Tableau5[[#This Row],[Nombre d''années d''ancienneté dans la société]]),FALSE),"")</f>
        <v>26</v>
      </c>
    </row>
    <row r="174" spans="1:24" x14ac:dyDescent="0.25">
      <c r="A174" s="284" t="str">
        <f>Tableau1[[#This Row],[Service]]</f>
        <v>DVC</v>
      </c>
      <c r="B174" s="284" t="str">
        <f>Tableau1[[#This Row],[Site]]</f>
        <v>Aub.</v>
      </c>
      <c r="C174" s="284" t="str">
        <f>Tableau1[[#This Row],[Manager]]</f>
        <v>ALIX</v>
      </c>
      <c r="D174" s="284">
        <f>Tableau1[[#This Row],[Matricule]]</f>
        <v>102926</v>
      </c>
      <c r="E174" s="284" t="str">
        <f>Tableau1[[#This Row],[Nom]]</f>
        <v>HERITIER</v>
      </c>
      <c r="F174" s="284" t="str">
        <f>Tableau1[[#This Row],[Prénom]]</f>
        <v>Marjorie</v>
      </c>
      <c r="G174" s="284" t="str">
        <f>Tableau1[[#This Row],[Axe
(Filières)]]</f>
        <v>Sécurité</v>
      </c>
      <c r="H174" s="284" t="str">
        <f>Tableau1[[#This Row],[Intitulé]]</f>
        <v>Incendie</v>
      </c>
      <c r="I174" s="284">
        <f>Tableau1[[#This Row],[Priorité
mger]]</f>
        <v>0</v>
      </c>
      <c r="J174" s="284" t="str">
        <f>Tableau1[[#This Row],[Organisme]]</f>
        <v>APAVE</v>
      </c>
      <c r="K174" s="284">
        <f>Tableau1[[#This Row],[Durée
H]]</f>
        <v>1.5</v>
      </c>
      <c r="L174" s="92">
        <f>Tableau1[[#This Row],[Coût
péda.]]</f>
        <v>53</v>
      </c>
      <c r="M174" s="284" t="str">
        <f>Tableau1[[#This Row],[Dispositif
(Plan / DIF)]]</f>
        <v>Plan</v>
      </c>
      <c r="N174" s="284" t="str">
        <f>Tableau1[[#This Row],[Axe
  (note cadrage)]]</f>
        <v>Formation obligatoire</v>
      </c>
      <c r="O174" s="285">
        <f>Tableau1[[#This Row],[Validation
(Oui/Non)]]</f>
        <v>0</v>
      </c>
      <c r="P174" s="287" t="str">
        <f>Tableau1[[#This Row],[Calendrier
de réalisation]]</f>
        <v>2019-Q2</v>
      </c>
      <c r="Q174" s="284"/>
      <c r="S174" s="286" t="str">
        <f>IFERROR(VLOOKUP('Plan 2019 consolidé'!$E174,Tableau5[],COLUMN(Tableau5[[#This Row],[Sexe2]]),FALSE),"")</f>
        <v>F</v>
      </c>
      <c r="W174" s="286">
        <f>IFERROR(VLOOKUP('Plan 2019 consolidé'!$E174,Tableau5[],COLUMN(Tableau5[[#This Row],[Age]]),FALSE),"")</f>
        <v>46</v>
      </c>
      <c r="X174" s="286">
        <f>IFERROR(VLOOKUP('Plan 2019 consolidé'!$E174,Tableau5[],COLUMN(Tableau5[[#This Row],[Nombre d''années d''ancienneté dans la société]]),FALSE),"")</f>
        <v>12</v>
      </c>
    </row>
    <row r="175" spans="1:24" x14ac:dyDescent="0.25">
      <c r="A175" s="284" t="str">
        <f>Tableau1[[#This Row],[Service]]</f>
        <v>DVC</v>
      </c>
      <c r="B175" s="284" t="str">
        <f>Tableau1[[#This Row],[Site]]</f>
        <v>STG</v>
      </c>
      <c r="C175" s="284" t="str">
        <f>Tableau1[[#This Row],[Manager]]</f>
        <v>XUEREB</v>
      </c>
      <c r="D175" s="284">
        <f>Tableau1[[#This Row],[Matricule]]</f>
        <v>104647</v>
      </c>
      <c r="E175" s="284" t="str">
        <f>Tableau1[[#This Row],[Nom]]</f>
        <v>HERNANDEZ</v>
      </c>
      <c r="F175" s="284" t="str">
        <f>Tableau1[[#This Row],[Prénom]]</f>
        <v>Pierre</v>
      </c>
      <c r="G175" s="284" t="str">
        <f>Tableau1[[#This Row],[Axe
(Filières)]]</f>
        <v>Sécurité</v>
      </c>
      <c r="H175" s="284" t="str">
        <f>Tableau1[[#This Row],[Intitulé]]</f>
        <v>Incendie</v>
      </c>
      <c r="I175" s="284">
        <f>Tableau1[[#This Row],[Priorité
mger]]</f>
        <v>0</v>
      </c>
      <c r="J175" s="284" t="str">
        <f>Tableau1[[#This Row],[Organisme]]</f>
        <v>APAVE</v>
      </c>
      <c r="K175" s="284">
        <f>Tableau1[[#This Row],[Durée
H]]</f>
        <v>1.5</v>
      </c>
      <c r="L175" s="92">
        <f>Tableau1[[#This Row],[Coût
péda.]]</f>
        <v>53</v>
      </c>
      <c r="M175" s="284" t="str">
        <f>Tableau1[[#This Row],[Dispositif
(Plan / DIF)]]</f>
        <v>Plan</v>
      </c>
      <c r="N175" s="284" t="str">
        <f>Tableau1[[#This Row],[Axe
  (note cadrage)]]</f>
        <v>Formation obligatoire</v>
      </c>
      <c r="O175" s="285">
        <f>Tableau1[[#This Row],[Validation
(Oui/Non)]]</f>
        <v>0</v>
      </c>
      <c r="P175" s="287" t="str">
        <f>Tableau1[[#This Row],[Calendrier
de réalisation]]</f>
        <v>2019-Q1</v>
      </c>
      <c r="Q175" s="284"/>
      <c r="S175" s="286" t="str">
        <f>IFERROR(VLOOKUP('Plan 2019 consolidé'!$E175,Tableau5[],COLUMN(Tableau5[[#This Row],[Sexe2]]),FALSE),"")</f>
        <v>M</v>
      </c>
      <c r="W175" s="286">
        <f>IFERROR(VLOOKUP('Plan 2019 consolidé'!$E175,Tableau5[],COLUMN(Tableau5[[#This Row],[Age]]),FALSE),"")</f>
        <v>50</v>
      </c>
      <c r="X175" s="286">
        <f>IFERROR(VLOOKUP('Plan 2019 consolidé'!$E175,Tableau5[],COLUMN(Tableau5[[#This Row],[Nombre d''années d''ancienneté dans la société]]),FALSE),"")</f>
        <v>10</v>
      </c>
    </row>
    <row r="176" spans="1:24" x14ac:dyDescent="0.25">
      <c r="A176" s="284" t="str">
        <f>Tableau1[[#This Row],[Service]]</f>
        <v>DVC</v>
      </c>
      <c r="B176" s="284" t="str">
        <f>Tableau1[[#This Row],[Site]]</f>
        <v>STG</v>
      </c>
      <c r="C176" s="284" t="str">
        <f>Tableau1[[#This Row],[Manager]]</f>
        <v>BUISSON</v>
      </c>
      <c r="D176" s="284">
        <f>Tableau1[[#This Row],[Matricule]]</f>
        <v>10507194</v>
      </c>
      <c r="E176" s="284" t="str">
        <f>Tableau1[[#This Row],[Nom]]</f>
        <v>HIERAMENTE</v>
      </c>
      <c r="F176" s="284" t="str">
        <f>Tableau1[[#This Row],[Prénom]]</f>
        <v>Julien</v>
      </c>
      <c r="G176" s="284" t="str">
        <f>Tableau1[[#This Row],[Axe
(Filières)]]</f>
        <v>Sécurité</v>
      </c>
      <c r="H176" s="284" t="str">
        <f>Tableau1[[#This Row],[Intitulé]]</f>
        <v>HAB ELEC</v>
      </c>
      <c r="I176" s="284">
        <f>Tableau1[[#This Row],[Priorité
mger]]</f>
        <v>0</v>
      </c>
      <c r="J176" s="284" t="str">
        <f>Tableau1[[#This Row],[Organisme]]</f>
        <v>SEEF</v>
      </c>
      <c r="K176" s="284">
        <f>Tableau1[[#This Row],[Durée
H]]</f>
        <v>10.5</v>
      </c>
      <c r="L176" s="92">
        <f>Tableau1[[#This Row],[Coût
péda.]]</f>
        <v>260</v>
      </c>
      <c r="M176" s="284" t="str">
        <f>Tableau1[[#This Row],[Dispositif
(Plan / DIF)]]</f>
        <v>Plan</v>
      </c>
      <c r="N176" s="284" t="str">
        <f>Tableau1[[#This Row],[Axe
  (note cadrage)]]</f>
        <v>Formation obligatoire</v>
      </c>
      <c r="O176" s="285">
        <f>Tableau1[[#This Row],[Validation
(Oui/Non)]]</f>
        <v>0</v>
      </c>
      <c r="P176" s="287" t="str">
        <f>Tableau1[[#This Row],[Calendrier
de réalisation]]</f>
        <v/>
      </c>
      <c r="Q176" s="284"/>
      <c r="S176" s="286" t="str">
        <f>IFERROR(VLOOKUP('Plan 2019 consolidé'!$E176,Tableau5[],COLUMN(Tableau5[[#This Row],[Sexe2]]),FALSE),"")</f>
        <v>M</v>
      </c>
      <c r="W176" s="286">
        <f>IFERROR(VLOOKUP('Plan 2019 consolidé'!$E176,Tableau5[],COLUMN(Tableau5[[#This Row],[Age]]),FALSE),"")</f>
        <v>32</v>
      </c>
      <c r="X176" s="286">
        <f>IFERROR(VLOOKUP('Plan 2019 consolidé'!$E176,Tableau5[],COLUMN(Tableau5[[#This Row],[Nombre d''années d''ancienneté dans la société]]),FALSE),"")</f>
        <v>2</v>
      </c>
    </row>
    <row r="177" spans="1:24" x14ac:dyDescent="0.25">
      <c r="A177" s="284" t="str">
        <f>Tableau1[[#This Row],[Service]]</f>
        <v>DVC</v>
      </c>
      <c r="B177" s="284" t="str">
        <f>Tableau1[[#This Row],[Site]]</f>
        <v>Lattes</v>
      </c>
      <c r="C177" s="284" t="str">
        <f>Tableau1[[#This Row],[Manager]]</f>
        <v>VERNE</v>
      </c>
      <c r="D177" s="284">
        <f>Tableau1[[#This Row],[Matricule]]</f>
        <v>191229</v>
      </c>
      <c r="E177" s="284" t="str">
        <f>Tableau1[[#This Row],[Nom]]</f>
        <v>HIPPOLITE</v>
      </c>
      <c r="F177" s="284" t="str">
        <f>Tableau1[[#This Row],[Prénom]]</f>
        <v>Ludovic</v>
      </c>
      <c r="G177" s="284" t="str">
        <f>Tableau1[[#This Row],[Axe
(Filières)]]</f>
        <v>Sécurité</v>
      </c>
      <c r="H177" s="284" t="str">
        <f>Tableau1[[#This Row],[Intitulé]]</f>
        <v>Risques chimiques</v>
      </c>
      <c r="I177" s="284">
        <f>Tableau1[[#This Row],[Priorité
mger]]</f>
        <v>0</v>
      </c>
      <c r="J177" s="284" t="str">
        <f>Tableau1[[#This Row],[Organisme]]</f>
        <v>APAVE</v>
      </c>
      <c r="K177" s="284">
        <f>Tableau1[[#This Row],[Durée
H]]</f>
        <v>7</v>
      </c>
      <c r="L177" s="92">
        <f>Tableau1[[#This Row],[Coût
péda.]]</f>
        <v>162</v>
      </c>
      <c r="M177" s="284" t="str">
        <f>Tableau1[[#This Row],[Dispositif
(Plan / DIF)]]</f>
        <v>Plan</v>
      </c>
      <c r="N177" s="284" t="str">
        <f>Tableau1[[#This Row],[Axe
  (note cadrage)]]</f>
        <v>Formation obligatoire</v>
      </c>
      <c r="O177" s="285">
        <f>Tableau1[[#This Row],[Validation
(Oui/Non)]]</f>
        <v>0</v>
      </c>
      <c r="P177" s="287" t="str">
        <f>Tableau1[[#This Row],[Calendrier
de réalisation]]</f>
        <v>2019-Q2</v>
      </c>
      <c r="Q177" s="284"/>
      <c r="S177" s="286" t="str">
        <f>IFERROR(VLOOKUP('Plan 2019 consolidé'!$E177,Tableau5[],COLUMN(Tableau5[[#This Row],[Sexe2]]),FALSE),"")</f>
        <v>M</v>
      </c>
      <c r="W177" s="286">
        <f>IFERROR(VLOOKUP('Plan 2019 consolidé'!$E177,Tableau5[],COLUMN(Tableau5[[#This Row],[Age]]),FALSE),"")</f>
        <v>47</v>
      </c>
      <c r="X177" s="286">
        <f>IFERROR(VLOOKUP('Plan 2019 consolidé'!$E177,Tableau5[],COLUMN(Tableau5[[#This Row],[Nombre d''années d''ancienneté dans la société]]),FALSE),"")</f>
        <v>26</v>
      </c>
    </row>
    <row r="178" spans="1:24" x14ac:dyDescent="0.25">
      <c r="A178" s="284" t="str">
        <f>Tableau1[[#This Row],[Service]]</f>
        <v>Non DVC</v>
      </c>
      <c r="B178" s="284" t="str">
        <f>Tableau1[[#This Row],[Site]]</f>
        <v>Lattes</v>
      </c>
      <c r="C178" s="284" t="str">
        <f>Tableau1[[#This Row],[Manager]]</f>
        <v>VERNE</v>
      </c>
      <c r="D178" s="284">
        <f>Tableau1[[#This Row],[Matricule]]</f>
        <v>69157</v>
      </c>
      <c r="E178" s="284" t="str">
        <f>Tableau1[[#This Row],[Nom]]</f>
        <v>JACKEL</v>
      </c>
      <c r="F178" s="284" t="str">
        <f>Tableau1[[#This Row],[Prénom]]</f>
        <v>Ludovic</v>
      </c>
      <c r="G178" s="284" t="str">
        <f>Tableau1[[#This Row],[Axe
(Filières)]]</f>
        <v>Sécurité</v>
      </c>
      <c r="H178" s="284" t="str">
        <f>Tableau1[[#This Row],[Intitulé]]</f>
        <v>Gestes et postures</v>
      </c>
      <c r="I178" s="284">
        <f>Tableau1[[#This Row],[Priorité
mger]]</f>
        <v>0</v>
      </c>
      <c r="J178" s="284" t="str">
        <f>Tableau1[[#This Row],[Organisme]]</f>
        <v>APAVE</v>
      </c>
      <c r="K178" s="284">
        <f>Tableau1[[#This Row],[Durée
H]]</f>
        <v>7</v>
      </c>
      <c r="L178" s="92">
        <f>Tableau1[[#This Row],[Coût
péda.]]</f>
        <v>124</v>
      </c>
      <c r="M178" s="284" t="str">
        <f>Tableau1[[#This Row],[Dispositif
(Plan / DIF)]]</f>
        <v>Plan</v>
      </c>
      <c r="N178" s="284" t="str">
        <f>Tableau1[[#This Row],[Axe
  (note cadrage)]]</f>
        <v>Formation obligatoire</v>
      </c>
      <c r="O178" s="285">
        <f>Tableau1[[#This Row],[Validation
(Oui/Non)]]</f>
        <v>0</v>
      </c>
      <c r="P178" s="287" t="str">
        <f>Tableau1[[#This Row],[Calendrier
de réalisation]]</f>
        <v/>
      </c>
      <c r="Q178" s="284"/>
      <c r="S178" s="286" t="str">
        <f>IFERROR(VLOOKUP('Plan 2019 consolidé'!$E178,Tableau5[],COLUMN(Tableau5[[#This Row],[Sexe2]]),FALSE),"")</f>
        <v>M</v>
      </c>
      <c r="W178" s="286">
        <f>IFERROR(VLOOKUP('Plan 2019 consolidé'!$E178,Tableau5[],COLUMN(Tableau5[[#This Row],[Age]]),FALSE),"")</f>
        <v>36</v>
      </c>
      <c r="X178" s="286">
        <f>IFERROR(VLOOKUP('Plan 2019 consolidé'!$E178,Tableau5[],COLUMN(Tableau5[[#This Row],[Nombre d''années d''ancienneté dans la société]]),FALSE),"")</f>
        <v>8</v>
      </c>
    </row>
    <row r="179" spans="1:24" x14ac:dyDescent="0.25">
      <c r="A179" s="284" t="str">
        <f>Tableau1[[#This Row],[Service]]</f>
        <v>Non DVC</v>
      </c>
      <c r="B179" s="284" t="str">
        <f>Tableau1[[#This Row],[Site]]</f>
        <v>Lattes</v>
      </c>
      <c r="C179" s="284" t="str">
        <f>Tableau1[[#This Row],[Manager]]</f>
        <v>VERNE</v>
      </c>
      <c r="D179" s="284">
        <f>Tableau1[[#This Row],[Matricule]]</f>
        <v>69157</v>
      </c>
      <c r="E179" s="284" t="str">
        <f>Tableau1[[#This Row],[Nom]]</f>
        <v>JACKEL</v>
      </c>
      <c r="F179" s="284" t="str">
        <f>Tableau1[[#This Row],[Prénom]]</f>
        <v>Ludovic</v>
      </c>
      <c r="G179" s="284" t="str">
        <f>Tableau1[[#This Row],[Axe
(Filières)]]</f>
        <v>Sécurité</v>
      </c>
      <c r="H179" s="284" t="str">
        <f>Tableau1[[#This Row],[Intitulé]]</f>
        <v>SEEDH</v>
      </c>
      <c r="I179" s="284">
        <f>Tableau1[[#This Row],[Priorité
mger]]</f>
        <v>0</v>
      </c>
      <c r="J179" s="284" t="str">
        <f>Tableau1[[#This Row],[Organisme]]</f>
        <v>APAVE</v>
      </c>
      <c r="K179" s="284">
        <f>Tableau1[[#This Row],[Durée
H]]</f>
        <v>3.5</v>
      </c>
      <c r="L179" s="92">
        <f>Tableau1[[#This Row],[Coût
péda.]]</f>
        <v>351</v>
      </c>
      <c r="M179" s="284" t="str">
        <f>Tableau1[[#This Row],[Dispositif
(Plan / DIF)]]</f>
        <v>Plan</v>
      </c>
      <c r="N179" s="284" t="str">
        <f>Tableau1[[#This Row],[Axe
  (note cadrage)]]</f>
        <v>Formation obligatoire</v>
      </c>
      <c r="O179" s="285">
        <f>Tableau1[[#This Row],[Validation
(Oui/Non)]]</f>
        <v>0</v>
      </c>
      <c r="P179" s="287" t="str">
        <f>Tableau1[[#This Row],[Calendrier
de réalisation]]</f>
        <v/>
      </c>
      <c r="Q179" s="284"/>
      <c r="S179" s="286" t="str">
        <f>IFERROR(VLOOKUP('Plan 2019 consolidé'!$E179,Tableau5[],COLUMN(Tableau5[[#This Row],[Sexe2]]),FALSE),"")</f>
        <v>M</v>
      </c>
      <c r="W179" s="286">
        <f>IFERROR(VLOOKUP('Plan 2019 consolidé'!$E179,Tableau5[],COLUMN(Tableau5[[#This Row],[Age]]),FALSE),"")</f>
        <v>36</v>
      </c>
      <c r="X179" s="286">
        <f>IFERROR(VLOOKUP('Plan 2019 consolidé'!$E179,Tableau5[],COLUMN(Tableau5[[#This Row],[Nombre d''années d''ancienneté dans la société]]),FALSE),"")</f>
        <v>8</v>
      </c>
    </row>
    <row r="180" spans="1:24" x14ac:dyDescent="0.25">
      <c r="A180" s="284" t="str">
        <f>Tableau1[[#This Row],[Service]]</f>
        <v>Non DVC</v>
      </c>
      <c r="B180" s="284" t="str">
        <f>Tableau1[[#This Row],[Site]]</f>
        <v>Aub.</v>
      </c>
      <c r="C180" s="284" t="str">
        <f>Tableau1[[#This Row],[Manager]]</f>
        <v>PIFFAUT</v>
      </c>
      <c r="D180" s="284">
        <f>Tableau1[[#This Row],[Matricule]]</f>
        <v>102910</v>
      </c>
      <c r="E180" s="284" t="str">
        <f>Tableau1[[#This Row],[Nom]]</f>
        <v>JOANNY</v>
      </c>
      <c r="F180" s="284" t="str">
        <f>Tableau1[[#This Row],[Prénom]]</f>
        <v>Patrick</v>
      </c>
      <c r="G180" s="284" t="str">
        <f>Tableau1[[#This Row],[Axe
(Filières)]]</f>
        <v>Sécurité</v>
      </c>
      <c r="H180" s="284" t="str">
        <f>Tableau1[[#This Row],[Intitulé]]</f>
        <v>Recyclage SST</v>
      </c>
      <c r="I180" s="284">
        <f>Tableau1[[#This Row],[Priorité
mger]]</f>
        <v>0</v>
      </c>
      <c r="J180" s="284" t="str">
        <f>Tableau1[[#This Row],[Organisme]]</f>
        <v>CFSP</v>
      </c>
      <c r="K180" s="284">
        <f>Tableau1[[#This Row],[Durée
H]]</f>
        <v>7</v>
      </c>
      <c r="L180" s="92">
        <f>Tableau1[[#This Row],[Coût
péda.]]</f>
        <v>117</v>
      </c>
      <c r="M180" s="284" t="str">
        <f>Tableau1[[#This Row],[Dispositif
(Plan / DIF)]]</f>
        <v>Plan</v>
      </c>
      <c r="N180" s="284" t="str">
        <f>Tableau1[[#This Row],[Axe
  (note cadrage)]]</f>
        <v>Formation obligatoire</v>
      </c>
      <c r="O180" s="285">
        <f>Tableau1[[#This Row],[Validation
(Oui/Non)]]</f>
        <v>0</v>
      </c>
      <c r="P180" s="287" t="str">
        <f>Tableau1[[#This Row],[Calendrier
de réalisation]]</f>
        <v/>
      </c>
      <c r="Q180" s="284"/>
      <c r="S180" s="286" t="str">
        <f>IFERROR(VLOOKUP('Plan 2019 consolidé'!$E180,Tableau5[],COLUMN(Tableau5[[#This Row],[Sexe2]]),FALSE),"")</f>
        <v>M</v>
      </c>
      <c r="W180" s="286">
        <f>IFERROR(VLOOKUP('Plan 2019 consolidé'!$E180,Tableau5[],COLUMN(Tableau5[[#This Row],[Age]]),FALSE),"")</f>
        <v>37</v>
      </c>
      <c r="X180" s="286">
        <f>IFERROR(VLOOKUP('Plan 2019 consolidé'!$E180,Tableau5[],COLUMN(Tableau5[[#This Row],[Nombre d''années d''ancienneté dans la société]]),FALSE),"")</f>
        <v>11</v>
      </c>
    </row>
    <row r="181" spans="1:24" x14ac:dyDescent="0.25">
      <c r="A181" s="284" t="str">
        <f>Tableau1[[#This Row],[Service]]</f>
        <v>Non DVC</v>
      </c>
      <c r="B181" s="284" t="str">
        <f>Tableau1[[#This Row],[Site]]</f>
        <v>Aub.</v>
      </c>
      <c r="C181" s="284" t="str">
        <f>Tableau1[[#This Row],[Manager]]</f>
        <v>PIFFAUT</v>
      </c>
      <c r="D181" s="284">
        <f>Tableau1[[#This Row],[Matricule]]</f>
        <v>102910</v>
      </c>
      <c r="E181" s="284" t="str">
        <f>Tableau1[[#This Row],[Nom]]</f>
        <v>JOANNY</v>
      </c>
      <c r="F181" s="284" t="str">
        <f>Tableau1[[#This Row],[Prénom]]</f>
        <v>Patrick</v>
      </c>
      <c r="G181" s="284" t="str">
        <f>Tableau1[[#This Row],[Axe
(Filières)]]</f>
        <v>Sécurité</v>
      </c>
      <c r="H181" s="284" t="str">
        <f>Tableau1[[#This Row],[Intitulé]]</f>
        <v>HAB ELEC</v>
      </c>
      <c r="I181" s="284">
        <f>Tableau1[[#This Row],[Priorité
mger]]</f>
        <v>0</v>
      </c>
      <c r="J181" s="284" t="str">
        <f>Tableau1[[#This Row],[Organisme]]</f>
        <v>SEEF</v>
      </c>
      <c r="K181" s="284">
        <f>Tableau1[[#This Row],[Durée
H]]</f>
        <v>10.5</v>
      </c>
      <c r="L181" s="92">
        <f>Tableau1[[#This Row],[Coût
péda.]]</f>
        <v>260</v>
      </c>
      <c r="M181" s="284" t="str">
        <f>Tableau1[[#This Row],[Dispositif
(Plan / DIF)]]</f>
        <v>Plan</v>
      </c>
      <c r="N181" s="284" t="str">
        <f>Tableau1[[#This Row],[Axe
  (note cadrage)]]</f>
        <v>Formation obligatoire</v>
      </c>
      <c r="O181" s="285">
        <f>Tableau1[[#This Row],[Validation
(Oui/Non)]]</f>
        <v>0</v>
      </c>
      <c r="P181" s="287" t="str">
        <f>Tableau1[[#This Row],[Calendrier
de réalisation]]</f>
        <v/>
      </c>
      <c r="Q181" s="284"/>
      <c r="S181" s="286" t="str">
        <f>IFERROR(VLOOKUP('Plan 2019 consolidé'!$E181,Tableau5[],COLUMN(Tableau5[[#This Row],[Sexe2]]),FALSE),"")</f>
        <v>M</v>
      </c>
      <c r="W181" s="286">
        <f>IFERROR(VLOOKUP('Plan 2019 consolidé'!$E181,Tableau5[],COLUMN(Tableau5[[#This Row],[Age]]),FALSE),"")</f>
        <v>37</v>
      </c>
      <c r="X181" s="286">
        <f>IFERROR(VLOOKUP('Plan 2019 consolidé'!$E181,Tableau5[],COLUMN(Tableau5[[#This Row],[Nombre d''années d''ancienneté dans la société]]),FALSE),"")</f>
        <v>11</v>
      </c>
    </row>
    <row r="182" spans="1:24" x14ac:dyDescent="0.25">
      <c r="A182" s="284" t="str">
        <f>Tableau1[[#This Row],[Service]]</f>
        <v>DVC</v>
      </c>
      <c r="B182" s="284" t="str">
        <f>Tableau1[[#This Row],[Site]]</f>
        <v>Aub.</v>
      </c>
      <c r="C182" s="284" t="str">
        <f>Tableau1[[#This Row],[Manager]]</f>
        <v>ALIX</v>
      </c>
      <c r="D182" s="284">
        <f>Tableau1[[#This Row],[Matricule]]</f>
        <v>103029</v>
      </c>
      <c r="E182" s="284" t="str">
        <f>Tableau1[[#This Row],[Nom]]</f>
        <v>KRASOUSKY</v>
      </c>
      <c r="F182" s="284" t="str">
        <f>Tableau1[[#This Row],[Prénom]]</f>
        <v>Jean-Claude</v>
      </c>
      <c r="G182" s="284" t="str">
        <f>Tableau1[[#This Row],[Axe
(Filières)]]</f>
        <v>Sécurité</v>
      </c>
      <c r="H182" s="284" t="str">
        <f>Tableau1[[#This Row],[Intitulé]]</f>
        <v>Incendie</v>
      </c>
      <c r="I182" s="284">
        <f>Tableau1[[#This Row],[Priorité
mger]]</f>
        <v>0</v>
      </c>
      <c r="J182" s="284" t="str">
        <f>Tableau1[[#This Row],[Organisme]]</f>
        <v>APAVE</v>
      </c>
      <c r="K182" s="284">
        <f>Tableau1[[#This Row],[Durée
H]]</f>
        <v>1.5</v>
      </c>
      <c r="L182" s="92">
        <f>Tableau1[[#This Row],[Coût
péda.]]</f>
        <v>53</v>
      </c>
      <c r="M182" s="284" t="str">
        <f>Tableau1[[#This Row],[Dispositif
(Plan / DIF)]]</f>
        <v>Plan</v>
      </c>
      <c r="N182" s="284" t="str">
        <f>Tableau1[[#This Row],[Axe
  (note cadrage)]]</f>
        <v>Formation obligatoire</v>
      </c>
      <c r="O182" s="285">
        <f>Tableau1[[#This Row],[Validation
(Oui/Non)]]</f>
        <v>0</v>
      </c>
      <c r="P182" s="287" t="str">
        <f>Tableau1[[#This Row],[Calendrier
de réalisation]]</f>
        <v>2019-Q2</v>
      </c>
      <c r="Q182" s="284"/>
      <c r="S182" s="286" t="str">
        <f>IFERROR(VLOOKUP('Plan 2019 consolidé'!$E182,Tableau5[],COLUMN(Tableau5[[#This Row],[Sexe2]]),FALSE),"")</f>
        <v>M</v>
      </c>
      <c r="W182" s="286">
        <f>IFERROR(VLOOKUP('Plan 2019 consolidé'!$E182,Tableau5[],COLUMN(Tableau5[[#This Row],[Age]]),FALSE),"")</f>
        <v>51</v>
      </c>
      <c r="X182" s="286">
        <f>IFERROR(VLOOKUP('Plan 2019 consolidé'!$E182,Tableau5[],COLUMN(Tableau5[[#This Row],[Nombre d''années d''ancienneté dans la société]]),FALSE),"")</f>
        <v>27</v>
      </c>
    </row>
    <row r="183" spans="1:24" x14ac:dyDescent="0.25">
      <c r="A183" s="284" t="str">
        <f>Tableau1[[#This Row],[Service]]</f>
        <v>DVC</v>
      </c>
      <c r="B183" s="284" t="str">
        <f>Tableau1[[#This Row],[Site]]</f>
        <v>Aub.</v>
      </c>
      <c r="C183" s="284" t="str">
        <f>Tableau1[[#This Row],[Manager]]</f>
        <v>ALIX</v>
      </c>
      <c r="D183" s="284">
        <f>Tableau1[[#This Row],[Matricule]]</f>
        <v>103029</v>
      </c>
      <c r="E183" s="284" t="str">
        <f>Tableau1[[#This Row],[Nom]]</f>
        <v>KRASOUSKY</v>
      </c>
      <c r="F183" s="284" t="str">
        <f>Tableau1[[#This Row],[Prénom]]</f>
        <v>Jean-Claude</v>
      </c>
      <c r="G183" s="284" t="str">
        <f>Tableau1[[#This Row],[Axe
(Filières)]]</f>
        <v>Sécurité</v>
      </c>
      <c r="H183" s="284" t="str">
        <f>Tableau1[[#This Row],[Intitulé]]</f>
        <v>Recyclage SST</v>
      </c>
      <c r="I183" s="284">
        <f>Tableau1[[#This Row],[Priorité
mger]]</f>
        <v>0</v>
      </c>
      <c r="J183" s="284" t="str">
        <f>Tableau1[[#This Row],[Organisme]]</f>
        <v>CFSP</v>
      </c>
      <c r="K183" s="284">
        <f>Tableau1[[#This Row],[Durée
H]]</f>
        <v>7</v>
      </c>
      <c r="L183" s="92">
        <f>Tableau1[[#This Row],[Coût
péda.]]</f>
        <v>117</v>
      </c>
      <c r="M183" s="284" t="str">
        <f>Tableau1[[#This Row],[Dispositif
(Plan / DIF)]]</f>
        <v>Plan</v>
      </c>
      <c r="N183" s="284" t="str">
        <f>Tableau1[[#This Row],[Axe
  (note cadrage)]]</f>
        <v>Formation obligatoire</v>
      </c>
      <c r="O183" s="285">
        <f>Tableau1[[#This Row],[Validation
(Oui/Non)]]</f>
        <v>0</v>
      </c>
      <c r="P183" s="287" t="str">
        <f>Tableau1[[#This Row],[Calendrier
de réalisation]]</f>
        <v/>
      </c>
      <c r="Q183" s="284"/>
      <c r="S183" s="286" t="str">
        <f>IFERROR(VLOOKUP('Plan 2019 consolidé'!$E183,Tableau5[],COLUMN(Tableau5[[#This Row],[Sexe2]]),FALSE),"")</f>
        <v>M</v>
      </c>
      <c r="W183" s="286">
        <f>IFERROR(VLOOKUP('Plan 2019 consolidé'!$E183,Tableau5[],COLUMN(Tableau5[[#This Row],[Age]]),FALSE),"")</f>
        <v>51</v>
      </c>
      <c r="X183" s="286">
        <f>IFERROR(VLOOKUP('Plan 2019 consolidé'!$E183,Tableau5[],COLUMN(Tableau5[[#This Row],[Nombre d''années d''ancienneté dans la société]]),FALSE),"")</f>
        <v>27</v>
      </c>
    </row>
    <row r="184" spans="1:24" x14ac:dyDescent="0.25">
      <c r="A184" s="284" t="str">
        <f>Tableau1[[#This Row],[Service]]</f>
        <v>DVC</v>
      </c>
      <c r="B184" s="284" t="str">
        <f>Tableau1[[#This Row],[Site]]</f>
        <v>Aub.</v>
      </c>
      <c r="C184" s="284" t="str">
        <f>Tableau1[[#This Row],[Manager]]</f>
        <v>SENEPART</v>
      </c>
      <c r="D184" s="284">
        <f>Tableau1[[#This Row],[Matricule]]</f>
        <v>102899</v>
      </c>
      <c r="E184" s="284" t="str">
        <f>Tableau1[[#This Row],[Nom]]</f>
        <v>LACLAVERE</v>
      </c>
      <c r="F184" s="284" t="str">
        <f>Tableau1[[#This Row],[Prénom]]</f>
        <v>Aurelie</v>
      </c>
      <c r="G184" s="284" t="str">
        <f>Tableau1[[#This Row],[Axe
(Filières)]]</f>
        <v>Sécurité</v>
      </c>
      <c r="H184" s="284" t="str">
        <f>Tableau1[[#This Row],[Intitulé]]</f>
        <v>Incendie</v>
      </c>
      <c r="I184" s="284">
        <f>Tableau1[[#This Row],[Priorité
mger]]</f>
        <v>0</v>
      </c>
      <c r="J184" s="284" t="str">
        <f>Tableau1[[#This Row],[Organisme]]</f>
        <v>APAVE</v>
      </c>
      <c r="K184" s="284">
        <f>Tableau1[[#This Row],[Durée
H]]</f>
        <v>1.5</v>
      </c>
      <c r="L184" s="92">
        <f>Tableau1[[#This Row],[Coût
péda.]]</f>
        <v>53</v>
      </c>
      <c r="M184" s="284" t="str">
        <f>Tableau1[[#This Row],[Dispositif
(Plan / DIF)]]</f>
        <v>Plan</v>
      </c>
      <c r="N184" s="284" t="str">
        <f>Tableau1[[#This Row],[Axe
  (note cadrage)]]</f>
        <v>Formation obligatoire</v>
      </c>
      <c r="O184" s="285">
        <f>Tableau1[[#This Row],[Validation
(Oui/Non)]]</f>
        <v>0</v>
      </c>
      <c r="P184" s="287" t="str">
        <f>Tableau1[[#This Row],[Calendrier
de réalisation]]</f>
        <v>2019-Q2</v>
      </c>
      <c r="Q184" s="284"/>
      <c r="S184" s="286" t="str">
        <f>IFERROR(VLOOKUP('Plan 2019 consolidé'!$E184,Tableau5[],COLUMN(Tableau5[[#This Row],[Sexe2]]),FALSE),"")</f>
        <v>F</v>
      </c>
      <c r="W184" s="286">
        <f>IFERROR(VLOOKUP('Plan 2019 consolidé'!$E184,Tableau5[],COLUMN(Tableau5[[#This Row],[Age]]),FALSE),"")</f>
        <v>35</v>
      </c>
      <c r="X184" s="286">
        <f>IFERROR(VLOOKUP('Plan 2019 consolidé'!$E184,Tableau5[],COLUMN(Tableau5[[#This Row],[Nombre d''années d''ancienneté dans la société]]),FALSE),"")</f>
        <v>10</v>
      </c>
    </row>
    <row r="185" spans="1:24" x14ac:dyDescent="0.25">
      <c r="A185" s="284" t="str">
        <f>Tableau1[[#This Row],[Service]]</f>
        <v>DVC</v>
      </c>
      <c r="B185" s="284" t="str">
        <f>Tableau1[[#This Row],[Site]]</f>
        <v>Aub.</v>
      </c>
      <c r="C185" s="284" t="str">
        <f>Tableau1[[#This Row],[Manager]]</f>
        <v>SENEPART</v>
      </c>
      <c r="D185" s="284">
        <f>Tableau1[[#This Row],[Matricule]]</f>
        <v>103001</v>
      </c>
      <c r="E185" s="284" t="str">
        <f>Tableau1[[#This Row],[Nom]]</f>
        <v>LACOMBE</v>
      </c>
      <c r="F185" s="284" t="str">
        <f>Tableau1[[#This Row],[Prénom]]</f>
        <v>Thierry</v>
      </c>
      <c r="G185" s="284" t="str">
        <f>Tableau1[[#This Row],[Axe
(Filières)]]</f>
        <v>Sécurité</v>
      </c>
      <c r="H185" s="284" t="str">
        <f>Tableau1[[#This Row],[Intitulé]]</f>
        <v>Incendie</v>
      </c>
      <c r="I185" s="284">
        <f>Tableau1[[#This Row],[Priorité
mger]]</f>
        <v>0</v>
      </c>
      <c r="J185" s="284" t="str">
        <f>Tableau1[[#This Row],[Organisme]]</f>
        <v>APAVE</v>
      </c>
      <c r="K185" s="284">
        <f>Tableau1[[#This Row],[Durée
H]]</f>
        <v>1.5</v>
      </c>
      <c r="L185" s="92">
        <f>Tableau1[[#This Row],[Coût
péda.]]</f>
        <v>53</v>
      </c>
      <c r="M185" s="284" t="str">
        <f>Tableau1[[#This Row],[Dispositif
(Plan / DIF)]]</f>
        <v>Plan</v>
      </c>
      <c r="N185" s="284" t="str">
        <f>Tableau1[[#This Row],[Axe
  (note cadrage)]]</f>
        <v>Formation obligatoire</v>
      </c>
      <c r="O185" s="285">
        <f>Tableau1[[#This Row],[Validation
(Oui/Non)]]</f>
        <v>0</v>
      </c>
      <c r="P185" s="287" t="str">
        <f>Tableau1[[#This Row],[Calendrier
de réalisation]]</f>
        <v>2019-Q2</v>
      </c>
      <c r="Q185" s="284"/>
      <c r="S185" s="286" t="str">
        <f>IFERROR(VLOOKUP('Plan 2019 consolidé'!$E185,Tableau5[],COLUMN(Tableau5[[#This Row],[Sexe2]]),FALSE),"")</f>
        <v>M</v>
      </c>
      <c r="W185" s="286">
        <f>IFERROR(VLOOKUP('Plan 2019 consolidé'!$E185,Tableau5[],COLUMN(Tableau5[[#This Row],[Age]]),FALSE),"")</f>
        <v>50</v>
      </c>
      <c r="X185" s="286">
        <f>IFERROR(VLOOKUP('Plan 2019 consolidé'!$E185,Tableau5[],COLUMN(Tableau5[[#This Row],[Nombre d''années d''ancienneté dans la société]]),FALSE),"")</f>
        <v>23</v>
      </c>
    </row>
    <row r="186" spans="1:24" x14ac:dyDescent="0.25">
      <c r="A186" s="284" t="str">
        <f>Tableau1[[#This Row],[Service]]</f>
        <v>DVC</v>
      </c>
      <c r="B186" s="284" t="str">
        <f>Tableau1[[#This Row],[Site]]</f>
        <v>Aub.</v>
      </c>
      <c r="C186" s="284" t="str">
        <f>Tableau1[[#This Row],[Manager]]</f>
        <v>SAVY</v>
      </c>
      <c r="D186" s="284">
        <f>Tableau1[[#This Row],[Matricule]]</f>
        <v>103101</v>
      </c>
      <c r="E186" s="284" t="str">
        <f>Tableau1[[#This Row],[Nom]]</f>
        <v>LACOURB</v>
      </c>
      <c r="F186" s="284" t="str">
        <f>Tableau1[[#This Row],[Prénom]]</f>
        <v>Bernard</v>
      </c>
      <c r="G186" s="284" t="str">
        <f>Tableau1[[#This Row],[Axe
(Filières)]]</f>
        <v>Sécurité</v>
      </c>
      <c r="H186" s="284" t="str">
        <f>Tableau1[[#This Row],[Intitulé]]</f>
        <v>Incendie</v>
      </c>
      <c r="I186" s="284">
        <f>Tableau1[[#This Row],[Priorité
mger]]</f>
        <v>0</v>
      </c>
      <c r="J186" s="284" t="str">
        <f>Tableau1[[#This Row],[Organisme]]</f>
        <v>APAVE</v>
      </c>
      <c r="K186" s="284">
        <f>Tableau1[[#This Row],[Durée
H]]</f>
        <v>1.5</v>
      </c>
      <c r="L186" s="92">
        <f>Tableau1[[#This Row],[Coût
péda.]]</f>
        <v>53</v>
      </c>
      <c r="M186" s="284" t="str">
        <f>Tableau1[[#This Row],[Dispositif
(Plan / DIF)]]</f>
        <v>Plan</v>
      </c>
      <c r="N186" s="284" t="str">
        <f>Tableau1[[#This Row],[Axe
  (note cadrage)]]</f>
        <v>Formation obligatoire</v>
      </c>
      <c r="O186" s="285">
        <f>Tableau1[[#This Row],[Validation
(Oui/Non)]]</f>
        <v>0</v>
      </c>
      <c r="P186" s="287" t="str">
        <f>Tableau1[[#This Row],[Calendrier
de réalisation]]</f>
        <v/>
      </c>
      <c r="Q186" s="284"/>
      <c r="S186" s="286" t="str">
        <f>IFERROR(VLOOKUP('Plan 2019 consolidé'!$E186,Tableau5[],COLUMN(Tableau5[[#This Row],[Sexe2]]),FALSE),"")</f>
        <v>M</v>
      </c>
      <c r="W186" s="286">
        <f>IFERROR(VLOOKUP('Plan 2019 consolidé'!$E186,Tableau5[],COLUMN(Tableau5[[#This Row],[Age]]),FALSE),"")</f>
        <v>57</v>
      </c>
      <c r="X186" s="286">
        <f>IFERROR(VLOOKUP('Plan 2019 consolidé'!$E186,Tableau5[],COLUMN(Tableau5[[#This Row],[Nombre d''années d''ancienneté dans la société]]),FALSE),"")</f>
        <v>36</v>
      </c>
    </row>
    <row r="187" spans="1:24" x14ac:dyDescent="0.25">
      <c r="A187" s="284" t="str">
        <f>Tableau1[[#This Row],[Service]]</f>
        <v>DVC</v>
      </c>
      <c r="B187" s="284" t="str">
        <f>Tableau1[[#This Row],[Site]]</f>
        <v>Aub.</v>
      </c>
      <c r="C187" s="284" t="str">
        <f>Tableau1[[#This Row],[Manager]]</f>
        <v>SAVY</v>
      </c>
      <c r="D187" s="284">
        <f>Tableau1[[#This Row],[Matricule]]</f>
        <v>103101</v>
      </c>
      <c r="E187" s="284" t="str">
        <f>Tableau1[[#This Row],[Nom]]</f>
        <v>LACOURB</v>
      </c>
      <c r="F187" s="284" t="str">
        <f>Tableau1[[#This Row],[Prénom]]</f>
        <v>Bernard</v>
      </c>
      <c r="G187" s="284" t="str">
        <f>Tableau1[[#This Row],[Axe
(Filières)]]</f>
        <v>Sécurité</v>
      </c>
      <c r="H187" s="284" t="str">
        <f>Tableau1[[#This Row],[Intitulé]]</f>
        <v>Gestes et postures</v>
      </c>
      <c r="I187" s="284">
        <f>Tableau1[[#This Row],[Priorité
mger]]</f>
        <v>0</v>
      </c>
      <c r="J187" s="284" t="str">
        <f>Tableau1[[#This Row],[Organisme]]</f>
        <v>APAVE</v>
      </c>
      <c r="K187" s="284">
        <f>Tableau1[[#This Row],[Durée
H]]</f>
        <v>7</v>
      </c>
      <c r="L187" s="92">
        <f>Tableau1[[#This Row],[Coût
péda.]]</f>
        <v>124</v>
      </c>
      <c r="M187" s="284" t="str">
        <f>Tableau1[[#This Row],[Dispositif
(Plan / DIF)]]</f>
        <v>Plan</v>
      </c>
      <c r="N187" s="284" t="str">
        <f>Tableau1[[#This Row],[Axe
  (note cadrage)]]</f>
        <v>Formation obligatoire</v>
      </c>
      <c r="O187" s="285">
        <f>Tableau1[[#This Row],[Validation
(Oui/Non)]]</f>
        <v>0</v>
      </c>
      <c r="P187" s="287" t="str">
        <f>Tableau1[[#This Row],[Calendrier
de réalisation]]</f>
        <v>2019-Q4</v>
      </c>
      <c r="Q187" s="284"/>
      <c r="S187" s="286" t="str">
        <f>IFERROR(VLOOKUP('Plan 2019 consolidé'!$E187,Tableau5[],COLUMN(Tableau5[[#This Row],[Sexe2]]),FALSE),"")</f>
        <v>M</v>
      </c>
      <c r="W187" s="286">
        <f>IFERROR(VLOOKUP('Plan 2019 consolidé'!$E187,Tableau5[],COLUMN(Tableau5[[#This Row],[Age]]),FALSE),"")</f>
        <v>57</v>
      </c>
      <c r="X187" s="286">
        <f>IFERROR(VLOOKUP('Plan 2019 consolidé'!$E187,Tableau5[],COLUMN(Tableau5[[#This Row],[Nombre d''années d''ancienneté dans la société]]),FALSE),"")</f>
        <v>36</v>
      </c>
    </row>
    <row r="188" spans="1:24" x14ac:dyDescent="0.25">
      <c r="A188" s="284" t="str">
        <f>Tableau1[[#This Row],[Service]]</f>
        <v>DVC</v>
      </c>
      <c r="B188" s="284" t="str">
        <f>Tableau1[[#This Row],[Site]]</f>
        <v>Aub.</v>
      </c>
      <c r="C188" s="284" t="str">
        <f>Tableau1[[#This Row],[Manager]]</f>
        <v>SAVY</v>
      </c>
      <c r="D188" s="284">
        <f>Tableau1[[#This Row],[Matricule]]</f>
        <v>103101</v>
      </c>
      <c r="E188" s="284" t="str">
        <f>Tableau1[[#This Row],[Nom]]</f>
        <v>LACOURB</v>
      </c>
      <c r="F188" s="284" t="str">
        <f>Tableau1[[#This Row],[Prénom]]</f>
        <v>Bernard</v>
      </c>
      <c r="G188" s="284" t="str">
        <f>Tableau1[[#This Row],[Axe
(Filières)]]</f>
        <v>Sécurité</v>
      </c>
      <c r="H188" s="284" t="str">
        <f>Tableau1[[#This Row],[Intitulé]]</f>
        <v>Recyclage CACES2</v>
      </c>
      <c r="I188" s="284">
        <f>Tableau1[[#This Row],[Priorité
mger]]</f>
        <v>0</v>
      </c>
      <c r="J188" s="284" t="str">
        <f>Tableau1[[#This Row],[Organisme]]</f>
        <v>APAVE</v>
      </c>
      <c r="K188" s="284">
        <f>Tableau1[[#This Row],[Durée
H]]</f>
        <v>14</v>
      </c>
      <c r="L188" s="92">
        <f>Tableau1[[#This Row],[Coût
péda.]]</f>
        <v>297</v>
      </c>
      <c r="M188" s="284" t="str">
        <f>Tableau1[[#This Row],[Dispositif
(Plan / DIF)]]</f>
        <v>Plan</v>
      </c>
      <c r="N188" s="284" t="str">
        <f>Tableau1[[#This Row],[Axe
  (note cadrage)]]</f>
        <v>Formation obligatoire</v>
      </c>
      <c r="O188" s="285">
        <f>Tableau1[[#This Row],[Validation
(Oui/Non)]]</f>
        <v>0</v>
      </c>
      <c r="P188" s="287" t="str">
        <f>Tableau1[[#This Row],[Calendrier
de réalisation]]</f>
        <v>2019-Q3</v>
      </c>
      <c r="Q188" s="284"/>
      <c r="S188" s="286" t="str">
        <f>IFERROR(VLOOKUP('Plan 2019 consolidé'!$E188,Tableau5[],COLUMN(Tableau5[[#This Row],[Sexe2]]),FALSE),"")</f>
        <v>M</v>
      </c>
      <c r="W188" s="286">
        <f>IFERROR(VLOOKUP('Plan 2019 consolidé'!$E188,Tableau5[],COLUMN(Tableau5[[#This Row],[Age]]),FALSE),"")</f>
        <v>57</v>
      </c>
      <c r="X188" s="286">
        <f>IFERROR(VLOOKUP('Plan 2019 consolidé'!$E188,Tableau5[],COLUMN(Tableau5[[#This Row],[Nombre d''années d''ancienneté dans la société]]),FALSE),"")</f>
        <v>36</v>
      </c>
    </row>
    <row r="189" spans="1:24" x14ac:dyDescent="0.25">
      <c r="A189" s="284" t="str">
        <f>Tableau1[[#This Row],[Service]]</f>
        <v>Non DVC</v>
      </c>
      <c r="B189" s="284" t="str">
        <f>Tableau1[[#This Row],[Site]]</f>
        <v>Aub.</v>
      </c>
      <c r="C189" s="284" t="str">
        <f>Tableau1[[#This Row],[Manager]]</f>
        <v>RICCARDI</v>
      </c>
      <c r="D189" s="284">
        <f>Tableau1[[#This Row],[Matricule]]</f>
        <v>102992</v>
      </c>
      <c r="E189" s="284" t="str">
        <f>Tableau1[[#This Row],[Nom]]</f>
        <v>LACOURR</v>
      </c>
      <c r="F189" s="284" t="str">
        <f>Tableau1[[#This Row],[Prénom]]</f>
        <v>Raphael</v>
      </c>
      <c r="G189" s="284" t="str">
        <f>Tableau1[[#This Row],[Axe
(Filières)]]</f>
        <v>Sécurité</v>
      </c>
      <c r="H189" s="284" t="str">
        <f>Tableau1[[#This Row],[Intitulé]]</f>
        <v>Risques chimiques</v>
      </c>
      <c r="I189" s="284">
        <f>Tableau1[[#This Row],[Priorité
mger]]</f>
        <v>0</v>
      </c>
      <c r="J189" s="284" t="str">
        <f>Tableau1[[#This Row],[Organisme]]</f>
        <v>APAVE</v>
      </c>
      <c r="K189" s="284">
        <f>Tableau1[[#This Row],[Durée
H]]</f>
        <v>7</v>
      </c>
      <c r="L189" s="92">
        <f>Tableau1[[#This Row],[Coût
péda.]]</f>
        <v>162</v>
      </c>
      <c r="M189" s="284" t="str">
        <f>Tableau1[[#This Row],[Dispositif
(Plan / DIF)]]</f>
        <v>Plan</v>
      </c>
      <c r="N189" s="284" t="str">
        <f>Tableau1[[#This Row],[Axe
  (note cadrage)]]</f>
        <v>Formation obligatoire</v>
      </c>
      <c r="O189" s="285">
        <f>Tableau1[[#This Row],[Validation
(Oui/Non)]]</f>
        <v>0</v>
      </c>
      <c r="P189" s="287" t="str">
        <f>Tableau1[[#This Row],[Calendrier
de réalisation]]</f>
        <v/>
      </c>
      <c r="Q189" s="284"/>
      <c r="S189" s="286" t="str">
        <f>IFERROR(VLOOKUP('Plan 2019 consolidé'!$E189,Tableau5[],COLUMN(Tableau5[[#This Row],[Sexe2]]),FALSE),"")</f>
        <v>M</v>
      </c>
      <c r="W189" s="286">
        <f>IFERROR(VLOOKUP('Plan 2019 consolidé'!$E189,Tableau5[],COLUMN(Tableau5[[#This Row],[Age]]),FALSE),"")</f>
        <v>47</v>
      </c>
      <c r="X189" s="286">
        <f>IFERROR(VLOOKUP('Plan 2019 consolidé'!$E189,Tableau5[],COLUMN(Tableau5[[#This Row],[Nombre d''années d''ancienneté dans la société]]),FALSE),"")</f>
        <v>24</v>
      </c>
    </row>
    <row r="190" spans="1:24" x14ac:dyDescent="0.25">
      <c r="A190" s="284" t="str">
        <f>Tableau1[[#This Row],[Service]]</f>
        <v>Non DVC</v>
      </c>
      <c r="B190" s="284" t="str">
        <f>Tableau1[[#This Row],[Site]]</f>
        <v>Aub.</v>
      </c>
      <c r="C190" s="284" t="str">
        <f>Tableau1[[#This Row],[Manager]]</f>
        <v>RICCARDI</v>
      </c>
      <c r="D190" s="284">
        <f>Tableau1[[#This Row],[Matricule]]</f>
        <v>102992</v>
      </c>
      <c r="E190" s="284" t="str">
        <f>Tableau1[[#This Row],[Nom]]</f>
        <v>LACOURR</v>
      </c>
      <c r="F190" s="284" t="str">
        <f>Tableau1[[#This Row],[Prénom]]</f>
        <v>Raphael</v>
      </c>
      <c r="G190" s="284" t="str">
        <f>Tableau1[[#This Row],[Axe
(Filières)]]</f>
        <v>Sécurité</v>
      </c>
      <c r="H190" s="284" t="str">
        <f>Tableau1[[#This Row],[Intitulé]]</f>
        <v>Recyclage SST</v>
      </c>
      <c r="I190" s="284">
        <f>Tableau1[[#This Row],[Priorité
mger]]</f>
        <v>0</v>
      </c>
      <c r="J190" s="284" t="str">
        <f>Tableau1[[#This Row],[Organisme]]</f>
        <v>CFSP</v>
      </c>
      <c r="K190" s="284">
        <f>Tableau1[[#This Row],[Durée
H]]</f>
        <v>7</v>
      </c>
      <c r="L190" s="92">
        <f>Tableau1[[#This Row],[Coût
péda.]]</f>
        <v>117</v>
      </c>
      <c r="M190" s="284" t="str">
        <f>Tableau1[[#This Row],[Dispositif
(Plan / DIF)]]</f>
        <v>Plan</v>
      </c>
      <c r="N190" s="284" t="str">
        <f>Tableau1[[#This Row],[Axe
  (note cadrage)]]</f>
        <v>Formation obligatoire</v>
      </c>
      <c r="O190" s="285">
        <f>Tableau1[[#This Row],[Validation
(Oui/Non)]]</f>
        <v>0</v>
      </c>
      <c r="P190" s="287" t="str">
        <f>Tableau1[[#This Row],[Calendrier
de réalisation]]</f>
        <v/>
      </c>
      <c r="Q190" s="284"/>
      <c r="S190" s="286" t="str">
        <f>IFERROR(VLOOKUP('Plan 2019 consolidé'!$E190,Tableau5[],COLUMN(Tableau5[[#This Row],[Sexe2]]),FALSE),"")</f>
        <v>M</v>
      </c>
      <c r="W190" s="286">
        <f>IFERROR(VLOOKUP('Plan 2019 consolidé'!$E190,Tableau5[],COLUMN(Tableau5[[#This Row],[Age]]),FALSE),"")</f>
        <v>47</v>
      </c>
      <c r="X190" s="286">
        <f>IFERROR(VLOOKUP('Plan 2019 consolidé'!$E190,Tableau5[],COLUMN(Tableau5[[#This Row],[Nombre d''années d''ancienneté dans la société]]),FALSE),"")</f>
        <v>24</v>
      </c>
    </row>
    <row r="191" spans="1:24" x14ac:dyDescent="0.25">
      <c r="A191" s="284" t="str">
        <f>Tableau1[[#This Row],[Service]]</f>
        <v>DVC</v>
      </c>
      <c r="B191" s="284" t="str">
        <f>Tableau1[[#This Row],[Site]]</f>
        <v>Aub.</v>
      </c>
      <c r="C191" s="284" t="str">
        <f>Tableau1[[#This Row],[Manager]]</f>
        <v>PIFFAUT</v>
      </c>
      <c r="D191" s="284">
        <f>Tableau1[[#This Row],[Matricule]]</f>
        <v>102996</v>
      </c>
      <c r="E191" s="284" t="str">
        <f>Tableau1[[#This Row],[Nom]]</f>
        <v>LADET</v>
      </c>
      <c r="F191" s="284" t="str">
        <f>Tableau1[[#This Row],[Prénom]]</f>
        <v>Bruno</v>
      </c>
      <c r="G191" s="284" t="str">
        <f>Tableau1[[#This Row],[Axe
(Filières)]]</f>
        <v>Sécurité</v>
      </c>
      <c r="H191" s="284" t="str">
        <f>Tableau1[[#This Row],[Intitulé]]</f>
        <v>Risques chimiques</v>
      </c>
      <c r="I191" s="284">
        <f>Tableau1[[#This Row],[Priorité
mger]]</f>
        <v>0</v>
      </c>
      <c r="J191" s="284" t="str">
        <f>Tableau1[[#This Row],[Organisme]]</f>
        <v>APAVE</v>
      </c>
      <c r="K191" s="284">
        <f>Tableau1[[#This Row],[Durée
H]]</f>
        <v>7</v>
      </c>
      <c r="L191" s="92">
        <f>Tableau1[[#This Row],[Coût
péda.]]</f>
        <v>162</v>
      </c>
      <c r="M191" s="284" t="str">
        <f>Tableau1[[#This Row],[Dispositif
(Plan / DIF)]]</f>
        <v>Plan</v>
      </c>
      <c r="N191" s="284" t="str">
        <f>Tableau1[[#This Row],[Axe
  (note cadrage)]]</f>
        <v>Formation obligatoire</v>
      </c>
      <c r="O191" s="285">
        <f>Tableau1[[#This Row],[Validation
(Oui/Non)]]</f>
        <v>0</v>
      </c>
      <c r="P191" s="287" t="str">
        <f>Tableau1[[#This Row],[Calendrier
de réalisation]]</f>
        <v>2019-Q1</v>
      </c>
      <c r="Q191" s="284"/>
      <c r="S191" s="286" t="str">
        <f>IFERROR(VLOOKUP('Plan 2019 consolidé'!$E191,Tableau5[],COLUMN(Tableau5[[#This Row],[Sexe2]]),FALSE),"")</f>
        <v>M</v>
      </c>
      <c r="W191" s="286">
        <f>IFERROR(VLOOKUP('Plan 2019 consolidé'!$E191,Tableau5[],COLUMN(Tableau5[[#This Row],[Age]]),FALSE),"")</f>
        <v>45</v>
      </c>
      <c r="X191" s="286">
        <f>IFERROR(VLOOKUP('Plan 2019 consolidé'!$E191,Tableau5[],COLUMN(Tableau5[[#This Row],[Nombre d''années d''ancienneté dans la société]]),FALSE),"")</f>
        <v>23</v>
      </c>
    </row>
    <row r="192" spans="1:24" x14ac:dyDescent="0.25">
      <c r="A192" s="284" t="str">
        <f>Tableau1[[#This Row],[Service]]</f>
        <v>DVC</v>
      </c>
      <c r="B192" s="284" t="str">
        <f>Tableau1[[#This Row],[Site]]</f>
        <v>Aub.</v>
      </c>
      <c r="C192" s="284" t="str">
        <f>Tableau1[[#This Row],[Manager]]</f>
        <v>PIFFAUT</v>
      </c>
      <c r="D192" s="284">
        <f>Tableau1[[#This Row],[Matricule]]</f>
        <v>102996</v>
      </c>
      <c r="E192" s="284" t="str">
        <f>Tableau1[[#This Row],[Nom]]</f>
        <v>LADET</v>
      </c>
      <c r="F192" s="284" t="str">
        <f>Tableau1[[#This Row],[Prénom]]</f>
        <v>Bruno</v>
      </c>
      <c r="G192" s="284" t="str">
        <f>Tableau1[[#This Row],[Axe
(Filières)]]</f>
        <v>Sécurité</v>
      </c>
      <c r="H192" s="284" t="str">
        <f>Tableau1[[#This Row],[Intitulé]]</f>
        <v>Recyclage CACES3 5</v>
      </c>
      <c r="I192" s="284">
        <f>Tableau1[[#This Row],[Priorité
mger]]</f>
        <v>0</v>
      </c>
      <c r="J192" s="284" t="str">
        <f>Tableau1[[#This Row],[Organisme]]</f>
        <v>APAVE</v>
      </c>
      <c r="K192" s="284">
        <f>Tableau1[[#This Row],[Durée
H]]</f>
        <v>14</v>
      </c>
      <c r="L192" s="92">
        <f>Tableau1[[#This Row],[Coût
péda.]]</f>
        <v>297</v>
      </c>
      <c r="M192" s="284" t="str">
        <f>Tableau1[[#This Row],[Dispositif
(Plan / DIF)]]</f>
        <v>Plan</v>
      </c>
      <c r="N192" s="284" t="str">
        <f>Tableau1[[#This Row],[Axe
  (note cadrage)]]</f>
        <v>Formation obligatoire</v>
      </c>
      <c r="O192" s="285">
        <f>Tableau1[[#This Row],[Validation
(Oui/Non)]]</f>
        <v>0</v>
      </c>
      <c r="P192" s="287" t="str">
        <f>Tableau1[[#This Row],[Calendrier
de réalisation]]</f>
        <v>2019-Q3</v>
      </c>
      <c r="Q192" s="284"/>
      <c r="S192" s="286" t="str">
        <f>IFERROR(VLOOKUP('Plan 2019 consolidé'!$E192,Tableau5[],COLUMN(Tableau5[[#This Row],[Sexe2]]),FALSE),"")</f>
        <v>M</v>
      </c>
      <c r="W192" s="286">
        <f>IFERROR(VLOOKUP('Plan 2019 consolidé'!$E192,Tableau5[],COLUMN(Tableau5[[#This Row],[Age]]),FALSE),"")</f>
        <v>45</v>
      </c>
      <c r="X192" s="286">
        <f>IFERROR(VLOOKUP('Plan 2019 consolidé'!$E192,Tableau5[],COLUMN(Tableau5[[#This Row],[Nombre d''années d''ancienneté dans la société]]),FALSE),"")</f>
        <v>23</v>
      </c>
    </row>
    <row r="193" spans="1:24" x14ac:dyDescent="0.25">
      <c r="A193" s="284" t="str">
        <f>Tableau1[[#This Row],[Service]]</f>
        <v>DVC</v>
      </c>
      <c r="B193" s="284" t="str">
        <f>Tableau1[[#This Row],[Site]]</f>
        <v>Aub.</v>
      </c>
      <c r="C193" s="284" t="str">
        <f>Tableau1[[#This Row],[Manager]]</f>
        <v>PIFFAUT</v>
      </c>
      <c r="D193" s="284">
        <f>Tableau1[[#This Row],[Matricule]]</f>
        <v>102996</v>
      </c>
      <c r="E193" s="284" t="str">
        <f>Tableau1[[#This Row],[Nom]]</f>
        <v>LADET</v>
      </c>
      <c r="F193" s="284" t="str">
        <f>Tableau1[[#This Row],[Prénom]]</f>
        <v>Bruno</v>
      </c>
      <c r="G193" s="284" t="str">
        <f>Tableau1[[#This Row],[Axe
(Filières)]]</f>
        <v>Sécurité</v>
      </c>
      <c r="H193" s="284" t="str">
        <f>Tableau1[[#This Row],[Intitulé]]</f>
        <v>Recyclage SST</v>
      </c>
      <c r="I193" s="284">
        <f>Tableau1[[#This Row],[Priorité
mger]]</f>
        <v>0</v>
      </c>
      <c r="J193" s="284" t="str">
        <f>Tableau1[[#This Row],[Organisme]]</f>
        <v>CFSP</v>
      </c>
      <c r="K193" s="284">
        <f>Tableau1[[#This Row],[Durée
H]]</f>
        <v>7</v>
      </c>
      <c r="L193" s="92">
        <f>Tableau1[[#This Row],[Coût
péda.]]</f>
        <v>117</v>
      </c>
      <c r="M193" s="284" t="str">
        <f>Tableau1[[#This Row],[Dispositif
(Plan / DIF)]]</f>
        <v>Plan</v>
      </c>
      <c r="N193" s="284" t="str">
        <f>Tableau1[[#This Row],[Axe
  (note cadrage)]]</f>
        <v>Formation obligatoire</v>
      </c>
      <c r="O193" s="285">
        <f>Tableau1[[#This Row],[Validation
(Oui/Non)]]</f>
        <v>0</v>
      </c>
      <c r="P193" s="287" t="str">
        <f>Tableau1[[#This Row],[Calendrier
de réalisation]]</f>
        <v/>
      </c>
      <c r="Q193" s="284"/>
      <c r="S193" s="286" t="str">
        <f>IFERROR(VLOOKUP('Plan 2019 consolidé'!$E193,Tableau5[],COLUMN(Tableau5[[#This Row],[Sexe2]]),FALSE),"")</f>
        <v>M</v>
      </c>
      <c r="W193" s="286">
        <f>IFERROR(VLOOKUP('Plan 2019 consolidé'!$E193,Tableau5[],COLUMN(Tableau5[[#This Row],[Age]]),FALSE),"")</f>
        <v>45</v>
      </c>
      <c r="X193" s="286">
        <f>IFERROR(VLOOKUP('Plan 2019 consolidé'!$E193,Tableau5[],COLUMN(Tableau5[[#This Row],[Nombre d''années d''ancienneté dans la société]]),FALSE),"")</f>
        <v>23</v>
      </c>
    </row>
    <row r="194" spans="1:24" x14ac:dyDescent="0.25">
      <c r="A194" s="284" t="str">
        <f>Tableau1[[#This Row],[Service]]</f>
        <v>Non DVC</v>
      </c>
      <c r="B194" s="284" t="str">
        <f>Tableau1[[#This Row],[Site]]</f>
        <v>Aub.</v>
      </c>
      <c r="C194" s="284" t="str">
        <f>Tableau1[[#This Row],[Manager]]</f>
        <v>DARDARE</v>
      </c>
      <c r="D194" s="284">
        <f>Tableau1[[#This Row],[Matricule]]</f>
        <v>103025</v>
      </c>
      <c r="E194" s="284" t="str">
        <f>Tableau1[[#This Row],[Nom]]</f>
        <v>LANDRAUD</v>
      </c>
      <c r="F194" s="284" t="str">
        <f>Tableau1[[#This Row],[Prénom]]</f>
        <v>Fabienne</v>
      </c>
      <c r="G194" s="284" t="str">
        <f>Tableau1[[#This Row],[Axe
(Filières)]]</f>
        <v>Sécurité</v>
      </c>
      <c r="H194" s="284" t="str">
        <f>Tableau1[[#This Row],[Intitulé]]</f>
        <v>Incendie</v>
      </c>
      <c r="I194" s="284">
        <f>Tableau1[[#This Row],[Priorité
mger]]</f>
        <v>0</v>
      </c>
      <c r="J194" s="284" t="str">
        <f>Tableau1[[#This Row],[Organisme]]</f>
        <v>APAVE</v>
      </c>
      <c r="K194" s="284">
        <f>Tableau1[[#This Row],[Durée
H]]</f>
        <v>1.5</v>
      </c>
      <c r="L194" s="92">
        <f>Tableau1[[#This Row],[Coût
péda.]]</f>
        <v>53</v>
      </c>
      <c r="M194" s="284" t="str">
        <f>Tableau1[[#This Row],[Dispositif
(Plan / DIF)]]</f>
        <v>Plan</v>
      </c>
      <c r="N194" s="284" t="str">
        <f>Tableau1[[#This Row],[Axe
  (note cadrage)]]</f>
        <v>Formation obligatoire</v>
      </c>
      <c r="O194" s="285">
        <f>Tableau1[[#This Row],[Validation
(Oui/Non)]]</f>
        <v>0</v>
      </c>
      <c r="P194" s="287" t="str">
        <f>Tableau1[[#This Row],[Calendrier
de réalisation]]</f>
        <v>2019-Q2</v>
      </c>
      <c r="Q194" s="284"/>
      <c r="S194" s="286" t="str">
        <f>IFERROR(VLOOKUP('Plan 2019 consolidé'!$E194,Tableau5[],COLUMN(Tableau5[[#This Row],[Sexe2]]),FALSE),"")</f>
        <v>F</v>
      </c>
      <c r="W194" s="286">
        <f>IFERROR(VLOOKUP('Plan 2019 consolidé'!$E194,Tableau5[],COLUMN(Tableau5[[#This Row],[Age]]),FALSE),"")</f>
        <v>54</v>
      </c>
      <c r="X194" s="286">
        <f>IFERROR(VLOOKUP('Plan 2019 consolidé'!$E194,Tableau5[],COLUMN(Tableau5[[#This Row],[Nombre d''années d''ancienneté dans la société]]),FALSE),"")</f>
        <v>27</v>
      </c>
    </row>
    <row r="195" spans="1:24" x14ac:dyDescent="0.25">
      <c r="A195" s="284" t="str">
        <f>Tableau1[[#This Row],[Service]]</f>
        <v>Non DVC</v>
      </c>
      <c r="B195" s="284" t="str">
        <f>Tableau1[[#This Row],[Site]]</f>
        <v>Aub.</v>
      </c>
      <c r="C195" s="284" t="str">
        <f>Tableau1[[#This Row],[Manager]]</f>
        <v>DARDARE</v>
      </c>
      <c r="D195" s="284">
        <f>Tableau1[[#This Row],[Matricule]]</f>
        <v>103025</v>
      </c>
      <c r="E195" s="284" t="str">
        <f>Tableau1[[#This Row],[Nom]]</f>
        <v>LANDRAUD</v>
      </c>
      <c r="F195" s="284" t="str">
        <f>Tableau1[[#This Row],[Prénom]]</f>
        <v>Fabienne</v>
      </c>
      <c r="G195" s="284" t="str">
        <f>Tableau1[[#This Row],[Axe
(Filières)]]</f>
        <v>Sécurité</v>
      </c>
      <c r="H195" s="284" t="str">
        <f>Tableau1[[#This Row],[Intitulé]]</f>
        <v>Risques chimiques</v>
      </c>
      <c r="I195" s="284">
        <f>Tableau1[[#This Row],[Priorité
mger]]</f>
        <v>0</v>
      </c>
      <c r="J195" s="284" t="str">
        <f>Tableau1[[#This Row],[Organisme]]</f>
        <v>APAVE</v>
      </c>
      <c r="K195" s="284">
        <f>Tableau1[[#This Row],[Durée
H]]</f>
        <v>7</v>
      </c>
      <c r="L195" s="92">
        <f>Tableau1[[#This Row],[Coût
péda.]]</f>
        <v>162</v>
      </c>
      <c r="M195" s="284" t="str">
        <f>Tableau1[[#This Row],[Dispositif
(Plan / DIF)]]</f>
        <v>Plan</v>
      </c>
      <c r="N195" s="284" t="str">
        <f>Tableau1[[#This Row],[Axe
  (note cadrage)]]</f>
        <v>Formation obligatoire</v>
      </c>
      <c r="O195" s="285">
        <f>Tableau1[[#This Row],[Validation
(Oui/Non)]]</f>
        <v>0</v>
      </c>
      <c r="P195" s="287" t="str">
        <f>Tableau1[[#This Row],[Calendrier
de réalisation]]</f>
        <v>2019-Q4</v>
      </c>
      <c r="Q195" s="284"/>
      <c r="S195" s="286" t="str">
        <f>IFERROR(VLOOKUP('Plan 2019 consolidé'!$E195,Tableau5[],COLUMN(Tableau5[[#This Row],[Sexe2]]),FALSE),"")</f>
        <v>F</v>
      </c>
      <c r="W195" s="286">
        <f>IFERROR(VLOOKUP('Plan 2019 consolidé'!$E195,Tableau5[],COLUMN(Tableau5[[#This Row],[Age]]),FALSE),"")</f>
        <v>54</v>
      </c>
      <c r="X195" s="286">
        <f>IFERROR(VLOOKUP('Plan 2019 consolidé'!$E195,Tableau5[],COLUMN(Tableau5[[#This Row],[Nombre d''années d''ancienneté dans la société]]),FALSE),"")</f>
        <v>27</v>
      </c>
    </row>
    <row r="196" spans="1:24" x14ac:dyDescent="0.25">
      <c r="A196" s="284" t="str">
        <f>Tableau1[[#This Row],[Service]]</f>
        <v>Non DVC</v>
      </c>
      <c r="B196" s="284" t="str">
        <f>Tableau1[[#This Row],[Site]]</f>
        <v>Aub.</v>
      </c>
      <c r="C196" s="284" t="str">
        <f>Tableau1[[#This Row],[Manager]]</f>
        <v>DARDARE</v>
      </c>
      <c r="D196" s="284">
        <f>Tableau1[[#This Row],[Matricule]]</f>
        <v>103025</v>
      </c>
      <c r="E196" s="284" t="str">
        <f>Tableau1[[#This Row],[Nom]]</f>
        <v>LANDRAUD</v>
      </c>
      <c r="F196" s="284" t="str">
        <f>Tableau1[[#This Row],[Prénom]]</f>
        <v>Fabienne</v>
      </c>
      <c r="G196" s="284" t="str">
        <f>Tableau1[[#This Row],[Axe
(Filières)]]</f>
        <v>Sécurité</v>
      </c>
      <c r="H196" s="284" t="str">
        <f>Tableau1[[#This Row],[Intitulé]]</f>
        <v>Recyclage SST</v>
      </c>
      <c r="I196" s="284">
        <f>Tableau1[[#This Row],[Priorité
mger]]</f>
        <v>0</v>
      </c>
      <c r="J196" s="284" t="str">
        <f>Tableau1[[#This Row],[Organisme]]</f>
        <v>CFSP</v>
      </c>
      <c r="K196" s="284">
        <f>Tableau1[[#This Row],[Durée
H]]</f>
        <v>7</v>
      </c>
      <c r="L196" s="92">
        <f>Tableau1[[#This Row],[Coût
péda.]]</f>
        <v>117</v>
      </c>
      <c r="M196" s="284" t="str">
        <f>Tableau1[[#This Row],[Dispositif
(Plan / DIF)]]</f>
        <v>Plan</v>
      </c>
      <c r="N196" s="284" t="str">
        <f>Tableau1[[#This Row],[Axe
  (note cadrage)]]</f>
        <v>Formation obligatoire</v>
      </c>
      <c r="O196" s="285">
        <f>Tableau1[[#This Row],[Validation
(Oui/Non)]]</f>
        <v>0</v>
      </c>
      <c r="P196" s="287" t="str">
        <f>Tableau1[[#This Row],[Calendrier
de réalisation]]</f>
        <v/>
      </c>
      <c r="Q196" s="284"/>
      <c r="S196" s="286" t="str">
        <f>IFERROR(VLOOKUP('Plan 2019 consolidé'!$E196,Tableau5[],COLUMN(Tableau5[[#This Row],[Sexe2]]),FALSE),"")</f>
        <v>F</v>
      </c>
      <c r="W196" s="286">
        <f>IFERROR(VLOOKUP('Plan 2019 consolidé'!$E196,Tableau5[],COLUMN(Tableau5[[#This Row],[Age]]),FALSE),"")</f>
        <v>54</v>
      </c>
      <c r="X196" s="286">
        <f>IFERROR(VLOOKUP('Plan 2019 consolidé'!$E196,Tableau5[],COLUMN(Tableau5[[#This Row],[Nombre d''années d''ancienneté dans la société]]),FALSE),"")</f>
        <v>27</v>
      </c>
    </row>
    <row r="197" spans="1:24" x14ac:dyDescent="0.25">
      <c r="A197" s="284" t="str">
        <f>Tableau1[[#This Row],[Service]]</f>
        <v>DVC</v>
      </c>
      <c r="B197" s="284" t="str">
        <f>Tableau1[[#This Row],[Site]]</f>
        <v>Aub.</v>
      </c>
      <c r="C197" s="284" t="str">
        <f>Tableau1[[#This Row],[Manager]]</f>
        <v>SENEPART</v>
      </c>
      <c r="D197" s="284">
        <f>Tableau1[[#This Row],[Matricule]]</f>
        <v>102986</v>
      </c>
      <c r="E197" s="284" t="str">
        <f>Tableau1[[#This Row],[Nom]]</f>
        <v>LARCHEVEQUE</v>
      </c>
      <c r="F197" s="284" t="str">
        <f>Tableau1[[#This Row],[Prénom]]</f>
        <v>Frederic</v>
      </c>
      <c r="G197" s="284" t="str">
        <f>Tableau1[[#This Row],[Axe
(Filières)]]</f>
        <v>Sécurité</v>
      </c>
      <c r="H197" s="284" t="str">
        <f>Tableau1[[#This Row],[Intitulé]]</f>
        <v>Gestes et postures</v>
      </c>
      <c r="I197" s="284">
        <f>Tableau1[[#This Row],[Priorité
mger]]</f>
        <v>0</v>
      </c>
      <c r="J197" s="284" t="str">
        <f>Tableau1[[#This Row],[Organisme]]</f>
        <v>APAVE</v>
      </c>
      <c r="K197" s="284">
        <f>Tableau1[[#This Row],[Durée
H]]</f>
        <v>7</v>
      </c>
      <c r="L197" s="92">
        <f>Tableau1[[#This Row],[Coût
péda.]]</f>
        <v>124</v>
      </c>
      <c r="M197" s="284" t="str">
        <f>Tableau1[[#This Row],[Dispositif
(Plan / DIF)]]</f>
        <v>Plan</v>
      </c>
      <c r="N197" s="284" t="str">
        <f>Tableau1[[#This Row],[Axe
  (note cadrage)]]</f>
        <v>Formation obligatoire</v>
      </c>
      <c r="O197" s="285">
        <f>Tableau1[[#This Row],[Validation
(Oui/Non)]]</f>
        <v>0</v>
      </c>
      <c r="P197" s="287" t="str">
        <f>Tableau1[[#This Row],[Calendrier
de réalisation]]</f>
        <v>2019-Q1</v>
      </c>
      <c r="Q197" s="284"/>
      <c r="S197" s="286" t="str">
        <f>IFERROR(VLOOKUP('Plan 2019 consolidé'!$E197,Tableau5[],COLUMN(Tableau5[[#This Row],[Sexe2]]),FALSE),"")</f>
        <v>M</v>
      </c>
      <c r="W197" s="286">
        <f>IFERROR(VLOOKUP('Plan 2019 consolidé'!$E197,Tableau5[],COLUMN(Tableau5[[#This Row],[Age]]),FALSE),"")</f>
        <v>52</v>
      </c>
      <c r="X197" s="286">
        <f>IFERROR(VLOOKUP('Plan 2019 consolidé'!$E197,Tableau5[],COLUMN(Tableau5[[#This Row],[Nombre d''années d''ancienneté dans la société]]),FALSE),"")</f>
        <v>19</v>
      </c>
    </row>
    <row r="198" spans="1:24" x14ac:dyDescent="0.25">
      <c r="A198" s="284" t="str">
        <f>Tableau1[[#This Row],[Service]]</f>
        <v>DVC</v>
      </c>
      <c r="B198" s="284" t="str">
        <f>Tableau1[[#This Row],[Site]]</f>
        <v>Aub.</v>
      </c>
      <c r="C198" s="284" t="str">
        <f>Tableau1[[#This Row],[Manager]]</f>
        <v>SENEPART</v>
      </c>
      <c r="D198" s="284">
        <f>Tableau1[[#This Row],[Matricule]]</f>
        <v>102986</v>
      </c>
      <c r="E198" s="284" t="str">
        <f>Tableau1[[#This Row],[Nom]]</f>
        <v>LARCHEVEQUE</v>
      </c>
      <c r="F198" s="284" t="str">
        <f>Tableau1[[#This Row],[Prénom]]</f>
        <v>Frederic</v>
      </c>
      <c r="G198" s="284" t="str">
        <f>Tableau1[[#This Row],[Axe
(Filières)]]</f>
        <v>Sécurité</v>
      </c>
      <c r="H198" s="284" t="str">
        <f>Tableau1[[#This Row],[Intitulé]]</f>
        <v>Incendie</v>
      </c>
      <c r="I198" s="284">
        <f>Tableau1[[#This Row],[Priorité
mger]]</f>
        <v>0</v>
      </c>
      <c r="J198" s="284" t="str">
        <f>Tableau1[[#This Row],[Organisme]]</f>
        <v>APAVE</v>
      </c>
      <c r="K198" s="284">
        <f>Tableau1[[#This Row],[Durée
H]]</f>
        <v>1.5</v>
      </c>
      <c r="L198" s="92">
        <f>Tableau1[[#This Row],[Coût
péda.]]</f>
        <v>53</v>
      </c>
      <c r="M198" s="284" t="str">
        <f>Tableau1[[#This Row],[Dispositif
(Plan / DIF)]]</f>
        <v>Plan</v>
      </c>
      <c r="N198" s="284" t="str">
        <f>Tableau1[[#This Row],[Axe
  (note cadrage)]]</f>
        <v>Formation obligatoire</v>
      </c>
      <c r="O198" s="285">
        <f>Tableau1[[#This Row],[Validation
(Oui/Non)]]</f>
        <v>0</v>
      </c>
      <c r="P198" s="287" t="str">
        <f>Tableau1[[#This Row],[Calendrier
de réalisation]]</f>
        <v>2019-Q2</v>
      </c>
      <c r="Q198" s="284"/>
      <c r="S198" s="286" t="str">
        <f>IFERROR(VLOOKUP('Plan 2019 consolidé'!$E198,Tableau5[],COLUMN(Tableau5[[#This Row],[Sexe2]]),FALSE),"")</f>
        <v>M</v>
      </c>
      <c r="W198" s="286">
        <f>IFERROR(VLOOKUP('Plan 2019 consolidé'!$E198,Tableau5[],COLUMN(Tableau5[[#This Row],[Age]]),FALSE),"")</f>
        <v>52</v>
      </c>
      <c r="X198" s="286">
        <f>IFERROR(VLOOKUP('Plan 2019 consolidé'!$E198,Tableau5[],COLUMN(Tableau5[[#This Row],[Nombre d''années d''ancienneté dans la société]]),FALSE),"")</f>
        <v>19</v>
      </c>
    </row>
    <row r="199" spans="1:24" x14ac:dyDescent="0.25">
      <c r="A199" s="284" t="str">
        <f>Tableau1[[#This Row],[Service]]</f>
        <v>Non DVC</v>
      </c>
      <c r="B199" s="284" t="str">
        <f>Tableau1[[#This Row],[Site]]</f>
        <v>STG</v>
      </c>
      <c r="C199" s="284" t="str">
        <f>Tableau1[[#This Row],[Manager]]</f>
        <v>FOUASSIER</v>
      </c>
      <c r="D199" s="284">
        <f>Tableau1[[#This Row],[Matricule]]</f>
        <v>104417</v>
      </c>
      <c r="E199" s="284" t="str">
        <f>Tableau1[[#This Row],[Nom]]</f>
        <v>LATOURRE</v>
      </c>
      <c r="F199" s="284" t="str">
        <f>Tableau1[[#This Row],[Prénom]]</f>
        <v>Xavier</v>
      </c>
      <c r="G199" s="284" t="str">
        <f>Tableau1[[#This Row],[Axe
(Filières)]]</f>
        <v>Sécurité</v>
      </c>
      <c r="H199" s="284" t="str">
        <f>Tableau1[[#This Row],[Intitulé]]</f>
        <v>Incendie</v>
      </c>
      <c r="I199" s="284">
        <f>Tableau1[[#This Row],[Priorité
mger]]</f>
        <v>0</v>
      </c>
      <c r="J199" s="284" t="str">
        <f>Tableau1[[#This Row],[Organisme]]</f>
        <v>APAVE</v>
      </c>
      <c r="K199" s="284">
        <f>Tableau1[[#This Row],[Durée
H]]</f>
        <v>1.5</v>
      </c>
      <c r="L199" s="92">
        <f>Tableau1[[#This Row],[Coût
péda.]]</f>
        <v>53</v>
      </c>
      <c r="M199" s="284" t="str">
        <f>Tableau1[[#This Row],[Dispositif
(Plan / DIF)]]</f>
        <v>Plan</v>
      </c>
      <c r="N199" s="284" t="str">
        <f>Tableau1[[#This Row],[Axe
  (note cadrage)]]</f>
        <v>Formation obligatoire</v>
      </c>
      <c r="O199" s="285">
        <f>Tableau1[[#This Row],[Validation
(Oui/Non)]]</f>
        <v>0</v>
      </c>
      <c r="P199" s="287" t="str">
        <f>Tableau1[[#This Row],[Calendrier
de réalisation]]</f>
        <v>2019-Q4</v>
      </c>
      <c r="Q199" s="284"/>
      <c r="S199" s="286" t="str">
        <f>IFERROR(VLOOKUP('Plan 2019 consolidé'!$E199,Tableau5[],COLUMN(Tableau5[[#This Row],[Sexe2]]),FALSE),"")</f>
        <v>M</v>
      </c>
      <c r="W199" s="286">
        <f>IFERROR(VLOOKUP('Plan 2019 consolidé'!$E199,Tableau5[],COLUMN(Tableau5[[#This Row],[Age]]),FALSE),"")</f>
        <v>34</v>
      </c>
      <c r="X199" s="286">
        <f>IFERROR(VLOOKUP('Plan 2019 consolidé'!$E199,Tableau5[],COLUMN(Tableau5[[#This Row],[Nombre d''années d''ancienneté dans la société]]),FALSE),"")</f>
        <v>0</v>
      </c>
    </row>
    <row r="200" spans="1:24" x14ac:dyDescent="0.25">
      <c r="A200" s="284" t="str">
        <f>Tableau1[[#This Row],[Service]]</f>
        <v>DVC</v>
      </c>
      <c r="B200" s="284" t="str">
        <f>Tableau1[[#This Row],[Site]]</f>
        <v>Lattes</v>
      </c>
      <c r="C200" s="284" t="str">
        <f>Tableau1[[#This Row],[Manager]]</f>
        <v>JACKEL</v>
      </c>
      <c r="D200" s="284">
        <f>Tableau1[[#This Row],[Matricule]]</f>
        <v>104645</v>
      </c>
      <c r="E200" s="284" t="str">
        <f>Tableau1[[#This Row],[Nom]]</f>
        <v>LAURENT</v>
      </c>
      <c r="F200" s="284" t="str">
        <f>Tableau1[[#This Row],[Prénom]]</f>
        <v>Jean-Pierre</v>
      </c>
      <c r="G200" s="284" t="str">
        <f>Tableau1[[#This Row],[Axe
(Filières)]]</f>
        <v>Sécurité</v>
      </c>
      <c r="H200" s="284" t="str">
        <f>Tableau1[[#This Row],[Intitulé]]</f>
        <v>Gestes et postures</v>
      </c>
      <c r="I200" s="284">
        <f>Tableau1[[#This Row],[Priorité
mger]]</f>
        <v>0</v>
      </c>
      <c r="J200" s="284" t="str">
        <f>Tableau1[[#This Row],[Organisme]]</f>
        <v>APAVE</v>
      </c>
      <c r="K200" s="284">
        <f>Tableau1[[#This Row],[Durée
H]]</f>
        <v>7</v>
      </c>
      <c r="L200" s="92">
        <f>Tableau1[[#This Row],[Coût
péda.]]</f>
        <v>124</v>
      </c>
      <c r="M200" s="284" t="str">
        <f>Tableau1[[#This Row],[Dispositif
(Plan / DIF)]]</f>
        <v>Plan</v>
      </c>
      <c r="N200" s="284" t="str">
        <f>Tableau1[[#This Row],[Axe
  (note cadrage)]]</f>
        <v>Formation obligatoire</v>
      </c>
      <c r="O200" s="285">
        <f>Tableau1[[#This Row],[Validation
(Oui/Non)]]</f>
        <v>0</v>
      </c>
      <c r="P200" s="287" t="str">
        <f>Tableau1[[#This Row],[Calendrier
de réalisation]]</f>
        <v>2019-Q3</v>
      </c>
      <c r="Q200" s="284"/>
      <c r="S200" s="286" t="str">
        <f>IFERROR(VLOOKUP('Plan 2019 consolidé'!$E200,Tableau5[],COLUMN(Tableau5[[#This Row],[Sexe2]]),FALSE),"")</f>
        <v>M</v>
      </c>
      <c r="W200" s="286">
        <f>IFERROR(VLOOKUP('Plan 2019 consolidé'!$E200,Tableau5[],COLUMN(Tableau5[[#This Row],[Age]]),FALSE),"")</f>
        <v>57</v>
      </c>
      <c r="X200" s="286">
        <f>IFERROR(VLOOKUP('Plan 2019 consolidé'!$E200,Tableau5[],COLUMN(Tableau5[[#This Row],[Nombre d''années d''ancienneté dans la société]]),FALSE),"")</f>
        <v>7</v>
      </c>
    </row>
    <row r="201" spans="1:24" x14ac:dyDescent="0.25">
      <c r="A201" s="284" t="str">
        <f>Tableau1[[#This Row],[Service]]</f>
        <v>DVC</v>
      </c>
      <c r="B201" s="284" t="str">
        <f>Tableau1[[#This Row],[Site]]</f>
        <v>Lattes</v>
      </c>
      <c r="C201" s="284" t="str">
        <f>Tableau1[[#This Row],[Manager]]</f>
        <v>JACKEL</v>
      </c>
      <c r="D201" s="284">
        <f>Tableau1[[#This Row],[Matricule]]</f>
        <v>104645</v>
      </c>
      <c r="E201" s="284" t="str">
        <f>Tableau1[[#This Row],[Nom]]</f>
        <v>LAURENT</v>
      </c>
      <c r="F201" s="284" t="str">
        <f>Tableau1[[#This Row],[Prénom]]</f>
        <v>Jean-Pierre</v>
      </c>
      <c r="G201" s="284" t="str">
        <f>Tableau1[[#This Row],[Axe
(Filières)]]</f>
        <v>Sécurité</v>
      </c>
      <c r="H201" s="284" t="str">
        <f>Tableau1[[#This Row],[Intitulé]]</f>
        <v>Recyclage pont rou</v>
      </c>
      <c r="I201" s="284">
        <f>Tableau1[[#This Row],[Priorité
mger]]</f>
        <v>0</v>
      </c>
      <c r="J201" s="284" t="str">
        <f>Tableau1[[#This Row],[Organisme]]</f>
        <v>APAVE</v>
      </c>
      <c r="K201" s="284">
        <f>Tableau1[[#This Row],[Durée
H]]</f>
        <v>7</v>
      </c>
      <c r="L201" s="92">
        <f>Tableau1[[#This Row],[Coût
péda.]]</f>
        <v>165</v>
      </c>
      <c r="M201" s="284" t="str">
        <f>Tableau1[[#This Row],[Dispositif
(Plan / DIF)]]</f>
        <v>Plan</v>
      </c>
      <c r="N201" s="284" t="str">
        <f>Tableau1[[#This Row],[Axe
  (note cadrage)]]</f>
        <v>Formation obligatoire</v>
      </c>
      <c r="O201" s="285">
        <f>Tableau1[[#This Row],[Validation
(Oui/Non)]]</f>
        <v>0</v>
      </c>
      <c r="P201" s="287" t="str">
        <f>Tableau1[[#This Row],[Calendrier
de réalisation]]</f>
        <v/>
      </c>
      <c r="Q201" s="284"/>
      <c r="S201" s="286" t="str">
        <f>IFERROR(VLOOKUP('Plan 2019 consolidé'!$E201,Tableau5[],COLUMN(Tableau5[[#This Row],[Sexe2]]),FALSE),"")</f>
        <v>M</v>
      </c>
      <c r="W201" s="286">
        <f>IFERROR(VLOOKUP('Plan 2019 consolidé'!$E201,Tableau5[],COLUMN(Tableau5[[#This Row],[Age]]),FALSE),"")</f>
        <v>57</v>
      </c>
      <c r="X201" s="286">
        <f>IFERROR(VLOOKUP('Plan 2019 consolidé'!$E201,Tableau5[],COLUMN(Tableau5[[#This Row],[Nombre d''années d''ancienneté dans la société]]),FALSE),"")</f>
        <v>7</v>
      </c>
    </row>
    <row r="202" spans="1:24" x14ac:dyDescent="0.25">
      <c r="A202" s="284" t="str">
        <f>Tableau1[[#This Row],[Service]]</f>
        <v>DVC</v>
      </c>
      <c r="B202" s="284" t="str">
        <f>Tableau1[[#This Row],[Site]]</f>
        <v>Lattes</v>
      </c>
      <c r="C202" s="284" t="str">
        <f>Tableau1[[#This Row],[Manager]]</f>
        <v>JACKEL</v>
      </c>
      <c r="D202" s="284">
        <f>Tableau1[[#This Row],[Matricule]]</f>
        <v>104645</v>
      </c>
      <c r="E202" s="284" t="str">
        <f>Tableau1[[#This Row],[Nom]]</f>
        <v>LAURENT</v>
      </c>
      <c r="F202" s="284" t="str">
        <f>Tableau1[[#This Row],[Prénom]]</f>
        <v>Jean-Pierre</v>
      </c>
      <c r="G202" s="284" t="str">
        <f>Tableau1[[#This Row],[Axe
(Filières)]]</f>
        <v>Sécurité</v>
      </c>
      <c r="H202" s="284" t="str">
        <f>Tableau1[[#This Row],[Intitulé]]</f>
        <v>SEBTR</v>
      </c>
      <c r="I202" s="284">
        <f>Tableau1[[#This Row],[Priorité
mger]]</f>
        <v>0</v>
      </c>
      <c r="J202" s="284" t="str">
        <f>Tableau1[[#This Row],[Organisme]]</f>
        <v>SEEF</v>
      </c>
      <c r="K202" s="284">
        <f>Tableau1[[#This Row],[Durée
H]]</f>
        <v>10.5</v>
      </c>
      <c r="L202" s="92">
        <f>Tableau1[[#This Row],[Coût
péda.]]</f>
        <v>260</v>
      </c>
      <c r="M202" s="284" t="str">
        <f>Tableau1[[#This Row],[Dispositif
(Plan / DIF)]]</f>
        <v>Plan</v>
      </c>
      <c r="N202" s="284" t="str">
        <f>Tableau1[[#This Row],[Axe
  (note cadrage)]]</f>
        <v>Formation obligatoire</v>
      </c>
      <c r="O202" s="285">
        <f>Tableau1[[#This Row],[Validation
(Oui/Non)]]</f>
        <v>0</v>
      </c>
      <c r="P202" s="287" t="str">
        <f>Tableau1[[#This Row],[Calendrier
de réalisation]]</f>
        <v/>
      </c>
      <c r="Q202" s="284"/>
      <c r="S202" s="286" t="str">
        <f>IFERROR(VLOOKUP('Plan 2019 consolidé'!$E202,Tableau5[],COLUMN(Tableau5[[#This Row],[Sexe2]]),FALSE),"")</f>
        <v>M</v>
      </c>
      <c r="W202" s="286">
        <f>IFERROR(VLOOKUP('Plan 2019 consolidé'!$E202,Tableau5[],COLUMN(Tableau5[[#This Row],[Age]]),FALSE),"")</f>
        <v>57</v>
      </c>
      <c r="X202" s="286">
        <f>IFERROR(VLOOKUP('Plan 2019 consolidé'!$E202,Tableau5[],COLUMN(Tableau5[[#This Row],[Nombre d''années d''ancienneté dans la société]]),FALSE),"")</f>
        <v>7</v>
      </c>
    </row>
    <row r="203" spans="1:24" x14ac:dyDescent="0.25">
      <c r="A203" s="284" t="str">
        <f>Tableau1[[#This Row],[Service]]</f>
        <v>DVC</v>
      </c>
      <c r="B203" s="284" t="str">
        <f>Tableau1[[#This Row],[Site]]</f>
        <v>STG</v>
      </c>
      <c r="C203" s="284" t="str">
        <f>Tableau1[[#This Row],[Manager]]</f>
        <v>FOUASSIER</v>
      </c>
      <c r="D203" s="284">
        <f>Tableau1[[#This Row],[Matricule]]</f>
        <v>32976</v>
      </c>
      <c r="E203" s="284" t="str">
        <f>Tableau1[[#This Row],[Nom]]</f>
        <v>LAUWERS</v>
      </c>
      <c r="F203" s="284" t="str">
        <f>Tableau1[[#This Row],[Prénom]]</f>
        <v>Didier</v>
      </c>
      <c r="G203" s="284" t="str">
        <f>Tableau1[[#This Row],[Axe
(Filières)]]</f>
        <v>Sécurité</v>
      </c>
      <c r="H203" s="284" t="str">
        <f>Tableau1[[#This Row],[Intitulé]]</f>
        <v>Incendie</v>
      </c>
      <c r="I203" s="284">
        <f>Tableau1[[#This Row],[Priorité
mger]]</f>
        <v>0</v>
      </c>
      <c r="J203" s="284" t="str">
        <f>Tableau1[[#This Row],[Organisme]]</f>
        <v>APAVE</v>
      </c>
      <c r="K203" s="284">
        <f>Tableau1[[#This Row],[Durée
H]]</f>
        <v>1.5</v>
      </c>
      <c r="L203" s="92">
        <f>Tableau1[[#This Row],[Coût
péda.]]</f>
        <v>53</v>
      </c>
      <c r="M203" s="284" t="str">
        <f>Tableau1[[#This Row],[Dispositif
(Plan / DIF)]]</f>
        <v>Plan</v>
      </c>
      <c r="N203" s="284" t="str">
        <f>Tableau1[[#This Row],[Axe
  (note cadrage)]]</f>
        <v>Formation obligatoire</v>
      </c>
      <c r="O203" s="285">
        <f>Tableau1[[#This Row],[Validation
(Oui/Non)]]</f>
        <v>0</v>
      </c>
      <c r="P203" s="287" t="str">
        <f>Tableau1[[#This Row],[Calendrier
de réalisation]]</f>
        <v>2019-Q1</v>
      </c>
      <c r="Q203" s="284"/>
      <c r="S203" s="286" t="str">
        <f>IFERROR(VLOOKUP('Plan 2019 consolidé'!$E203,Tableau5[],COLUMN(Tableau5[[#This Row],[Sexe2]]),FALSE),"")</f>
        <v>M</v>
      </c>
      <c r="W203" s="286">
        <f>IFERROR(VLOOKUP('Plan 2019 consolidé'!$E203,Tableau5[],COLUMN(Tableau5[[#This Row],[Age]]),FALSE),"")</f>
        <v>41</v>
      </c>
      <c r="X203" s="286">
        <f>IFERROR(VLOOKUP('Plan 2019 consolidé'!$E203,Tableau5[],COLUMN(Tableau5[[#This Row],[Nombre d''années d''ancienneté dans la société]]),FALSE),"")</f>
        <v>18</v>
      </c>
    </row>
    <row r="204" spans="1:24" x14ac:dyDescent="0.25">
      <c r="A204" s="284" t="str">
        <f>Tableau1[[#This Row],[Service]]</f>
        <v>DVC</v>
      </c>
      <c r="B204" s="284" t="str">
        <f>Tableau1[[#This Row],[Site]]</f>
        <v>STG</v>
      </c>
      <c r="C204" s="284" t="str">
        <f>Tableau1[[#This Row],[Manager]]</f>
        <v>FOUASSIER</v>
      </c>
      <c r="D204" s="284">
        <f>Tableau1[[#This Row],[Matricule]]</f>
        <v>32976</v>
      </c>
      <c r="E204" s="284" t="str">
        <f>Tableau1[[#This Row],[Nom]]</f>
        <v>LAUWERS</v>
      </c>
      <c r="F204" s="284" t="str">
        <f>Tableau1[[#This Row],[Prénom]]</f>
        <v>Didier</v>
      </c>
      <c r="G204" s="284" t="str">
        <f>Tableau1[[#This Row],[Axe
(Filières)]]</f>
        <v>Sécurité</v>
      </c>
      <c r="H204" s="284" t="str">
        <f>Tableau1[[#This Row],[Intitulé]]</f>
        <v>HAB ELEC</v>
      </c>
      <c r="I204" s="284">
        <f>Tableau1[[#This Row],[Priorité
mger]]</f>
        <v>0</v>
      </c>
      <c r="J204" s="284" t="str">
        <f>Tableau1[[#This Row],[Organisme]]</f>
        <v>SEEF</v>
      </c>
      <c r="K204" s="284">
        <f>Tableau1[[#This Row],[Durée
H]]</f>
        <v>10.5</v>
      </c>
      <c r="L204" s="92">
        <f>Tableau1[[#This Row],[Coût
péda.]]</f>
        <v>260</v>
      </c>
      <c r="M204" s="284" t="str">
        <f>Tableau1[[#This Row],[Dispositif
(Plan / DIF)]]</f>
        <v>Plan</v>
      </c>
      <c r="N204" s="284" t="str">
        <f>Tableau1[[#This Row],[Axe
  (note cadrage)]]</f>
        <v>Formation obligatoire</v>
      </c>
      <c r="O204" s="285">
        <f>Tableau1[[#This Row],[Validation
(Oui/Non)]]</f>
        <v>0</v>
      </c>
      <c r="P204" s="287" t="str">
        <f>Tableau1[[#This Row],[Calendrier
de réalisation]]</f>
        <v/>
      </c>
      <c r="Q204" s="284"/>
      <c r="S204" s="286" t="str">
        <f>IFERROR(VLOOKUP('Plan 2019 consolidé'!$E204,Tableau5[],COLUMN(Tableau5[[#This Row],[Sexe2]]),FALSE),"")</f>
        <v>M</v>
      </c>
      <c r="W204" s="286">
        <f>IFERROR(VLOOKUP('Plan 2019 consolidé'!$E204,Tableau5[],COLUMN(Tableau5[[#This Row],[Age]]),FALSE),"")</f>
        <v>41</v>
      </c>
      <c r="X204" s="286">
        <f>IFERROR(VLOOKUP('Plan 2019 consolidé'!$E204,Tableau5[],COLUMN(Tableau5[[#This Row],[Nombre d''années d''ancienneté dans la société]]),FALSE),"")</f>
        <v>18</v>
      </c>
    </row>
    <row r="205" spans="1:24" x14ac:dyDescent="0.25">
      <c r="A205" s="284" t="str">
        <f>Tableau1[[#This Row],[Service]]</f>
        <v>DVC</v>
      </c>
      <c r="B205" s="284" t="str">
        <f>Tableau1[[#This Row],[Site]]</f>
        <v>STG</v>
      </c>
      <c r="C205" s="284" t="str">
        <f>Tableau1[[#This Row],[Manager]]</f>
        <v>XUEREB</v>
      </c>
      <c r="D205" s="284">
        <f>Tableau1[[#This Row],[Matricule]]</f>
        <v>332591</v>
      </c>
      <c r="E205" s="284" t="str">
        <f>Tableau1[[#This Row],[Nom]]</f>
        <v>LAVALLEE</v>
      </c>
      <c r="F205" s="284" t="str">
        <f>Tableau1[[#This Row],[Prénom]]</f>
        <v xml:space="preserve">Julie </v>
      </c>
      <c r="G205" s="284" t="str">
        <f>Tableau1[[#This Row],[Axe
(Filières)]]</f>
        <v>Sécurité</v>
      </c>
      <c r="H205" s="284" t="str">
        <f>Tableau1[[#This Row],[Intitulé]]</f>
        <v>Incendie</v>
      </c>
      <c r="I205" s="284">
        <f>Tableau1[[#This Row],[Priorité
mger]]</f>
        <v>0</v>
      </c>
      <c r="J205" s="284" t="str">
        <f>Tableau1[[#This Row],[Organisme]]</f>
        <v>APAVE</v>
      </c>
      <c r="K205" s="284">
        <f>Tableau1[[#This Row],[Durée
H]]</f>
        <v>1.5</v>
      </c>
      <c r="L205" s="92">
        <f>Tableau1[[#This Row],[Coût
péda.]]</f>
        <v>53</v>
      </c>
      <c r="M205" s="284" t="str">
        <f>Tableau1[[#This Row],[Dispositif
(Plan / DIF)]]</f>
        <v>Plan</v>
      </c>
      <c r="N205" s="284" t="str">
        <f>Tableau1[[#This Row],[Axe
  (note cadrage)]]</f>
        <v>Formation obligatoire</v>
      </c>
      <c r="O205" s="285">
        <f>Tableau1[[#This Row],[Validation
(Oui/Non)]]</f>
        <v>0</v>
      </c>
      <c r="P205" s="287" t="str">
        <f>Tableau1[[#This Row],[Calendrier
de réalisation]]</f>
        <v>2019-Q1</v>
      </c>
      <c r="Q205" s="284"/>
      <c r="S205" s="286" t="str">
        <f>IFERROR(VLOOKUP('Plan 2019 consolidé'!$E205,Tableau5[],COLUMN(Tableau5[[#This Row],[Sexe2]]),FALSE),"")</f>
        <v>F</v>
      </c>
      <c r="W205" s="286">
        <f>IFERROR(VLOOKUP('Plan 2019 consolidé'!$E205,Tableau5[],COLUMN(Tableau5[[#This Row],[Age]]),FALSE),"")</f>
        <v>27</v>
      </c>
      <c r="X205" s="286">
        <f>IFERROR(VLOOKUP('Plan 2019 consolidé'!$E205,Tableau5[],COLUMN(Tableau5[[#This Row],[Nombre d''années d''ancienneté dans la société]]),FALSE),"")</f>
        <v>3</v>
      </c>
    </row>
    <row r="206" spans="1:24" x14ac:dyDescent="0.25">
      <c r="A206" s="284" t="str">
        <f>Tableau1[[#This Row],[Service]]</f>
        <v>Non DVC</v>
      </c>
      <c r="B206" s="284" t="str">
        <f>Tableau1[[#This Row],[Site]]</f>
        <v>Aub.</v>
      </c>
      <c r="C206" s="284" t="str">
        <f>Tableau1[[#This Row],[Manager]]</f>
        <v>PIFFAUT</v>
      </c>
      <c r="D206" s="284">
        <f>Tableau1[[#This Row],[Matricule]]</f>
        <v>103054</v>
      </c>
      <c r="E206" s="284" t="str">
        <f>Tableau1[[#This Row],[Nom]]</f>
        <v>LAVASTRE</v>
      </c>
      <c r="F206" s="284" t="str">
        <f>Tableau1[[#This Row],[Prénom]]</f>
        <v>Roland</v>
      </c>
      <c r="G206" s="284" t="str">
        <f>Tableau1[[#This Row],[Axe
(Filières)]]</f>
        <v>Sécurité</v>
      </c>
      <c r="H206" s="284" t="str">
        <f>Tableau1[[#This Row],[Intitulé]]</f>
        <v>HAB ELEC</v>
      </c>
      <c r="I206" s="284">
        <f>Tableau1[[#This Row],[Priorité
mger]]</f>
        <v>0</v>
      </c>
      <c r="J206" s="284" t="str">
        <f>Tableau1[[#This Row],[Organisme]]</f>
        <v>SEEF</v>
      </c>
      <c r="K206" s="284">
        <f>Tableau1[[#This Row],[Durée
H]]</f>
        <v>10.5</v>
      </c>
      <c r="L206" s="92">
        <f>Tableau1[[#This Row],[Coût
péda.]]</f>
        <v>260</v>
      </c>
      <c r="M206" s="284" t="str">
        <f>Tableau1[[#This Row],[Dispositif
(Plan / DIF)]]</f>
        <v>Plan</v>
      </c>
      <c r="N206" s="284" t="str">
        <f>Tableau1[[#This Row],[Axe
  (note cadrage)]]</f>
        <v>Formation obligatoire</v>
      </c>
      <c r="O206" s="285">
        <f>Tableau1[[#This Row],[Validation
(Oui/Non)]]</f>
        <v>0</v>
      </c>
      <c r="P206" s="287" t="str">
        <f>Tableau1[[#This Row],[Calendrier
de réalisation]]</f>
        <v/>
      </c>
      <c r="Q206" s="284"/>
      <c r="S206" s="286" t="str">
        <f>IFERROR(VLOOKUP('Plan 2019 consolidé'!$E206,Tableau5[],COLUMN(Tableau5[[#This Row],[Sexe2]]),FALSE),"")</f>
        <v>M</v>
      </c>
      <c r="W206" s="286">
        <f>IFERROR(VLOOKUP('Plan 2019 consolidé'!$E206,Tableau5[],COLUMN(Tableau5[[#This Row],[Age]]),FALSE),"")</f>
        <v>57</v>
      </c>
      <c r="X206" s="286">
        <f>IFERROR(VLOOKUP('Plan 2019 consolidé'!$E206,Tableau5[],COLUMN(Tableau5[[#This Row],[Nombre d''années d''ancienneté dans la société]]),FALSE),"")</f>
        <v>34</v>
      </c>
    </row>
    <row r="207" spans="1:24" x14ac:dyDescent="0.25">
      <c r="A207" s="284" t="str">
        <f>Tableau1[[#This Row],[Service]]</f>
        <v>DVC</v>
      </c>
      <c r="B207" s="284" t="str">
        <f>Tableau1[[#This Row],[Site]]</f>
        <v>STG</v>
      </c>
      <c r="C207" s="284" t="str">
        <f>Tableau1[[#This Row],[Manager]]</f>
        <v>XUEREB</v>
      </c>
      <c r="D207" s="284">
        <f>Tableau1[[#This Row],[Matricule]]</f>
        <v>10555045</v>
      </c>
      <c r="E207" s="284" t="str">
        <f>Tableau1[[#This Row],[Nom]]</f>
        <v>LEBLANC</v>
      </c>
      <c r="F207" s="284" t="str">
        <f>Tableau1[[#This Row],[Prénom]]</f>
        <v>Stephane</v>
      </c>
      <c r="G207" s="284" t="str">
        <f>Tableau1[[#This Row],[Axe
(Filières)]]</f>
        <v>Sécurité</v>
      </c>
      <c r="H207" s="284" t="str">
        <f>Tableau1[[#This Row],[Intitulé]]</f>
        <v>Gestes et postures</v>
      </c>
      <c r="I207" s="284">
        <f>Tableau1[[#This Row],[Priorité
mger]]</f>
        <v>0</v>
      </c>
      <c r="J207" s="284" t="str">
        <f>Tableau1[[#This Row],[Organisme]]</f>
        <v>APAVE</v>
      </c>
      <c r="K207" s="284">
        <f>Tableau1[[#This Row],[Durée
H]]</f>
        <v>7</v>
      </c>
      <c r="L207" s="92">
        <f>Tableau1[[#This Row],[Coût
péda.]]</f>
        <v>124</v>
      </c>
      <c r="M207" s="284" t="str">
        <f>Tableau1[[#This Row],[Dispositif
(Plan / DIF)]]</f>
        <v>Plan</v>
      </c>
      <c r="N207" s="284" t="str">
        <f>Tableau1[[#This Row],[Axe
  (note cadrage)]]</f>
        <v>Formation obligatoire</v>
      </c>
      <c r="O207" s="285">
        <f>Tableau1[[#This Row],[Validation
(Oui/Non)]]</f>
        <v>0</v>
      </c>
      <c r="P207" s="287" t="str">
        <f>Tableau1[[#This Row],[Calendrier
de réalisation]]</f>
        <v>2019-Q2</v>
      </c>
      <c r="Q207" s="284"/>
      <c r="S207" s="286" t="str">
        <f>IFERROR(VLOOKUP('Plan 2019 consolidé'!$E207,Tableau5[],COLUMN(Tableau5[[#This Row],[Sexe2]]),FALSE),"")</f>
        <v>M</v>
      </c>
      <c r="W207" s="286">
        <f>IFERROR(VLOOKUP('Plan 2019 consolidé'!$E207,Tableau5[],COLUMN(Tableau5[[#This Row],[Age]]),FALSE),"")</f>
        <v>41</v>
      </c>
      <c r="X207" s="286">
        <f>IFERROR(VLOOKUP('Plan 2019 consolidé'!$E207,Tableau5[],COLUMN(Tableau5[[#This Row],[Nombre d''années d''ancienneté dans la société]]),FALSE),"")</f>
        <v>1</v>
      </c>
    </row>
    <row r="208" spans="1:24" x14ac:dyDescent="0.25">
      <c r="A208" s="284" t="str">
        <f>Tableau1[[#This Row],[Service]]</f>
        <v>DVC</v>
      </c>
      <c r="B208" s="284" t="str">
        <f>Tableau1[[#This Row],[Site]]</f>
        <v>Aub.</v>
      </c>
      <c r="C208" s="284" t="str">
        <f>Tableau1[[#This Row],[Manager]]</f>
        <v>SENEPART</v>
      </c>
      <c r="D208" s="284">
        <f>Tableau1[[#This Row],[Matricule]]</f>
        <v>103094</v>
      </c>
      <c r="E208" s="284" t="str">
        <f>Tableau1[[#This Row],[Nom]]</f>
        <v>LEBRE</v>
      </c>
      <c r="F208" s="284" t="str">
        <f>Tableau1[[#This Row],[Prénom]]</f>
        <v>Patricia</v>
      </c>
      <c r="G208" s="284" t="str">
        <f>Tableau1[[#This Row],[Axe
(Filières)]]</f>
        <v>Sécurité</v>
      </c>
      <c r="H208" s="284" t="str">
        <f>Tableau1[[#This Row],[Intitulé]]</f>
        <v>Incendie</v>
      </c>
      <c r="I208" s="284">
        <f>Tableau1[[#This Row],[Priorité
mger]]</f>
        <v>0</v>
      </c>
      <c r="J208" s="284" t="str">
        <f>Tableau1[[#This Row],[Organisme]]</f>
        <v>APAVE</v>
      </c>
      <c r="K208" s="284">
        <f>Tableau1[[#This Row],[Durée
H]]</f>
        <v>1.5</v>
      </c>
      <c r="L208" s="92">
        <f>Tableau1[[#This Row],[Coût
péda.]]</f>
        <v>53</v>
      </c>
      <c r="M208" s="284" t="str">
        <f>Tableau1[[#This Row],[Dispositif
(Plan / DIF)]]</f>
        <v>Plan</v>
      </c>
      <c r="N208" s="284" t="str">
        <f>Tableau1[[#This Row],[Axe
  (note cadrage)]]</f>
        <v>Formation obligatoire</v>
      </c>
      <c r="O208" s="285">
        <f>Tableau1[[#This Row],[Validation
(Oui/Non)]]</f>
        <v>0</v>
      </c>
      <c r="P208" s="287" t="str">
        <f>Tableau1[[#This Row],[Calendrier
de réalisation]]</f>
        <v>2019-Q1</v>
      </c>
      <c r="Q208" s="284"/>
      <c r="S208" s="286" t="str">
        <f>IFERROR(VLOOKUP('Plan 2019 consolidé'!$E208,Tableau5[],COLUMN(Tableau5[[#This Row],[Sexe2]]),FALSE),"")</f>
        <v>F</v>
      </c>
      <c r="W208" s="286">
        <f>IFERROR(VLOOKUP('Plan 2019 consolidé'!$E208,Tableau5[],COLUMN(Tableau5[[#This Row],[Age]]),FALSE),"")</f>
        <v>56</v>
      </c>
      <c r="X208" s="286">
        <f>IFERROR(VLOOKUP('Plan 2019 consolidé'!$E208,Tableau5[],COLUMN(Tableau5[[#This Row],[Nombre d''années d''ancienneté dans la société]]),FALSE),"")</f>
        <v>36</v>
      </c>
    </row>
    <row r="209" spans="1:24" x14ac:dyDescent="0.25">
      <c r="A209" s="284" t="str">
        <f>Tableau1[[#This Row],[Service]]</f>
        <v>DVC</v>
      </c>
      <c r="B209" s="284" t="str">
        <f>Tableau1[[#This Row],[Site]]</f>
        <v>Aub.</v>
      </c>
      <c r="C209" s="284" t="str">
        <f>Tableau1[[#This Row],[Manager]]</f>
        <v>SENEPART</v>
      </c>
      <c r="D209" s="284">
        <f>Tableau1[[#This Row],[Matricule]]</f>
        <v>103013</v>
      </c>
      <c r="E209" s="284" t="str">
        <f>Tableau1[[#This Row],[Nom]]</f>
        <v>LEFEBVRE</v>
      </c>
      <c r="F209" s="284" t="str">
        <f>Tableau1[[#This Row],[Prénom]]</f>
        <v>Bastien</v>
      </c>
      <c r="G209" s="284" t="str">
        <f>Tableau1[[#This Row],[Axe
(Filières)]]</f>
        <v>Sécurité</v>
      </c>
      <c r="H209" s="284" t="str">
        <f>Tableau1[[#This Row],[Intitulé]]</f>
        <v>Incendie</v>
      </c>
      <c r="I209" s="284">
        <f>Tableau1[[#This Row],[Priorité
mger]]</f>
        <v>0</v>
      </c>
      <c r="J209" s="284" t="str">
        <f>Tableau1[[#This Row],[Organisme]]</f>
        <v>APAVE</v>
      </c>
      <c r="K209" s="284">
        <f>Tableau1[[#This Row],[Durée
H]]</f>
        <v>1.5</v>
      </c>
      <c r="L209" s="92">
        <f>Tableau1[[#This Row],[Coût
péda.]]</f>
        <v>53</v>
      </c>
      <c r="M209" s="284" t="str">
        <f>Tableau1[[#This Row],[Dispositif
(Plan / DIF)]]</f>
        <v>Plan</v>
      </c>
      <c r="N209" s="284" t="str">
        <f>Tableau1[[#This Row],[Axe
  (note cadrage)]]</f>
        <v>Formation obligatoire</v>
      </c>
      <c r="O209" s="285">
        <f>Tableau1[[#This Row],[Validation
(Oui/Non)]]</f>
        <v>0</v>
      </c>
      <c r="P209" s="287" t="str">
        <f>Tableau1[[#This Row],[Calendrier
de réalisation]]</f>
        <v>2019-Q2</v>
      </c>
      <c r="Q209" s="284"/>
      <c r="S209" s="286" t="str">
        <f>IFERROR(VLOOKUP('Plan 2019 consolidé'!$E209,Tableau5[],COLUMN(Tableau5[[#This Row],[Sexe2]]),FALSE),"")</f>
        <v>M</v>
      </c>
      <c r="W209" s="286">
        <f>IFERROR(VLOOKUP('Plan 2019 consolidé'!$E209,Tableau5[],COLUMN(Tableau5[[#This Row],[Age]]),FALSE),"")</f>
        <v>47</v>
      </c>
      <c r="X209" s="286">
        <f>IFERROR(VLOOKUP('Plan 2019 consolidé'!$E209,Tableau5[],COLUMN(Tableau5[[#This Row],[Nombre d''années d''ancienneté dans la société]]),FALSE),"")</f>
        <v>25</v>
      </c>
    </row>
    <row r="210" spans="1:24" x14ac:dyDescent="0.25">
      <c r="A210" s="284" t="str">
        <f>Tableau1[[#This Row],[Service]]</f>
        <v>DVC</v>
      </c>
      <c r="B210" s="284" t="str">
        <f>Tableau1[[#This Row],[Site]]</f>
        <v>Aub.</v>
      </c>
      <c r="C210" s="284" t="str">
        <f>Tableau1[[#This Row],[Manager]]</f>
        <v>SENEPART</v>
      </c>
      <c r="D210" s="284">
        <f>Tableau1[[#This Row],[Matricule]]</f>
        <v>103013</v>
      </c>
      <c r="E210" s="284" t="str">
        <f>Tableau1[[#This Row],[Nom]]</f>
        <v>LEFEBVRE</v>
      </c>
      <c r="F210" s="284" t="str">
        <f>Tableau1[[#This Row],[Prénom]]</f>
        <v>Bastien</v>
      </c>
      <c r="G210" s="284" t="str">
        <f>Tableau1[[#This Row],[Axe
(Filières)]]</f>
        <v>Sécurité</v>
      </c>
      <c r="H210" s="284" t="str">
        <f>Tableau1[[#This Row],[Intitulé]]</f>
        <v>Recyclage SST</v>
      </c>
      <c r="I210" s="284">
        <f>Tableau1[[#This Row],[Priorité
mger]]</f>
        <v>0</v>
      </c>
      <c r="J210" s="284" t="str">
        <f>Tableau1[[#This Row],[Organisme]]</f>
        <v>CFSP</v>
      </c>
      <c r="K210" s="284">
        <f>Tableau1[[#This Row],[Durée
H]]</f>
        <v>7</v>
      </c>
      <c r="L210" s="92">
        <f>Tableau1[[#This Row],[Coût
péda.]]</f>
        <v>117</v>
      </c>
      <c r="M210" s="284" t="str">
        <f>Tableau1[[#This Row],[Dispositif
(Plan / DIF)]]</f>
        <v>Plan</v>
      </c>
      <c r="N210" s="284" t="str">
        <f>Tableau1[[#This Row],[Axe
  (note cadrage)]]</f>
        <v>Formation obligatoire</v>
      </c>
      <c r="O210" s="285">
        <f>Tableau1[[#This Row],[Validation
(Oui/Non)]]</f>
        <v>0</v>
      </c>
      <c r="P210" s="287" t="str">
        <f>Tableau1[[#This Row],[Calendrier
de réalisation]]</f>
        <v/>
      </c>
      <c r="Q210" s="284"/>
      <c r="S210" s="286" t="str">
        <f>IFERROR(VLOOKUP('Plan 2019 consolidé'!$E210,Tableau5[],COLUMN(Tableau5[[#This Row],[Sexe2]]),FALSE),"")</f>
        <v>M</v>
      </c>
      <c r="W210" s="286">
        <f>IFERROR(VLOOKUP('Plan 2019 consolidé'!$E210,Tableau5[],COLUMN(Tableau5[[#This Row],[Age]]),FALSE),"")</f>
        <v>47</v>
      </c>
      <c r="X210" s="286">
        <f>IFERROR(VLOOKUP('Plan 2019 consolidé'!$E210,Tableau5[],COLUMN(Tableau5[[#This Row],[Nombre d''années d''ancienneté dans la société]]),FALSE),"")</f>
        <v>25</v>
      </c>
    </row>
    <row r="211" spans="1:24" x14ac:dyDescent="0.25">
      <c r="A211" s="284" t="str">
        <f>Tableau1[[#This Row],[Service]]</f>
        <v>DVC</v>
      </c>
      <c r="B211" s="284" t="str">
        <f>Tableau1[[#This Row],[Site]]</f>
        <v>Aub.</v>
      </c>
      <c r="C211" s="284" t="str">
        <f>Tableau1[[#This Row],[Manager]]</f>
        <v>FUENTES</v>
      </c>
      <c r="D211" s="284">
        <f>Tableau1[[#This Row],[Matricule]]</f>
        <v>102963</v>
      </c>
      <c r="E211" s="284" t="str">
        <f>Tableau1[[#This Row],[Nom]]</f>
        <v>LEFRONT</v>
      </c>
      <c r="F211" s="284" t="str">
        <f>Tableau1[[#This Row],[Prénom]]</f>
        <v>Harold</v>
      </c>
      <c r="G211" s="284" t="str">
        <f>Tableau1[[#This Row],[Axe
(Filières)]]</f>
        <v>Sécurité</v>
      </c>
      <c r="H211" s="284" t="str">
        <f>Tableau1[[#This Row],[Intitulé]]</f>
        <v>Incendie</v>
      </c>
      <c r="I211" s="284">
        <f>Tableau1[[#This Row],[Priorité
mger]]</f>
        <v>0</v>
      </c>
      <c r="J211" s="284" t="str">
        <f>Tableau1[[#This Row],[Organisme]]</f>
        <v>APAVE</v>
      </c>
      <c r="K211" s="284">
        <f>Tableau1[[#This Row],[Durée
H]]</f>
        <v>1.5</v>
      </c>
      <c r="L211" s="92">
        <f>Tableau1[[#This Row],[Coût
péda.]]</f>
        <v>53</v>
      </c>
      <c r="M211" s="284" t="str">
        <f>Tableau1[[#This Row],[Dispositif
(Plan / DIF)]]</f>
        <v>Plan</v>
      </c>
      <c r="N211" s="284" t="str">
        <f>Tableau1[[#This Row],[Axe
  (note cadrage)]]</f>
        <v>Formation obligatoire</v>
      </c>
      <c r="O211" s="285">
        <f>Tableau1[[#This Row],[Validation
(Oui/Non)]]</f>
        <v>0</v>
      </c>
      <c r="P211" s="287" t="str">
        <f>Tableau1[[#This Row],[Calendrier
de réalisation]]</f>
        <v>2019-Q2</v>
      </c>
      <c r="Q211" s="284"/>
      <c r="S211" s="286" t="str">
        <f>IFERROR(VLOOKUP('Plan 2019 consolidé'!$E211,Tableau5[],COLUMN(Tableau5[[#This Row],[Sexe2]]),FALSE),"")</f>
        <v>M</v>
      </c>
      <c r="W211" s="286">
        <f>IFERROR(VLOOKUP('Plan 2019 consolidé'!$E211,Tableau5[],COLUMN(Tableau5[[#This Row],[Age]]),FALSE),"")</f>
        <v>48</v>
      </c>
      <c r="X211" s="286">
        <f>IFERROR(VLOOKUP('Plan 2019 consolidé'!$E211,Tableau5[],COLUMN(Tableau5[[#This Row],[Nombre d''années d''ancienneté dans la société]]),FALSE),"")</f>
        <v>12</v>
      </c>
    </row>
    <row r="212" spans="1:24" x14ac:dyDescent="0.25">
      <c r="A212" s="284" t="str">
        <f>Tableau1[[#This Row],[Service]]</f>
        <v>DVC</v>
      </c>
      <c r="B212" s="284" t="str">
        <f>Tableau1[[#This Row],[Site]]</f>
        <v>Aub.</v>
      </c>
      <c r="C212" s="284" t="str">
        <f>Tableau1[[#This Row],[Manager]]</f>
        <v>FUENTES</v>
      </c>
      <c r="D212" s="284">
        <f>Tableau1[[#This Row],[Matricule]]</f>
        <v>102963</v>
      </c>
      <c r="E212" s="284" t="str">
        <f>Tableau1[[#This Row],[Nom]]</f>
        <v>LEFRONT</v>
      </c>
      <c r="F212" s="284" t="str">
        <f>Tableau1[[#This Row],[Prénom]]</f>
        <v>Harold</v>
      </c>
      <c r="G212" s="284" t="str">
        <f>Tableau1[[#This Row],[Axe
(Filières)]]</f>
        <v>Sécurité</v>
      </c>
      <c r="H212" s="284" t="str">
        <f>Tableau1[[#This Row],[Intitulé]]</f>
        <v>Recyclage SST</v>
      </c>
      <c r="I212" s="284">
        <f>Tableau1[[#This Row],[Priorité
mger]]</f>
        <v>0</v>
      </c>
      <c r="J212" s="284" t="str">
        <f>Tableau1[[#This Row],[Organisme]]</f>
        <v>CFSP</v>
      </c>
      <c r="K212" s="284">
        <f>Tableau1[[#This Row],[Durée
H]]</f>
        <v>7</v>
      </c>
      <c r="L212" s="92">
        <f>Tableau1[[#This Row],[Coût
péda.]]</f>
        <v>117</v>
      </c>
      <c r="M212" s="284" t="str">
        <f>Tableau1[[#This Row],[Dispositif
(Plan / DIF)]]</f>
        <v>Plan</v>
      </c>
      <c r="N212" s="284" t="str">
        <f>Tableau1[[#This Row],[Axe
  (note cadrage)]]</f>
        <v>Formation obligatoire</v>
      </c>
      <c r="O212" s="285">
        <f>Tableau1[[#This Row],[Validation
(Oui/Non)]]</f>
        <v>0</v>
      </c>
      <c r="P212" s="287" t="str">
        <f>Tableau1[[#This Row],[Calendrier
de réalisation]]</f>
        <v/>
      </c>
      <c r="Q212" s="284"/>
      <c r="S212" s="286" t="str">
        <f>IFERROR(VLOOKUP('Plan 2019 consolidé'!$E212,Tableau5[],COLUMN(Tableau5[[#This Row],[Sexe2]]),FALSE),"")</f>
        <v>M</v>
      </c>
      <c r="W212" s="286">
        <f>IFERROR(VLOOKUP('Plan 2019 consolidé'!$E212,Tableau5[],COLUMN(Tableau5[[#This Row],[Age]]),FALSE),"")</f>
        <v>48</v>
      </c>
      <c r="X212" s="286">
        <f>IFERROR(VLOOKUP('Plan 2019 consolidé'!$E212,Tableau5[],COLUMN(Tableau5[[#This Row],[Nombre d''années d''ancienneté dans la société]]),FALSE),"")</f>
        <v>12</v>
      </c>
    </row>
    <row r="213" spans="1:24" x14ac:dyDescent="0.25">
      <c r="A213" s="284" t="str">
        <f>Tableau1[[#This Row],[Service]]</f>
        <v>DVC</v>
      </c>
      <c r="B213" s="284" t="str">
        <f>Tableau1[[#This Row],[Site]]</f>
        <v>Aub.</v>
      </c>
      <c r="C213" s="284" t="str">
        <f>Tableau1[[#This Row],[Manager]]</f>
        <v>FUENTES</v>
      </c>
      <c r="D213" s="284">
        <f>Tableau1[[#This Row],[Matricule]]</f>
        <v>102963</v>
      </c>
      <c r="E213" s="284" t="str">
        <f>Tableau1[[#This Row],[Nom]]</f>
        <v>LEFRONT</v>
      </c>
      <c r="F213" s="284" t="str">
        <f>Tableau1[[#This Row],[Prénom]]</f>
        <v>Harold</v>
      </c>
      <c r="G213" s="284" t="str">
        <f>Tableau1[[#This Row],[Axe
(Filières)]]</f>
        <v>Sécurité</v>
      </c>
      <c r="H213" s="284" t="str">
        <f>Tableau1[[#This Row],[Intitulé]]</f>
        <v>HAB ELEC</v>
      </c>
      <c r="I213" s="284">
        <f>Tableau1[[#This Row],[Priorité
mger]]</f>
        <v>0</v>
      </c>
      <c r="J213" s="284" t="str">
        <f>Tableau1[[#This Row],[Organisme]]</f>
        <v>SEEF</v>
      </c>
      <c r="K213" s="284">
        <f>Tableau1[[#This Row],[Durée
H]]</f>
        <v>10.5</v>
      </c>
      <c r="L213" s="92">
        <f>Tableau1[[#This Row],[Coût
péda.]]</f>
        <v>260</v>
      </c>
      <c r="M213" s="284" t="str">
        <f>Tableau1[[#This Row],[Dispositif
(Plan / DIF)]]</f>
        <v>Plan</v>
      </c>
      <c r="N213" s="284" t="str">
        <f>Tableau1[[#This Row],[Axe
  (note cadrage)]]</f>
        <v>Formation obligatoire</v>
      </c>
      <c r="O213" s="285">
        <f>Tableau1[[#This Row],[Validation
(Oui/Non)]]</f>
        <v>0</v>
      </c>
      <c r="P213" s="287" t="str">
        <f>Tableau1[[#This Row],[Calendrier
de réalisation]]</f>
        <v/>
      </c>
      <c r="Q213" s="284"/>
      <c r="S213" s="286" t="str">
        <f>IFERROR(VLOOKUP('Plan 2019 consolidé'!$E213,Tableau5[],COLUMN(Tableau5[[#This Row],[Sexe2]]),FALSE),"")</f>
        <v>M</v>
      </c>
      <c r="W213" s="286">
        <f>IFERROR(VLOOKUP('Plan 2019 consolidé'!$E213,Tableau5[],COLUMN(Tableau5[[#This Row],[Age]]),FALSE),"")</f>
        <v>48</v>
      </c>
      <c r="X213" s="286">
        <f>IFERROR(VLOOKUP('Plan 2019 consolidé'!$E213,Tableau5[],COLUMN(Tableau5[[#This Row],[Nombre d''années d''ancienneté dans la société]]),FALSE),"")</f>
        <v>12</v>
      </c>
    </row>
    <row r="214" spans="1:24" x14ac:dyDescent="0.25">
      <c r="A214" s="284" t="str">
        <f>Tableau1[[#This Row],[Service]]</f>
        <v>DVC</v>
      </c>
      <c r="B214" s="284" t="str">
        <f>Tableau1[[#This Row],[Site]]</f>
        <v>Lattes</v>
      </c>
      <c r="C214" s="284" t="str">
        <f>Tableau1[[#This Row],[Manager]]</f>
        <v>VERNE</v>
      </c>
      <c r="D214" s="284">
        <f>Tableau1[[#This Row],[Matricule]]</f>
        <v>191733</v>
      </c>
      <c r="E214" s="284" t="str">
        <f>Tableau1[[#This Row],[Nom]]</f>
        <v>LEGAGNEUX</v>
      </c>
      <c r="F214" s="284" t="str">
        <f>Tableau1[[#This Row],[Prénom]]</f>
        <v>Roxane</v>
      </c>
      <c r="G214" s="284" t="str">
        <f>Tableau1[[#This Row],[Axe
(Filières)]]</f>
        <v>Sécurité</v>
      </c>
      <c r="H214" s="284" t="str">
        <f>Tableau1[[#This Row],[Intitulé]]</f>
        <v>Gestes et postures</v>
      </c>
      <c r="I214" s="284">
        <f>Tableau1[[#This Row],[Priorité
mger]]</f>
        <v>0</v>
      </c>
      <c r="J214" s="284" t="str">
        <f>Tableau1[[#This Row],[Organisme]]</f>
        <v>APAVE</v>
      </c>
      <c r="K214" s="284">
        <f>Tableau1[[#This Row],[Durée
H]]</f>
        <v>7</v>
      </c>
      <c r="L214" s="92">
        <f>Tableau1[[#This Row],[Coût
péda.]]</f>
        <v>124</v>
      </c>
      <c r="M214" s="284" t="str">
        <f>Tableau1[[#This Row],[Dispositif
(Plan / DIF)]]</f>
        <v>Plan</v>
      </c>
      <c r="N214" s="284" t="str">
        <f>Tableau1[[#This Row],[Axe
  (note cadrage)]]</f>
        <v>Formation obligatoire</v>
      </c>
      <c r="O214" s="285">
        <f>Tableau1[[#This Row],[Validation
(Oui/Non)]]</f>
        <v>0</v>
      </c>
      <c r="P214" s="287" t="str">
        <f>Tableau1[[#This Row],[Calendrier
de réalisation]]</f>
        <v>2019-Q3</v>
      </c>
      <c r="Q214" s="284"/>
      <c r="S214" s="286" t="str">
        <f>IFERROR(VLOOKUP('Plan 2019 consolidé'!$E214,Tableau5[],COLUMN(Tableau5[[#This Row],[Sexe2]]),FALSE),"")</f>
        <v>F</v>
      </c>
      <c r="W214" s="286">
        <f>IFERROR(VLOOKUP('Plan 2019 consolidé'!$E214,Tableau5[],COLUMN(Tableau5[[#This Row],[Age]]),FALSE),"")</f>
        <v>59</v>
      </c>
      <c r="X214" s="286">
        <f>IFERROR(VLOOKUP('Plan 2019 consolidé'!$E214,Tableau5[],COLUMN(Tableau5[[#This Row],[Nombre d''années d''ancienneté dans la société]]),FALSE),"")</f>
        <v>26</v>
      </c>
    </row>
    <row r="215" spans="1:24" x14ac:dyDescent="0.25">
      <c r="A215" s="284" t="str">
        <f>Tableau1[[#This Row],[Service]]</f>
        <v>Non DVC</v>
      </c>
      <c r="B215" s="284" t="str">
        <f>Tableau1[[#This Row],[Site]]</f>
        <v>Aub.</v>
      </c>
      <c r="C215" s="284" t="str">
        <f>Tableau1[[#This Row],[Manager]]</f>
        <v>PIFFAUT</v>
      </c>
      <c r="D215" s="284">
        <f>Tableau1[[#This Row],[Matricule]]</f>
        <v>102978</v>
      </c>
      <c r="E215" s="284" t="str">
        <f>Tableau1[[#This Row],[Nom]]</f>
        <v>LHORENS</v>
      </c>
      <c r="F215" s="284" t="str">
        <f>Tableau1[[#This Row],[Prénom]]</f>
        <v>Jean-Yves</v>
      </c>
      <c r="G215" s="284" t="str">
        <f>Tableau1[[#This Row],[Axe
(Filières)]]</f>
        <v>Sécurité</v>
      </c>
      <c r="H215" s="284" t="str">
        <f>Tableau1[[#This Row],[Intitulé]]</f>
        <v>HAB ELEC</v>
      </c>
      <c r="I215" s="284">
        <f>Tableau1[[#This Row],[Priorité
mger]]</f>
        <v>0</v>
      </c>
      <c r="J215" s="284" t="str">
        <f>Tableau1[[#This Row],[Organisme]]</f>
        <v>SEEF</v>
      </c>
      <c r="K215" s="284">
        <f>Tableau1[[#This Row],[Durée
H]]</f>
        <v>10.5</v>
      </c>
      <c r="L215" s="92">
        <f>Tableau1[[#This Row],[Coût
péda.]]</f>
        <v>260</v>
      </c>
      <c r="M215" s="284" t="str">
        <f>Tableau1[[#This Row],[Dispositif
(Plan / DIF)]]</f>
        <v>Plan</v>
      </c>
      <c r="N215" s="284" t="str">
        <f>Tableau1[[#This Row],[Axe
  (note cadrage)]]</f>
        <v>Formation obligatoire</v>
      </c>
      <c r="O215" s="285">
        <f>Tableau1[[#This Row],[Validation
(Oui/Non)]]</f>
        <v>0</v>
      </c>
      <c r="P215" s="287" t="str">
        <f>Tableau1[[#This Row],[Calendrier
de réalisation]]</f>
        <v/>
      </c>
      <c r="Q215" s="284"/>
      <c r="S215" s="286" t="str">
        <f>IFERROR(VLOOKUP('Plan 2019 consolidé'!$E215,Tableau5[],COLUMN(Tableau5[[#This Row],[Sexe2]]),FALSE),"")</f>
        <v>M</v>
      </c>
      <c r="W215" s="286">
        <f>IFERROR(VLOOKUP('Plan 2019 consolidé'!$E215,Tableau5[],COLUMN(Tableau5[[#This Row],[Age]]),FALSE),"")</f>
        <v>46</v>
      </c>
      <c r="X215" s="286">
        <f>IFERROR(VLOOKUP('Plan 2019 consolidé'!$E215,Tableau5[],COLUMN(Tableau5[[#This Row],[Nombre d''années d''ancienneté dans la société]]),FALSE),"")</f>
        <v>20</v>
      </c>
    </row>
    <row r="216" spans="1:24" x14ac:dyDescent="0.25">
      <c r="A216" s="284" t="str">
        <f>Tableau1[[#This Row],[Service]]</f>
        <v>DVC</v>
      </c>
      <c r="B216" s="284" t="str">
        <f>Tableau1[[#This Row],[Site]]</f>
        <v>Aub.</v>
      </c>
      <c r="C216" s="284" t="str">
        <f>Tableau1[[#This Row],[Manager]]</f>
        <v>SENEPART</v>
      </c>
      <c r="D216" s="284">
        <f>Tableau1[[#This Row],[Matricule]]</f>
        <v>102997</v>
      </c>
      <c r="E216" s="284" t="str">
        <f>Tableau1[[#This Row],[Nom]]</f>
        <v>LOYRION</v>
      </c>
      <c r="F216" s="284" t="str">
        <f>Tableau1[[#This Row],[Prénom]]</f>
        <v>Philippe</v>
      </c>
      <c r="G216" s="284" t="str">
        <f>Tableau1[[#This Row],[Axe
(Filières)]]</f>
        <v>Sécurité</v>
      </c>
      <c r="H216" s="284" t="str">
        <f>Tableau1[[#This Row],[Intitulé]]</f>
        <v>Incendie</v>
      </c>
      <c r="I216" s="284">
        <f>Tableau1[[#This Row],[Priorité
mger]]</f>
        <v>0</v>
      </c>
      <c r="J216" s="284" t="str">
        <f>Tableau1[[#This Row],[Organisme]]</f>
        <v>APAVE</v>
      </c>
      <c r="K216" s="284">
        <f>Tableau1[[#This Row],[Durée
H]]</f>
        <v>1.5</v>
      </c>
      <c r="L216" s="92">
        <f>Tableau1[[#This Row],[Coût
péda.]]</f>
        <v>53</v>
      </c>
      <c r="M216" s="284" t="str">
        <f>Tableau1[[#This Row],[Dispositif
(Plan / DIF)]]</f>
        <v>Plan</v>
      </c>
      <c r="N216" s="284" t="str">
        <f>Tableau1[[#This Row],[Axe
  (note cadrage)]]</f>
        <v>Formation obligatoire</v>
      </c>
      <c r="O216" s="285">
        <f>Tableau1[[#This Row],[Validation
(Oui/Non)]]</f>
        <v>0</v>
      </c>
      <c r="P216" s="287" t="str">
        <f>Tableau1[[#This Row],[Calendrier
de réalisation]]</f>
        <v>2019-Q2</v>
      </c>
      <c r="Q216" s="284"/>
      <c r="S216" s="286" t="str">
        <f>IFERROR(VLOOKUP('Plan 2019 consolidé'!$E216,Tableau5[],COLUMN(Tableau5[[#This Row],[Sexe2]]),FALSE),"")</f>
        <v>M</v>
      </c>
      <c r="W216" s="286">
        <f>IFERROR(VLOOKUP('Plan 2019 consolidé'!$E216,Tableau5[],COLUMN(Tableau5[[#This Row],[Age]]),FALSE),"")</f>
        <v>47</v>
      </c>
      <c r="X216" s="286">
        <f>IFERROR(VLOOKUP('Plan 2019 consolidé'!$E216,Tableau5[],COLUMN(Tableau5[[#This Row],[Nombre d''années d''ancienneté dans la société]]),FALSE),"")</f>
        <v>23</v>
      </c>
    </row>
    <row r="217" spans="1:24" x14ac:dyDescent="0.25">
      <c r="A217" s="284" t="str">
        <f>Tableau1[[#This Row],[Service]]</f>
        <v>DVC</v>
      </c>
      <c r="B217" s="284" t="str">
        <f>Tableau1[[#This Row],[Site]]</f>
        <v>Aub.</v>
      </c>
      <c r="C217" s="284" t="str">
        <f>Tableau1[[#This Row],[Manager]]</f>
        <v>SENEPART</v>
      </c>
      <c r="D217" s="284">
        <f>Tableau1[[#This Row],[Matricule]]</f>
        <v>102997</v>
      </c>
      <c r="E217" s="284" t="str">
        <f>Tableau1[[#This Row],[Nom]]</f>
        <v>LOYRION</v>
      </c>
      <c r="F217" s="284" t="str">
        <f>Tableau1[[#This Row],[Prénom]]</f>
        <v>Philippe</v>
      </c>
      <c r="G217" s="284" t="str">
        <f>Tableau1[[#This Row],[Axe
(Filières)]]</f>
        <v>Sécurité</v>
      </c>
      <c r="H217" s="284" t="str">
        <f>Tableau1[[#This Row],[Intitulé]]</f>
        <v>HAB ELEC</v>
      </c>
      <c r="I217" s="284">
        <f>Tableau1[[#This Row],[Priorité
mger]]</f>
        <v>0</v>
      </c>
      <c r="J217" s="284" t="str">
        <f>Tableau1[[#This Row],[Organisme]]</f>
        <v>SEEF</v>
      </c>
      <c r="K217" s="284">
        <f>Tableau1[[#This Row],[Durée
H]]</f>
        <v>10.5</v>
      </c>
      <c r="L217" s="92">
        <f>Tableau1[[#This Row],[Coût
péda.]]</f>
        <v>260</v>
      </c>
      <c r="M217" s="284" t="str">
        <f>Tableau1[[#This Row],[Dispositif
(Plan / DIF)]]</f>
        <v>Plan</v>
      </c>
      <c r="N217" s="284" t="str">
        <f>Tableau1[[#This Row],[Axe
  (note cadrage)]]</f>
        <v>Formation obligatoire</v>
      </c>
      <c r="O217" s="285">
        <f>Tableau1[[#This Row],[Validation
(Oui/Non)]]</f>
        <v>0</v>
      </c>
      <c r="P217" s="287" t="str">
        <f>Tableau1[[#This Row],[Calendrier
de réalisation]]</f>
        <v/>
      </c>
      <c r="Q217" s="284"/>
      <c r="S217" s="286" t="str">
        <f>IFERROR(VLOOKUP('Plan 2019 consolidé'!$E217,Tableau5[],COLUMN(Tableau5[[#This Row],[Sexe2]]),FALSE),"")</f>
        <v>M</v>
      </c>
      <c r="W217" s="286">
        <f>IFERROR(VLOOKUP('Plan 2019 consolidé'!$E217,Tableau5[],COLUMN(Tableau5[[#This Row],[Age]]),FALSE),"")</f>
        <v>47</v>
      </c>
      <c r="X217" s="286">
        <f>IFERROR(VLOOKUP('Plan 2019 consolidé'!$E217,Tableau5[],COLUMN(Tableau5[[#This Row],[Nombre d''années d''ancienneté dans la société]]),FALSE),"")</f>
        <v>23</v>
      </c>
    </row>
    <row r="218" spans="1:24" x14ac:dyDescent="0.25">
      <c r="A218" s="284" t="str">
        <f>Tableau1[[#This Row],[Service]]</f>
        <v>DVC</v>
      </c>
      <c r="B218" s="284" t="str">
        <f>Tableau1[[#This Row],[Site]]</f>
        <v>Aub.</v>
      </c>
      <c r="C218" s="284" t="str">
        <f>Tableau1[[#This Row],[Manager]]</f>
        <v>SENEPART</v>
      </c>
      <c r="D218" s="284">
        <f>Tableau1[[#This Row],[Matricule]]</f>
        <v>103090</v>
      </c>
      <c r="E218" s="284" t="str">
        <f>Tableau1[[#This Row],[Nom]]</f>
        <v>LURIE</v>
      </c>
      <c r="F218" s="284" t="str">
        <f>Tableau1[[#This Row],[Prénom]]</f>
        <v>Stephane</v>
      </c>
      <c r="G218" s="284" t="str">
        <f>Tableau1[[#This Row],[Axe
(Filières)]]</f>
        <v>Sécurité</v>
      </c>
      <c r="H218" s="284" t="str">
        <f>Tableau1[[#This Row],[Intitulé]]</f>
        <v>Gestes et postures</v>
      </c>
      <c r="I218" s="284">
        <f>Tableau1[[#This Row],[Priorité
mger]]</f>
        <v>0</v>
      </c>
      <c r="J218" s="284" t="str">
        <f>Tableau1[[#This Row],[Organisme]]</f>
        <v>APAVE</v>
      </c>
      <c r="K218" s="284">
        <f>Tableau1[[#This Row],[Durée
H]]</f>
        <v>7</v>
      </c>
      <c r="L218" s="92">
        <f>Tableau1[[#This Row],[Coût
péda.]]</f>
        <v>124</v>
      </c>
      <c r="M218" s="284" t="str">
        <f>Tableau1[[#This Row],[Dispositif
(Plan / DIF)]]</f>
        <v>Plan</v>
      </c>
      <c r="N218" s="284" t="str">
        <f>Tableau1[[#This Row],[Axe
  (note cadrage)]]</f>
        <v>Formation obligatoire</v>
      </c>
      <c r="O218" s="285">
        <f>Tableau1[[#This Row],[Validation
(Oui/Non)]]</f>
        <v>0</v>
      </c>
      <c r="P218" s="287" t="str">
        <f>Tableau1[[#This Row],[Calendrier
de réalisation]]</f>
        <v>2019-Q1</v>
      </c>
      <c r="Q218" s="284"/>
      <c r="S218" s="286" t="str">
        <f>IFERROR(VLOOKUP('Plan 2019 consolidé'!$E218,Tableau5[],COLUMN(Tableau5[[#This Row],[Sexe2]]),FALSE),"")</f>
        <v>M</v>
      </c>
      <c r="W218" s="286">
        <f>IFERROR(VLOOKUP('Plan 2019 consolidé'!$E218,Tableau5[],COLUMN(Tableau5[[#This Row],[Age]]),FALSE),"")</f>
        <v>56</v>
      </c>
      <c r="X218" s="286">
        <f>IFERROR(VLOOKUP('Plan 2019 consolidé'!$E218,Tableau5[],COLUMN(Tableau5[[#This Row],[Nombre d''années d''ancienneté dans la société]]),FALSE),"")</f>
        <v>36</v>
      </c>
    </row>
    <row r="219" spans="1:24" x14ac:dyDescent="0.25">
      <c r="A219" s="284" t="str">
        <f>Tableau1[[#This Row],[Service]]</f>
        <v>DVC</v>
      </c>
      <c r="B219" s="284" t="str">
        <f>Tableau1[[#This Row],[Site]]</f>
        <v>Aub.</v>
      </c>
      <c r="C219" s="284" t="str">
        <f>Tableau1[[#This Row],[Manager]]</f>
        <v>SENEPART</v>
      </c>
      <c r="D219" s="284">
        <f>Tableau1[[#This Row],[Matricule]]</f>
        <v>103090</v>
      </c>
      <c r="E219" s="284" t="str">
        <f>Tableau1[[#This Row],[Nom]]</f>
        <v>LURIE</v>
      </c>
      <c r="F219" s="284" t="str">
        <f>Tableau1[[#This Row],[Prénom]]</f>
        <v>Stephane</v>
      </c>
      <c r="G219" s="284" t="str">
        <f>Tableau1[[#This Row],[Axe
(Filières)]]</f>
        <v>Sécurité</v>
      </c>
      <c r="H219" s="284" t="str">
        <f>Tableau1[[#This Row],[Intitulé]]</f>
        <v>Incendie</v>
      </c>
      <c r="I219" s="284">
        <f>Tableau1[[#This Row],[Priorité
mger]]</f>
        <v>0</v>
      </c>
      <c r="J219" s="284" t="str">
        <f>Tableau1[[#This Row],[Organisme]]</f>
        <v>APAVE</v>
      </c>
      <c r="K219" s="284">
        <f>Tableau1[[#This Row],[Durée
H]]</f>
        <v>1.5</v>
      </c>
      <c r="L219" s="92">
        <f>Tableau1[[#This Row],[Coût
péda.]]</f>
        <v>53</v>
      </c>
      <c r="M219" s="284" t="str">
        <f>Tableau1[[#This Row],[Dispositif
(Plan / DIF)]]</f>
        <v>Plan</v>
      </c>
      <c r="N219" s="284" t="str">
        <f>Tableau1[[#This Row],[Axe
  (note cadrage)]]</f>
        <v>Formation obligatoire</v>
      </c>
      <c r="O219" s="285">
        <f>Tableau1[[#This Row],[Validation
(Oui/Non)]]</f>
        <v>0</v>
      </c>
      <c r="P219" s="287" t="str">
        <f>Tableau1[[#This Row],[Calendrier
de réalisation]]</f>
        <v>2019-Q2</v>
      </c>
      <c r="Q219" s="284"/>
      <c r="S219" s="286" t="str">
        <f>IFERROR(VLOOKUP('Plan 2019 consolidé'!$E219,Tableau5[],COLUMN(Tableau5[[#This Row],[Sexe2]]),FALSE),"")</f>
        <v>M</v>
      </c>
      <c r="W219" s="286">
        <f>IFERROR(VLOOKUP('Plan 2019 consolidé'!$E219,Tableau5[],COLUMN(Tableau5[[#This Row],[Age]]),FALSE),"")</f>
        <v>56</v>
      </c>
      <c r="X219" s="286">
        <f>IFERROR(VLOOKUP('Plan 2019 consolidé'!$E219,Tableau5[],COLUMN(Tableau5[[#This Row],[Nombre d''années d''ancienneté dans la société]]),FALSE),"")</f>
        <v>36</v>
      </c>
    </row>
    <row r="220" spans="1:24" x14ac:dyDescent="0.25">
      <c r="A220" s="284" t="str">
        <f>Tableau1[[#This Row],[Service]]</f>
        <v>DVC</v>
      </c>
      <c r="B220" s="284" t="str">
        <f>Tableau1[[#This Row],[Site]]</f>
        <v>Aub.</v>
      </c>
      <c r="C220" s="284" t="str">
        <f>Tableau1[[#This Row],[Manager]]</f>
        <v>SENEPART</v>
      </c>
      <c r="D220" s="284">
        <f>Tableau1[[#This Row],[Matricule]]</f>
        <v>103090</v>
      </c>
      <c r="E220" s="284" t="str">
        <f>Tableau1[[#This Row],[Nom]]</f>
        <v>LURIE</v>
      </c>
      <c r="F220" s="284" t="str">
        <f>Tableau1[[#This Row],[Prénom]]</f>
        <v>Stephane</v>
      </c>
      <c r="G220" s="284" t="str">
        <f>Tableau1[[#This Row],[Axe
(Filières)]]</f>
        <v>Sécurité</v>
      </c>
      <c r="H220" s="284" t="str">
        <f>Tableau1[[#This Row],[Intitulé]]</f>
        <v>Recyclage SST</v>
      </c>
      <c r="I220" s="284">
        <f>Tableau1[[#This Row],[Priorité
mger]]</f>
        <v>0</v>
      </c>
      <c r="J220" s="284" t="str">
        <f>Tableau1[[#This Row],[Organisme]]</f>
        <v>CFSP</v>
      </c>
      <c r="K220" s="284">
        <f>Tableau1[[#This Row],[Durée
H]]</f>
        <v>7</v>
      </c>
      <c r="L220" s="92">
        <f>Tableau1[[#This Row],[Coût
péda.]]</f>
        <v>117</v>
      </c>
      <c r="M220" s="284" t="str">
        <f>Tableau1[[#This Row],[Dispositif
(Plan / DIF)]]</f>
        <v>Plan</v>
      </c>
      <c r="N220" s="284" t="str">
        <f>Tableau1[[#This Row],[Axe
  (note cadrage)]]</f>
        <v>Formation obligatoire</v>
      </c>
      <c r="O220" s="285">
        <f>Tableau1[[#This Row],[Validation
(Oui/Non)]]</f>
        <v>0</v>
      </c>
      <c r="P220" s="287" t="str">
        <f>Tableau1[[#This Row],[Calendrier
de réalisation]]</f>
        <v/>
      </c>
      <c r="Q220" s="284"/>
      <c r="S220" s="286" t="str">
        <f>IFERROR(VLOOKUP('Plan 2019 consolidé'!$E220,Tableau5[],COLUMN(Tableau5[[#This Row],[Sexe2]]),FALSE),"")</f>
        <v>M</v>
      </c>
      <c r="W220" s="286">
        <f>IFERROR(VLOOKUP('Plan 2019 consolidé'!$E220,Tableau5[],COLUMN(Tableau5[[#This Row],[Age]]),FALSE),"")</f>
        <v>56</v>
      </c>
      <c r="X220" s="286">
        <f>IFERROR(VLOOKUP('Plan 2019 consolidé'!$E220,Tableau5[],COLUMN(Tableau5[[#This Row],[Nombre d''années d''ancienneté dans la société]]),FALSE),"")</f>
        <v>36</v>
      </c>
    </row>
    <row r="221" spans="1:24" x14ac:dyDescent="0.25">
      <c r="A221" s="284" t="str">
        <f>Tableau1[[#This Row],[Service]]</f>
        <v>DVC</v>
      </c>
      <c r="B221" s="284" t="str">
        <f>Tableau1[[#This Row],[Site]]</f>
        <v>Lattes</v>
      </c>
      <c r="C221" s="284" t="str">
        <f>Tableau1[[#This Row],[Manager]]</f>
        <v>VERNE</v>
      </c>
      <c r="D221" s="284">
        <f>Tableau1[[#This Row],[Matricule]]</f>
        <v>191714</v>
      </c>
      <c r="E221" s="284" t="str">
        <f>Tableau1[[#This Row],[Nom]]</f>
        <v>MANGEOLLE</v>
      </c>
      <c r="F221" s="284" t="str">
        <f>Tableau1[[#This Row],[Prénom]]</f>
        <v>Francis</v>
      </c>
      <c r="G221" s="284" t="str">
        <f>Tableau1[[#This Row],[Axe
(Filières)]]</f>
        <v>Sécurité</v>
      </c>
      <c r="H221" s="284" t="str">
        <f>Tableau1[[#This Row],[Intitulé]]</f>
        <v>Gestes et postures</v>
      </c>
      <c r="I221" s="284">
        <f>Tableau1[[#This Row],[Priorité
mger]]</f>
        <v>0</v>
      </c>
      <c r="J221" s="284" t="str">
        <f>Tableau1[[#This Row],[Organisme]]</f>
        <v>APAVE</v>
      </c>
      <c r="K221" s="284">
        <f>Tableau1[[#This Row],[Durée
H]]</f>
        <v>7</v>
      </c>
      <c r="L221" s="92">
        <f>Tableau1[[#This Row],[Coût
péda.]]</f>
        <v>124</v>
      </c>
      <c r="M221" s="284" t="str">
        <f>Tableau1[[#This Row],[Dispositif
(Plan / DIF)]]</f>
        <v>Plan</v>
      </c>
      <c r="N221" s="284" t="str">
        <f>Tableau1[[#This Row],[Axe
  (note cadrage)]]</f>
        <v>Formation obligatoire</v>
      </c>
      <c r="O221" s="285">
        <f>Tableau1[[#This Row],[Validation
(Oui/Non)]]</f>
        <v>0</v>
      </c>
      <c r="P221" s="287" t="str">
        <f>Tableau1[[#This Row],[Calendrier
de réalisation]]</f>
        <v>2019-Q4</v>
      </c>
      <c r="Q221" s="284"/>
      <c r="S221" s="286" t="str">
        <f>IFERROR(VLOOKUP('Plan 2019 consolidé'!$E221,Tableau5[],COLUMN(Tableau5[[#This Row],[Sexe2]]),FALSE),"")</f>
        <v>M</v>
      </c>
      <c r="W221" s="286">
        <f>IFERROR(VLOOKUP('Plan 2019 consolidé'!$E221,Tableau5[],COLUMN(Tableau5[[#This Row],[Age]]),FALSE),"")</f>
        <v>56</v>
      </c>
      <c r="X221" s="286">
        <f>IFERROR(VLOOKUP('Plan 2019 consolidé'!$E221,Tableau5[],COLUMN(Tableau5[[#This Row],[Nombre d''années d''ancienneté dans la société]]),FALSE),"")</f>
        <v>36</v>
      </c>
    </row>
    <row r="222" spans="1:24" x14ac:dyDescent="0.25">
      <c r="A222" s="284" t="str">
        <f>Tableau1[[#This Row],[Service]]</f>
        <v>DVC</v>
      </c>
      <c r="B222" s="284" t="str">
        <f>Tableau1[[#This Row],[Site]]</f>
        <v>Lattes</v>
      </c>
      <c r="C222" s="284" t="str">
        <f>Tableau1[[#This Row],[Manager]]</f>
        <v>VERNE</v>
      </c>
      <c r="D222" s="284">
        <f>Tableau1[[#This Row],[Matricule]]</f>
        <v>191714</v>
      </c>
      <c r="E222" s="284" t="str">
        <f>Tableau1[[#This Row],[Nom]]</f>
        <v>MANGEOLLE</v>
      </c>
      <c r="F222" s="284" t="str">
        <f>Tableau1[[#This Row],[Prénom]]</f>
        <v>Francis</v>
      </c>
      <c r="G222" s="284" t="str">
        <f>Tableau1[[#This Row],[Axe
(Filières)]]</f>
        <v>Sécurité</v>
      </c>
      <c r="H222" s="284" t="str">
        <f>Tableau1[[#This Row],[Intitulé]]</f>
        <v>Gestes et postures</v>
      </c>
      <c r="I222" s="284">
        <f>Tableau1[[#This Row],[Priorité
mger]]</f>
        <v>0</v>
      </c>
      <c r="J222" s="284" t="str">
        <f>Tableau1[[#This Row],[Organisme]]</f>
        <v>APAVE</v>
      </c>
      <c r="K222" s="284">
        <f>Tableau1[[#This Row],[Durée
H]]</f>
        <v>7</v>
      </c>
      <c r="L222" s="92">
        <f>Tableau1[[#This Row],[Coût
péda.]]</f>
        <v>124</v>
      </c>
      <c r="M222" s="284" t="str">
        <f>Tableau1[[#This Row],[Dispositif
(Plan / DIF)]]</f>
        <v>Plan</v>
      </c>
      <c r="N222" s="284" t="str">
        <f>Tableau1[[#This Row],[Axe
  (note cadrage)]]</f>
        <v>Formation obligatoire</v>
      </c>
      <c r="O222" s="285">
        <f>Tableau1[[#This Row],[Validation
(Oui/Non)]]</f>
        <v>0</v>
      </c>
      <c r="P222" s="287" t="str">
        <f>Tableau1[[#This Row],[Calendrier
de réalisation]]</f>
        <v>2019-Q4</v>
      </c>
      <c r="Q222" s="284"/>
      <c r="S222" s="286" t="str">
        <f>IFERROR(VLOOKUP('Plan 2019 consolidé'!$E222,Tableau5[],COLUMN(Tableau5[[#This Row],[Sexe2]]),FALSE),"")</f>
        <v>M</v>
      </c>
      <c r="W222" s="286">
        <f>IFERROR(VLOOKUP('Plan 2019 consolidé'!$E222,Tableau5[],COLUMN(Tableau5[[#This Row],[Age]]),FALSE),"")</f>
        <v>56</v>
      </c>
      <c r="X222" s="286">
        <f>IFERROR(VLOOKUP('Plan 2019 consolidé'!$E222,Tableau5[],COLUMN(Tableau5[[#This Row],[Nombre d''années d''ancienneté dans la société]]),FALSE),"")</f>
        <v>36</v>
      </c>
    </row>
    <row r="223" spans="1:24" x14ac:dyDescent="0.25">
      <c r="A223" s="284" t="str">
        <f>Tableau1[[#This Row],[Service]]</f>
        <v>DVC</v>
      </c>
      <c r="B223" s="284" t="str">
        <f>Tableau1[[#This Row],[Site]]</f>
        <v>Aub.</v>
      </c>
      <c r="C223" s="284" t="str">
        <f>Tableau1[[#This Row],[Manager]]</f>
        <v>ALIX</v>
      </c>
      <c r="D223" s="284">
        <f>Tableau1[[#This Row],[Matricule]]</f>
        <v>102902</v>
      </c>
      <c r="E223" s="284" t="str">
        <f>Tableau1[[#This Row],[Nom]]</f>
        <v>MARTIN</v>
      </c>
      <c r="F223" s="284" t="str">
        <f>Tableau1[[#This Row],[Prénom]]</f>
        <v>Dominique</v>
      </c>
      <c r="G223" s="284" t="str">
        <f>Tableau1[[#This Row],[Axe
(Filières)]]</f>
        <v>Sécurité</v>
      </c>
      <c r="H223" s="284" t="str">
        <f>Tableau1[[#This Row],[Intitulé]]</f>
        <v>Gestes et postures</v>
      </c>
      <c r="I223" s="284">
        <f>Tableau1[[#This Row],[Priorité
mger]]</f>
        <v>0</v>
      </c>
      <c r="J223" s="284" t="str">
        <f>Tableau1[[#This Row],[Organisme]]</f>
        <v>APAVE</v>
      </c>
      <c r="K223" s="284">
        <f>Tableau1[[#This Row],[Durée
H]]</f>
        <v>7</v>
      </c>
      <c r="L223" s="92">
        <f>Tableau1[[#This Row],[Coût
péda.]]</f>
        <v>124</v>
      </c>
      <c r="M223" s="284" t="str">
        <f>Tableau1[[#This Row],[Dispositif
(Plan / DIF)]]</f>
        <v>Plan</v>
      </c>
      <c r="N223" s="284" t="str">
        <f>Tableau1[[#This Row],[Axe
  (note cadrage)]]</f>
        <v>Formation obligatoire</v>
      </c>
      <c r="O223" s="285">
        <f>Tableau1[[#This Row],[Validation
(Oui/Non)]]</f>
        <v>0</v>
      </c>
      <c r="P223" s="287" t="str">
        <f>Tableau1[[#This Row],[Calendrier
de réalisation]]</f>
        <v>2019-Q1</v>
      </c>
      <c r="Q223" s="284"/>
      <c r="S223" s="286" t="str">
        <f>IFERROR(VLOOKUP('Plan 2019 consolidé'!$E223,Tableau5[],COLUMN(Tableau5[[#This Row],[Sexe2]]),FALSE),"")</f>
        <v>M</v>
      </c>
      <c r="W223" s="286">
        <f>IFERROR(VLOOKUP('Plan 2019 consolidé'!$E223,Tableau5[],COLUMN(Tableau5[[#This Row],[Age]]),FALSE),"")</f>
        <v>59</v>
      </c>
      <c r="X223" s="286">
        <f>IFERROR(VLOOKUP('Plan 2019 consolidé'!$E223,Tableau5[],COLUMN(Tableau5[[#This Row],[Nombre d''années d''ancienneté dans la société]]),FALSE),"")</f>
        <v>10</v>
      </c>
    </row>
    <row r="224" spans="1:24" x14ac:dyDescent="0.25">
      <c r="A224" s="284" t="str">
        <f>Tableau1[[#This Row],[Service]]</f>
        <v>DVC</v>
      </c>
      <c r="B224" s="284" t="str">
        <f>Tableau1[[#This Row],[Site]]</f>
        <v>Aub.</v>
      </c>
      <c r="C224" s="284" t="str">
        <f>Tableau1[[#This Row],[Manager]]</f>
        <v>ALIX</v>
      </c>
      <c r="D224" s="284">
        <f>Tableau1[[#This Row],[Matricule]]</f>
        <v>102902</v>
      </c>
      <c r="E224" s="284" t="str">
        <f>Tableau1[[#This Row],[Nom]]</f>
        <v>MARTIN</v>
      </c>
      <c r="F224" s="284" t="str">
        <f>Tableau1[[#This Row],[Prénom]]</f>
        <v>Dominique</v>
      </c>
      <c r="G224" s="284" t="str">
        <f>Tableau1[[#This Row],[Axe
(Filières)]]</f>
        <v>Sécurité</v>
      </c>
      <c r="H224" s="284" t="str">
        <f>Tableau1[[#This Row],[Intitulé]]</f>
        <v>Incendie</v>
      </c>
      <c r="I224" s="284">
        <f>Tableau1[[#This Row],[Priorité
mger]]</f>
        <v>0</v>
      </c>
      <c r="J224" s="284" t="str">
        <f>Tableau1[[#This Row],[Organisme]]</f>
        <v>APAVE</v>
      </c>
      <c r="K224" s="284">
        <f>Tableau1[[#This Row],[Durée
H]]</f>
        <v>1.5</v>
      </c>
      <c r="L224" s="92">
        <f>Tableau1[[#This Row],[Coût
péda.]]</f>
        <v>53</v>
      </c>
      <c r="M224" s="284" t="str">
        <f>Tableau1[[#This Row],[Dispositif
(Plan / DIF)]]</f>
        <v>Plan</v>
      </c>
      <c r="N224" s="284" t="str">
        <f>Tableau1[[#This Row],[Axe
  (note cadrage)]]</f>
        <v>Formation obligatoire</v>
      </c>
      <c r="O224" s="285">
        <f>Tableau1[[#This Row],[Validation
(Oui/Non)]]</f>
        <v>0</v>
      </c>
      <c r="P224" s="287" t="str">
        <f>Tableau1[[#This Row],[Calendrier
de réalisation]]</f>
        <v>2019-Q2</v>
      </c>
      <c r="Q224" s="284"/>
      <c r="S224" s="286" t="str">
        <f>IFERROR(VLOOKUP('Plan 2019 consolidé'!$E224,Tableau5[],COLUMN(Tableau5[[#This Row],[Sexe2]]),FALSE),"")</f>
        <v>M</v>
      </c>
      <c r="W224" s="286">
        <f>IFERROR(VLOOKUP('Plan 2019 consolidé'!$E224,Tableau5[],COLUMN(Tableau5[[#This Row],[Age]]),FALSE),"")</f>
        <v>59</v>
      </c>
      <c r="X224" s="286">
        <f>IFERROR(VLOOKUP('Plan 2019 consolidé'!$E224,Tableau5[],COLUMN(Tableau5[[#This Row],[Nombre d''années d''ancienneté dans la société]]),FALSE),"")</f>
        <v>10</v>
      </c>
    </row>
    <row r="225" spans="1:24" x14ac:dyDescent="0.25">
      <c r="A225" s="284" t="str">
        <f>Tableau1[[#This Row],[Service]]</f>
        <v>DVC</v>
      </c>
      <c r="B225" s="284" t="str">
        <f>Tableau1[[#This Row],[Site]]</f>
        <v>Aub.</v>
      </c>
      <c r="C225" s="284" t="str">
        <f>Tableau1[[#This Row],[Manager]]</f>
        <v>ALIX</v>
      </c>
      <c r="D225" s="284">
        <f>Tableau1[[#This Row],[Matricule]]</f>
        <v>102903</v>
      </c>
      <c r="E225" s="284" t="str">
        <f>Tableau1[[#This Row],[Nom]]</f>
        <v>MASMEJEAN</v>
      </c>
      <c r="F225" s="284" t="str">
        <f>Tableau1[[#This Row],[Prénom]]</f>
        <v>Jacky</v>
      </c>
      <c r="G225" s="284" t="str">
        <f>Tableau1[[#This Row],[Axe
(Filières)]]</f>
        <v>Sécurité</v>
      </c>
      <c r="H225" s="284" t="str">
        <f>Tableau1[[#This Row],[Intitulé]]</f>
        <v>Incendie</v>
      </c>
      <c r="I225" s="284">
        <f>Tableau1[[#This Row],[Priorité
mger]]</f>
        <v>0</v>
      </c>
      <c r="J225" s="284" t="str">
        <f>Tableau1[[#This Row],[Organisme]]</f>
        <v>APAVE</v>
      </c>
      <c r="K225" s="284">
        <f>Tableau1[[#This Row],[Durée
H]]</f>
        <v>1.5</v>
      </c>
      <c r="L225" s="92">
        <f>Tableau1[[#This Row],[Coût
péda.]]</f>
        <v>53</v>
      </c>
      <c r="M225" s="284" t="str">
        <f>Tableau1[[#This Row],[Dispositif
(Plan / DIF)]]</f>
        <v>Plan</v>
      </c>
      <c r="N225" s="284" t="str">
        <f>Tableau1[[#This Row],[Axe
  (note cadrage)]]</f>
        <v>Formation obligatoire</v>
      </c>
      <c r="O225" s="285">
        <f>Tableau1[[#This Row],[Validation
(Oui/Non)]]</f>
        <v>0</v>
      </c>
      <c r="P225" s="287" t="str">
        <f>Tableau1[[#This Row],[Calendrier
de réalisation]]</f>
        <v>2019-Q2</v>
      </c>
      <c r="Q225" s="284"/>
      <c r="S225" s="286" t="str">
        <f>IFERROR(VLOOKUP('Plan 2019 consolidé'!$E225,Tableau5[],COLUMN(Tableau5[[#This Row],[Sexe2]]),FALSE),"")</f>
        <v>M</v>
      </c>
      <c r="W225" s="286">
        <f>IFERROR(VLOOKUP('Plan 2019 consolidé'!$E225,Tableau5[],COLUMN(Tableau5[[#This Row],[Age]]),FALSE),"")</f>
        <v>59</v>
      </c>
      <c r="X225" s="286">
        <f>IFERROR(VLOOKUP('Plan 2019 consolidé'!$E225,Tableau5[],COLUMN(Tableau5[[#This Row],[Nombre d''années d''ancienneté dans la société]]),FALSE),"")</f>
        <v>10</v>
      </c>
    </row>
    <row r="226" spans="1:24" x14ac:dyDescent="0.25">
      <c r="A226" s="284" t="str">
        <f>Tableau1[[#This Row],[Service]]</f>
        <v>DVC</v>
      </c>
      <c r="B226" s="284" t="str">
        <f>Tableau1[[#This Row],[Site]]</f>
        <v>Aub.</v>
      </c>
      <c r="C226" s="284" t="str">
        <f>Tableau1[[#This Row],[Manager]]</f>
        <v>SENEPART</v>
      </c>
      <c r="D226" s="284">
        <f>Tableau1[[#This Row],[Matricule]]</f>
        <v>102993</v>
      </c>
      <c r="E226" s="284" t="str">
        <f>Tableau1[[#This Row],[Nom]]</f>
        <v>MAZE</v>
      </c>
      <c r="F226" s="284" t="str">
        <f>Tableau1[[#This Row],[Prénom]]</f>
        <v>Christophe</v>
      </c>
      <c r="G226" s="284" t="str">
        <f>Tableau1[[#This Row],[Axe
(Filières)]]</f>
        <v>Sécurité</v>
      </c>
      <c r="H226" s="284" t="str">
        <f>Tableau1[[#This Row],[Intitulé]]</f>
        <v>Recyclage SST</v>
      </c>
      <c r="I226" s="284">
        <f>Tableau1[[#This Row],[Priorité
mger]]</f>
        <v>0</v>
      </c>
      <c r="J226" s="284" t="str">
        <f>Tableau1[[#This Row],[Organisme]]</f>
        <v>CFSP</v>
      </c>
      <c r="K226" s="284">
        <f>Tableau1[[#This Row],[Durée
H]]</f>
        <v>7</v>
      </c>
      <c r="L226" s="92">
        <f>Tableau1[[#This Row],[Coût
péda.]]</f>
        <v>117</v>
      </c>
      <c r="M226" s="284" t="str">
        <f>Tableau1[[#This Row],[Dispositif
(Plan / DIF)]]</f>
        <v>Plan</v>
      </c>
      <c r="N226" s="284" t="str">
        <f>Tableau1[[#This Row],[Axe
  (note cadrage)]]</f>
        <v>Formation obligatoire</v>
      </c>
      <c r="O226" s="285">
        <f>Tableau1[[#This Row],[Validation
(Oui/Non)]]</f>
        <v>0</v>
      </c>
      <c r="P226" s="287" t="str">
        <f>Tableau1[[#This Row],[Calendrier
de réalisation]]</f>
        <v/>
      </c>
      <c r="Q226" s="284"/>
      <c r="S226" s="286" t="str">
        <f>IFERROR(VLOOKUP('Plan 2019 consolidé'!$E226,Tableau5[],COLUMN(Tableau5[[#This Row],[Sexe2]]),FALSE),"")</f>
        <v>M</v>
      </c>
      <c r="W226" s="286">
        <f>IFERROR(VLOOKUP('Plan 2019 consolidé'!$E226,Tableau5[],COLUMN(Tableau5[[#This Row],[Age]]),FALSE),"")</f>
        <v>47</v>
      </c>
      <c r="X226" s="286">
        <f>IFERROR(VLOOKUP('Plan 2019 consolidé'!$E226,Tableau5[],COLUMN(Tableau5[[#This Row],[Nombre d''années d''ancienneté dans la société]]),FALSE),"")</f>
        <v>24</v>
      </c>
    </row>
    <row r="227" spans="1:24" x14ac:dyDescent="0.25">
      <c r="A227" s="284" t="str">
        <f>Tableau1[[#This Row],[Service]]</f>
        <v>Non DVC</v>
      </c>
      <c r="B227" s="284" t="str">
        <f>Tableau1[[#This Row],[Site]]</f>
        <v>STG</v>
      </c>
      <c r="C227" s="284" t="str">
        <f>Tableau1[[#This Row],[Manager]]</f>
        <v>FOUASSIER</v>
      </c>
      <c r="D227" s="284">
        <f>Tableau1[[#This Row],[Matricule]]</f>
        <v>10550783</v>
      </c>
      <c r="E227" s="284" t="str">
        <f>Tableau1[[#This Row],[Nom]]</f>
        <v>MENANTEAU</v>
      </c>
      <c r="F227" s="284" t="str">
        <f>Tableau1[[#This Row],[Prénom]]</f>
        <v>Romain</v>
      </c>
      <c r="G227" s="284" t="str">
        <f>Tableau1[[#This Row],[Axe
(Filières)]]</f>
        <v>Sécurité</v>
      </c>
      <c r="H227" s="284" t="str">
        <f>Tableau1[[#This Row],[Intitulé]]</f>
        <v>Incendie</v>
      </c>
      <c r="I227" s="284">
        <f>Tableau1[[#This Row],[Priorité
mger]]</f>
        <v>0</v>
      </c>
      <c r="J227" s="284" t="str">
        <f>Tableau1[[#This Row],[Organisme]]</f>
        <v>APAVE</v>
      </c>
      <c r="K227" s="284">
        <f>Tableau1[[#This Row],[Durée
H]]</f>
        <v>1.5</v>
      </c>
      <c r="L227" s="92">
        <f>Tableau1[[#This Row],[Coût
péda.]]</f>
        <v>53</v>
      </c>
      <c r="M227" s="284" t="str">
        <f>Tableau1[[#This Row],[Dispositif
(Plan / DIF)]]</f>
        <v>Plan</v>
      </c>
      <c r="N227" s="284" t="str">
        <f>Tableau1[[#This Row],[Axe
  (note cadrage)]]</f>
        <v>Formation obligatoire</v>
      </c>
      <c r="O227" s="285">
        <f>Tableau1[[#This Row],[Validation
(Oui/Non)]]</f>
        <v>0</v>
      </c>
      <c r="P227" s="287">
        <f>Tableau1[[#This Row],[Calendrier
de réalisation]]</f>
        <v>0</v>
      </c>
      <c r="Q227" s="284"/>
      <c r="S227" s="286" t="str">
        <f>IFERROR(VLOOKUP('Plan 2019 consolidé'!$E227,Tableau5[],COLUMN(Tableau5[[#This Row],[Sexe2]]),FALSE),"")</f>
        <v>M</v>
      </c>
      <c r="W227" s="286">
        <f>IFERROR(VLOOKUP('Plan 2019 consolidé'!$E227,Tableau5[],COLUMN(Tableau5[[#This Row],[Age]]),FALSE),"")</f>
        <v>28</v>
      </c>
      <c r="X227" s="286">
        <f>IFERROR(VLOOKUP('Plan 2019 consolidé'!$E227,Tableau5[],COLUMN(Tableau5[[#This Row],[Nombre d''années d''ancienneté dans la société]]),FALSE),"")</f>
        <v>1</v>
      </c>
    </row>
    <row r="228" spans="1:24" x14ac:dyDescent="0.25">
      <c r="A228" s="284" t="str">
        <f>Tableau1[[#This Row],[Service]]</f>
        <v>Non DVC</v>
      </c>
      <c r="B228" s="284" t="str">
        <f>Tableau1[[#This Row],[Site]]</f>
        <v>STG</v>
      </c>
      <c r="C228" s="284" t="str">
        <f>Tableau1[[#This Row],[Manager]]</f>
        <v>FOUASSIER</v>
      </c>
      <c r="D228" s="284">
        <f>Tableau1[[#This Row],[Matricule]]</f>
        <v>10515630</v>
      </c>
      <c r="E228" s="284" t="str">
        <f>Tableau1[[#This Row],[Nom]]</f>
        <v>MICHEL</v>
      </c>
      <c r="F228" s="284" t="str">
        <f>Tableau1[[#This Row],[Prénom]]</f>
        <v>Clement</v>
      </c>
      <c r="G228" s="284" t="str">
        <f>Tableau1[[#This Row],[Axe
(Filières)]]</f>
        <v>Sécurité</v>
      </c>
      <c r="H228" s="284" t="str">
        <f>Tableau1[[#This Row],[Intitulé]]</f>
        <v>Incendie</v>
      </c>
      <c r="I228" s="284">
        <f>Tableau1[[#This Row],[Priorité
mger]]</f>
        <v>0</v>
      </c>
      <c r="J228" s="284" t="str">
        <f>Tableau1[[#This Row],[Organisme]]</f>
        <v>APAVE</v>
      </c>
      <c r="K228" s="284">
        <f>Tableau1[[#This Row],[Durée
H]]</f>
        <v>1.5</v>
      </c>
      <c r="L228" s="92">
        <f>Tableau1[[#This Row],[Coût
péda.]]</f>
        <v>53</v>
      </c>
      <c r="M228" s="284" t="str">
        <f>Tableau1[[#This Row],[Dispositif
(Plan / DIF)]]</f>
        <v>Plan</v>
      </c>
      <c r="N228" s="284" t="str">
        <f>Tableau1[[#This Row],[Axe
  (note cadrage)]]</f>
        <v>Formation obligatoire</v>
      </c>
      <c r="O228" s="285">
        <f>Tableau1[[#This Row],[Validation
(Oui/Non)]]</f>
        <v>0</v>
      </c>
      <c r="P228" s="287">
        <f>Tableau1[[#This Row],[Calendrier
de réalisation]]</f>
        <v>0</v>
      </c>
      <c r="Q228" s="284"/>
      <c r="S228" s="286" t="str">
        <f>IFERROR(VLOOKUP('Plan 2019 consolidé'!$E228,Tableau5[],COLUMN(Tableau5[[#This Row],[Sexe2]]),FALSE),"")</f>
        <v>M</v>
      </c>
      <c r="W228" s="286">
        <f>IFERROR(VLOOKUP('Plan 2019 consolidé'!$E228,Tableau5[],COLUMN(Tableau5[[#This Row],[Age]]),FALSE),"")</f>
        <v>23</v>
      </c>
      <c r="X228" s="286">
        <f>IFERROR(VLOOKUP('Plan 2019 consolidé'!$E228,Tableau5[],COLUMN(Tableau5[[#This Row],[Nombre d''années d''ancienneté dans la société]]),FALSE),"")</f>
        <v>2</v>
      </c>
    </row>
    <row r="229" spans="1:24" x14ac:dyDescent="0.25">
      <c r="A229" s="284" t="str">
        <f>Tableau1[[#This Row],[Service]]</f>
        <v>DVC</v>
      </c>
      <c r="B229" s="284" t="str">
        <f>Tableau1[[#This Row],[Site]]</f>
        <v>STG</v>
      </c>
      <c r="C229" s="284" t="str">
        <f>Tableau1[[#This Row],[Manager]]</f>
        <v>XUEREB</v>
      </c>
      <c r="D229" s="284">
        <f>Tableau1[[#This Row],[Matricule]]</f>
        <v>330997</v>
      </c>
      <c r="E229" s="284" t="str">
        <f>Tableau1[[#This Row],[Nom]]</f>
        <v>MOLLIER</v>
      </c>
      <c r="F229" s="284" t="str">
        <f>Tableau1[[#This Row],[Prénom]]</f>
        <v>Jonathan</v>
      </c>
      <c r="G229" s="284" t="str">
        <f>Tableau1[[#This Row],[Axe
(Filières)]]</f>
        <v>Sécurité</v>
      </c>
      <c r="H229" s="284" t="str">
        <f>Tableau1[[#This Row],[Intitulé]]</f>
        <v>Incendie</v>
      </c>
      <c r="I229" s="284">
        <f>Tableau1[[#This Row],[Priorité
mger]]</f>
        <v>0</v>
      </c>
      <c r="J229" s="284" t="str">
        <f>Tableau1[[#This Row],[Organisme]]</f>
        <v>APAVE</v>
      </c>
      <c r="K229" s="284">
        <f>Tableau1[[#This Row],[Durée
H]]</f>
        <v>1.5</v>
      </c>
      <c r="L229" s="92">
        <f>Tableau1[[#This Row],[Coût
péda.]]</f>
        <v>53</v>
      </c>
      <c r="M229" s="284" t="str">
        <f>Tableau1[[#This Row],[Dispositif
(Plan / DIF)]]</f>
        <v>Plan</v>
      </c>
      <c r="N229" s="284" t="str">
        <f>Tableau1[[#This Row],[Axe
  (note cadrage)]]</f>
        <v>Formation obligatoire</v>
      </c>
      <c r="O229" s="285">
        <f>Tableau1[[#This Row],[Validation
(Oui/Non)]]</f>
        <v>0</v>
      </c>
      <c r="P229" s="287" t="str">
        <f>Tableau1[[#This Row],[Calendrier
de réalisation]]</f>
        <v>2019-Q2</v>
      </c>
      <c r="Q229" s="284"/>
      <c r="S229" s="286" t="str">
        <f>IFERROR(VLOOKUP('Plan 2019 consolidé'!$E229,Tableau5[],COLUMN(Tableau5[[#This Row],[Sexe2]]),FALSE),"")</f>
        <v>M</v>
      </c>
      <c r="W229" s="286">
        <f>IFERROR(VLOOKUP('Plan 2019 consolidé'!$E229,Tableau5[],COLUMN(Tableau5[[#This Row],[Age]]),FALSE),"")</f>
        <v>26</v>
      </c>
      <c r="X229" s="286">
        <f>IFERROR(VLOOKUP('Plan 2019 consolidé'!$E229,Tableau5[],COLUMN(Tableau5[[#This Row],[Nombre d''années d''ancienneté dans la société]]),FALSE),"")</f>
        <v>3</v>
      </c>
    </row>
    <row r="230" spans="1:24" x14ac:dyDescent="0.25">
      <c r="A230" s="284" t="str">
        <f>Tableau1[[#This Row],[Service]]</f>
        <v>DVC</v>
      </c>
      <c r="B230" s="284" t="str">
        <f>Tableau1[[#This Row],[Site]]</f>
        <v>STG</v>
      </c>
      <c r="C230" s="284" t="str">
        <f>Tableau1[[#This Row],[Manager]]</f>
        <v>XUEREB</v>
      </c>
      <c r="D230" s="284">
        <f>Tableau1[[#This Row],[Matricule]]</f>
        <v>330997</v>
      </c>
      <c r="E230" s="284" t="str">
        <f>Tableau1[[#This Row],[Nom]]</f>
        <v>MOLLIER</v>
      </c>
      <c r="F230" s="284" t="str">
        <f>Tableau1[[#This Row],[Prénom]]</f>
        <v>Jonathan</v>
      </c>
      <c r="G230" s="284" t="str">
        <f>Tableau1[[#This Row],[Axe
(Filières)]]</f>
        <v>Sécurité</v>
      </c>
      <c r="H230" s="284" t="str">
        <f>Tableau1[[#This Row],[Intitulé]]</f>
        <v>Recyclage SST</v>
      </c>
      <c r="I230" s="284">
        <f>Tableau1[[#This Row],[Priorité
mger]]</f>
        <v>0</v>
      </c>
      <c r="J230" s="284" t="str">
        <f>Tableau1[[#This Row],[Organisme]]</f>
        <v>CFSP</v>
      </c>
      <c r="K230" s="284">
        <f>Tableau1[[#This Row],[Durée
H]]</f>
        <v>7</v>
      </c>
      <c r="L230" s="92">
        <f>Tableau1[[#This Row],[Coût
péda.]]</f>
        <v>117</v>
      </c>
      <c r="M230" s="284" t="str">
        <f>Tableau1[[#This Row],[Dispositif
(Plan / DIF)]]</f>
        <v>Plan</v>
      </c>
      <c r="N230" s="284" t="str">
        <f>Tableau1[[#This Row],[Axe
  (note cadrage)]]</f>
        <v>Formation obligatoire</v>
      </c>
      <c r="O230" s="285">
        <f>Tableau1[[#This Row],[Validation
(Oui/Non)]]</f>
        <v>0</v>
      </c>
      <c r="P230" s="287" t="str">
        <f>Tableau1[[#This Row],[Calendrier
de réalisation]]</f>
        <v/>
      </c>
      <c r="Q230" s="284"/>
      <c r="S230" s="286" t="str">
        <f>IFERROR(VLOOKUP('Plan 2019 consolidé'!$E230,Tableau5[],COLUMN(Tableau5[[#This Row],[Sexe2]]),FALSE),"")</f>
        <v>M</v>
      </c>
      <c r="W230" s="286">
        <f>IFERROR(VLOOKUP('Plan 2019 consolidé'!$E230,Tableau5[],COLUMN(Tableau5[[#This Row],[Age]]),FALSE),"")</f>
        <v>26</v>
      </c>
      <c r="X230" s="286">
        <f>IFERROR(VLOOKUP('Plan 2019 consolidé'!$E230,Tableau5[],COLUMN(Tableau5[[#This Row],[Nombre d''années d''ancienneté dans la société]]),FALSE),"")</f>
        <v>3</v>
      </c>
    </row>
    <row r="231" spans="1:24" x14ac:dyDescent="0.25">
      <c r="A231" s="284" t="str">
        <f>Tableau1[[#This Row],[Service]]</f>
        <v>Non DVC</v>
      </c>
      <c r="B231" s="284" t="str">
        <f>Tableau1[[#This Row],[Site]]</f>
        <v>Aub.</v>
      </c>
      <c r="C231" s="284" t="str">
        <f>Tableau1[[#This Row],[Manager]]</f>
        <v>RICCARDI</v>
      </c>
      <c r="D231" s="284">
        <f>Tableau1[[#This Row],[Matricule]]</f>
        <v>103043</v>
      </c>
      <c r="E231" s="284" t="str">
        <f>Tableau1[[#This Row],[Nom]]</f>
        <v>MOULIN</v>
      </c>
      <c r="F231" s="284" t="str">
        <f>Tableau1[[#This Row],[Prénom]]</f>
        <v>Christophe</v>
      </c>
      <c r="G231" s="284" t="str">
        <f>Tableau1[[#This Row],[Axe
(Filières)]]</f>
        <v>Sécurité</v>
      </c>
      <c r="H231" s="284" t="str">
        <f>Tableau1[[#This Row],[Intitulé]]</f>
        <v>Incendie</v>
      </c>
      <c r="I231" s="284">
        <f>Tableau1[[#This Row],[Priorité
mger]]</f>
        <v>0</v>
      </c>
      <c r="J231" s="284" t="str">
        <f>Tableau1[[#This Row],[Organisme]]</f>
        <v>APAVE</v>
      </c>
      <c r="K231" s="284">
        <f>Tableau1[[#This Row],[Durée
H]]</f>
        <v>1.5</v>
      </c>
      <c r="L231" s="92">
        <f>Tableau1[[#This Row],[Coût
péda.]]</f>
        <v>53</v>
      </c>
      <c r="M231" s="284" t="str">
        <f>Tableau1[[#This Row],[Dispositif
(Plan / DIF)]]</f>
        <v>Plan</v>
      </c>
      <c r="N231" s="284" t="str">
        <f>Tableau1[[#This Row],[Axe
  (note cadrage)]]</f>
        <v>Formation obligatoire</v>
      </c>
      <c r="O231" s="285">
        <f>Tableau1[[#This Row],[Validation
(Oui/Non)]]</f>
        <v>0</v>
      </c>
      <c r="P231" s="287" t="str">
        <f>Tableau1[[#This Row],[Calendrier
de réalisation]]</f>
        <v>2019-Q2</v>
      </c>
      <c r="Q231" s="284"/>
      <c r="S231" s="286" t="str">
        <f>IFERROR(VLOOKUP('Plan 2019 consolidé'!$E231,Tableau5[],COLUMN(Tableau5[[#This Row],[Sexe2]]),FALSE),"")</f>
        <v>M</v>
      </c>
      <c r="W231" s="286">
        <f>IFERROR(VLOOKUP('Plan 2019 consolidé'!$E231,Tableau5[],COLUMN(Tableau5[[#This Row],[Age]]),FALSE),"")</f>
        <v>52</v>
      </c>
      <c r="X231" s="286">
        <f>IFERROR(VLOOKUP('Plan 2019 consolidé'!$E231,Tableau5[],COLUMN(Tableau5[[#This Row],[Nombre d''années d''ancienneté dans la société]]),FALSE),"")</f>
        <v>28</v>
      </c>
    </row>
    <row r="232" spans="1:24" x14ac:dyDescent="0.25">
      <c r="A232" s="284" t="str">
        <f>Tableau1[[#This Row],[Service]]</f>
        <v>DVC</v>
      </c>
      <c r="B232" s="284" t="str">
        <f>Tableau1[[#This Row],[Site]]</f>
        <v>STG</v>
      </c>
      <c r="C232" s="284" t="str">
        <f>Tableau1[[#This Row],[Manager]]</f>
        <v>XUEREB</v>
      </c>
      <c r="D232" s="284">
        <f>Tableau1[[#This Row],[Matricule]]</f>
        <v>228757</v>
      </c>
      <c r="E232" s="284" t="str">
        <f>Tableau1[[#This Row],[Nom]]</f>
        <v>NAVIZET</v>
      </c>
      <c r="F232" s="284" t="str">
        <f>Tableau1[[#This Row],[Prénom]]</f>
        <v>Johnattan</v>
      </c>
      <c r="G232" s="284" t="str">
        <f>Tableau1[[#This Row],[Axe
(Filières)]]</f>
        <v>Sécurité</v>
      </c>
      <c r="H232" s="284" t="str">
        <f>Tableau1[[#This Row],[Intitulé]]</f>
        <v>Incendie</v>
      </c>
      <c r="I232" s="284">
        <f>Tableau1[[#This Row],[Priorité
mger]]</f>
        <v>0</v>
      </c>
      <c r="J232" s="284" t="str">
        <f>Tableau1[[#This Row],[Organisme]]</f>
        <v>APAVE</v>
      </c>
      <c r="K232" s="284">
        <f>Tableau1[[#This Row],[Durée
H]]</f>
        <v>1.5</v>
      </c>
      <c r="L232" s="92">
        <f>Tableau1[[#This Row],[Coût
péda.]]</f>
        <v>53</v>
      </c>
      <c r="M232" s="284" t="str">
        <f>Tableau1[[#This Row],[Dispositif
(Plan / DIF)]]</f>
        <v>Plan</v>
      </c>
      <c r="N232" s="284" t="str">
        <f>Tableau1[[#This Row],[Axe
  (note cadrage)]]</f>
        <v>Formation obligatoire</v>
      </c>
      <c r="O232" s="285">
        <f>Tableau1[[#This Row],[Validation
(Oui/Non)]]</f>
        <v>0</v>
      </c>
      <c r="P232" s="287" t="str">
        <f>Tableau1[[#This Row],[Calendrier
de réalisation]]</f>
        <v>2019-Q1</v>
      </c>
      <c r="Q232" s="284"/>
      <c r="S232" s="286" t="str">
        <f>IFERROR(VLOOKUP('Plan 2019 consolidé'!$E232,Tableau5[],COLUMN(Tableau5[[#This Row],[Sexe2]]),FALSE),"")</f>
        <v>M</v>
      </c>
      <c r="W232" s="286">
        <f>IFERROR(VLOOKUP('Plan 2019 consolidé'!$E232,Tableau5[],COLUMN(Tableau5[[#This Row],[Age]]),FALSE),"")</f>
        <v>32</v>
      </c>
      <c r="X232" s="286">
        <f>IFERROR(VLOOKUP('Plan 2019 consolidé'!$E232,Tableau5[],COLUMN(Tableau5[[#This Row],[Nombre d''années d''ancienneté dans la société]]),FALSE),"")</f>
        <v>6</v>
      </c>
    </row>
    <row r="233" spans="1:24" x14ac:dyDescent="0.25">
      <c r="A233" s="284" t="str">
        <f>Tableau1[[#This Row],[Service]]</f>
        <v>DVC</v>
      </c>
      <c r="B233" s="284" t="str">
        <f>Tableau1[[#This Row],[Site]]</f>
        <v>STG</v>
      </c>
      <c r="C233" s="284" t="str">
        <f>Tableau1[[#This Row],[Manager]]</f>
        <v>XUEREB</v>
      </c>
      <c r="D233" s="284">
        <f>Tableau1[[#This Row],[Matricule]]</f>
        <v>228757</v>
      </c>
      <c r="E233" s="284" t="str">
        <f>Tableau1[[#This Row],[Nom]]</f>
        <v>NAVIZET</v>
      </c>
      <c r="F233" s="284" t="str">
        <f>Tableau1[[#This Row],[Prénom]]</f>
        <v>Johnattan</v>
      </c>
      <c r="G233" s="284" t="str">
        <f>Tableau1[[#This Row],[Axe
(Filières)]]</f>
        <v>Sécurité</v>
      </c>
      <c r="H233" s="284" t="str">
        <f>Tableau1[[#This Row],[Intitulé]]</f>
        <v>Risques chimiques</v>
      </c>
      <c r="I233" s="284">
        <f>Tableau1[[#This Row],[Priorité
mger]]</f>
        <v>0</v>
      </c>
      <c r="J233" s="284" t="str">
        <f>Tableau1[[#This Row],[Organisme]]</f>
        <v>APAVE</v>
      </c>
      <c r="K233" s="284">
        <f>Tableau1[[#This Row],[Durée
H]]</f>
        <v>7</v>
      </c>
      <c r="L233" s="92">
        <f>Tableau1[[#This Row],[Coût
péda.]]</f>
        <v>162</v>
      </c>
      <c r="M233" s="284" t="str">
        <f>Tableau1[[#This Row],[Dispositif
(Plan / DIF)]]</f>
        <v>Plan</v>
      </c>
      <c r="N233" s="284" t="str">
        <f>Tableau1[[#This Row],[Axe
  (note cadrage)]]</f>
        <v>Formation obligatoire</v>
      </c>
      <c r="O233" s="285">
        <f>Tableau1[[#This Row],[Validation
(Oui/Non)]]</f>
        <v>0</v>
      </c>
      <c r="P233" s="287" t="str">
        <f>Tableau1[[#This Row],[Calendrier
de réalisation]]</f>
        <v>2019-Q2</v>
      </c>
      <c r="Q233" s="284"/>
      <c r="S233" s="286" t="str">
        <f>IFERROR(VLOOKUP('Plan 2019 consolidé'!$E233,Tableau5[],COLUMN(Tableau5[[#This Row],[Sexe2]]),FALSE),"")</f>
        <v>M</v>
      </c>
      <c r="W233" s="286">
        <f>IFERROR(VLOOKUP('Plan 2019 consolidé'!$E233,Tableau5[],COLUMN(Tableau5[[#This Row],[Age]]),FALSE),"")</f>
        <v>32</v>
      </c>
      <c r="X233" s="286">
        <f>IFERROR(VLOOKUP('Plan 2019 consolidé'!$E233,Tableau5[],COLUMN(Tableau5[[#This Row],[Nombre d''années d''ancienneté dans la société]]),FALSE),"")</f>
        <v>6</v>
      </c>
    </row>
    <row r="234" spans="1:24" x14ac:dyDescent="0.25">
      <c r="A234" s="284" t="str">
        <f>Tableau1[[#This Row],[Service]]</f>
        <v>Non DVC</v>
      </c>
      <c r="B234" s="284" t="str">
        <f>Tableau1[[#This Row],[Site]]</f>
        <v>Aub.</v>
      </c>
      <c r="C234" s="284" t="str">
        <f>Tableau1[[#This Row],[Manager]]</f>
        <v>PIFFAUT</v>
      </c>
      <c r="D234" s="284">
        <f>Tableau1[[#This Row],[Matricule]]</f>
        <v>10630739</v>
      </c>
      <c r="E234" s="284" t="str">
        <f>Tableau1[[#This Row],[Nom]]</f>
        <v>NEGRE</v>
      </c>
      <c r="F234" s="284" t="str">
        <f>Tableau1[[#This Row],[Prénom]]</f>
        <v>Gregory</v>
      </c>
      <c r="G234" s="284" t="str">
        <f>Tableau1[[#This Row],[Axe
(Filières)]]</f>
        <v>Sécurité</v>
      </c>
      <c r="H234" s="284" t="str">
        <f>Tableau1[[#This Row],[Intitulé]]</f>
        <v>Gestes et postures</v>
      </c>
      <c r="I234" s="284">
        <f>Tableau1[[#This Row],[Priorité
mger]]</f>
        <v>0</v>
      </c>
      <c r="J234" s="284" t="str">
        <f>Tableau1[[#This Row],[Organisme]]</f>
        <v>APAVE</v>
      </c>
      <c r="K234" s="284">
        <f>Tableau1[[#This Row],[Durée
H]]</f>
        <v>7</v>
      </c>
      <c r="L234" s="92">
        <f>Tableau1[[#This Row],[Coût
péda.]]</f>
        <v>124</v>
      </c>
      <c r="M234" s="284" t="str">
        <f>Tableau1[[#This Row],[Dispositif
(Plan / DIF)]]</f>
        <v>Plan</v>
      </c>
      <c r="N234" s="284" t="str">
        <f>Tableau1[[#This Row],[Axe
  (note cadrage)]]</f>
        <v>Formation obligatoire</v>
      </c>
      <c r="O234" s="285">
        <f>Tableau1[[#This Row],[Validation
(Oui/Non)]]</f>
        <v>0</v>
      </c>
      <c r="P234" s="287">
        <f>Tableau1[[#This Row],[Calendrier
de réalisation]]</f>
        <v>0</v>
      </c>
      <c r="Q234" s="284"/>
      <c r="S234" s="286" t="str">
        <f>IFERROR(VLOOKUP('Plan 2019 consolidé'!$E234,Tableau5[],COLUMN(Tableau5[[#This Row],[Sexe2]]),FALSE),"")</f>
        <v>M</v>
      </c>
      <c r="W234" s="286">
        <f>IFERROR(VLOOKUP('Plan 2019 consolidé'!$E234,Tableau5[],COLUMN(Tableau5[[#This Row],[Age]]),FALSE),"")</f>
        <v>36</v>
      </c>
      <c r="X234" s="286">
        <f>IFERROR(VLOOKUP('Plan 2019 consolidé'!$E234,Tableau5[],COLUMN(Tableau5[[#This Row],[Nombre d''années d''ancienneté dans la société]]),FALSE),"")</f>
        <v>0</v>
      </c>
    </row>
    <row r="235" spans="1:24" x14ac:dyDescent="0.25">
      <c r="A235" s="284" t="str">
        <f>Tableau1[[#This Row],[Service]]</f>
        <v>Non DVC</v>
      </c>
      <c r="B235" s="284" t="str">
        <f>Tableau1[[#This Row],[Site]]</f>
        <v>Aub.</v>
      </c>
      <c r="C235" s="284" t="str">
        <f>Tableau1[[#This Row],[Manager]]</f>
        <v>PIFFAUT</v>
      </c>
      <c r="D235" s="284">
        <f>Tableau1[[#This Row],[Matricule]]</f>
        <v>10630739</v>
      </c>
      <c r="E235" s="284" t="str">
        <f>Tableau1[[#This Row],[Nom]]</f>
        <v>NEGRE</v>
      </c>
      <c r="F235" s="284" t="str">
        <f>Tableau1[[#This Row],[Prénom]]</f>
        <v>Gregory</v>
      </c>
      <c r="G235" s="284" t="str">
        <f>Tableau1[[#This Row],[Axe
(Filières)]]</f>
        <v>Sécurité</v>
      </c>
      <c r="H235" s="284" t="str">
        <f>Tableau1[[#This Row],[Intitulé]]</f>
        <v>Incendie</v>
      </c>
      <c r="I235" s="284">
        <f>Tableau1[[#This Row],[Priorité
mger]]</f>
        <v>0</v>
      </c>
      <c r="J235" s="284" t="str">
        <f>Tableau1[[#This Row],[Organisme]]</f>
        <v>APAVE</v>
      </c>
      <c r="K235" s="284">
        <f>Tableau1[[#This Row],[Durée
H]]</f>
        <v>1.5</v>
      </c>
      <c r="L235" s="92">
        <f>Tableau1[[#This Row],[Coût
péda.]]</f>
        <v>53</v>
      </c>
      <c r="M235" s="284" t="str">
        <f>Tableau1[[#This Row],[Dispositif
(Plan / DIF)]]</f>
        <v>Plan</v>
      </c>
      <c r="N235" s="284" t="str">
        <f>Tableau1[[#This Row],[Axe
  (note cadrage)]]</f>
        <v>Formation obligatoire</v>
      </c>
      <c r="O235" s="285">
        <f>Tableau1[[#This Row],[Validation
(Oui/Non)]]</f>
        <v>0</v>
      </c>
      <c r="P235" s="287">
        <f>Tableau1[[#This Row],[Calendrier
de réalisation]]</f>
        <v>0</v>
      </c>
      <c r="Q235" s="284"/>
      <c r="S235" s="286" t="str">
        <f>IFERROR(VLOOKUP('Plan 2019 consolidé'!$E235,Tableau5[],COLUMN(Tableau5[[#This Row],[Sexe2]]),FALSE),"")</f>
        <v>M</v>
      </c>
      <c r="W235" s="286">
        <f>IFERROR(VLOOKUP('Plan 2019 consolidé'!$E235,Tableau5[],COLUMN(Tableau5[[#This Row],[Age]]),FALSE),"")</f>
        <v>36</v>
      </c>
      <c r="X235" s="286">
        <f>IFERROR(VLOOKUP('Plan 2019 consolidé'!$E235,Tableau5[],COLUMN(Tableau5[[#This Row],[Nombre d''années d''ancienneté dans la société]]),FALSE),"")</f>
        <v>0</v>
      </c>
    </row>
    <row r="236" spans="1:24" x14ac:dyDescent="0.25">
      <c r="A236" s="284" t="str">
        <f>Tableau1[[#This Row],[Service]]</f>
        <v>DVC</v>
      </c>
      <c r="B236" s="284" t="str">
        <f>Tableau1[[#This Row],[Site]]</f>
        <v>STG</v>
      </c>
      <c r="C236" s="284" t="str">
        <f>Tableau1[[#This Row],[Manager]]</f>
        <v>XUEREB</v>
      </c>
      <c r="D236" s="284">
        <f>Tableau1[[#This Row],[Matricule]]</f>
        <v>331029</v>
      </c>
      <c r="E236" s="284" t="str">
        <f>Tableau1[[#This Row],[Nom]]</f>
        <v>NICOLAS</v>
      </c>
      <c r="F236" s="284" t="str">
        <f>Tableau1[[#This Row],[Prénom]]</f>
        <v>Gregory</v>
      </c>
      <c r="G236" s="284" t="str">
        <f>Tableau1[[#This Row],[Axe
(Filières)]]</f>
        <v>Sécurité</v>
      </c>
      <c r="H236" s="284" t="str">
        <f>Tableau1[[#This Row],[Intitulé]]</f>
        <v>Incendie</v>
      </c>
      <c r="I236" s="284">
        <f>Tableau1[[#This Row],[Priorité
mger]]</f>
        <v>0</v>
      </c>
      <c r="J236" s="284" t="str">
        <f>Tableau1[[#This Row],[Organisme]]</f>
        <v>APAVE</v>
      </c>
      <c r="K236" s="284">
        <f>Tableau1[[#This Row],[Durée
H]]</f>
        <v>1.5</v>
      </c>
      <c r="L236" s="92">
        <f>Tableau1[[#This Row],[Coût
péda.]]</f>
        <v>53</v>
      </c>
      <c r="M236" s="284" t="str">
        <f>Tableau1[[#This Row],[Dispositif
(Plan / DIF)]]</f>
        <v>Plan</v>
      </c>
      <c r="N236" s="284" t="str">
        <f>Tableau1[[#This Row],[Axe
  (note cadrage)]]</f>
        <v>Formation obligatoire</v>
      </c>
      <c r="O236" s="285">
        <f>Tableau1[[#This Row],[Validation
(Oui/Non)]]</f>
        <v>0</v>
      </c>
      <c r="P236" s="287" t="str">
        <f>Tableau1[[#This Row],[Calendrier
de réalisation]]</f>
        <v>2019-Q1</v>
      </c>
      <c r="Q236" s="284"/>
      <c r="S236" s="286" t="str">
        <f>IFERROR(VLOOKUP('Plan 2019 consolidé'!$E236,Tableau5[],COLUMN(Tableau5[[#This Row],[Sexe2]]),FALSE),"")</f>
        <v>M</v>
      </c>
      <c r="W236" s="286">
        <f>IFERROR(VLOOKUP('Plan 2019 consolidé'!$E236,Tableau5[],COLUMN(Tableau5[[#This Row],[Age]]),FALSE),"")</f>
        <v>34</v>
      </c>
      <c r="X236" s="286">
        <f>IFERROR(VLOOKUP('Plan 2019 consolidé'!$E236,Tableau5[],COLUMN(Tableau5[[#This Row],[Nombre d''années d''ancienneté dans la société]]),FALSE),"")</f>
        <v>3</v>
      </c>
    </row>
    <row r="237" spans="1:24" x14ac:dyDescent="0.25">
      <c r="A237" s="284" t="str">
        <f>Tableau1[[#This Row],[Service]]</f>
        <v>DVC</v>
      </c>
      <c r="B237" s="284" t="str">
        <f>Tableau1[[#This Row],[Site]]</f>
        <v>STG</v>
      </c>
      <c r="C237" s="284" t="str">
        <f>Tableau1[[#This Row],[Manager]]</f>
        <v>XUEREB</v>
      </c>
      <c r="D237" s="284">
        <f>Tableau1[[#This Row],[Matricule]]</f>
        <v>331029</v>
      </c>
      <c r="E237" s="284" t="str">
        <f>Tableau1[[#This Row],[Nom]]</f>
        <v>NICOLAS</v>
      </c>
      <c r="F237" s="284" t="str">
        <f>Tableau1[[#This Row],[Prénom]]</f>
        <v>Gregory</v>
      </c>
      <c r="G237" s="284" t="str">
        <f>Tableau1[[#This Row],[Axe
(Filières)]]</f>
        <v>Sécurité</v>
      </c>
      <c r="H237" s="284" t="str">
        <f>Tableau1[[#This Row],[Intitulé]]</f>
        <v>HAB ELEC</v>
      </c>
      <c r="I237" s="284">
        <f>Tableau1[[#This Row],[Priorité
mger]]</f>
        <v>0</v>
      </c>
      <c r="J237" s="284" t="str">
        <f>Tableau1[[#This Row],[Organisme]]</f>
        <v>SEEF</v>
      </c>
      <c r="K237" s="284">
        <f>Tableau1[[#This Row],[Durée
H]]</f>
        <v>10.5</v>
      </c>
      <c r="L237" s="92">
        <f>Tableau1[[#This Row],[Coût
péda.]]</f>
        <v>260</v>
      </c>
      <c r="M237" s="284" t="str">
        <f>Tableau1[[#This Row],[Dispositif
(Plan / DIF)]]</f>
        <v>Plan</v>
      </c>
      <c r="N237" s="284" t="str">
        <f>Tableau1[[#This Row],[Axe
  (note cadrage)]]</f>
        <v>Formation obligatoire</v>
      </c>
      <c r="O237" s="285">
        <f>Tableau1[[#This Row],[Validation
(Oui/Non)]]</f>
        <v>0</v>
      </c>
      <c r="P237" s="287" t="str">
        <f>Tableau1[[#This Row],[Calendrier
de réalisation]]</f>
        <v/>
      </c>
      <c r="Q237" s="284"/>
      <c r="S237" s="286" t="str">
        <f>IFERROR(VLOOKUP('Plan 2019 consolidé'!$E237,Tableau5[],COLUMN(Tableau5[[#This Row],[Sexe2]]),FALSE),"")</f>
        <v>M</v>
      </c>
      <c r="W237" s="286">
        <f>IFERROR(VLOOKUP('Plan 2019 consolidé'!$E237,Tableau5[],COLUMN(Tableau5[[#This Row],[Age]]),FALSE),"")</f>
        <v>34</v>
      </c>
      <c r="X237" s="286">
        <f>IFERROR(VLOOKUP('Plan 2019 consolidé'!$E237,Tableau5[],COLUMN(Tableau5[[#This Row],[Nombre d''années d''ancienneté dans la société]]),FALSE),"")</f>
        <v>3</v>
      </c>
    </row>
    <row r="238" spans="1:24" x14ac:dyDescent="0.25">
      <c r="A238" s="284" t="str">
        <f>Tableau1[[#This Row],[Service]]</f>
        <v>Non DVC</v>
      </c>
      <c r="B238" s="284" t="str">
        <f>Tableau1[[#This Row],[Site]]</f>
        <v>Aub.</v>
      </c>
      <c r="C238" s="284" t="str">
        <f>Tableau1[[#This Row],[Manager]]</f>
        <v>HAON</v>
      </c>
      <c r="D238" s="284">
        <f>Tableau1[[#This Row],[Matricule]]</f>
        <v>103047</v>
      </c>
      <c r="E238" s="284" t="str">
        <f>Tableau1[[#This Row],[Nom]]</f>
        <v>NOBLESSE</v>
      </c>
      <c r="F238" s="284" t="str">
        <f>Tableau1[[#This Row],[Prénom]]</f>
        <v>Christophe</v>
      </c>
      <c r="G238" s="284" t="str">
        <f>Tableau1[[#This Row],[Axe
(Filières)]]</f>
        <v>Sécurité</v>
      </c>
      <c r="H238" s="284" t="str">
        <f>Tableau1[[#This Row],[Intitulé]]</f>
        <v>HAB ELEC</v>
      </c>
      <c r="I238" s="284">
        <f>Tableau1[[#This Row],[Priorité
mger]]</f>
        <v>0</v>
      </c>
      <c r="J238" s="284" t="str">
        <f>Tableau1[[#This Row],[Organisme]]</f>
        <v>SEEF</v>
      </c>
      <c r="K238" s="284">
        <f>Tableau1[[#This Row],[Durée
H]]</f>
        <v>10.5</v>
      </c>
      <c r="L238" s="92">
        <f>Tableau1[[#This Row],[Coût
péda.]]</f>
        <v>260</v>
      </c>
      <c r="M238" s="284" t="str">
        <f>Tableau1[[#This Row],[Dispositif
(Plan / DIF)]]</f>
        <v>Plan</v>
      </c>
      <c r="N238" s="284" t="str">
        <f>Tableau1[[#This Row],[Axe
  (note cadrage)]]</f>
        <v>Formation obligatoire</v>
      </c>
      <c r="O238" s="285">
        <f>Tableau1[[#This Row],[Validation
(Oui/Non)]]</f>
        <v>0</v>
      </c>
      <c r="P238" s="287" t="str">
        <f>Tableau1[[#This Row],[Calendrier
de réalisation]]</f>
        <v/>
      </c>
      <c r="Q238" s="284"/>
      <c r="S238" s="286" t="str">
        <f>IFERROR(VLOOKUP('Plan 2019 consolidé'!$E238,Tableau5[],COLUMN(Tableau5[[#This Row],[Sexe2]]),FALSE),"")</f>
        <v/>
      </c>
      <c r="W238" s="286" t="str">
        <f>IFERROR(VLOOKUP('Plan 2019 consolidé'!$E238,Tableau5[],COLUMN(Tableau5[[#This Row],[Age]]),FALSE),"")</f>
        <v/>
      </c>
      <c r="X238" s="286" t="str">
        <f>IFERROR(VLOOKUP('Plan 2019 consolidé'!$E238,Tableau5[],COLUMN(Tableau5[[#This Row],[Nombre d''années d''ancienneté dans la société]]),FALSE),"")</f>
        <v/>
      </c>
    </row>
    <row r="239" spans="1:24" x14ac:dyDescent="0.25">
      <c r="A239" s="284" t="str">
        <f>Tableau1[[#This Row],[Service]]</f>
        <v>DVC</v>
      </c>
      <c r="B239" s="284" t="str">
        <f>Tableau1[[#This Row],[Site]]</f>
        <v>Aub.</v>
      </c>
      <c r="C239" s="284" t="str">
        <f>Tableau1[[#This Row],[Manager]]</f>
        <v>ALIX</v>
      </c>
      <c r="D239" s="284">
        <f>Tableau1[[#This Row],[Matricule]]</f>
        <v>102932</v>
      </c>
      <c r="E239" s="284" t="str">
        <f>Tableau1[[#This Row],[Nom]]</f>
        <v>NOUIS</v>
      </c>
      <c r="F239" s="284" t="str">
        <f>Tableau1[[#This Row],[Prénom]]</f>
        <v>Richard</v>
      </c>
      <c r="G239" s="284" t="str">
        <f>Tableau1[[#This Row],[Axe
(Filières)]]</f>
        <v>Sécurité</v>
      </c>
      <c r="H239" s="284" t="str">
        <f>Tableau1[[#This Row],[Intitulé]]</f>
        <v>Gestes et postures</v>
      </c>
      <c r="I239" s="284">
        <f>Tableau1[[#This Row],[Priorité
mger]]</f>
        <v>0</v>
      </c>
      <c r="J239" s="284" t="str">
        <f>Tableau1[[#This Row],[Organisme]]</f>
        <v>APAVE</v>
      </c>
      <c r="K239" s="284">
        <f>Tableau1[[#This Row],[Durée
H]]</f>
        <v>7</v>
      </c>
      <c r="L239" s="92">
        <f>Tableau1[[#This Row],[Coût
péda.]]</f>
        <v>124</v>
      </c>
      <c r="M239" s="284" t="str">
        <f>Tableau1[[#This Row],[Dispositif
(Plan / DIF)]]</f>
        <v>Plan</v>
      </c>
      <c r="N239" s="284" t="str">
        <f>Tableau1[[#This Row],[Axe
  (note cadrage)]]</f>
        <v>Formation obligatoire</v>
      </c>
      <c r="O239" s="285">
        <f>Tableau1[[#This Row],[Validation
(Oui/Non)]]</f>
        <v>0</v>
      </c>
      <c r="P239" s="287" t="str">
        <f>Tableau1[[#This Row],[Calendrier
de réalisation]]</f>
        <v>2019-Q3</v>
      </c>
      <c r="Q239" s="284"/>
      <c r="S239" s="286" t="str">
        <f>IFERROR(VLOOKUP('Plan 2019 consolidé'!$E239,Tableau5[],COLUMN(Tableau5[[#This Row],[Sexe2]]),FALSE),"")</f>
        <v/>
      </c>
      <c r="W239" s="286" t="str">
        <f>IFERROR(VLOOKUP('Plan 2019 consolidé'!$E239,Tableau5[],COLUMN(Tableau5[[#This Row],[Age]]),FALSE),"")</f>
        <v/>
      </c>
      <c r="X239" s="286" t="str">
        <f>IFERROR(VLOOKUP('Plan 2019 consolidé'!$E239,Tableau5[],COLUMN(Tableau5[[#This Row],[Nombre d''années d''ancienneté dans la société]]),FALSE),"")</f>
        <v/>
      </c>
    </row>
    <row r="240" spans="1:24" x14ac:dyDescent="0.25">
      <c r="A240" s="284" t="str">
        <f>Tableau1[[#This Row],[Service]]</f>
        <v>Non DVC</v>
      </c>
      <c r="B240" s="284" t="str">
        <f>Tableau1[[#This Row],[Site]]</f>
        <v>STG</v>
      </c>
      <c r="C240" s="284" t="str">
        <f>Tableau1[[#This Row],[Manager]]</f>
        <v>FOUASSIER</v>
      </c>
      <c r="D240" s="284">
        <f>Tableau1[[#This Row],[Matricule]]</f>
        <v>104709</v>
      </c>
      <c r="E240" s="284" t="str">
        <f>Tableau1[[#This Row],[Nom]]</f>
        <v>NURY</v>
      </c>
      <c r="F240" s="284" t="str">
        <f>Tableau1[[#This Row],[Prénom]]</f>
        <v>Ghislaine</v>
      </c>
      <c r="G240" s="284" t="str">
        <f>Tableau1[[#This Row],[Axe
(Filières)]]</f>
        <v>Sécurité</v>
      </c>
      <c r="H240" s="284" t="str">
        <f>Tableau1[[#This Row],[Intitulé]]</f>
        <v>Incendie</v>
      </c>
      <c r="I240" s="284">
        <f>Tableau1[[#This Row],[Priorité
mger]]</f>
        <v>0</v>
      </c>
      <c r="J240" s="284" t="str">
        <f>Tableau1[[#This Row],[Organisme]]</f>
        <v>APAVE</v>
      </c>
      <c r="K240" s="284">
        <f>Tableau1[[#This Row],[Durée
H]]</f>
        <v>1.5</v>
      </c>
      <c r="L240" s="92">
        <f>Tableau1[[#This Row],[Coût
péda.]]</f>
        <v>53</v>
      </c>
      <c r="M240" s="284" t="str">
        <f>Tableau1[[#This Row],[Dispositif
(Plan / DIF)]]</f>
        <v>Plan</v>
      </c>
      <c r="N240" s="284" t="str">
        <f>Tableau1[[#This Row],[Axe
  (note cadrage)]]</f>
        <v>Formation obligatoire</v>
      </c>
      <c r="O240" s="285">
        <f>Tableau1[[#This Row],[Validation
(Oui/Non)]]</f>
        <v>0</v>
      </c>
      <c r="P240" s="287" t="str">
        <f>Tableau1[[#This Row],[Calendrier
de réalisation]]</f>
        <v>2019-Q1</v>
      </c>
      <c r="Q240" s="284"/>
      <c r="S240" s="286" t="str">
        <f>IFERROR(VLOOKUP('Plan 2019 consolidé'!$E240,Tableau5[],COLUMN(Tableau5[[#This Row],[Sexe2]]),FALSE),"")</f>
        <v/>
      </c>
      <c r="W240" s="286" t="str">
        <f>IFERROR(VLOOKUP('Plan 2019 consolidé'!$E240,Tableau5[],COLUMN(Tableau5[[#This Row],[Age]]),FALSE),"")</f>
        <v/>
      </c>
      <c r="X240" s="286" t="str">
        <f>IFERROR(VLOOKUP('Plan 2019 consolidé'!$E240,Tableau5[],COLUMN(Tableau5[[#This Row],[Nombre d''années d''ancienneté dans la société]]),FALSE),"")</f>
        <v/>
      </c>
    </row>
    <row r="241" spans="1:24" x14ac:dyDescent="0.25">
      <c r="A241" s="284" t="str">
        <f>Tableau1[[#This Row],[Service]]</f>
        <v>Non DVC</v>
      </c>
      <c r="B241" s="284" t="str">
        <f>Tableau1[[#This Row],[Site]]</f>
        <v>STG</v>
      </c>
      <c r="C241" s="284" t="str">
        <f>Tableau1[[#This Row],[Manager]]</f>
        <v>FOUASSIER</v>
      </c>
      <c r="D241" s="284">
        <f>Tableau1[[#This Row],[Matricule]]</f>
        <v>104709</v>
      </c>
      <c r="E241" s="284" t="str">
        <f>Tableau1[[#This Row],[Nom]]</f>
        <v>NURY</v>
      </c>
      <c r="F241" s="284" t="str">
        <f>Tableau1[[#This Row],[Prénom]]</f>
        <v>Ghislaine</v>
      </c>
      <c r="G241" s="284" t="str">
        <f>Tableau1[[#This Row],[Axe
(Filières)]]</f>
        <v>Sécurité</v>
      </c>
      <c r="H241" s="284" t="str">
        <f>Tableau1[[#This Row],[Intitulé]]</f>
        <v>Risques chimiques</v>
      </c>
      <c r="I241" s="284">
        <f>Tableau1[[#This Row],[Priorité
mger]]</f>
        <v>0</v>
      </c>
      <c r="J241" s="284" t="str">
        <f>Tableau1[[#This Row],[Organisme]]</f>
        <v>APAVE</v>
      </c>
      <c r="K241" s="284">
        <f>Tableau1[[#This Row],[Durée
H]]</f>
        <v>7</v>
      </c>
      <c r="L241" s="92">
        <f>Tableau1[[#This Row],[Coût
péda.]]</f>
        <v>162</v>
      </c>
      <c r="M241" s="284" t="str">
        <f>Tableau1[[#This Row],[Dispositif
(Plan / DIF)]]</f>
        <v>Plan</v>
      </c>
      <c r="N241" s="284" t="str">
        <f>Tableau1[[#This Row],[Axe
  (note cadrage)]]</f>
        <v>Formation obligatoire</v>
      </c>
      <c r="O241" s="285">
        <f>Tableau1[[#This Row],[Validation
(Oui/Non)]]</f>
        <v>0</v>
      </c>
      <c r="P241" s="287" t="str">
        <f>Tableau1[[#This Row],[Calendrier
de réalisation]]</f>
        <v>2019-Q1</v>
      </c>
      <c r="Q241" s="284"/>
      <c r="S241" s="286" t="str">
        <f>IFERROR(VLOOKUP('Plan 2019 consolidé'!$E241,Tableau5[],COLUMN(Tableau5[[#This Row],[Sexe2]]),FALSE),"")</f>
        <v/>
      </c>
      <c r="W241" s="286" t="str">
        <f>IFERROR(VLOOKUP('Plan 2019 consolidé'!$E241,Tableau5[],COLUMN(Tableau5[[#This Row],[Age]]),FALSE),"")</f>
        <v/>
      </c>
      <c r="X241" s="286" t="str">
        <f>IFERROR(VLOOKUP('Plan 2019 consolidé'!$E241,Tableau5[],COLUMN(Tableau5[[#This Row],[Nombre d''années d''ancienneté dans la société]]),FALSE),"")</f>
        <v/>
      </c>
    </row>
    <row r="242" spans="1:24" x14ac:dyDescent="0.25">
      <c r="A242" s="284" t="str">
        <f>Tableau1[[#This Row],[Service]]</f>
        <v>DVC</v>
      </c>
      <c r="B242" s="284" t="str">
        <f>Tableau1[[#This Row],[Site]]</f>
        <v>STG</v>
      </c>
      <c r="C242" s="284" t="str">
        <f>Tableau1[[#This Row],[Manager]]</f>
        <v>XUEREB</v>
      </c>
      <c r="D242" s="284">
        <f>Tableau1[[#This Row],[Matricule]]</f>
        <v>10555327</v>
      </c>
      <c r="E242" s="284" t="str">
        <f>Tableau1[[#This Row],[Nom]]</f>
        <v>ORTUNO</v>
      </c>
      <c r="F242" s="284" t="str">
        <f>Tableau1[[#This Row],[Prénom]]</f>
        <v>Thomas</v>
      </c>
      <c r="G242" s="284" t="str">
        <f>Tableau1[[#This Row],[Axe
(Filières)]]</f>
        <v>Sécurité</v>
      </c>
      <c r="H242" s="284" t="str">
        <f>Tableau1[[#This Row],[Intitulé]]</f>
        <v>Gestes et postures</v>
      </c>
      <c r="I242" s="284">
        <f>Tableau1[[#This Row],[Priorité
mger]]</f>
        <v>0</v>
      </c>
      <c r="J242" s="284" t="str">
        <f>Tableau1[[#This Row],[Organisme]]</f>
        <v>APAVE</v>
      </c>
      <c r="K242" s="284">
        <f>Tableau1[[#This Row],[Durée
H]]</f>
        <v>7</v>
      </c>
      <c r="L242" s="92">
        <f>Tableau1[[#This Row],[Coût
péda.]]</f>
        <v>124</v>
      </c>
      <c r="M242" s="284" t="str">
        <f>Tableau1[[#This Row],[Dispositif
(Plan / DIF)]]</f>
        <v>Plan</v>
      </c>
      <c r="N242" s="284" t="str">
        <f>Tableau1[[#This Row],[Axe
  (note cadrage)]]</f>
        <v>Formation obligatoire</v>
      </c>
      <c r="O242" s="285">
        <f>Tableau1[[#This Row],[Validation
(Oui/Non)]]</f>
        <v>0</v>
      </c>
      <c r="P242" s="287">
        <f>Tableau1[[#This Row],[Calendrier
de réalisation]]</f>
        <v>0</v>
      </c>
      <c r="Q242" s="284"/>
      <c r="S242" s="286" t="str">
        <f>IFERROR(VLOOKUP('Plan 2019 consolidé'!$E242,Tableau5[],COLUMN(Tableau5[[#This Row],[Sexe2]]),FALSE),"")</f>
        <v/>
      </c>
      <c r="W242" s="286" t="str">
        <f>IFERROR(VLOOKUP('Plan 2019 consolidé'!$E242,Tableau5[],COLUMN(Tableau5[[#This Row],[Age]]),FALSE),"")</f>
        <v/>
      </c>
      <c r="X242" s="286" t="str">
        <f>IFERROR(VLOOKUP('Plan 2019 consolidé'!$E242,Tableau5[],COLUMN(Tableau5[[#This Row],[Nombre d''années d''ancienneté dans la société]]),FALSE),"")</f>
        <v/>
      </c>
    </row>
    <row r="243" spans="1:24" x14ac:dyDescent="0.25">
      <c r="A243" s="284" t="str">
        <f>Tableau1[[#This Row],[Service]]</f>
        <v>DVC</v>
      </c>
      <c r="B243" s="284" t="str">
        <f>Tableau1[[#This Row],[Site]]</f>
        <v>STG</v>
      </c>
      <c r="C243" s="284" t="str">
        <f>Tableau1[[#This Row],[Manager]]</f>
        <v>XUEREB</v>
      </c>
      <c r="D243" s="284">
        <f>Tableau1[[#This Row],[Matricule]]</f>
        <v>288949</v>
      </c>
      <c r="E243" s="284" t="str">
        <f>Tableau1[[#This Row],[Nom]]</f>
        <v>PATRAS</v>
      </c>
      <c r="F243" s="284" t="str">
        <f>Tableau1[[#This Row],[Prénom]]</f>
        <v>Lionel</v>
      </c>
      <c r="G243" s="284" t="str">
        <f>Tableau1[[#This Row],[Axe
(Filières)]]</f>
        <v>Sécurité</v>
      </c>
      <c r="H243" s="284" t="str">
        <f>Tableau1[[#This Row],[Intitulé]]</f>
        <v>Incendie</v>
      </c>
      <c r="I243" s="284">
        <f>Tableau1[[#This Row],[Priorité
mger]]</f>
        <v>0</v>
      </c>
      <c r="J243" s="284" t="str">
        <f>Tableau1[[#This Row],[Organisme]]</f>
        <v>APAVE</v>
      </c>
      <c r="K243" s="284">
        <f>Tableau1[[#This Row],[Durée
H]]</f>
        <v>1.5</v>
      </c>
      <c r="L243" s="92">
        <f>Tableau1[[#This Row],[Coût
péda.]]</f>
        <v>53</v>
      </c>
      <c r="M243" s="284" t="str">
        <f>Tableau1[[#This Row],[Dispositif
(Plan / DIF)]]</f>
        <v>Plan</v>
      </c>
      <c r="N243" s="284" t="str">
        <f>Tableau1[[#This Row],[Axe
  (note cadrage)]]</f>
        <v>Formation obligatoire</v>
      </c>
      <c r="O243" s="285">
        <f>Tableau1[[#This Row],[Validation
(Oui/Non)]]</f>
        <v>0</v>
      </c>
      <c r="P243" s="287">
        <f>Tableau1[[#This Row],[Calendrier
de réalisation]]</f>
        <v>0</v>
      </c>
      <c r="Q243" s="284"/>
      <c r="S243" s="286" t="str">
        <f>IFERROR(VLOOKUP('Plan 2019 consolidé'!$E243,Tableau5[],COLUMN(Tableau5[[#This Row],[Sexe2]]),FALSE),"")</f>
        <v/>
      </c>
      <c r="W243" s="286" t="str">
        <f>IFERROR(VLOOKUP('Plan 2019 consolidé'!$E243,Tableau5[],COLUMN(Tableau5[[#This Row],[Age]]),FALSE),"")</f>
        <v/>
      </c>
      <c r="X243" s="286" t="str">
        <f>IFERROR(VLOOKUP('Plan 2019 consolidé'!$E243,Tableau5[],COLUMN(Tableau5[[#This Row],[Nombre d''années d''ancienneté dans la société]]),FALSE),"")</f>
        <v/>
      </c>
    </row>
    <row r="244" spans="1:24" x14ac:dyDescent="0.25">
      <c r="A244" s="284" t="str">
        <f>Tableau1[[#This Row],[Service]]</f>
        <v>DVC</v>
      </c>
      <c r="B244" s="284" t="str">
        <f>Tableau1[[#This Row],[Site]]</f>
        <v>STG</v>
      </c>
      <c r="C244" s="284" t="str">
        <f>Tableau1[[#This Row],[Manager]]</f>
        <v>XUEREB</v>
      </c>
      <c r="D244" s="284">
        <f>Tableau1[[#This Row],[Matricule]]</f>
        <v>288949</v>
      </c>
      <c r="E244" s="284" t="str">
        <f>Tableau1[[#This Row],[Nom]]</f>
        <v>PATRAS</v>
      </c>
      <c r="F244" s="284" t="str">
        <f>Tableau1[[#This Row],[Prénom]]</f>
        <v>Lionel</v>
      </c>
      <c r="G244" s="284" t="str">
        <f>Tableau1[[#This Row],[Axe
(Filières)]]</f>
        <v>Sécurité</v>
      </c>
      <c r="H244" s="284" t="str">
        <f>Tableau1[[#This Row],[Intitulé]]</f>
        <v>Recyclage SST</v>
      </c>
      <c r="I244" s="284">
        <f>Tableau1[[#This Row],[Priorité
mger]]</f>
        <v>0</v>
      </c>
      <c r="J244" s="284" t="str">
        <f>Tableau1[[#This Row],[Organisme]]</f>
        <v>CFSP</v>
      </c>
      <c r="K244" s="284">
        <f>Tableau1[[#This Row],[Durée
H]]</f>
        <v>7</v>
      </c>
      <c r="L244" s="92">
        <f>Tableau1[[#This Row],[Coût
péda.]]</f>
        <v>117</v>
      </c>
      <c r="M244" s="284" t="str">
        <f>Tableau1[[#This Row],[Dispositif
(Plan / DIF)]]</f>
        <v>Plan</v>
      </c>
      <c r="N244" s="284" t="str">
        <f>Tableau1[[#This Row],[Axe
  (note cadrage)]]</f>
        <v>Formation obligatoire</v>
      </c>
      <c r="O244" s="285">
        <f>Tableau1[[#This Row],[Validation
(Oui/Non)]]</f>
        <v>0</v>
      </c>
      <c r="P244" s="287" t="str">
        <f>Tableau1[[#This Row],[Calendrier
de réalisation]]</f>
        <v/>
      </c>
      <c r="Q244" s="284"/>
      <c r="S244" s="286" t="str">
        <f>IFERROR(VLOOKUP('Plan 2019 consolidé'!$E244,Tableau5[],COLUMN(Tableau5[[#This Row],[Sexe2]]),FALSE),"")</f>
        <v/>
      </c>
      <c r="W244" s="286" t="str">
        <f>IFERROR(VLOOKUP('Plan 2019 consolidé'!$E244,Tableau5[],COLUMN(Tableau5[[#This Row],[Age]]),FALSE),"")</f>
        <v/>
      </c>
      <c r="X244" s="286" t="str">
        <f>IFERROR(VLOOKUP('Plan 2019 consolidé'!$E244,Tableau5[],COLUMN(Tableau5[[#This Row],[Nombre d''années d''ancienneté dans la société]]),FALSE),"")</f>
        <v/>
      </c>
    </row>
    <row r="245" spans="1:24" x14ac:dyDescent="0.25">
      <c r="A245" s="284" t="str">
        <f>Tableau1[[#This Row],[Service]]</f>
        <v>DVC</v>
      </c>
      <c r="B245" s="284" t="str">
        <f>Tableau1[[#This Row],[Site]]</f>
        <v>STG</v>
      </c>
      <c r="C245" s="284" t="str">
        <f>Tableau1[[#This Row],[Manager]]</f>
        <v>XUEREB</v>
      </c>
      <c r="D245" s="284">
        <f>Tableau1[[#This Row],[Matricule]]</f>
        <v>288949</v>
      </c>
      <c r="E245" s="284" t="str">
        <f>Tableau1[[#This Row],[Nom]]</f>
        <v>PATRAS</v>
      </c>
      <c r="F245" s="284" t="str">
        <f>Tableau1[[#This Row],[Prénom]]</f>
        <v>Lionel</v>
      </c>
      <c r="G245" s="284" t="str">
        <f>Tableau1[[#This Row],[Axe
(Filières)]]</f>
        <v>Sécurité</v>
      </c>
      <c r="H245" s="284" t="str">
        <f>Tableau1[[#This Row],[Intitulé]]</f>
        <v>HAB ELEC</v>
      </c>
      <c r="I245" s="284">
        <f>Tableau1[[#This Row],[Priorité
mger]]</f>
        <v>0</v>
      </c>
      <c r="J245" s="284" t="str">
        <f>Tableau1[[#This Row],[Organisme]]</f>
        <v>SEEF</v>
      </c>
      <c r="K245" s="284">
        <f>Tableau1[[#This Row],[Durée
H]]</f>
        <v>10.5</v>
      </c>
      <c r="L245" s="92">
        <f>Tableau1[[#This Row],[Coût
péda.]]</f>
        <v>260</v>
      </c>
      <c r="M245" s="284" t="str">
        <f>Tableau1[[#This Row],[Dispositif
(Plan / DIF)]]</f>
        <v>Plan</v>
      </c>
      <c r="N245" s="284" t="str">
        <f>Tableau1[[#This Row],[Axe
  (note cadrage)]]</f>
        <v>Formation obligatoire</v>
      </c>
      <c r="O245" s="285">
        <f>Tableau1[[#This Row],[Validation
(Oui/Non)]]</f>
        <v>0</v>
      </c>
      <c r="P245" s="287" t="str">
        <f>Tableau1[[#This Row],[Calendrier
de réalisation]]</f>
        <v/>
      </c>
      <c r="Q245" s="284"/>
      <c r="S245" s="286" t="str">
        <f>IFERROR(VLOOKUP('Plan 2019 consolidé'!$E245,Tableau5[],COLUMN(Tableau5[[#This Row],[Sexe2]]),FALSE),"")</f>
        <v/>
      </c>
      <c r="W245" s="286" t="str">
        <f>IFERROR(VLOOKUP('Plan 2019 consolidé'!$E245,Tableau5[],COLUMN(Tableau5[[#This Row],[Age]]),FALSE),"")</f>
        <v/>
      </c>
      <c r="X245" s="286" t="str">
        <f>IFERROR(VLOOKUP('Plan 2019 consolidé'!$E245,Tableau5[],COLUMN(Tableau5[[#This Row],[Nombre d''années d''ancienneté dans la société]]),FALSE),"")</f>
        <v/>
      </c>
    </row>
    <row r="246" spans="1:24" x14ac:dyDescent="0.25">
      <c r="A246" s="284" t="str">
        <f>Tableau1[[#This Row],[Service]]</f>
        <v>DVC</v>
      </c>
      <c r="B246" s="284" t="str">
        <f>Tableau1[[#This Row],[Site]]</f>
        <v>Aub.</v>
      </c>
      <c r="C246" s="284" t="str">
        <f>Tableau1[[#This Row],[Manager]]</f>
        <v>ALIX</v>
      </c>
      <c r="D246" s="284">
        <f>Tableau1[[#This Row],[Matricule]]</f>
        <v>102905</v>
      </c>
      <c r="E246" s="284" t="str">
        <f>Tableau1[[#This Row],[Nom]]</f>
        <v>PEREIRA</v>
      </c>
      <c r="F246" s="284" t="str">
        <f>Tableau1[[#This Row],[Prénom]]</f>
        <v>Eliseu</v>
      </c>
      <c r="G246" s="284" t="str">
        <f>Tableau1[[#This Row],[Axe
(Filières)]]</f>
        <v>Sécurité</v>
      </c>
      <c r="H246" s="284" t="str">
        <f>Tableau1[[#This Row],[Intitulé]]</f>
        <v>Incendie</v>
      </c>
      <c r="I246" s="284">
        <f>Tableau1[[#This Row],[Priorité
mger]]</f>
        <v>0</v>
      </c>
      <c r="J246" s="284" t="str">
        <f>Tableau1[[#This Row],[Organisme]]</f>
        <v>APAVE</v>
      </c>
      <c r="K246" s="284">
        <f>Tableau1[[#This Row],[Durée
H]]</f>
        <v>1.5</v>
      </c>
      <c r="L246" s="92">
        <f>Tableau1[[#This Row],[Coût
péda.]]</f>
        <v>53</v>
      </c>
      <c r="M246" s="284" t="str">
        <f>Tableau1[[#This Row],[Dispositif
(Plan / DIF)]]</f>
        <v>Plan</v>
      </c>
      <c r="N246" s="284" t="str">
        <f>Tableau1[[#This Row],[Axe
  (note cadrage)]]</f>
        <v>Formation obligatoire</v>
      </c>
      <c r="O246" s="285">
        <f>Tableau1[[#This Row],[Validation
(Oui/Non)]]</f>
        <v>0</v>
      </c>
      <c r="P246" s="287" t="str">
        <f>Tableau1[[#This Row],[Calendrier
de réalisation]]</f>
        <v>2019-Q2</v>
      </c>
      <c r="Q246" s="284"/>
      <c r="S246" s="286" t="str">
        <f>IFERROR(VLOOKUP('Plan 2019 consolidé'!$E246,Tableau5[],COLUMN(Tableau5[[#This Row],[Sexe2]]),FALSE),"")</f>
        <v/>
      </c>
      <c r="W246" s="286" t="str">
        <f>IFERROR(VLOOKUP('Plan 2019 consolidé'!$E246,Tableau5[],COLUMN(Tableau5[[#This Row],[Age]]),FALSE),"")</f>
        <v/>
      </c>
      <c r="X246" s="286" t="str">
        <f>IFERROR(VLOOKUP('Plan 2019 consolidé'!$E246,Tableau5[],COLUMN(Tableau5[[#This Row],[Nombre d''années d''ancienneté dans la société]]),FALSE),"")</f>
        <v/>
      </c>
    </row>
    <row r="247" spans="1:24" x14ac:dyDescent="0.25">
      <c r="A247" s="284" t="str">
        <f>Tableau1[[#This Row],[Service]]</f>
        <v>DVC</v>
      </c>
      <c r="B247" s="284" t="str">
        <f>Tableau1[[#This Row],[Site]]</f>
        <v>Aub.</v>
      </c>
      <c r="C247" s="284" t="str">
        <f>Tableau1[[#This Row],[Manager]]</f>
        <v>SENEPART</v>
      </c>
      <c r="D247" s="284">
        <f>Tableau1[[#This Row],[Matricule]]</f>
        <v>103111</v>
      </c>
      <c r="E247" s="284" t="str">
        <f>Tableau1[[#This Row],[Nom]]</f>
        <v>PEYTIER</v>
      </c>
      <c r="F247" s="284" t="str">
        <f>Tableau1[[#This Row],[Prénom]]</f>
        <v>Nicolas</v>
      </c>
      <c r="G247" s="284" t="str">
        <f>Tableau1[[#This Row],[Axe
(Filières)]]</f>
        <v>Sécurité</v>
      </c>
      <c r="H247" s="284" t="str">
        <f>Tableau1[[#This Row],[Intitulé]]</f>
        <v>Incendie</v>
      </c>
      <c r="I247" s="284">
        <f>Tableau1[[#This Row],[Priorité
mger]]</f>
        <v>0</v>
      </c>
      <c r="J247" s="284" t="str">
        <f>Tableau1[[#This Row],[Organisme]]</f>
        <v>APAVE</v>
      </c>
      <c r="K247" s="284">
        <f>Tableau1[[#This Row],[Durée
H]]</f>
        <v>1.5</v>
      </c>
      <c r="L247" s="92">
        <f>Tableau1[[#This Row],[Coût
péda.]]</f>
        <v>53</v>
      </c>
      <c r="M247" s="284" t="str">
        <f>Tableau1[[#This Row],[Dispositif
(Plan / DIF)]]</f>
        <v>Plan</v>
      </c>
      <c r="N247" s="284" t="str">
        <f>Tableau1[[#This Row],[Axe
  (note cadrage)]]</f>
        <v>Formation obligatoire</v>
      </c>
      <c r="O247" s="285">
        <f>Tableau1[[#This Row],[Validation
(Oui/Non)]]</f>
        <v>0</v>
      </c>
      <c r="P247" s="287" t="str">
        <f>Tableau1[[#This Row],[Calendrier
de réalisation]]</f>
        <v>2019-Q2</v>
      </c>
      <c r="Q247" s="284"/>
      <c r="S247" s="286" t="str">
        <f>IFERROR(VLOOKUP('Plan 2019 consolidé'!$E247,Tableau5[],COLUMN(Tableau5[[#This Row],[Sexe2]]),FALSE),"")</f>
        <v/>
      </c>
      <c r="W247" s="286" t="str">
        <f>IFERROR(VLOOKUP('Plan 2019 consolidé'!$E247,Tableau5[],COLUMN(Tableau5[[#This Row],[Age]]),FALSE),"")</f>
        <v/>
      </c>
      <c r="X247" s="286" t="str">
        <f>IFERROR(VLOOKUP('Plan 2019 consolidé'!$E247,Tableau5[],COLUMN(Tableau5[[#This Row],[Nombre d''années d''ancienneté dans la société]]),FALSE),"")</f>
        <v/>
      </c>
    </row>
    <row r="248" spans="1:24" x14ac:dyDescent="0.25">
      <c r="A248" s="284" t="str">
        <f>Tableau1[[#This Row],[Service]]</f>
        <v>DVC</v>
      </c>
      <c r="B248" s="284" t="str">
        <f>Tableau1[[#This Row],[Site]]</f>
        <v>Aub.</v>
      </c>
      <c r="C248" s="284" t="str">
        <f>Tableau1[[#This Row],[Manager]]</f>
        <v>SENEPART</v>
      </c>
      <c r="D248" s="284">
        <f>Tableau1[[#This Row],[Matricule]]</f>
        <v>103111</v>
      </c>
      <c r="E248" s="284" t="str">
        <f>Tableau1[[#This Row],[Nom]]</f>
        <v>PEYTIER</v>
      </c>
      <c r="F248" s="284" t="str">
        <f>Tableau1[[#This Row],[Prénom]]</f>
        <v>Nicolas</v>
      </c>
      <c r="G248" s="284" t="str">
        <f>Tableau1[[#This Row],[Axe
(Filières)]]</f>
        <v>Sécurité</v>
      </c>
      <c r="H248" s="284" t="str">
        <f>Tableau1[[#This Row],[Intitulé]]</f>
        <v>Risques chimiques</v>
      </c>
      <c r="I248" s="284">
        <f>Tableau1[[#This Row],[Priorité
mger]]</f>
        <v>0</v>
      </c>
      <c r="J248" s="284" t="str">
        <f>Tableau1[[#This Row],[Organisme]]</f>
        <v>APAVE</v>
      </c>
      <c r="K248" s="284">
        <f>Tableau1[[#This Row],[Durée
H]]</f>
        <v>7</v>
      </c>
      <c r="L248" s="92">
        <f>Tableau1[[#This Row],[Coût
péda.]]</f>
        <v>162</v>
      </c>
      <c r="M248" s="284" t="str">
        <f>Tableau1[[#This Row],[Dispositif
(Plan / DIF)]]</f>
        <v>Plan</v>
      </c>
      <c r="N248" s="284" t="str">
        <f>Tableau1[[#This Row],[Axe
  (note cadrage)]]</f>
        <v>Formation obligatoire</v>
      </c>
      <c r="O248" s="285">
        <f>Tableau1[[#This Row],[Validation
(Oui/Non)]]</f>
        <v>0</v>
      </c>
      <c r="P248" s="287" t="str">
        <f>Tableau1[[#This Row],[Calendrier
de réalisation]]</f>
        <v>2019-Q4</v>
      </c>
      <c r="Q248" s="284"/>
      <c r="S248" s="286" t="str">
        <f>IFERROR(VLOOKUP('Plan 2019 consolidé'!$E248,Tableau5[],COLUMN(Tableau5[[#This Row],[Sexe2]]),FALSE),"")</f>
        <v/>
      </c>
      <c r="W248" s="286" t="str">
        <f>IFERROR(VLOOKUP('Plan 2019 consolidé'!$E248,Tableau5[],COLUMN(Tableau5[[#This Row],[Age]]),FALSE),"")</f>
        <v/>
      </c>
      <c r="X248" s="286" t="str">
        <f>IFERROR(VLOOKUP('Plan 2019 consolidé'!$E248,Tableau5[],COLUMN(Tableau5[[#This Row],[Nombre d''années d''ancienneté dans la société]]),FALSE),"")</f>
        <v/>
      </c>
    </row>
    <row r="249" spans="1:24" x14ac:dyDescent="0.25">
      <c r="A249" s="284" t="str">
        <f>Tableau1[[#This Row],[Service]]</f>
        <v>Non DVC</v>
      </c>
      <c r="B249" s="284" t="str">
        <f>Tableau1[[#This Row],[Site]]</f>
        <v>Aub.</v>
      </c>
      <c r="C249" s="284" t="str">
        <f>Tableau1[[#This Row],[Manager]]</f>
        <v>DARDARE</v>
      </c>
      <c r="D249" s="284">
        <f>Tableau1[[#This Row],[Matricule]]</f>
        <v>103076</v>
      </c>
      <c r="E249" s="284" t="str">
        <f>Tableau1[[#This Row],[Nom]]</f>
        <v>PICOLLET</v>
      </c>
      <c r="F249" s="284" t="str">
        <f>Tableau1[[#This Row],[Prénom]]</f>
        <v>Thierry</v>
      </c>
      <c r="G249" s="284" t="str">
        <f>Tableau1[[#This Row],[Axe
(Filières)]]</f>
        <v>Sécurité</v>
      </c>
      <c r="H249" s="284" t="str">
        <f>Tableau1[[#This Row],[Intitulé]]</f>
        <v>Incendie</v>
      </c>
      <c r="I249" s="284">
        <f>Tableau1[[#This Row],[Priorité
mger]]</f>
        <v>0</v>
      </c>
      <c r="J249" s="284" t="str">
        <f>Tableau1[[#This Row],[Organisme]]</f>
        <v>APAVE</v>
      </c>
      <c r="K249" s="284">
        <f>Tableau1[[#This Row],[Durée
H]]</f>
        <v>1.5</v>
      </c>
      <c r="L249" s="92">
        <f>Tableau1[[#This Row],[Coût
péda.]]</f>
        <v>53</v>
      </c>
      <c r="M249" s="284" t="str">
        <f>Tableau1[[#This Row],[Dispositif
(Plan / DIF)]]</f>
        <v>Plan</v>
      </c>
      <c r="N249" s="284" t="str">
        <f>Tableau1[[#This Row],[Axe
  (note cadrage)]]</f>
        <v>Formation obligatoire</v>
      </c>
      <c r="O249" s="285">
        <f>Tableau1[[#This Row],[Validation
(Oui/Non)]]</f>
        <v>0</v>
      </c>
      <c r="P249" s="287" t="str">
        <f>Tableau1[[#This Row],[Calendrier
de réalisation]]</f>
        <v>2019-Q2</v>
      </c>
      <c r="Q249" s="284"/>
      <c r="S249" s="286" t="str">
        <f>IFERROR(VLOOKUP('Plan 2019 consolidé'!$E249,Tableau5[],COLUMN(Tableau5[[#This Row],[Sexe2]]),FALSE),"")</f>
        <v/>
      </c>
      <c r="W249" s="286" t="str">
        <f>IFERROR(VLOOKUP('Plan 2019 consolidé'!$E249,Tableau5[],COLUMN(Tableau5[[#This Row],[Age]]),FALSE),"")</f>
        <v/>
      </c>
      <c r="X249" s="286" t="str">
        <f>IFERROR(VLOOKUP('Plan 2019 consolidé'!$E249,Tableau5[],COLUMN(Tableau5[[#This Row],[Nombre d''années d''ancienneté dans la société]]),FALSE),"")</f>
        <v/>
      </c>
    </row>
    <row r="250" spans="1:24" x14ac:dyDescent="0.25">
      <c r="A250" s="284" t="str">
        <f>Tableau1[[#This Row],[Service]]</f>
        <v>Non DVC</v>
      </c>
      <c r="B250" s="284" t="str">
        <f>Tableau1[[#This Row],[Site]]</f>
        <v>Aub.</v>
      </c>
      <c r="C250" s="284" t="str">
        <f>Tableau1[[#This Row],[Manager]]</f>
        <v>DARDARE</v>
      </c>
      <c r="D250" s="284">
        <f>Tableau1[[#This Row],[Matricule]]</f>
        <v>103076</v>
      </c>
      <c r="E250" s="284" t="str">
        <f>Tableau1[[#This Row],[Nom]]</f>
        <v>PICOLLET</v>
      </c>
      <c r="F250" s="284" t="str">
        <f>Tableau1[[#This Row],[Prénom]]</f>
        <v>Thierry</v>
      </c>
      <c r="G250" s="284" t="str">
        <f>Tableau1[[#This Row],[Axe
(Filières)]]</f>
        <v>Sécurité</v>
      </c>
      <c r="H250" s="284" t="str">
        <f>Tableau1[[#This Row],[Intitulé]]</f>
        <v>Risques chimiques</v>
      </c>
      <c r="I250" s="284">
        <f>Tableau1[[#This Row],[Priorité
mger]]</f>
        <v>0</v>
      </c>
      <c r="J250" s="284" t="str">
        <f>Tableau1[[#This Row],[Organisme]]</f>
        <v>APAVE</v>
      </c>
      <c r="K250" s="284">
        <f>Tableau1[[#This Row],[Durée
H]]</f>
        <v>7</v>
      </c>
      <c r="L250" s="92">
        <f>Tableau1[[#This Row],[Coût
péda.]]</f>
        <v>162</v>
      </c>
      <c r="M250" s="284" t="str">
        <f>Tableau1[[#This Row],[Dispositif
(Plan / DIF)]]</f>
        <v>Plan</v>
      </c>
      <c r="N250" s="284" t="str">
        <f>Tableau1[[#This Row],[Axe
  (note cadrage)]]</f>
        <v>Formation obligatoire</v>
      </c>
      <c r="O250" s="285">
        <f>Tableau1[[#This Row],[Validation
(Oui/Non)]]</f>
        <v>0</v>
      </c>
      <c r="P250" s="287" t="str">
        <f>Tableau1[[#This Row],[Calendrier
de réalisation]]</f>
        <v>2019-Q1</v>
      </c>
      <c r="Q250" s="284"/>
      <c r="S250" s="286" t="str">
        <f>IFERROR(VLOOKUP('Plan 2019 consolidé'!$E250,Tableau5[],COLUMN(Tableau5[[#This Row],[Sexe2]]),FALSE),"")</f>
        <v/>
      </c>
      <c r="W250" s="286" t="str">
        <f>IFERROR(VLOOKUP('Plan 2019 consolidé'!$E250,Tableau5[],COLUMN(Tableau5[[#This Row],[Age]]),FALSE),"")</f>
        <v/>
      </c>
      <c r="X250" s="286" t="str">
        <f>IFERROR(VLOOKUP('Plan 2019 consolidé'!$E250,Tableau5[],COLUMN(Tableau5[[#This Row],[Nombre d''années d''ancienneté dans la société]]),FALSE),"")</f>
        <v/>
      </c>
    </row>
    <row r="251" spans="1:24" x14ac:dyDescent="0.25">
      <c r="A251" s="284" t="str">
        <f>Tableau1[[#This Row],[Service]]</f>
        <v>Non DVC</v>
      </c>
      <c r="B251" s="284" t="str">
        <f>Tableau1[[#This Row],[Site]]</f>
        <v>Aub.</v>
      </c>
      <c r="C251" s="284" t="str">
        <f>Tableau1[[#This Row],[Manager]]</f>
        <v>DARDARE</v>
      </c>
      <c r="D251" s="284">
        <f>Tableau1[[#This Row],[Matricule]]</f>
        <v>103076</v>
      </c>
      <c r="E251" s="284" t="str">
        <f>Tableau1[[#This Row],[Nom]]</f>
        <v>PICOLLET</v>
      </c>
      <c r="F251" s="284" t="str">
        <f>Tableau1[[#This Row],[Prénom]]</f>
        <v>Thierry</v>
      </c>
      <c r="G251" s="284" t="str">
        <f>Tableau1[[#This Row],[Axe
(Filières)]]</f>
        <v>Sécurité</v>
      </c>
      <c r="H251" s="284" t="str">
        <f>Tableau1[[#This Row],[Intitulé]]</f>
        <v>Recyclage SST</v>
      </c>
      <c r="I251" s="284">
        <f>Tableau1[[#This Row],[Priorité
mger]]</f>
        <v>0</v>
      </c>
      <c r="J251" s="284" t="str">
        <f>Tableau1[[#This Row],[Organisme]]</f>
        <v>CFSP</v>
      </c>
      <c r="K251" s="284">
        <f>Tableau1[[#This Row],[Durée
H]]</f>
        <v>7</v>
      </c>
      <c r="L251" s="92">
        <f>Tableau1[[#This Row],[Coût
péda.]]</f>
        <v>117</v>
      </c>
      <c r="M251" s="284" t="str">
        <f>Tableau1[[#This Row],[Dispositif
(Plan / DIF)]]</f>
        <v>Plan</v>
      </c>
      <c r="N251" s="284" t="str">
        <f>Tableau1[[#This Row],[Axe
  (note cadrage)]]</f>
        <v>Formation obligatoire</v>
      </c>
      <c r="O251" s="285">
        <f>Tableau1[[#This Row],[Validation
(Oui/Non)]]</f>
        <v>0</v>
      </c>
      <c r="P251" s="287" t="str">
        <f>Tableau1[[#This Row],[Calendrier
de réalisation]]</f>
        <v/>
      </c>
      <c r="Q251" s="284"/>
      <c r="S251" s="286" t="str">
        <f>IFERROR(VLOOKUP('Plan 2019 consolidé'!$E251,Tableau5[],COLUMN(Tableau5[[#This Row],[Sexe2]]),FALSE),"")</f>
        <v/>
      </c>
      <c r="W251" s="286" t="str">
        <f>IFERROR(VLOOKUP('Plan 2019 consolidé'!$E251,Tableau5[],COLUMN(Tableau5[[#This Row],[Age]]),FALSE),"")</f>
        <v/>
      </c>
      <c r="X251" s="286" t="str">
        <f>IFERROR(VLOOKUP('Plan 2019 consolidé'!$E251,Tableau5[],COLUMN(Tableau5[[#This Row],[Nombre d''années d''ancienneté dans la société]]),FALSE),"")</f>
        <v/>
      </c>
    </row>
    <row r="252" spans="1:24" x14ac:dyDescent="0.25">
      <c r="A252" s="284" t="str">
        <f>Tableau1[[#This Row],[Service]]</f>
        <v>DVC</v>
      </c>
      <c r="B252" s="284" t="str">
        <f>Tableau1[[#This Row],[Site]]</f>
        <v>Aub.</v>
      </c>
      <c r="C252" s="284" t="str">
        <f>Tableau1[[#This Row],[Manager]]</f>
        <v>ALIX</v>
      </c>
      <c r="D252" s="284">
        <f>Tableau1[[#This Row],[Matricule]]</f>
        <v>103030</v>
      </c>
      <c r="E252" s="284" t="str">
        <f>Tableau1[[#This Row],[Nom]]</f>
        <v>PIQ</v>
      </c>
      <c r="F252" s="284" t="str">
        <f>Tableau1[[#This Row],[Prénom]]</f>
        <v>Stephane</v>
      </c>
      <c r="G252" s="284" t="str">
        <f>Tableau1[[#This Row],[Axe
(Filières)]]</f>
        <v>Sécurité</v>
      </c>
      <c r="H252" s="284" t="str">
        <f>Tableau1[[#This Row],[Intitulé]]</f>
        <v>Incendie</v>
      </c>
      <c r="I252" s="284">
        <f>Tableau1[[#This Row],[Priorité
mger]]</f>
        <v>0</v>
      </c>
      <c r="J252" s="284" t="str">
        <f>Tableau1[[#This Row],[Organisme]]</f>
        <v>APAVE</v>
      </c>
      <c r="K252" s="284">
        <f>Tableau1[[#This Row],[Durée
H]]</f>
        <v>1.5</v>
      </c>
      <c r="L252" s="92">
        <f>Tableau1[[#This Row],[Coût
péda.]]</f>
        <v>53</v>
      </c>
      <c r="M252" s="284" t="str">
        <f>Tableau1[[#This Row],[Dispositif
(Plan / DIF)]]</f>
        <v>Plan</v>
      </c>
      <c r="N252" s="284" t="str">
        <f>Tableau1[[#This Row],[Axe
  (note cadrage)]]</f>
        <v>Formation obligatoire</v>
      </c>
      <c r="O252" s="285">
        <f>Tableau1[[#This Row],[Validation
(Oui/Non)]]</f>
        <v>0</v>
      </c>
      <c r="P252" s="287" t="str">
        <f>Tableau1[[#This Row],[Calendrier
de réalisation]]</f>
        <v>2019-Q2</v>
      </c>
      <c r="Q252" s="284"/>
      <c r="S252" s="286" t="str">
        <f>IFERROR(VLOOKUP('Plan 2019 consolidé'!$E252,Tableau5[],COLUMN(Tableau5[[#This Row],[Sexe2]]),FALSE),"")</f>
        <v/>
      </c>
      <c r="W252" s="286" t="str">
        <f>IFERROR(VLOOKUP('Plan 2019 consolidé'!$E252,Tableau5[],COLUMN(Tableau5[[#This Row],[Age]]),FALSE),"")</f>
        <v/>
      </c>
      <c r="X252" s="286" t="str">
        <f>IFERROR(VLOOKUP('Plan 2019 consolidé'!$E252,Tableau5[],COLUMN(Tableau5[[#This Row],[Nombre d''années d''ancienneté dans la société]]),FALSE),"")</f>
        <v/>
      </c>
    </row>
    <row r="253" spans="1:24" x14ac:dyDescent="0.25">
      <c r="A253" s="284" t="str">
        <f>Tableau1[[#This Row],[Service]]</f>
        <v>DVC</v>
      </c>
      <c r="B253" s="284" t="str">
        <f>Tableau1[[#This Row],[Site]]</f>
        <v>Lattes</v>
      </c>
      <c r="C253" s="284" t="str">
        <f>Tableau1[[#This Row],[Manager]]</f>
        <v>VERNE</v>
      </c>
      <c r="D253" s="284">
        <f>Tableau1[[#This Row],[Matricule]]</f>
        <v>68323</v>
      </c>
      <c r="E253" s="284" t="str">
        <f>Tableau1[[#This Row],[Nom]]</f>
        <v>POINT</v>
      </c>
      <c r="F253" s="284" t="str">
        <f>Tableau1[[#This Row],[Prénom]]</f>
        <v>Laurence</v>
      </c>
      <c r="G253" s="284" t="str">
        <f>Tableau1[[#This Row],[Axe
(Filières)]]</f>
        <v>Sécurité</v>
      </c>
      <c r="H253" s="284" t="str">
        <f>Tableau1[[#This Row],[Intitulé]]</f>
        <v>Gestes et postures</v>
      </c>
      <c r="I253" s="284">
        <f>Tableau1[[#This Row],[Priorité
mger]]</f>
        <v>0</v>
      </c>
      <c r="J253" s="284" t="str">
        <f>Tableau1[[#This Row],[Organisme]]</f>
        <v>APAVE</v>
      </c>
      <c r="K253" s="284">
        <f>Tableau1[[#This Row],[Durée
H]]</f>
        <v>7</v>
      </c>
      <c r="L253" s="92">
        <f>Tableau1[[#This Row],[Coût
péda.]]</f>
        <v>124</v>
      </c>
      <c r="M253" s="284" t="str">
        <f>Tableau1[[#This Row],[Dispositif
(Plan / DIF)]]</f>
        <v>Plan</v>
      </c>
      <c r="N253" s="284" t="str">
        <f>Tableau1[[#This Row],[Axe
  (note cadrage)]]</f>
        <v>Formation obligatoire</v>
      </c>
      <c r="O253" s="285">
        <f>Tableau1[[#This Row],[Validation
(Oui/Non)]]</f>
        <v>0</v>
      </c>
      <c r="P253" s="287" t="str">
        <f>Tableau1[[#This Row],[Calendrier
de réalisation]]</f>
        <v>2019-Q3</v>
      </c>
      <c r="Q253" s="284"/>
      <c r="S253" s="286" t="str">
        <f>IFERROR(VLOOKUP('Plan 2019 consolidé'!$E253,Tableau5[],COLUMN(Tableau5[[#This Row],[Sexe2]]),FALSE),"")</f>
        <v/>
      </c>
      <c r="W253" s="286" t="str">
        <f>IFERROR(VLOOKUP('Plan 2019 consolidé'!$E253,Tableau5[],COLUMN(Tableau5[[#This Row],[Age]]),FALSE),"")</f>
        <v/>
      </c>
      <c r="X253" s="286" t="str">
        <f>IFERROR(VLOOKUP('Plan 2019 consolidé'!$E253,Tableau5[],COLUMN(Tableau5[[#This Row],[Nombre d''années d''ancienneté dans la société]]),FALSE),"")</f>
        <v/>
      </c>
    </row>
    <row r="254" spans="1:24" x14ac:dyDescent="0.25">
      <c r="A254" s="284" t="str">
        <f>Tableau1[[#This Row],[Service]]</f>
        <v>DVC</v>
      </c>
      <c r="B254" s="284" t="str">
        <f>Tableau1[[#This Row],[Site]]</f>
        <v>Aub.</v>
      </c>
      <c r="C254" s="284" t="str">
        <f>Tableau1[[#This Row],[Manager]]</f>
        <v>HAON</v>
      </c>
      <c r="D254" s="284">
        <f>Tableau1[[#This Row],[Matricule]]</f>
        <v>103116</v>
      </c>
      <c r="E254" s="284" t="str">
        <f>Tableau1[[#This Row],[Nom]]</f>
        <v>PONTAL</v>
      </c>
      <c r="F254" s="284" t="str">
        <f>Tableau1[[#This Row],[Prénom]]</f>
        <v>Claude</v>
      </c>
      <c r="G254" s="284" t="str">
        <f>Tableau1[[#This Row],[Axe
(Filières)]]</f>
        <v>Sécurité</v>
      </c>
      <c r="H254" s="284" t="str">
        <f>Tableau1[[#This Row],[Intitulé]]</f>
        <v>Incendie</v>
      </c>
      <c r="I254" s="284">
        <f>Tableau1[[#This Row],[Priorité
mger]]</f>
        <v>0</v>
      </c>
      <c r="J254" s="284" t="str">
        <f>Tableau1[[#This Row],[Organisme]]</f>
        <v>APAVE</v>
      </c>
      <c r="K254" s="284">
        <f>Tableau1[[#This Row],[Durée
H]]</f>
        <v>1.5</v>
      </c>
      <c r="L254" s="92">
        <f>Tableau1[[#This Row],[Coût
péda.]]</f>
        <v>53</v>
      </c>
      <c r="M254" s="284" t="str">
        <f>Tableau1[[#This Row],[Dispositif
(Plan / DIF)]]</f>
        <v>Plan</v>
      </c>
      <c r="N254" s="284" t="str">
        <f>Tableau1[[#This Row],[Axe
  (note cadrage)]]</f>
        <v>Formation obligatoire</v>
      </c>
      <c r="O254" s="285">
        <f>Tableau1[[#This Row],[Validation
(Oui/Non)]]</f>
        <v>0</v>
      </c>
      <c r="P254" s="287" t="str">
        <f>Tableau1[[#This Row],[Calendrier
de réalisation]]</f>
        <v>2019-Q2</v>
      </c>
      <c r="Q254" s="284"/>
      <c r="S254" s="286" t="str">
        <f>IFERROR(VLOOKUP('Plan 2019 consolidé'!$E254,Tableau5[],COLUMN(Tableau5[[#This Row],[Sexe2]]),FALSE),"")</f>
        <v/>
      </c>
      <c r="W254" s="286" t="str">
        <f>IFERROR(VLOOKUP('Plan 2019 consolidé'!$E254,Tableau5[],COLUMN(Tableau5[[#This Row],[Age]]),FALSE),"")</f>
        <v/>
      </c>
      <c r="X254" s="286" t="str">
        <f>IFERROR(VLOOKUP('Plan 2019 consolidé'!$E254,Tableau5[],COLUMN(Tableau5[[#This Row],[Nombre d''années d''ancienneté dans la société]]),FALSE),"")</f>
        <v/>
      </c>
    </row>
    <row r="255" spans="1:24" x14ac:dyDescent="0.25">
      <c r="A255" s="284" t="str">
        <f>Tableau1[[#This Row],[Service]]</f>
        <v>DVC</v>
      </c>
      <c r="B255" s="284" t="str">
        <f>Tableau1[[#This Row],[Site]]</f>
        <v>Aub.</v>
      </c>
      <c r="C255" s="284" t="str">
        <f>Tableau1[[#This Row],[Manager]]</f>
        <v>SENEPART</v>
      </c>
      <c r="D255" s="284">
        <f>Tableau1[[#This Row],[Matricule]]</f>
        <v>102930</v>
      </c>
      <c r="E255" s="284" t="str">
        <f>Tableau1[[#This Row],[Nom]]</f>
        <v>POUGET</v>
      </c>
      <c r="F255" s="284" t="str">
        <f>Tableau1[[#This Row],[Prénom]]</f>
        <v>Laurent</v>
      </c>
      <c r="G255" s="284" t="str">
        <f>Tableau1[[#This Row],[Axe
(Filières)]]</f>
        <v>Sécurité</v>
      </c>
      <c r="H255" s="284" t="str">
        <f>Tableau1[[#This Row],[Intitulé]]</f>
        <v>Incendie</v>
      </c>
      <c r="I255" s="284">
        <f>Tableau1[[#This Row],[Priorité
mger]]</f>
        <v>0</v>
      </c>
      <c r="J255" s="284" t="str">
        <f>Tableau1[[#This Row],[Organisme]]</f>
        <v>APAVE</v>
      </c>
      <c r="K255" s="284">
        <f>Tableau1[[#This Row],[Durée
H]]</f>
        <v>1.5</v>
      </c>
      <c r="L255" s="92">
        <f>Tableau1[[#This Row],[Coût
péda.]]</f>
        <v>53</v>
      </c>
      <c r="M255" s="284" t="str">
        <f>Tableau1[[#This Row],[Dispositif
(Plan / DIF)]]</f>
        <v>Plan</v>
      </c>
      <c r="N255" s="284" t="str">
        <f>Tableau1[[#This Row],[Axe
  (note cadrage)]]</f>
        <v>Formation obligatoire</v>
      </c>
      <c r="O255" s="285">
        <f>Tableau1[[#This Row],[Validation
(Oui/Non)]]</f>
        <v>0</v>
      </c>
      <c r="P255" s="287" t="str">
        <f>Tableau1[[#This Row],[Calendrier
de réalisation]]</f>
        <v>2019-Q2</v>
      </c>
      <c r="Q255" s="284"/>
      <c r="S255" s="286" t="str">
        <f>IFERROR(VLOOKUP('Plan 2019 consolidé'!$E255,Tableau5[],COLUMN(Tableau5[[#This Row],[Sexe2]]),FALSE),"")</f>
        <v/>
      </c>
      <c r="W255" s="286" t="str">
        <f>IFERROR(VLOOKUP('Plan 2019 consolidé'!$E255,Tableau5[],COLUMN(Tableau5[[#This Row],[Age]]),FALSE),"")</f>
        <v/>
      </c>
      <c r="X255" s="286" t="str">
        <f>IFERROR(VLOOKUP('Plan 2019 consolidé'!$E255,Tableau5[],COLUMN(Tableau5[[#This Row],[Nombre d''années d''ancienneté dans la société]]),FALSE),"")</f>
        <v/>
      </c>
    </row>
    <row r="256" spans="1:24" x14ac:dyDescent="0.25">
      <c r="A256" s="284" t="str">
        <f>Tableau1[[#This Row],[Service]]</f>
        <v>DVC</v>
      </c>
      <c r="B256" s="284" t="str">
        <f>Tableau1[[#This Row],[Site]]</f>
        <v>STG</v>
      </c>
      <c r="C256" s="284" t="str">
        <f>Tableau1[[#This Row],[Manager]]</f>
        <v>FOUASSIER</v>
      </c>
      <c r="D256" s="284">
        <f>Tableau1[[#This Row],[Matricule]]</f>
        <v>104668</v>
      </c>
      <c r="E256" s="284" t="str">
        <f>Tableau1[[#This Row],[Nom]]</f>
        <v>PRALONG</v>
      </c>
      <c r="F256" s="284" t="str">
        <f>Tableau1[[#This Row],[Prénom]]</f>
        <v>Nicolas</v>
      </c>
      <c r="G256" s="284" t="str">
        <f>Tableau1[[#This Row],[Axe
(Filières)]]</f>
        <v>Sécurité</v>
      </c>
      <c r="H256" s="284" t="str">
        <f>Tableau1[[#This Row],[Intitulé]]</f>
        <v>Incendie</v>
      </c>
      <c r="I256" s="284">
        <f>Tableau1[[#This Row],[Priorité
mger]]</f>
        <v>0</v>
      </c>
      <c r="J256" s="284" t="str">
        <f>Tableau1[[#This Row],[Organisme]]</f>
        <v>APAVE</v>
      </c>
      <c r="K256" s="284">
        <f>Tableau1[[#This Row],[Durée
H]]</f>
        <v>1.5</v>
      </c>
      <c r="L256" s="92">
        <f>Tableau1[[#This Row],[Coût
péda.]]</f>
        <v>53</v>
      </c>
      <c r="M256" s="284" t="str">
        <f>Tableau1[[#This Row],[Dispositif
(Plan / DIF)]]</f>
        <v>Plan</v>
      </c>
      <c r="N256" s="284" t="str">
        <f>Tableau1[[#This Row],[Axe
  (note cadrage)]]</f>
        <v>Formation obligatoire</v>
      </c>
      <c r="O256" s="285">
        <f>Tableau1[[#This Row],[Validation
(Oui/Non)]]</f>
        <v>0</v>
      </c>
      <c r="P256" s="287" t="str">
        <f>Tableau1[[#This Row],[Calendrier
de réalisation]]</f>
        <v>2019-Q1</v>
      </c>
      <c r="Q256" s="284"/>
      <c r="S256" s="286" t="str">
        <f>IFERROR(VLOOKUP('Plan 2019 consolidé'!$E256,Tableau5[],COLUMN(Tableau5[[#This Row],[Sexe2]]),FALSE),"")</f>
        <v/>
      </c>
      <c r="W256" s="286" t="str">
        <f>IFERROR(VLOOKUP('Plan 2019 consolidé'!$E256,Tableau5[],COLUMN(Tableau5[[#This Row],[Age]]),FALSE),"")</f>
        <v/>
      </c>
      <c r="X256" s="286" t="str">
        <f>IFERROR(VLOOKUP('Plan 2019 consolidé'!$E256,Tableau5[],COLUMN(Tableau5[[#This Row],[Nombre d''années d''ancienneté dans la société]]),FALSE),"")</f>
        <v/>
      </c>
    </row>
    <row r="257" spans="1:24" x14ac:dyDescent="0.25">
      <c r="A257" s="284" t="str">
        <f>Tableau1[[#This Row],[Service]]</f>
        <v>DVC</v>
      </c>
      <c r="B257" s="284" t="str">
        <f>Tableau1[[#This Row],[Site]]</f>
        <v>STG</v>
      </c>
      <c r="C257" s="284" t="str">
        <f>Tableau1[[#This Row],[Manager]]</f>
        <v>FOUASSIER</v>
      </c>
      <c r="D257" s="284">
        <f>Tableau1[[#This Row],[Matricule]]</f>
        <v>104668</v>
      </c>
      <c r="E257" s="284" t="str">
        <f>Tableau1[[#This Row],[Nom]]</f>
        <v>PRALONG</v>
      </c>
      <c r="F257" s="284" t="str">
        <f>Tableau1[[#This Row],[Prénom]]</f>
        <v>Nicolas</v>
      </c>
      <c r="G257" s="284" t="str">
        <f>Tableau1[[#This Row],[Axe
(Filières)]]</f>
        <v>Sécurité</v>
      </c>
      <c r="H257" s="284" t="str">
        <f>Tableau1[[#This Row],[Intitulé]]</f>
        <v>Recyclage CACES3</v>
      </c>
      <c r="I257" s="284">
        <f>Tableau1[[#This Row],[Priorité
mger]]</f>
        <v>0</v>
      </c>
      <c r="J257" s="284" t="str">
        <f>Tableau1[[#This Row],[Organisme]]</f>
        <v>APAVE</v>
      </c>
      <c r="K257" s="284">
        <f>Tableau1[[#This Row],[Durée
H]]</f>
        <v>14</v>
      </c>
      <c r="L257" s="92">
        <f>Tableau1[[#This Row],[Coût
péda.]]</f>
        <v>297</v>
      </c>
      <c r="M257" s="284" t="str">
        <f>Tableau1[[#This Row],[Dispositif
(Plan / DIF)]]</f>
        <v>Plan</v>
      </c>
      <c r="N257" s="284" t="str">
        <f>Tableau1[[#This Row],[Axe
  (note cadrage)]]</f>
        <v>Formation obligatoire</v>
      </c>
      <c r="O257" s="285">
        <f>Tableau1[[#This Row],[Validation
(Oui/Non)]]</f>
        <v>0</v>
      </c>
      <c r="P257" s="287" t="str">
        <f>Tableau1[[#This Row],[Calendrier
de réalisation]]</f>
        <v>2019-Q4</v>
      </c>
      <c r="Q257" s="284"/>
      <c r="S257" s="286" t="str">
        <f>IFERROR(VLOOKUP('Plan 2019 consolidé'!$E257,Tableau5[],COLUMN(Tableau5[[#This Row],[Sexe2]]),FALSE),"")</f>
        <v/>
      </c>
      <c r="W257" s="286" t="str">
        <f>IFERROR(VLOOKUP('Plan 2019 consolidé'!$E257,Tableau5[],COLUMN(Tableau5[[#This Row],[Age]]),FALSE),"")</f>
        <v/>
      </c>
      <c r="X257" s="286" t="str">
        <f>IFERROR(VLOOKUP('Plan 2019 consolidé'!$E257,Tableau5[],COLUMN(Tableau5[[#This Row],[Nombre d''années d''ancienneté dans la société]]),FALSE),"")</f>
        <v/>
      </c>
    </row>
    <row r="258" spans="1:24" x14ac:dyDescent="0.25">
      <c r="A258" s="284" t="str">
        <f>Tableau1[[#This Row],[Service]]</f>
        <v>DVC</v>
      </c>
      <c r="B258" s="284" t="str">
        <f>Tableau1[[#This Row],[Site]]</f>
        <v>Lattes</v>
      </c>
      <c r="C258" s="284" t="str">
        <f>Tableau1[[#This Row],[Manager]]</f>
        <v>VERNE</v>
      </c>
      <c r="D258" s="284">
        <f>Tableau1[[#This Row],[Matricule]]</f>
        <v>191549</v>
      </c>
      <c r="E258" s="284" t="str">
        <f>Tableau1[[#This Row],[Nom]]</f>
        <v>PRIEUR</v>
      </c>
      <c r="F258" s="284" t="str">
        <f>Tableau1[[#This Row],[Prénom]]</f>
        <v>Jean-Marc</v>
      </c>
      <c r="G258" s="284" t="str">
        <f>Tableau1[[#This Row],[Axe
(Filières)]]</f>
        <v>Sécurité</v>
      </c>
      <c r="H258" s="284" t="str">
        <f>Tableau1[[#This Row],[Intitulé]]</f>
        <v>Gestes et postures</v>
      </c>
      <c r="I258" s="284">
        <f>Tableau1[[#This Row],[Priorité
mger]]</f>
        <v>0</v>
      </c>
      <c r="J258" s="284" t="str">
        <f>Tableau1[[#This Row],[Organisme]]</f>
        <v>APAVE</v>
      </c>
      <c r="K258" s="284">
        <f>Tableau1[[#This Row],[Durée
H]]</f>
        <v>7</v>
      </c>
      <c r="L258" s="92">
        <f>Tableau1[[#This Row],[Coût
péda.]]</f>
        <v>124</v>
      </c>
      <c r="M258" s="284" t="str">
        <f>Tableau1[[#This Row],[Dispositif
(Plan / DIF)]]</f>
        <v>Plan</v>
      </c>
      <c r="N258" s="284" t="str">
        <f>Tableau1[[#This Row],[Axe
  (note cadrage)]]</f>
        <v>Formation obligatoire</v>
      </c>
      <c r="O258" s="285">
        <f>Tableau1[[#This Row],[Validation
(Oui/Non)]]</f>
        <v>0</v>
      </c>
      <c r="P258" s="287" t="str">
        <f>Tableau1[[#This Row],[Calendrier
de réalisation]]</f>
        <v>2019-Q3</v>
      </c>
      <c r="Q258" s="284"/>
      <c r="S258" s="286" t="str">
        <f>IFERROR(VLOOKUP('Plan 2019 consolidé'!$E258,Tableau5[],COLUMN(Tableau5[[#This Row],[Sexe2]]),FALSE),"")</f>
        <v/>
      </c>
      <c r="W258" s="286" t="str">
        <f>IFERROR(VLOOKUP('Plan 2019 consolidé'!$E258,Tableau5[],COLUMN(Tableau5[[#This Row],[Age]]),FALSE),"")</f>
        <v/>
      </c>
      <c r="X258" s="286" t="str">
        <f>IFERROR(VLOOKUP('Plan 2019 consolidé'!$E258,Tableau5[],COLUMN(Tableau5[[#This Row],[Nombre d''années d''ancienneté dans la société]]),FALSE),"")</f>
        <v/>
      </c>
    </row>
    <row r="259" spans="1:24" x14ac:dyDescent="0.25">
      <c r="A259" s="284" t="str">
        <f>Tableau1[[#This Row],[Service]]</f>
        <v>DVC</v>
      </c>
      <c r="B259" s="284" t="str">
        <f>Tableau1[[#This Row],[Site]]</f>
        <v>Aub.</v>
      </c>
      <c r="C259" s="284" t="str">
        <f>Tableau1[[#This Row],[Manager]]</f>
        <v>SAVY</v>
      </c>
      <c r="D259" s="284">
        <f>Tableau1[[#This Row],[Matricule]]</f>
        <v>103007</v>
      </c>
      <c r="E259" s="284" t="str">
        <f>Tableau1[[#This Row],[Nom]]</f>
        <v>PRONIER</v>
      </c>
      <c r="F259" s="284" t="str">
        <f>Tableau1[[#This Row],[Prénom]]</f>
        <v>Stephane</v>
      </c>
      <c r="G259" s="284" t="str">
        <f>Tableau1[[#This Row],[Axe
(Filières)]]</f>
        <v>Sécurité</v>
      </c>
      <c r="H259" s="284" t="str">
        <f>Tableau1[[#This Row],[Intitulé]]</f>
        <v>Recyclage CACES2</v>
      </c>
      <c r="I259" s="284">
        <f>Tableau1[[#This Row],[Priorité
mger]]</f>
        <v>0</v>
      </c>
      <c r="J259" s="284" t="str">
        <f>Tableau1[[#This Row],[Organisme]]</f>
        <v>APAVE</v>
      </c>
      <c r="K259" s="284">
        <f>Tableau1[[#This Row],[Durée
H]]</f>
        <v>14</v>
      </c>
      <c r="L259" s="92">
        <f>Tableau1[[#This Row],[Coût
péda.]]</f>
        <v>297</v>
      </c>
      <c r="M259" s="284" t="str">
        <f>Tableau1[[#This Row],[Dispositif
(Plan / DIF)]]</f>
        <v>Plan</v>
      </c>
      <c r="N259" s="284" t="str">
        <f>Tableau1[[#This Row],[Axe
  (note cadrage)]]</f>
        <v>Formation obligatoire</v>
      </c>
      <c r="O259" s="285">
        <f>Tableau1[[#This Row],[Validation
(Oui/Non)]]</f>
        <v>0</v>
      </c>
      <c r="P259" s="287" t="str">
        <f>Tableau1[[#This Row],[Calendrier
de réalisation]]</f>
        <v>2019-Q3</v>
      </c>
      <c r="Q259" s="284"/>
      <c r="S259" s="286" t="str">
        <f>IFERROR(VLOOKUP('Plan 2019 consolidé'!$E259,Tableau5[],COLUMN(Tableau5[[#This Row],[Sexe2]]),FALSE),"")</f>
        <v/>
      </c>
      <c r="W259" s="286" t="str">
        <f>IFERROR(VLOOKUP('Plan 2019 consolidé'!$E259,Tableau5[],COLUMN(Tableau5[[#This Row],[Age]]),FALSE),"")</f>
        <v/>
      </c>
      <c r="X259" s="286" t="str">
        <f>IFERROR(VLOOKUP('Plan 2019 consolidé'!$E259,Tableau5[],COLUMN(Tableau5[[#This Row],[Nombre d''années d''ancienneté dans la société]]),FALSE),"")</f>
        <v/>
      </c>
    </row>
    <row r="260" spans="1:24" x14ac:dyDescent="0.25">
      <c r="A260" s="284" t="str">
        <f>Tableau1[[#This Row],[Service]]</f>
        <v>DVC</v>
      </c>
      <c r="B260" s="284" t="str">
        <f>Tableau1[[#This Row],[Site]]</f>
        <v>Aub.</v>
      </c>
      <c r="C260" s="284" t="str">
        <f>Tableau1[[#This Row],[Manager]]</f>
        <v>SAVY</v>
      </c>
      <c r="D260" s="284">
        <f>Tableau1[[#This Row],[Matricule]]</f>
        <v>103007</v>
      </c>
      <c r="E260" s="284" t="str">
        <f>Tableau1[[#This Row],[Nom]]</f>
        <v>PRONIER</v>
      </c>
      <c r="F260" s="284" t="str">
        <f>Tableau1[[#This Row],[Prénom]]</f>
        <v>Stephane</v>
      </c>
      <c r="G260" s="284" t="str">
        <f>Tableau1[[#This Row],[Axe
(Filières)]]</f>
        <v>Sécurité</v>
      </c>
      <c r="H260" s="284" t="str">
        <f>Tableau1[[#This Row],[Intitulé]]</f>
        <v>Recyclage SST</v>
      </c>
      <c r="I260" s="284">
        <f>Tableau1[[#This Row],[Priorité
mger]]</f>
        <v>0</v>
      </c>
      <c r="J260" s="284" t="str">
        <f>Tableau1[[#This Row],[Organisme]]</f>
        <v>CFSP</v>
      </c>
      <c r="K260" s="284">
        <f>Tableau1[[#This Row],[Durée
H]]</f>
        <v>7</v>
      </c>
      <c r="L260" s="92">
        <f>Tableau1[[#This Row],[Coût
péda.]]</f>
        <v>117</v>
      </c>
      <c r="M260" s="284" t="str">
        <f>Tableau1[[#This Row],[Dispositif
(Plan / DIF)]]</f>
        <v>Plan</v>
      </c>
      <c r="N260" s="284" t="str">
        <f>Tableau1[[#This Row],[Axe
  (note cadrage)]]</f>
        <v>Formation obligatoire</v>
      </c>
      <c r="O260" s="285">
        <f>Tableau1[[#This Row],[Validation
(Oui/Non)]]</f>
        <v>0</v>
      </c>
      <c r="P260" s="287" t="str">
        <f>Tableau1[[#This Row],[Calendrier
de réalisation]]</f>
        <v/>
      </c>
      <c r="Q260" s="284"/>
      <c r="S260" s="286" t="str">
        <f>IFERROR(VLOOKUP('Plan 2019 consolidé'!$E260,Tableau5[],COLUMN(Tableau5[[#This Row],[Sexe2]]),FALSE),"")</f>
        <v/>
      </c>
      <c r="W260" s="286" t="str">
        <f>IFERROR(VLOOKUP('Plan 2019 consolidé'!$E260,Tableau5[],COLUMN(Tableau5[[#This Row],[Age]]),FALSE),"")</f>
        <v/>
      </c>
      <c r="X260" s="286" t="str">
        <f>IFERROR(VLOOKUP('Plan 2019 consolidé'!$E260,Tableau5[],COLUMN(Tableau5[[#This Row],[Nombre d''années d''ancienneté dans la société]]),FALSE),"")</f>
        <v/>
      </c>
    </row>
    <row r="261" spans="1:24" x14ac:dyDescent="0.25">
      <c r="A261" s="284" t="str">
        <f>Tableau1[[#This Row],[Service]]</f>
        <v>Non DVC</v>
      </c>
      <c r="B261" s="284" t="str">
        <f>Tableau1[[#This Row],[Site]]</f>
        <v>Aub.</v>
      </c>
      <c r="C261" s="284" t="str">
        <f>Tableau1[[#This Row],[Manager]]</f>
        <v>RICCARDI</v>
      </c>
      <c r="D261" s="284">
        <f>Tableau1[[#This Row],[Matricule]]</f>
        <v>103024</v>
      </c>
      <c r="E261" s="284" t="str">
        <f>Tableau1[[#This Row],[Nom]]</f>
        <v>RAOUX</v>
      </c>
      <c r="F261" s="284" t="str">
        <f>Tableau1[[#This Row],[Prénom]]</f>
        <v>Beatrice</v>
      </c>
      <c r="G261" s="284" t="str">
        <f>Tableau1[[#This Row],[Axe
(Filières)]]</f>
        <v>Sécurité</v>
      </c>
      <c r="H261" s="284" t="str">
        <f>Tableau1[[#This Row],[Intitulé]]</f>
        <v>Recyclage SST</v>
      </c>
      <c r="I261" s="284">
        <f>Tableau1[[#This Row],[Priorité
mger]]</f>
        <v>0</v>
      </c>
      <c r="J261" s="284" t="str">
        <f>Tableau1[[#This Row],[Organisme]]</f>
        <v>CFSP</v>
      </c>
      <c r="K261" s="284">
        <f>Tableau1[[#This Row],[Durée
H]]</f>
        <v>7</v>
      </c>
      <c r="L261" s="92">
        <f>Tableau1[[#This Row],[Coût
péda.]]</f>
        <v>117</v>
      </c>
      <c r="M261" s="284" t="str">
        <f>Tableau1[[#This Row],[Dispositif
(Plan / DIF)]]</f>
        <v>Plan</v>
      </c>
      <c r="N261" s="284" t="str">
        <f>Tableau1[[#This Row],[Axe
  (note cadrage)]]</f>
        <v>Formation obligatoire</v>
      </c>
      <c r="O261" s="285">
        <f>Tableau1[[#This Row],[Validation
(Oui/Non)]]</f>
        <v>0</v>
      </c>
      <c r="P261" s="287" t="str">
        <f>Tableau1[[#This Row],[Calendrier
de réalisation]]</f>
        <v/>
      </c>
      <c r="Q261" s="284"/>
      <c r="S261" s="286" t="str">
        <f>IFERROR(VLOOKUP('Plan 2019 consolidé'!$E261,Tableau5[],COLUMN(Tableau5[[#This Row],[Sexe2]]),FALSE),"")</f>
        <v/>
      </c>
      <c r="W261" s="286" t="str">
        <f>IFERROR(VLOOKUP('Plan 2019 consolidé'!$E261,Tableau5[],COLUMN(Tableau5[[#This Row],[Age]]),FALSE),"")</f>
        <v/>
      </c>
      <c r="X261" s="286" t="str">
        <f>IFERROR(VLOOKUP('Plan 2019 consolidé'!$E261,Tableau5[],COLUMN(Tableau5[[#This Row],[Nombre d''années d''ancienneté dans la société]]),FALSE),"")</f>
        <v/>
      </c>
    </row>
    <row r="262" spans="1:24" x14ac:dyDescent="0.25">
      <c r="A262" s="284" t="str">
        <f>Tableau1[[#This Row],[Service]]</f>
        <v>DVC</v>
      </c>
      <c r="B262" s="284" t="str">
        <f>Tableau1[[#This Row],[Site]]</f>
        <v>Aub.</v>
      </c>
      <c r="C262" s="284" t="str">
        <f>Tableau1[[#This Row],[Manager]]</f>
        <v>FUENTES</v>
      </c>
      <c r="D262" s="284">
        <f>Tableau1[[#This Row],[Matricule]]</f>
        <v>103044</v>
      </c>
      <c r="E262" s="284" t="str">
        <f>Tableau1[[#This Row],[Nom]]</f>
        <v>RAVINET</v>
      </c>
      <c r="F262" s="284" t="str">
        <f>Tableau1[[#This Row],[Prénom]]</f>
        <v>Jean-Marie</v>
      </c>
      <c r="G262" s="284" t="str">
        <f>Tableau1[[#This Row],[Axe
(Filières)]]</f>
        <v>Sécurité</v>
      </c>
      <c r="H262" s="284" t="str">
        <f>Tableau1[[#This Row],[Intitulé]]</f>
        <v>Gestes et postures</v>
      </c>
      <c r="I262" s="284">
        <f>Tableau1[[#This Row],[Priorité
mger]]</f>
        <v>0</v>
      </c>
      <c r="J262" s="284" t="str">
        <f>Tableau1[[#This Row],[Organisme]]</f>
        <v>APAVE</v>
      </c>
      <c r="K262" s="284">
        <f>Tableau1[[#This Row],[Durée
H]]</f>
        <v>7</v>
      </c>
      <c r="L262" s="92">
        <f>Tableau1[[#This Row],[Coût
péda.]]</f>
        <v>124</v>
      </c>
      <c r="M262" s="284" t="str">
        <f>Tableau1[[#This Row],[Dispositif
(Plan / DIF)]]</f>
        <v>Plan</v>
      </c>
      <c r="N262" s="284" t="str">
        <f>Tableau1[[#This Row],[Axe
  (note cadrage)]]</f>
        <v>Formation obligatoire</v>
      </c>
      <c r="O262" s="285">
        <f>Tableau1[[#This Row],[Validation
(Oui/Non)]]</f>
        <v>0</v>
      </c>
      <c r="P262" s="287" t="str">
        <f>Tableau1[[#This Row],[Calendrier
de réalisation]]</f>
        <v>2019-Q1</v>
      </c>
      <c r="Q262" s="284"/>
      <c r="S262" s="286" t="str">
        <f>IFERROR(VLOOKUP('Plan 2019 consolidé'!$E262,Tableau5[],COLUMN(Tableau5[[#This Row],[Sexe2]]),FALSE),"")</f>
        <v/>
      </c>
      <c r="W262" s="286" t="str">
        <f>IFERROR(VLOOKUP('Plan 2019 consolidé'!$E262,Tableau5[],COLUMN(Tableau5[[#This Row],[Age]]),FALSE),"")</f>
        <v/>
      </c>
      <c r="X262" s="286" t="str">
        <f>IFERROR(VLOOKUP('Plan 2019 consolidé'!$E262,Tableau5[],COLUMN(Tableau5[[#This Row],[Nombre d''années d''ancienneté dans la société]]),FALSE),"")</f>
        <v/>
      </c>
    </row>
    <row r="263" spans="1:24" x14ac:dyDescent="0.25">
      <c r="A263" s="284" t="str">
        <f>Tableau1[[#This Row],[Service]]</f>
        <v>DVC</v>
      </c>
      <c r="B263" s="284" t="str">
        <f>Tableau1[[#This Row],[Site]]</f>
        <v>Aub.</v>
      </c>
      <c r="C263" s="284" t="str">
        <f>Tableau1[[#This Row],[Manager]]</f>
        <v>FUENTES</v>
      </c>
      <c r="D263" s="284">
        <f>Tableau1[[#This Row],[Matricule]]</f>
        <v>103044</v>
      </c>
      <c r="E263" s="284" t="str">
        <f>Tableau1[[#This Row],[Nom]]</f>
        <v>RAVINET</v>
      </c>
      <c r="F263" s="284" t="str">
        <f>Tableau1[[#This Row],[Prénom]]</f>
        <v>Jean-Marie</v>
      </c>
      <c r="G263" s="284" t="str">
        <f>Tableau1[[#This Row],[Axe
(Filières)]]</f>
        <v>Sécurité</v>
      </c>
      <c r="H263" s="284" t="str">
        <f>Tableau1[[#This Row],[Intitulé]]</f>
        <v>Incendie</v>
      </c>
      <c r="I263" s="284">
        <f>Tableau1[[#This Row],[Priorité
mger]]</f>
        <v>0</v>
      </c>
      <c r="J263" s="284" t="str">
        <f>Tableau1[[#This Row],[Organisme]]</f>
        <v>APAVE</v>
      </c>
      <c r="K263" s="284">
        <f>Tableau1[[#This Row],[Durée
H]]</f>
        <v>1.5</v>
      </c>
      <c r="L263" s="92">
        <f>Tableau1[[#This Row],[Coût
péda.]]</f>
        <v>53</v>
      </c>
      <c r="M263" s="284" t="str">
        <f>Tableau1[[#This Row],[Dispositif
(Plan / DIF)]]</f>
        <v>Plan</v>
      </c>
      <c r="N263" s="284" t="str">
        <f>Tableau1[[#This Row],[Axe
  (note cadrage)]]</f>
        <v>Formation obligatoire</v>
      </c>
      <c r="O263" s="285">
        <f>Tableau1[[#This Row],[Validation
(Oui/Non)]]</f>
        <v>0</v>
      </c>
      <c r="P263" s="287" t="str">
        <f>Tableau1[[#This Row],[Calendrier
de réalisation]]</f>
        <v>2019-Q2</v>
      </c>
      <c r="Q263" s="284"/>
      <c r="S263" s="286" t="str">
        <f>IFERROR(VLOOKUP('Plan 2019 consolidé'!$E263,Tableau5[],COLUMN(Tableau5[[#This Row],[Sexe2]]),FALSE),"")</f>
        <v/>
      </c>
      <c r="W263" s="286" t="str">
        <f>IFERROR(VLOOKUP('Plan 2019 consolidé'!$E263,Tableau5[],COLUMN(Tableau5[[#This Row],[Age]]),FALSE),"")</f>
        <v/>
      </c>
      <c r="X263" s="286" t="str">
        <f>IFERROR(VLOOKUP('Plan 2019 consolidé'!$E263,Tableau5[],COLUMN(Tableau5[[#This Row],[Nombre d''années d''ancienneté dans la société]]),FALSE),"")</f>
        <v/>
      </c>
    </row>
    <row r="264" spans="1:24" x14ac:dyDescent="0.25">
      <c r="A264" s="284" t="str">
        <f>Tableau1[[#This Row],[Service]]</f>
        <v>DVC</v>
      </c>
      <c r="B264" s="284" t="str">
        <f>Tableau1[[#This Row],[Site]]</f>
        <v>Lattes</v>
      </c>
      <c r="C264" s="284" t="str">
        <f>Tableau1[[#This Row],[Manager]]</f>
        <v>VERNE</v>
      </c>
      <c r="D264" s="284">
        <f>Tableau1[[#This Row],[Matricule]]</f>
        <v>191664</v>
      </c>
      <c r="E264" s="284" t="str">
        <f>Tableau1[[#This Row],[Nom]]</f>
        <v>REVERTE</v>
      </c>
      <c r="F264" s="284" t="str">
        <f>Tableau1[[#This Row],[Prénom]]</f>
        <v>Laurent</v>
      </c>
      <c r="G264" s="284" t="str">
        <f>Tableau1[[#This Row],[Axe
(Filières)]]</f>
        <v>Sécurité</v>
      </c>
      <c r="H264" s="284" t="str">
        <f>Tableau1[[#This Row],[Intitulé]]</f>
        <v>Gestes et postures</v>
      </c>
      <c r="I264" s="284">
        <f>Tableau1[[#This Row],[Priorité
mger]]</f>
        <v>0</v>
      </c>
      <c r="J264" s="284" t="str">
        <f>Tableau1[[#This Row],[Organisme]]</f>
        <v>APAVE</v>
      </c>
      <c r="K264" s="284">
        <f>Tableau1[[#This Row],[Durée
H]]</f>
        <v>7</v>
      </c>
      <c r="L264" s="92">
        <f>Tableau1[[#This Row],[Coût
péda.]]</f>
        <v>124</v>
      </c>
      <c r="M264" s="284" t="str">
        <f>Tableau1[[#This Row],[Dispositif
(Plan / DIF)]]</f>
        <v>Plan</v>
      </c>
      <c r="N264" s="284" t="str">
        <f>Tableau1[[#This Row],[Axe
  (note cadrage)]]</f>
        <v>Formation obligatoire</v>
      </c>
      <c r="O264" s="285">
        <f>Tableau1[[#This Row],[Validation
(Oui/Non)]]</f>
        <v>0</v>
      </c>
      <c r="P264" s="287" t="str">
        <f>Tableau1[[#This Row],[Calendrier
de réalisation]]</f>
        <v>2019-Q3</v>
      </c>
      <c r="Q264" s="284"/>
      <c r="S264" s="286" t="str">
        <f>IFERROR(VLOOKUP('Plan 2019 consolidé'!$E264,Tableau5[],COLUMN(Tableau5[[#This Row],[Sexe2]]),FALSE),"")</f>
        <v/>
      </c>
      <c r="W264" s="286" t="str">
        <f>IFERROR(VLOOKUP('Plan 2019 consolidé'!$E264,Tableau5[],COLUMN(Tableau5[[#This Row],[Age]]),FALSE),"")</f>
        <v/>
      </c>
      <c r="X264" s="286" t="str">
        <f>IFERROR(VLOOKUP('Plan 2019 consolidé'!$E264,Tableau5[],COLUMN(Tableau5[[#This Row],[Nombre d''années d''ancienneté dans la société]]),FALSE),"")</f>
        <v/>
      </c>
    </row>
    <row r="265" spans="1:24" x14ac:dyDescent="0.25">
      <c r="A265" s="284" t="str">
        <f>Tableau1[[#This Row],[Service]]</f>
        <v>DVC</v>
      </c>
      <c r="B265" s="284" t="str">
        <f>Tableau1[[#This Row],[Site]]</f>
        <v>Lattes</v>
      </c>
      <c r="C265" s="284" t="str">
        <f>Tableau1[[#This Row],[Manager]]</f>
        <v>VERNE</v>
      </c>
      <c r="D265" s="284">
        <f>Tableau1[[#This Row],[Matricule]]</f>
        <v>191040</v>
      </c>
      <c r="E265" s="284" t="str">
        <f>Tableau1[[#This Row],[Nom]]</f>
        <v>RGOUAI</v>
      </c>
      <c r="F265" s="284" t="str">
        <f>Tableau1[[#This Row],[Prénom]]</f>
        <v>Mohamed</v>
      </c>
      <c r="G265" s="284" t="str">
        <f>Tableau1[[#This Row],[Axe
(Filières)]]</f>
        <v>Sécurité</v>
      </c>
      <c r="H265" s="284" t="str">
        <f>Tableau1[[#This Row],[Intitulé]]</f>
        <v>Gestes et postures</v>
      </c>
      <c r="I265" s="284">
        <f>Tableau1[[#This Row],[Priorité
mger]]</f>
        <v>0</v>
      </c>
      <c r="J265" s="284" t="str">
        <f>Tableau1[[#This Row],[Organisme]]</f>
        <v>APAVE</v>
      </c>
      <c r="K265" s="284">
        <f>Tableau1[[#This Row],[Durée
H]]</f>
        <v>7</v>
      </c>
      <c r="L265" s="92">
        <f>Tableau1[[#This Row],[Coût
péda.]]</f>
        <v>124</v>
      </c>
      <c r="M265" s="284" t="str">
        <f>Tableau1[[#This Row],[Dispositif
(Plan / DIF)]]</f>
        <v>Plan</v>
      </c>
      <c r="N265" s="284" t="str">
        <f>Tableau1[[#This Row],[Axe
  (note cadrage)]]</f>
        <v>Formation obligatoire</v>
      </c>
      <c r="O265" s="285">
        <f>Tableau1[[#This Row],[Validation
(Oui/Non)]]</f>
        <v>0</v>
      </c>
      <c r="P265" s="287" t="str">
        <f>Tableau1[[#This Row],[Calendrier
de réalisation]]</f>
        <v>2019-Q3</v>
      </c>
      <c r="Q265" s="284"/>
      <c r="S265" s="286" t="str">
        <f>IFERROR(VLOOKUP('Plan 2019 consolidé'!$E265,Tableau5[],COLUMN(Tableau5[[#This Row],[Sexe2]]),FALSE),"")</f>
        <v/>
      </c>
      <c r="W265" s="286" t="str">
        <f>IFERROR(VLOOKUP('Plan 2019 consolidé'!$E265,Tableau5[],COLUMN(Tableau5[[#This Row],[Age]]),FALSE),"")</f>
        <v/>
      </c>
      <c r="X265" s="286" t="str">
        <f>IFERROR(VLOOKUP('Plan 2019 consolidé'!$E265,Tableau5[],COLUMN(Tableau5[[#This Row],[Nombre d''années d''ancienneté dans la société]]),FALSE),"")</f>
        <v/>
      </c>
    </row>
    <row r="266" spans="1:24" x14ac:dyDescent="0.25">
      <c r="A266" s="284" t="str">
        <f>Tableau1[[#This Row],[Service]]</f>
        <v>DVC</v>
      </c>
      <c r="B266" s="284" t="str">
        <f>Tableau1[[#This Row],[Site]]</f>
        <v>Lattes</v>
      </c>
      <c r="C266" s="284" t="str">
        <f>Tableau1[[#This Row],[Manager]]</f>
        <v>VERNE</v>
      </c>
      <c r="D266" s="284">
        <f>Tableau1[[#This Row],[Matricule]]</f>
        <v>191040</v>
      </c>
      <c r="E266" s="284" t="str">
        <f>Tableau1[[#This Row],[Nom]]</f>
        <v>RGOUAI</v>
      </c>
      <c r="F266" s="284" t="str">
        <f>Tableau1[[#This Row],[Prénom]]</f>
        <v>Mohamed</v>
      </c>
      <c r="G266" s="284" t="str">
        <f>Tableau1[[#This Row],[Axe
(Filières)]]</f>
        <v>Sécurité</v>
      </c>
      <c r="H266" s="284" t="str">
        <f>Tableau1[[#This Row],[Intitulé]]</f>
        <v>Risques chimiques</v>
      </c>
      <c r="I266" s="284">
        <f>Tableau1[[#This Row],[Priorité
mger]]</f>
        <v>0</v>
      </c>
      <c r="J266" s="284" t="str">
        <f>Tableau1[[#This Row],[Organisme]]</f>
        <v>APAVE</v>
      </c>
      <c r="K266" s="284">
        <f>Tableau1[[#This Row],[Durée
H]]</f>
        <v>7</v>
      </c>
      <c r="L266" s="92">
        <f>Tableau1[[#This Row],[Coût
péda.]]</f>
        <v>162</v>
      </c>
      <c r="M266" s="284" t="str">
        <f>Tableau1[[#This Row],[Dispositif
(Plan / DIF)]]</f>
        <v>Plan</v>
      </c>
      <c r="N266" s="284" t="str">
        <f>Tableau1[[#This Row],[Axe
  (note cadrage)]]</f>
        <v>Formation obligatoire</v>
      </c>
      <c r="O266" s="285">
        <f>Tableau1[[#This Row],[Validation
(Oui/Non)]]</f>
        <v>0</v>
      </c>
      <c r="P266" s="287" t="str">
        <f>Tableau1[[#This Row],[Calendrier
de réalisation]]</f>
        <v>2019-Q2</v>
      </c>
      <c r="Q266" s="284"/>
      <c r="S266" s="286" t="str">
        <f>IFERROR(VLOOKUP('Plan 2019 consolidé'!$E266,Tableau5[],COLUMN(Tableau5[[#This Row],[Sexe2]]),FALSE),"")</f>
        <v/>
      </c>
      <c r="W266" s="286" t="str">
        <f>IFERROR(VLOOKUP('Plan 2019 consolidé'!$E266,Tableau5[],COLUMN(Tableau5[[#This Row],[Age]]),FALSE),"")</f>
        <v/>
      </c>
      <c r="X266" s="286" t="str">
        <f>IFERROR(VLOOKUP('Plan 2019 consolidé'!$E266,Tableau5[],COLUMN(Tableau5[[#This Row],[Nombre d''années d''ancienneté dans la société]]),FALSE),"")</f>
        <v/>
      </c>
    </row>
    <row r="267" spans="1:24" x14ac:dyDescent="0.25">
      <c r="A267" s="284" t="str">
        <f>Tableau1[[#This Row],[Service]]</f>
        <v>DVC</v>
      </c>
      <c r="B267" s="284" t="str">
        <f>Tableau1[[#This Row],[Site]]</f>
        <v>Lattes</v>
      </c>
      <c r="C267" s="284" t="str">
        <f>Tableau1[[#This Row],[Manager]]</f>
        <v>VERNE</v>
      </c>
      <c r="D267" s="284">
        <f>Tableau1[[#This Row],[Matricule]]</f>
        <v>191711</v>
      </c>
      <c r="E267" s="284" t="str">
        <f>Tableau1[[#This Row],[Nom]]</f>
        <v>RISUENO</v>
      </c>
      <c r="F267" s="284" t="str">
        <f>Tableau1[[#This Row],[Prénom]]</f>
        <v>Michel</v>
      </c>
      <c r="G267" s="284" t="str">
        <f>Tableau1[[#This Row],[Axe
(Filières)]]</f>
        <v>Sécurité</v>
      </c>
      <c r="H267" s="284" t="str">
        <f>Tableau1[[#This Row],[Intitulé]]</f>
        <v>Gestes et postures</v>
      </c>
      <c r="I267" s="284">
        <f>Tableau1[[#This Row],[Priorité
mger]]</f>
        <v>0</v>
      </c>
      <c r="J267" s="284" t="str">
        <f>Tableau1[[#This Row],[Organisme]]</f>
        <v>APAVE</v>
      </c>
      <c r="K267" s="284">
        <f>Tableau1[[#This Row],[Durée
H]]</f>
        <v>7</v>
      </c>
      <c r="L267" s="92">
        <f>Tableau1[[#This Row],[Coût
péda.]]</f>
        <v>124</v>
      </c>
      <c r="M267" s="284" t="str">
        <f>Tableau1[[#This Row],[Dispositif
(Plan / DIF)]]</f>
        <v>Plan</v>
      </c>
      <c r="N267" s="284" t="str">
        <f>Tableau1[[#This Row],[Axe
  (note cadrage)]]</f>
        <v>Formation obligatoire</v>
      </c>
      <c r="O267" s="285">
        <f>Tableau1[[#This Row],[Validation
(Oui/Non)]]</f>
        <v>0</v>
      </c>
      <c r="P267" s="287" t="str">
        <f>Tableau1[[#This Row],[Calendrier
de réalisation]]</f>
        <v>2019-Q4</v>
      </c>
      <c r="Q267" s="284"/>
      <c r="S267" s="286" t="str">
        <f>IFERROR(VLOOKUP('Plan 2019 consolidé'!$E267,Tableau5[],COLUMN(Tableau5[[#This Row],[Sexe2]]),FALSE),"")</f>
        <v/>
      </c>
      <c r="W267" s="286" t="str">
        <f>IFERROR(VLOOKUP('Plan 2019 consolidé'!$E267,Tableau5[],COLUMN(Tableau5[[#This Row],[Age]]),FALSE),"")</f>
        <v/>
      </c>
      <c r="X267" s="286" t="str">
        <f>IFERROR(VLOOKUP('Plan 2019 consolidé'!$E267,Tableau5[],COLUMN(Tableau5[[#This Row],[Nombre d''années d''ancienneté dans la société]]),FALSE),"")</f>
        <v/>
      </c>
    </row>
    <row r="268" spans="1:24" x14ac:dyDescent="0.25">
      <c r="A268" s="284" t="str">
        <f>Tableau1[[#This Row],[Service]]</f>
        <v>DVC</v>
      </c>
      <c r="B268" s="284" t="str">
        <f>Tableau1[[#This Row],[Site]]</f>
        <v>Aub.</v>
      </c>
      <c r="C268" s="284" t="str">
        <f>Tableau1[[#This Row],[Manager]]</f>
        <v>ALIX</v>
      </c>
      <c r="D268" s="284">
        <f>Tableau1[[#This Row],[Matricule]]</f>
        <v>102907</v>
      </c>
      <c r="E268" s="284" t="str">
        <f>Tableau1[[#This Row],[Nom]]</f>
        <v>ROMAN</v>
      </c>
      <c r="F268" s="284" t="str">
        <f>Tableau1[[#This Row],[Prénom]]</f>
        <v>Thierry</v>
      </c>
      <c r="G268" s="284" t="str">
        <f>Tableau1[[#This Row],[Axe
(Filières)]]</f>
        <v>Sécurité</v>
      </c>
      <c r="H268" s="284" t="str">
        <f>Tableau1[[#This Row],[Intitulé]]</f>
        <v>Incendie</v>
      </c>
      <c r="I268" s="284">
        <f>Tableau1[[#This Row],[Priorité
mger]]</f>
        <v>0</v>
      </c>
      <c r="J268" s="284" t="str">
        <f>Tableau1[[#This Row],[Organisme]]</f>
        <v>APAVE</v>
      </c>
      <c r="K268" s="284">
        <f>Tableau1[[#This Row],[Durée
H]]</f>
        <v>1.5</v>
      </c>
      <c r="L268" s="92">
        <f>Tableau1[[#This Row],[Coût
péda.]]</f>
        <v>53</v>
      </c>
      <c r="M268" s="284" t="str">
        <f>Tableau1[[#This Row],[Dispositif
(Plan / DIF)]]</f>
        <v>Plan</v>
      </c>
      <c r="N268" s="284" t="str">
        <f>Tableau1[[#This Row],[Axe
  (note cadrage)]]</f>
        <v>Formation obligatoire</v>
      </c>
      <c r="O268" s="285">
        <f>Tableau1[[#This Row],[Validation
(Oui/Non)]]</f>
        <v>0</v>
      </c>
      <c r="P268" s="287" t="str">
        <f>Tableau1[[#This Row],[Calendrier
de réalisation]]</f>
        <v>2019-Q3</v>
      </c>
      <c r="Q268" s="284"/>
      <c r="S268" s="286" t="str">
        <f>IFERROR(VLOOKUP('Plan 2019 consolidé'!$E268,Tableau5[],COLUMN(Tableau5[[#This Row],[Sexe2]]),FALSE),"")</f>
        <v/>
      </c>
      <c r="W268" s="286" t="str">
        <f>IFERROR(VLOOKUP('Plan 2019 consolidé'!$E268,Tableau5[],COLUMN(Tableau5[[#This Row],[Age]]),FALSE),"")</f>
        <v/>
      </c>
      <c r="X268" s="286" t="str">
        <f>IFERROR(VLOOKUP('Plan 2019 consolidé'!$E268,Tableau5[],COLUMN(Tableau5[[#This Row],[Nombre d''années d''ancienneté dans la société]]),FALSE),"")</f>
        <v/>
      </c>
    </row>
    <row r="269" spans="1:24" x14ac:dyDescent="0.25">
      <c r="A269" s="284" t="str">
        <f>Tableau1[[#This Row],[Service]]</f>
        <v>DVC</v>
      </c>
      <c r="B269" s="284" t="str">
        <f>Tableau1[[#This Row],[Site]]</f>
        <v>Aub.</v>
      </c>
      <c r="C269" s="284" t="str">
        <f>Tableau1[[#This Row],[Manager]]</f>
        <v>ALIX</v>
      </c>
      <c r="D269" s="284">
        <f>Tableau1[[#This Row],[Matricule]]</f>
        <v>102907</v>
      </c>
      <c r="E269" s="284" t="str">
        <f>Tableau1[[#This Row],[Nom]]</f>
        <v>ROMAN</v>
      </c>
      <c r="F269" s="284" t="str">
        <f>Tableau1[[#This Row],[Prénom]]</f>
        <v>Thierry</v>
      </c>
      <c r="G269" s="284" t="str">
        <f>Tableau1[[#This Row],[Axe
(Filières)]]</f>
        <v>Sécurité</v>
      </c>
      <c r="H269" s="284" t="str">
        <f>Tableau1[[#This Row],[Intitulé]]</f>
        <v>Recyclage SST</v>
      </c>
      <c r="I269" s="284">
        <f>Tableau1[[#This Row],[Priorité
mger]]</f>
        <v>0</v>
      </c>
      <c r="J269" s="284" t="str">
        <f>Tableau1[[#This Row],[Organisme]]</f>
        <v>CFSP</v>
      </c>
      <c r="K269" s="284">
        <f>Tableau1[[#This Row],[Durée
H]]</f>
        <v>7</v>
      </c>
      <c r="L269" s="92">
        <f>Tableau1[[#This Row],[Coût
péda.]]</f>
        <v>117</v>
      </c>
      <c r="M269" s="284" t="str">
        <f>Tableau1[[#This Row],[Dispositif
(Plan / DIF)]]</f>
        <v>Plan</v>
      </c>
      <c r="N269" s="284" t="str">
        <f>Tableau1[[#This Row],[Axe
  (note cadrage)]]</f>
        <v>Formation obligatoire</v>
      </c>
      <c r="O269" s="285">
        <f>Tableau1[[#This Row],[Validation
(Oui/Non)]]</f>
        <v>0</v>
      </c>
      <c r="P269" s="287" t="str">
        <f>Tableau1[[#This Row],[Calendrier
de réalisation]]</f>
        <v/>
      </c>
      <c r="Q269" s="284"/>
      <c r="S269" s="286" t="str">
        <f>IFERROR(VLOOKUP('Plan 2019 consolidé'!$E269,Tableau5[],COLUMN(Tableau5[[#This Row],[Sexe2]]),FALSE),"")</f>
        <v/>
      </c>
      <c r="W269" s="286" t="str">
        <f>IFERROR(VLOOKUP('Plan 2019 consolidé'!$E269,Tableau5[],COLUMN(Tableau5[[#This Row],[Age]]),FALSE),"")</f>
        <v/>
      </c>
      <c r="X269" s="286" t="str">
        <f>IFERROR(VLOOKUP('Plan 2019 consolidé'!$E269,Tableau5[],COLUMN(Tableau5[[#This Row],[Nombre d''années d''ancienneté dans la société]]),FALSE),"")</f>
        <v/>
      </c>
    </row>
    <row r="270" spans="1:24" x14ac:dyDescent="0.25">
      <c r="A270" s="284" t="str">
        <f>Tableau1[[#This Row],[Service]]</f>
        <v>DVC</v>
      </c>
      <c r="B270" s="284" t="str">
        <f>Tableau1[[#This Row],[Site]]</f>
        <v>Aub.</v>
      </c>
      <c r="C270" s="284" t="str">
        <f>Tableau1[[#This Row],[Manager]]</f>
        <v>ALIX</v>
      </c>
      <c r="D270" s="284">
        <f>Tableau1[[#This Row],[Matricule]]</f>
        <v>102907</v>
      </c>
      <c r="E270" s="284" t="str">
        <f>Tableau1[[#This Row],[Nom]]</f>
        <v>ROMAN</v>
      </c>
      <c r="F270" s="284" t="str">
        <f>Tableau1[[#This Row],[Prénom]]</f>
        <v>Thierry</v>
      </c>
      <c r="G270" s="284" t="str">
        <f>Tableau1[[#This Row],[Axe
(Filières)]]</f>
        <v>Sécurité</v>
      </c>
      <c r="H270" s="284" t="str">
        <f>Tableau1[[#This Row],[Intitulé]]</f>
        <v>HAB ELEC</v>
      </c>
      <c r="I270" s="284">
        <f>Tableau1[[#This Row],[Priorité
mger]]</f>
        <v>0</v>
      </c>
      <c r="J270" s="284" t="str">
        <f>Tableau1[[#This Row],[Organisme]]</f>
        <v>SEEF</v>
      </c>
      <c r="K270" s="284">
        <f>Tableau1[[#This Row],[Durée
H]]</f>
        <v>10.5</v>
      </c>
      <c r="L270" s="92">
        <f>Tableau1[[#This Row],[Coût
péda.]]</f>
        <v>260</v>
      </c>
      <c r="M270" s="284" t="str">
        <f>Tableau1[[#This Row],[Dispositif
(Plan / DIF)]]</f>
        <v>Plan</v>
      </c>
      <c r="N270" s="284" t="str">
        <f>Tableau1[[#This Row],[Axe
  (note cadrage)]]</f>
        <v>Formation obligatoire</v>
      </c>
      <c r="O270" s="285">
        <f>Tableau1[[#This Row],[Validation
(Oui/Non)]]</f>
        <v>0</v>
      </c>
      <c r="P270" s="287" t="str">
        <f>Tableau1[[#This Row],[Calendrier
de réalisation]]</f>
        <v/>
      </c>
      <c r="Q270" s="284"/>
      <c r="S270" s="286" t="str">
        <f>IFERROR(VLOOKUP('Plan 2019 consolidé'!$E270,Tableau5[],COLUMN(Tableau5[[#This Row],[Sexe2]]),FALSE),"")</f>
        <v/>
      </c>
      <c r="W270" s="286" t="str">
        <f>IFERROR(VLOOKUP('Plan 2019 consolidé'!$E270,Tableau5[],COLUMN(Tableau5[[#This Row],[Age]]),FALSE),"")</f>
        <v/>
      </c>
      <c r="X270" s="286" t="str">
        <f>IFERROR(VLOOKUP('Plan 2019 consolidé'!$E270,Tableau5[],COLUMN(Tableau5[[#This Row],[Nombre d''années d''ancienneté dans la société]]),FALSE),"")</f>
        <v/>
      </c>
    </row>
    <row r="271" spans="1:24" x14ac:dyDescent="0.25">
      <c r="A271" s="284" t="str">
        <f>Tableau1[[#This Row],[Service]]</f>
        <v>DVC</v>
      </c>
      <c r="B271" s="284" t="str">
        <f>Tableau1[[#This Row],[Site]]</f>
        <v>Lattes</v>
      </c>
      <c r="C271" s="284" t="str">
        <f>Tableau1[[#This Row],[Manager]]</f>
        <v>VERNE</v>
      </c>
      <c r="D271" s="284">
        <f>Tableau1[[#This Row],[Matricule]]</f>
        <v>191295</v>
      </c>
      <c r="E271" s="284" t="str">
        <f>Tableau1[[#This Row],[Nom]]</f>
        <v>ROUCHE</v>
      </c>
      <c r="F271" s="284" t="str">
        <f>Tableau1[[#This Row],[Prénom]]</f>
        <v>Alain</v>
      </c>
      <c r="G271" s="284" t="str">
        <f>Tableau1[[#This Row],[Axe
(Filières)]]</f>
        <v>Sécurité</v>
      </c>
      <c r="H271" s="284" t="str">
        <f>Tableau1[[#This Row],[Intitulé]]</f>
        <v>Gestes et postures</v>
      </c>
      <c r="I271" s="284">
        <f>Tableau1[[#This Row],[Priorité
mger]]</f>
        <v>0</v>
      </c>
      <c r="J271" s="284" t="str">
        <f>Tableau1[[#This Row],[Organisme]]</f>
        <v>APAVE</v>
      </c>
      <c r="K271" s="284">
        <f>Tableau1[[#This Row],[Durée
H]]</f>
        <v>7</v>
      </c>
      <c r="L271" s="92">
        <f>Tableau1[[#This Row],[Coût
péda.]]</f>
        <v>124</v>
      </c>
      <c r="M271" s="284" t="str">
        <f>Tableau1[[#This Row],[Dispositif
(Plan / DIF)]]</f>
        <v>Plan</v>
      </c>
      <c r="N271" s="284" t="str">
        <f>Tableau1[[#This Row],[Axe
  (note cadrage)]]</f>
        <v>Formation obligatoire</v>
      </c>
      <c r="O271" s="285">
        <f>Tableau1[[#This Row],[Validation
(Oui/Non)]]</f>
        <v>0</v>
      </c>
      <c r="P271" s="287" t="str">
        <f>Tableau1[[#This Row],[Calendrier
de réalisation]]</f>
        <v>2019-Q4</v>
      </c>
      <c r="Q271" s="284"/>
      <c r="S271" s="286" t="str">
        <f>IFERROR(VLOOKUP('Plan 2019 consolidé'!$E271,Tableau5[],COLUMN(Tableau5[[#This Row],[Sexe2]]),FALSE),"")</f>
        <v/>
      </c>
      <c r="W271" s="286" t="str">
        <f>IFERROR(VLOOKUP('Plan 2019 consolidé'!$E271,Tableau5[],COLUMN(Tableau5[[#This Row],[Age]]),FALSE),"")</f>
        <v/>
      </c>
      <c r="X271" s="286" t="str">
        <f>IFERROR(VLOOKUP('Plan 2019 consolidé'!$E271,Tableau5[],COLUMN(Tableau5[[#This Row],[Nombre d''années d''ancienneté dans la société]]),FALSE),"")</f>
        <v/>
      </c>
    </row>
    <row r="272" spans="1:24" x14ac:dyDescent="0.25">
      <c r="A272" s="284" t="str">
        <f>Tableau1[[#This Row],[Service]]</f>
        <v>DVC</v>
      </c>
      <c r="B272" s="284" t="str">
        <f>Tableau1[[#This Row],[Site]]</f>
        <v>Aub.</v>
      </c>
      <c r="C272" s="284" t="str">
        <f>Tableau1[[#This Row],[Manager]]</f>
        <v>SENEPART</v>
      </c>
      <c r="D272" s="284">
        <f>Tableau1[[#This Row],[Matricule]]</f>
        <v>102982</v>
      </c>
      <c r="E272" s="284" t="str">
        <f>Tableau1[[#This Row],[Nom]]</f>
        <v>ROUME</v>
      </c>
      <c r="F272" s="284" t="str">
        <f>Tableau1[[#This Row],[Prénom]]</f>
        <v>Richard</v>
      </c>
      <c r="G272" s="284" t="str">
        <f>Tableau1[[#This Row],[Axe
(Filières)]]</f>
        <v>Sécurité</v>
      </c>
      <c r="H272" s="284" t="str">
        <f>Tableau1[[#This Row],[Intitulé]]</f>
        <v>Recyclage SST</v>
      </c>
      <c r="I272" s="284">
        <f>Tableau1[[#This Row],[Priorité
mger]]</f>
        <v>0</v>
      </c>
      <c r="J272" s="284" t="str">
        <f>Tableau1[[#This Row],[Organisme]]</f>
        <v>CFSP</v>
      </c>
      <c r="K272" s="284">
        <f>Tableau1[[#This Row],[Durée
H]]</f>
        <v>7</v>
      </c>
      <c r="L272" s="92">
        <f>Tableau1[[#This Row],[Coût
péda.]]</f>
        <v>117</v>
      </c>
      <c r="M272" s="284" t="str">
        <f>Tableau1[[#This Row],[Dispositif
(Plan / DIF)]]</f>
        <v>Plan</v>
      </c>
      <c r="N272" s="284" t="str">
        <f>Tableau1[[#This Row],[Axe
  (note cadrage)]]</f>
        <v>Formation obligatoire</v>
      </c>
      <c r="O272" s="285">
        <f>Tableau1[[#This Row],[Validation
(Oui/Non)]]</f>
        <v>0</v>
      </c>
      <c r="P272" s="287" t="str">
        <f>Tableau1[[#This Row],[Calendrier
de réalisation]]</f>
        <v/>
      </c>
      <c r="Q272" s="284"/>
      <c r="S272" s="286" t="str">
        <f>IFERROR(VLOOKUP('Plan 2019 consolidé'!$E272,Tableau5[],COLUMN(Tableau5[[#This Row],[Sexe2]]),FALSE),"")</f>
        <v/>
      </c>
      <c r="W272" s="286" t="str">
        <f>IFERROR(VLOOKUP('Plan 2019 consolidé'!$E272,Tableau5[],COLUMN(Tableau5[[#This Row],[Age]]),FALSE),"")</f>
        <v/>
      </c>
      <c r="X272" s="286" t="str">
        <f>IFERROR(VLOOKUP('Plan 2019 consolidé'!$E272,Tableau5[],COLUMN(Tableau5[[#This Row],[Nombre d''années d''ancienneté dans la société]]),FALSE),"")</f>
        <v/>
      </c>
    </row>
    <row r="273" spans="1:24" x14ac:dyDescent="0.25">
      <c r="A273" s="284" t="str">
        <f>Tableau1[[#This Row],[Service]]</f>
        <v>DVC</v>
      </c>
      <c r="B273" s="284" t="str">
        <f>Tableau1[[#This Row],[Site]]</f>
        <v>Lattes</v>
      </c>
      <c r="C273" s="284" t="str">
        <f>Tableau1[[#This Row],[Manager]]</f>
        <v>JACKEL</v>
      </c>
      <c r="D273" s="284">
        <f>Tableau1[[#This Row],[Matricule]]</f>
        <v>191202</v>
      </c>
      <c r="E273" s="284" t="str">
        <f>Tableau1[[#This Row],[Nom]]</f>
        <v>RUGGIERO</v>
      </c>
      <c r="F273" s="284" t="str">
        <f>Tableau1[[#This Row],[Prénom]]</f>
        <v>Christian</v>
      </c>
      <c r="G273" s="284" t="str">
        <f>Tableau1[[#This Row],[Axe
(Filières)]]</f>
        <v>Sécurité</v>
      </c>
      <c r="H273" s="284" t="str">
        <f>Tableau1[[#This Row],[Intitulé]]</f>
        <v>Recyclage pont rou</v>
      </c>
      <c r="I273" s="284">
        <f>Tableau1[[#This Row],[Priorité
mger]]</f>
        <v>0</v>
      </c>
      <c r="J273" s="284" t="str">
        <f>Tableau1[[#This Row],[Organisme]]</f>
        <v>APAVE</v>
      </c>
      <c r="K273" s="284">
        <f>Tableau1[[#This Row],[Durée
H]]</f>
        <v>7</v>
      </c>
      <c r="L273" s="92">
        <f>Tableau1[[#This Row],[Coût
péda.]]</f>
        <v>165</v>
      </c>
      <c r="M273" s="284" t="str">
        <f>Tableau1[[#This Row],[Dispositif
(Plan / DIF)]]</f>
        <v>Plan</v>
      </c>
      <c r="N273" s="284" t="str">
        <f>Tableau1[[#This Row],[Axe
  (note cadrage)]]</f>
        <v>Formation obligatoire</v>
      </c>
      <c r="O273" s="285">
        <f>Tableau1[[#This Row],[Validation
(Oui/Non)]]</f>
        <v>0</v>
      </c>
      <c r="P273" s="287" t="str">
        <f>Tableau1[[#This Row],[Calendrier
de réalisation]]</f>
        <v/>
      </c>
      <c r="Q273" s="284"/>
      <c r="S273" s="286" t="str">
        <f>IFERROR(VLOOKUP('Plan 2019 consolidé'!$E273,Tableau5[],COLUMN(Tableau5[[#This Row],[Sexe2]]),FALSE),"")</f>
        <v/>
      </c>
      <c r="W273" s="286" t="str">
        <f>IFERROR(VLOOKUP('Plan 2019 consolidé'!$E273,Tableau5[],COLUMN(Tableau5[[#This Row],[Age]]),FALSE),"")</f>
        <v/>
      </c>
      <c r="X273" s="286" t="str">
        <f>IFERROR(VLOOKUP('Plan 2019 consolidé'!$E273,Tableau5[],COLUMN(Tableau5[[#This Row],[Nombre d''années d''ancienneté dans la société]]),FALSE),"")</f>
        <v/>
      </c>
    </row>
    <row r="274" spans="1:24" x14ac:dyDescent="0.25">
      <c r="A274" s="284" t="str">
        <f>Tableau1[[#This Row],[Service]]</f>
        <v>DVC</v>
      </c>
      <c r="B274" s="284" t="str">
        <f>Tableau1[[#This Row],[Site]]</f>
        <v>Lattes</v>
      </c>
      <c r="C274" s="284" t="str">
        <f>Tableau1[[#This Row],[Manager]]</f>
        <v>JACKEL</v>
      </c>
      <c r="D274" s="284">
        <f>Tableau1[[#This Row],[Matricule]]</f>
        <v>191202</v>
      </c>
      <c r="E274" s="284" t="str">
        <f>Tableau1[[#This Row],[Nom]]</f>
        <v>RUGGIERO</v>
      </c>
      <c r="F274" s="284" t="str">
        <f>Tableau1[[#This Row],[Prénom]]</f>
        <v>Christian</v>
      </c>
      <c r="G274" s="284" t="str">
        <f>Tableau1[[#This Row],[Axe
(Filières)]]</f>
        <v>Sécurité</v>
      </c>
      <c r="H274" s="284" t="str">
        <f>Tableau1[[#This Row],[Intitulé]]</f>
        <v>SEBTR</v>
      </c>
      <c r="I274" s="284">
        <f>Tableau1[[#This Row],[Priorité
mger]]</f>
        <v>0</v>
      </c>
      <c r="J274" s="284" t="str">
        <f>Tableau1[[#This Row],[Organisme]]</f>
        <v>SEEF</v>
      </c>
      <c r="K274" s="284">
        <f>Tableau1[[#This Row],[Durée
H]]</f>
        <v>10.5</v>
      </c>
      <c r="L274" s="92">
        <f>Tableau1[[#This Row],[Coût
péda.]]</f>
        <v>260</v>
      </c>
      <c r="M274" s="284" t="str">
        <f>Tableau1[[#This Row],[Dispositif
(Plan / DIF)]]</f>
        <v>Plan</v>
      </c>
      <c r="N274" s="284" t="str">
        <f>Tableau1[[#This Row],[Axe
  (note cadrage)]]</f>
        <v>Formation obligatoire</v>
      </c>
      <c r="O274" s="285">
        <f>Tableau1[[#This Row],[Validation
(Oui/Non)]]</f>
        <v>0</v>
      </c>
      <c r="P274" s="287" t="str">
        <f>Tableau1[[#This Row],[Calendrier
de réalisation]]</f>
        <v/>
      </c>
      <c r="Q274" s="284"/>
      <c r="S274" s="286" t="str">
        <f>IFERROR(VLOOKUP('Plan 2019 consolidé'!$E274,Tableau5[],COLUMN(Tableau5[[#This Row],[Sexe2]]),FALSE),"")</f>
        <v/>
      </c>
      <c r="W274" s="286" t="str">
        <f>IFERROR(VLOOKUP('Plan 2019 consolidé'!$E274,Tableau5[],COLUMN(Tableau5[[#This Row],[Age]]),FALSE),"")</f>
        <v/>
      </c>
      <c r="X274" s="286" t="str">
        <f>IFERROR(VLOOKUP('Plan 2019 consolidé'!$E274,Tableau5[],COLUMN(Tableau5[[#This Row],[Nombre d''années d''ancienneté dans la société]]),FALSE),"")</f>
        <v/>
      </c>
    </row>
    <row r="275" spans="1:24" x14ac:dyDescent="0.25">
      <c r="A275" s="284" t="str">
        <f>Tableau1[[#This Row],[Service]]</f>
        <v>DVC</v>
      </c>
      <c r="B275" s="284" t="str">
        <f>Tableau1[[#This Row],[Site]]</f>
        <v>Lattes</v>
      </c>
      <c r="C275" s="284" t="str">
        <f>Tableau1[[#This Row],[Manager]]</f>
        <v>VERNE</v>
      </c>
      <c r="D275" s="284">
        <f>Tableau1[[#This Row],[Matricule]]</f>
        <v>191712</v>
      </c>
      <c r="E275" s="284" t="str">
        <f>Tableau1[[#This Row],[Nom]]</f>
        <v>SALA</v>
      </c>
      <c r="F275" s="284" t="str">
        <f>Tableau1[[#This Row],[Prénom]]</f>
        <v>Albert</v>
      </c>
      <c r="G275" s="284" t="str">
        <f>Tableau1[[#This Row],[Axe
(Filières)]]</f>
        <v>Sécurité</v>
      </c>
      <c r="H275" s="284" t="str">
        <f>Tableau1[[#This Row],[Intitulé]]</f>
        <v>Gestes et postures</v>
      </c>
      <c r="I275" s="284">
        <f>Tableau1[[#This Row],[Priorité
mger]]</f>
        <v>0</v>
      </c>
      <c r="J275" s="284" t="str">
        <f>Tableau1[[#This Row],[Organisme]]</f>
        <v>APAVE</v>
      </c>
      <c r="K275" s="284">
        <f>Tableau1[[#This Row],[Durée
H]]</f>
        <v>7</v>
      </c>
      <c r="L275" s="92">
        <f>Tableau1[[#This Row],[Coût
péda.]]</f>
        <v>124</v>
      </c>
      <c r="M275" s="284" t="str">
        <f>Tableau1[[#This Row],[Dispositif
(Plan / DIF)]]</f>
        <v>Plan</v>
      </c>
      <c r="N275" s="284" t="str">
        <f>Tableau1[[#This Row],[Axe
  (note cadrage)]]</f>
        <v>Formation obligatoire</v>
      </c>
      <c r="O275" s="285">
        <f>Tableau1[[#This Row],[Validation
(Oui/Non)]]</f>
        <v>0</v>
      </c>
      <c r="P275" s="287" t="str">
        <f>Tableau1[[#This Row],[Calendrier
de réalisation]]</f>
        <v>2019-Q3</v>
      </c>
      <c r="Q275" s="284"/>
      <c r="S275" s="286" t="str">
        <f>IFERROR(VLOOKUP('Plan 2019 consolidé'!$E275,Tableau5[],COLUMN(Tableau5[[#This Row],[Sexe2]]),FALSE),"")</f>
        <v/>
      </c>
      <c r="W275" s="286" t="str">
        <f>IFERROR(VLOOKUP('Plan 2019 consolidé'!$E275,Tableau5[],COLUMN(Tableau5[[#This Row],[Age]]),FALSE),"")</f>
        <v/>
      </c>
      <c r="X275" s="286" t="str">
        <f>IFERROR(VLOOKUP('Plan 2019 consolidé'!$E275,Tableau5[],COLUMN(Tableau5[[#This Row],[Nombre d''années d''ancienneté dans la société]]),FALSE),"")</f>
        <v/>
      </c>
    </row>
    <row r="276" spans="1:24" x14ac:dyDescent="0.25">
      <c r="A276" s="284" t="str">
        <f>Tableau1[[#This Row],[Service]]</f>
        <v>Non DVC</v>
      </c>
      <c r="B276" s="284" t="str">
        <f>Tableau1[[#This Row],[Site]]</f>
        <v>Aub.</v>
      </c>
      <c r="C276" s="284" t="str">
        <f>Tableau1[[#This Row],[Manager]]</f>
        <v>RICCARDI</v>
      </c>
      <c r="D276" s="284">
        <f>Tableau1[[#This Row],[Matricule]]</f>
        <v>103036</v>
      </c>
      <c r="E276" s="284" t="str">
        <f>Tableau1[[#This Row],[Nom]]</f>
        <v>SANIAL</v>
      </c>
      <c r="F276" s="284" t="str">
        <f>Tableau1[[#This Row],[Prénom]]</f>
        <v>Patricia</v>
      </c>
      <c r="G276" s="284" t="str">
        <f>Tableau1[[#This Row],[Axe
(Filières)]]</f>
        <v>Sécurité</v>
      </c>
      <c r="H276" s="284" t="str">
        <f>Tableau1[[#This Row],[Intitulé]]</f>
        <v>Recyclage SST</v>
      </c>
      <c r="I276" s="284">
        <f>Tableau1[[#This Row],[Priorité
mger]]</f>
        <v>0</v>
      </c>
      <c r="J276" s="284" t="str">
        <f>Tableau1[[#This Row],[Organisme]]</f>
        <v>CFSP</v>
      </c>
      <c r="K276" s="284">
        <f>Tableau1[[#This Row],[Durée
H]]</f>
        <v>7</v>
      </c>
      <c r="L276" s="92">
        <f>Tableau1[[#This Row],[Coût
péda.]]</f>
        <v>117</v>
      </c>
      <c r="M276" s="284" t="str">
        <f>Tableau1[[#This Row],[Dispositif
(Plan / DIF)]]</f>
        <v>Plan</v>
      </c>
      <c r="N276" s="284" t="str">
        <f>Tableau1[[#This Row],[Axe
  (note cadrage)]]</f>
        <v>Formation obligatoire</v>
      </c>
      <c r="O276" s="285">
        <f>Tableau1[[#This Row],[Validation
(Oui/Non)]]</f>
        <v>0</v>
      </c>
      <c r="P276" s="287" t="str">
        <f>Tableau1[[#This Row],[Calendrier
de réalisation]]</f>
        <v/>
      </c>
      <c r="Q276" s="284"/>
      <c r="S276" s="286" t="str">
        <f>IFERROR(VLOOKUP('Plan 2019 consolidé'!$E276,Tableau5[],COLUMN(Tableau5[[#This Row],[Sexe2]]),FALSE),"")</f>
        <v/>
      </c>
      <c r="W276" s="286" t="str">
        <f>IFERROR(VLOOKUP('Plan 2019 consolidé'!$E276,Tableau5[],COLUMN(Tableau5[[#This Row],[Age]]),FALSE),"")</f>
        <v/>
      </c>
      <c r="X276" s="286" t="str">
        <f>IFERROR(VLOOKUP('Plan 2019 consolidé'!$E276,Tableau5[],COLUMN(Tableau5[[#This Row],[Nombre d''années d''ancienneté dans la société]]),FALSE),"")</f>
        <v/>
      </c>
    </row>
    <row r="277" spans="1:24" x14ac:dyDescent="0.25">
      <c r="A277" s="284" t="str">
        <f>Tableau1[[#This Row],[Service]]</f>
        <v>Non DVC</v>
      </c>
      <c r="B277" s="284" t="str">
        <f>Tableau1[[#This Row],[Site]]</f>
        <v>STG</v>
      </c>
      <c r="C277" s="284" t="str">
        <f>Tableau1[[#This Row],[Manager]]</f>
        <v>FOUASSIER</v>
      </c>
      <c r="D277" s="284">
        <f>Tableau1[[#This Row],[Matricule]]</f>
        <v>109499</v>
      </c>
      <c r="E277" s="284" t="str">
        <f>Tableau1[[#This Row],[Nom]]</f>
        <v>SAVARRE</v>
      </c>
      <c r="F277" s="284" t="str">
        <f>Tableau1[[#This Row],[Prénom]]</f>
        <v>Jean-Christophe</v>
      </c>
      <c r="G277" s="284" t="str">
        <f>Tableau1[[#This Row],[Axe
(Filières)]]</f>
        <v>Sécurité</v>
      </c>
      <c r="H277" s="284" t="str">
        <f>Tableau1[[#This Row],[Intitulé]]</f>
        <v>Gestes et postures</v>
      </c>
      <c r="I277" s="284">
        <f>Tableau1[[#This Row],[Priorité
mger]]</f>
        <v>0</v>
      </c>
      <c r="J277" s="284" t="str">
        <f>Tableau1[[#This Row],[Organisme]]</f>
        <v>APAVE</v>
      </c>
      <c r="K277" s="284">
        <f>Tableau1[[#This Row],[Durée
H]]</f>
        <v>7</v>
      </c>
      <c r="L277" s="92">
        <f>Tableau1[[#This Row],[Coût
péda.]]</f>
        <v>124</v>
      </c>
      <c r="M277" s="284" t="str">
        <f>Tableau1[[#This Row],[Dispositif
(Plan / DIF)]]</f>
        <v>Plan</v>
      </c>
      <c r="N277" s="284" t="str">
        <f>Tableau1[[#This Row],[Axe
  (note cadrage)]]</f>
        <v>Formation obligatoire</v>
      </c>
      <c r="O277" s="285">
        <f>Tableau1[[#This Row],[Validation
(Oui/Non)]]</f>
        <v>0</v>
      </c>
      <c r="P277" s="287">
        <f>Tableau1[[#This Row],[Calendrier
de réalisation]]</f>
        <v>0</v>
      </c>
      <c r="Q277" s="284"/>
      <c r="S277" s="286" t="str">
        <f>IFERROR(VLOOKUP('Plan 2019 consolidé'!$E277,Tableau5[],COLUMN(Tableau5[[#This Row],[Sexe2]]),FALSE),"")</f>
        <v/>
      </c>
      <c r="W277" s="286" t="str">
        <f>IFERROR(VLOOKUP('Plan 2019 consolidé'!$E277,Tableau5[],COLUMN(Tableau5[[#This Row],[Age]]),FALSE),"")</f>
        <v/>
      </c>
      <c r="X277" s="286" t="str">
        <f>IFERROR(VLOOKUP('Plan 2019 consolidé'!$E277,Tableau5[],COLUMN(Tableau5[[#This Row],[Nombre d''années d''ancienneté dans la société]]),FALSE),"")</f>
        <v/>
      </c>
    </row>
    <row r="278" spans="1:24" x14ac:dyDescent="0.25">
      <c r="A278" s="284" t="str">
        <f>Tableau1[[#This Row],[Service]]</f>
        <v>Non DVC</v>
      </c>
      <c r="B278" s="284" t="str">
        <f>Tableau1[[#This Row],[Site]]</f>
        <v>STG</v>
      </c>
      <c r="C278" s="284" t="str">
        <f>Tableau1[[#This Row],[Manager]]</f>
        <v>FOUASSIER</v>
      </c>
      <c r="D278" s="284">
        <f>Tableau1[[#This Row],[Matricule]]</f>
        <v>109499</v>
      </c>
      <c r="E278" s="284" t="str">
        <f>Tableau1[[#This Row],[Nom]]</f>
        <v>SAVARRE</v>
      </c>
      <c r="F278" s="284" t="str">
        <f>Tableau1[[#This Row],[Prénom]]</f>
        <v>Jean-Christophe</v>
      </c>
      <c r="G278" s="284" t="str">
        <f>Tableau1[[#This Row],[Axe
(Filières)]]</f>
        <v>Sécurité</v>
      </c>
      <c r="H278" s="284" t="str">
        <f>Tableau1[[#This Row],[Intitulé]]</f>
        <v>Incendie</v>
      </c>
      <c r="I278" s="284">
        <f>Tableau1[[#This Row],[Priorité
mger]]</f>
        <v>0</v>
      </c>
      <c r="J278" s="284" t="str">
        <f>Tableau1[[#This Row],[Organisme]]</f>
        <v>APAVE</v>
      </c>
      <c r="K278" s="284">
        <f>Tableau1[[#This Row],[Durée
H]]</f>
        <v>1.5</v>
      </c>
      <c r="L278" s="92">
        <f>Tableau1[[#This Row],[Coût
péda.]]</f>
        <v>53</v>
      </c>
      <c r="M278" s="284" t="str">
        <f>Tableau1[[#This Row],[Dispositif
(Plan / DIF)]]</f>
        <v>Plan</v>
      </c>
      <c r="N278" s="284" t="str">
        <f>Tableau1[[#This Row],[Axe
  (note cadrage)]]</f>
        <v>Formation obligatoire</v>
      </c>
      <c r="O278" s="285">
        <f>Tableau1[[#This Row],[Validation
(Oui/Non)]]</f>
        <v>0</v>
      </c>
      <c r="P278" s="287" t="str">
        <f>Tableau1[[#This Row],[Calendrier
de réalisation]]</f>
        <v>2019-Q1</v>
      </c>
      <c r="Q278" s="284"/>
      <c r="S278" s="286" t="str">
        <f>IFERROR(VLOOKUP('Plan 2019 consolidé'!$E278,Tableau5[],COLUMN(Tableau5[[#This Row],[Sexe2]]),FALSE),"")</f>
        <v/>
      </c>
      <c r="W278" s="286" t="str">
        <f>IFERROR(VLOOKUP('Plan 2019 consolidé'!$E278,Tableau5[],COLUMN(Tableau5[[#This Row],[Age]]),FALSE),"")</f>
        <v/>
      </c>
      <c r="X278" s="286" t="str">
        <f>IFERROR(VLOOKUP('Plan 2019 consolidé'!$E278,Tableau5[],COLUMN(Tableau5[[#This Row],[Nombre d''années d''ancienneté dans la société]]),FALSE),"")</f>
        <v/>
      </c>
    </row>
    <row r="279" spans="1:24" x14ac:dyDescent="0.25">
      <c r="A279" s="284" t="str">
        <f>Tableau1[[#This Row],[Service]]</f>
        <v>Non DVC</v>
      </c>
      <c r="B279" s="284" t="str">
        <f>Tableau1[[#This Row],[Site]]</f>
        <v>Aub.</v>
      </c>
      <c r="C279" s="284" t="str">
        <f>Tableau1[[#This Row],[Manager]]</f>
        <v>DARDARE</v>
      </c>
      <c r="D279" s="284">
        <f>Tableau1[[#This Row],[Matricule]]</f>
        <v>102909</v>
      </c>
      <c r="E279" s="284" t="str">
        <f>Tableau1[[#This Row],[Nom]]</f>
        <v>SCHILLINGER</v>
      </c>
      <c r="F279" s="284" t="str">
        <f>Tableau1[[#This Row],[Prénom]]</f>
        <v>Eric</v>
      </c>
      <c r="G279" s="284" t="str">
        <f>Tableau1[[#This Row],[Axe
(Filières)]]</f>
        <v>Sécurité</v>
      </c>
      <c r="H279" s="284" t="str">
        <f>Tableau1[[#This Row],[Intitulé]]</f>
        <v>Incendie</v>
      </c>
      <c r="I279" s="284">
        <f>Tableau1[[#This Row],[Priorité
mger]]</f>
        <v>0</v>
      </c>
      <c r="J279" s="284" t="str">
        <f>Tableau1[[#This Row],[Organisme]]</f>
        <v>APAVE</v>
      </c>
      <c r="K279" s="284">
        <f>Tableau1[[#This Row],[Durée
H]]</f>
        <v>1.5</v>
      </c>
      <c r="L279" s="92">
        <f>Tableau1[[#This Row],[Coût
péda.]]</f>
        <v>53</v>
      </c>
      <c r="M279" s="284" t="str">
        <f>Tableau1[[#This Row],[Dispositif
(Plan / DIF)]]</f>
        <v>Plan</v>
      </c>
      <c r="N279" s="284" t="str">
        <f>Tableau1[[#This Row],[Axe
  (note cadrage)]]</f>
        <v>Formation obligatoire</v>
      </c>
      <c r="O279" s="285">
        <f>Tableau1[[#This Row],[Validation
(Oui/Non)]]</f>
        <v>0</v>
      </c>
      <c r="P279" s="287" t="str">
        <f>Tableau1[[#This Row],[Calendrier
de réalisation]]</f>
        <v>2019-Q2</v>
      </c>
      <c r="Q279" s="284"/>
      <c r="S279" s="286" t="str">
        <f>IFERROR(VLOOKUP('Plan 2019 consolidé'!$E279,Tableau5[],COLUMN(Tableau5[[#This Row],[Sexe2]]),FALSE),"")</f>
        <v/>
      </c>
      <c r="W279" s="286" t="str">
        <f>IFERROR(VLOOKUP('Plan 2019 consolidé'!$E279,Tableau5[],COLUMN(Tableau5[[#This Row],[Age]]),FALSE),"")</f>
        <v/>
      </c>
      <c r="X279" s="286" t="str">
        <f>IFERROR(VLOOKUP('Plan 2019 consolidé'!$E279,Tableau5[],COLUMN(Tableau5[[#This Row],[Nombre d''années d''ancienneté dans la société]]),FALSE),"")</f>
        <v/>
      </c>
    </row>
    <row r="280" spans="1:24" x14ac:dyDescent="0.25">
      <c r="A280" s="284" t="str">
        <f>Tableau1[[#This Row],[Service]]</f>
        <v>DVC</v>
      </c>
      <c r="B280" s="284" t="str">
        <f>Tableau1[[#This Row],[Site]]</f>
        <v>STG</v>
      </c>
      <c r="C280" s="284" t="str">
        <f>Tableau1[[#This Row],[Manager]]</f>
        <v>BUISSON</v>
      </c>
      <c r="D280" s="284">
        <f>Tableau1[[#This Row],[Matricule]]</f>
        <v>244824</v>
      </c>
      <c r="E280" s="284" t="str">
        <f>Tableau1[[#This Row],[Nom]]</f>
        <v>SCOLASTICA</v>
      </c>
      <c r="F280" s="284" t="str">
        <f>Tableau1[[#This Row],[Prénom]]</f>
        <v>Sylvain</v>
      </c>
      <c r="G280" s="284" t="str">
        <f>Tableau1[[#This Row],[Axe
(Filières)]]</f>
        <v>Sécurité</v>
      </c>
      <c r="H280" s="284" t="str">
        <f>Tableau1[[#This Row],[Intitulé]]</f>
        <v>Incendie</v>
      </c>
      <c r="I280" s="284">
        <f>Tableau1[[#This Row],[Priorité
mger]]</f>
        <v>0</v>
      </c>
      <c r="J280" s="284" t="str">
        <f>Tableau1[[#This Row],[Organisme]]</f>
        <v>APAVE</v>
      </c>
      <c r="K280" s="284">
        <f>Tableau1[[#This Row],[Durée
H]]</f>
        <v>1.5</v>
      </c>
      <c r="L280" s="92">
        <f>Tableau1[[#This Row],[Coût
péda.]]</f>
        <v>53</v>
      </c>
      <c r="M280" s="284" t="str">
        <f>Tableau1[[#This Row],[Dispositif
(Plan / DIF)]]</f>
        <v>Plan</v>
      </c>
      <c r="N280" s="284" t="str">
        <f>Tableau1[[#This Row],[Axe
  (note cadrage)]]</f>
        <v>Formation obligatoire</v>
      </c>
      <c r="O280" s="285">
        <f>Tableau1[[#This Row],[Validation
(Oui/Non)]]</f>
        <v>0</v>
      </c>
      <c r="P280" s="287" t="str">
        <f>Tableau1[[#This Row],[Calendrier
de réalisation]]</f>
        <v>2019-Q1</v>
      </c>
      <c r="Q280" s="284"/>
      <c r="S280" s="286" t="str">
        <f>IFERROR(VLOOKUP('Plan 2019 consolidé'!$E280,Tableau5[],COLUMN(Tableau5[[#This Row],[Sexe2]]),FALSE),"")</f>
        <v/>
      </c>
      <c r="W280" s="286" t="str">
        <f>IFERROR(VLOOKUP('Plan 2019 consolidé'!$E280,Tableau5[],COLUMN(Tableau5[[#This Row],[Age]]),FALSE),"")</f>
        <v/>
      </c>
      <c r="X280" s="286" t="str">
        <f>IFERROR(VLOOKUP('Plan 2019 consolidé'!$E280,Tableau5[],COLUMN(Tableau5[[#This Row],[Nombre d''années d''ancienneté dans la société]]),FALSE),"")</f>
        <v/>
      </c>
    </row>
    <row r="281" spans="1:24" x14ac:dyDescent="0.25">
      <c r="A281" s="284" t="str">
        <f>Tableau1[[#This Row],[Service]]</f>
        <v>DVC</v>
      </c>
      <c r="B281" s="284" t="str">
        <f>Tableau1[[#This Row],[Site]]</f>
        <v>STG</v>
      </c>
      <c r="C281" s="284" t="str">
        <f>Tableau1[[#This Row],[Manager]]</f>
        <v>BUISSON</v>
      </c>
      <c r="D281" s="284">
        <f>Tableau1[[#This Row],[Matricule]]</f>
        <v>244824</v>
      </c>
      <c r="E281" s="284" t="str">
        <f>Tableau1[[#This Row],[Nom]]</f>
        <v>SCOLASTICA</v>
      </c>
      <c r="F281" s="284" t="str">
        <f>Tableau1[[#This Row],[Prénom]]</f>
        <v>Sylvain</v>
      </c>
      <c r="G281" s="284" t="str">
        <f>Tableau1[[#This Row],[Axe
(Filières)]]</f>
        <v>Sécurité</v>
      </c>
      <c r="H281" s="284" t="str">
        <f>Tableau1[[#This Row],[Intitulé]]</f>
        <v>HAB ELEC</v>
      </c>
      <c r="I281" s="284">
        <f>Tableau1[[#This Row],[Priorité
mger]]</f>
        <v>0</v>
      </c>
      <c r="J281" s="284" t="str">
        <f>Tableau1[[#This Row],[Organisme]]</f>
        <v>SEEF</v>
      </c>
      <c r="K281" s="284">
        <f>Tableau1[[#This Row],[Durée
H]]</f>
        <v>10.5</v>
      </c>
      <c r="L281" s="92">
        <f>Tableau1[[#This Row],[Coût
péda.]]</f>
        <v>260</v>
      </c>
      <c r="M281" s="284" t="str">
        <f>Tableau1[[#This Row],[Dispositif
(Plan / DIF)]]</f>
        <v>Plan</v>
      </c>
      <c r="N281" s="284" t="str">
        <f>Tableau1[[#This Row],[Axe
  (note cadrage)]]</f>
        <v>Formation obligatoire</v>
      </c>
      <c r="O281" s="285">
        <f>Tableau1[[#This Row],[Validation
(Oui/Non)]]</f>
        <v>0</v>
      </c>
      <c r="P281" s="287" t="str">
        <f>Tableau1[[#This Row],[Calendrier
de réalisation]]</f>
        <v/>
      </c>
      <c r="Q281" s="284"/>
      <c r="S281" s="286" t="str">
        <f>IFERROR(VLOOKUP('Plan 2019 consolidé'!$E281,Tableau5[],COLUMN(Tableau5[[#This Row],[Sexe2]]),FALSE),"")</f>
        <v/>
      </c>
      <c r="W281" s="286" t="str">
        <f>IFERROR(VLOOKUP('Plan 2019 consolidé'!$E281,Tableau5[],COLUMN(Tableau5[[#This Row],[Age]]),FALSE),"")</f>
        <v/>
      </c>
      <c r="X281" s="286" t="str">
        <f>IFERROR(VLOOKUP('Plan 2019 consolidé'!$E281,Tableau5[],COLUMN(Tableau5[[#This Row],[Nombre d''années d''ancienneté dans la société]]),FALSE),"")</f>
        <v/>
      </c>
    </row>
    <row r="282" spans="1:24" x14ac:dyDescent="0.25">
      <c r="A282" s="284" t="str">
        <f>Tableau1[[#This Row],[Service]]</f>
        <v>Non DVC</v>
      </c>
      <c r="B282" s="284" t="str">
        <f>Tableau1[[#This Row],[Site]]</f>
        <v>Aub.</v>
      </c>
      <c r="C282" s="284" t="str">
        <f>Tableau1[[#This Row],[Manager]]</f>
        <v>CHATAIGNER</v>
      </c>
      <c r="D282" s="284">
        <f>Tableau1[[#This Row],[Matricule]]</f>
        <v>102954</v>
      </c>
      <c r="E282" s="284" t="str">
        <f>Tableau1[[#This Row],[Nom]]</f>
        <v>SENEPART</v>
      </c>
      <c r="F282" s="284" t="str">
        <f>Tableau1[[#This Row],[Prénom]]</f>
        <v>Laurence</v>
      </c>
      <c r="G282" s="284" t="str">
        <f>Tableau1[[#This Row],[Axe
(Filières)]]</f>
        <v>Sécurité</v>
      </c>
      <c r="H282" s="284" t="str">
        <f>Tableau1[[#This Row],[Intitulé]]</f>
        <v>Incendie</v>
      </c>
      <c r="I282" s="284">
        <f>Tableau1[[#This Row],[Priorité
mger]]</f>
        <v>0</v>
      </c>
      <c r="J282" s="284" t="str">
        <f>Tableau1[[#This Row],[Organisme]]</f>
        <v>APAVE</v>
      </c>
      <c r="K282" s="284">
        <f>Tableau1[[#This Row],[Durée
H]]</f>
        <v>1.5</v>
      </c>
      <c r="L282" s="92">
        <f>Tableau1[[#This Row],[Coût
péda.]]</f>
        <v>53</v>
      </c>
      <c r="M282" s="284" t="str">
        <f>Tableau1[[#This Row],[Dispositif
(Plan / DIF)]]</f>
        <v>Plan</v>
      </c>
      <c r="N282" s="284" t="str">
        <f>Tableau1[[#This Row],[Axe
  (note cadrage)]]</f>
        <v>Formation obligatoire</v>
      </c>
      <c r="O282" s="285">
        <f>Tableau1[[#This Row],[Validation
(Oui/Non)]]</f>
        <v>0</v>
      </c>
      <c r="P282" s="287" t="str">
        <f>Tableau1[[#This Row],[Calendrier
de réalisation]]</f>
        <v>2019-Q3</v>
      </c>
      <c r="Q282" s="284"/>
      <c r="S282" s="286" t="str">
        <f>IFERROR(VLOOKUP('Plan 2019 consolidé'!$E282,Tableau5[],COLUMN(Tableau5[[#This Row],[Sexe2]]),FALSE),"")</f>
        <v/>
      </c>
      <c r="W282" s="286" t="str">
        <f>IFERROR(VLOOKUP('Plan 2019 consolidé'!$E282,Tableau5[],COLUMN(Tableau5[[#This Row],[Age]]),FALSE),"")</f>
        <v/>
      </c>
      <c r="X282" s="286" t="str">
        <f>IFERROR(VLOOKUP('Plan 2019 consolidé'!$E282,Tableau5[],COLUMN(Tableau5[[#This Row],[Nombre d''années d''ancienneté dans la société]]),FALSE),"")</f>
        <v/>
      </c>
    </row>
    <row r="283" spans="1:24" x14ac:dyDescent="0.25">
      <c r="A283" s="284" t="str">
        <f>Tableau1[[#This Row],[Service]]</f>
        <v>Non DVC</v>
      </c>
      <c r="B283" s="284" t="str">
        <f>Tableau1[[#This Row],[Site]]</f>
        <v>Aub.</v>
      </c>
      <c r="C283" s="284" t="str">
        <f>Tableau1[[#This Row],[Manager]]</f>
        <v>CHATAIGNER</v>
      </c>
      <c r="D283" s="284">
        <f>Tableau1[[#This Row],[Matricule]]</f>
        <v>102954</v>
      </c>
      <c r="E283" s="284" t="str">
        <f>Tableau1[[#This Row],[Nom]]</f>
        <v>SENEPART</v>
      </c>
      <c r="F283" s="284" t="str">
        <f>Tableau1[[#This Row],[Prénom]]</f>
        <v>Laurence</v>
      </c>
      <c r="G283" s="284" t="str">
        <f>Tableau1[[#This Row],[Axe
(Filières)]]</f>
        <v>Sécurité</v>
      </c>
      <c r="H283" s="284" t="str">
        <f>Tableau1[[#This Row],[Intitulé]]</f>
        <v>Recyclage SST</v>
      </c>
      <c r="I283" s="284">
        <f>Tableau1[[#This Row],[Priorité
mger]]</f>
        <v>0</v>
      </c>
      <c r="J283" s="284" t="str">
        <f>Tableau1[[#This Row],[Organisme]]</f>
        <v>CFSP</v>
      </c>
      <c r="K283" s="284">
        <f>Tableau1[[#This Row],[Durée
H]]</f>
        <v>7</v>
      </c>
      <c r="L283" s="92">
        <f>Tableau1[[#This Row],[Coût
péda.]]</f>
        <v>117</v>
      </c>
      <c r="M283" s="284" t="str">
        <f>Tableau1[[#This Row],[Dispositif
(Plan / DIF)]]</f>
        <v>Plan</v>
      </c>
      <c r="N283" s="284" t="str">
        <f>Tableau1[[#This Row],[Axe
  (note cadrage)]]</f>
        <v>Formation obligatoire</v>
      </c>
      <c r="O283" s="285">
        <f>Tableau1[[#This Row],[Validation
(Oui/Non)]]</f>
        <v>0</v>
      </c>
      <c r="P283" s="287" t="str">
        <f>Tableau1[[#This Row],[Calendrier
de réalisation]]</f>
        <v/>
      </c>
      <c r="Q283" s="284"/>
      <c r="S283" s="286" t="str">
        <f>IFERROR(VLOOKUP('Plan 2019 consolidé'!$E283,Tableau5[],COLUMN(Tableau5[[#This Row],[Sexe2]]),FALSE),"")</f>
        <v/>
      </c>
      <c r="W283" s="286" t="str">
        <f>IFERROR(VLOOKUP('Plan 2019 consolidé'!$E283,Tableau5[],COLUMN(Tableau5[[#This Row],[Age]]),FALSE),"")</f>
        <v/>
      </c>
      <c r="X283" s="286" t="str">
        <f>IFERROR(VLOOKUP('Plan 2019 consolidé'!$E283,Tableau5[],COLUMN(Tableau5[[#This Row],[Nombre d''années d''ancienneté dans la société]]),FALSE),"")</f>
        <v/>
      </c>
    </row>
    <row r="284" spans="1:24" x14ac:dyDescent="0.25">
      <c r="A284" s="284" t="str">
        <f>Tableau1[[#This Row],[Service]]</f>
        <v>DVC</v>
      </c>
      <c r="B284" s="284" t="str">
        <f>Tableau1[[#This Row],[Site]]</f>
        <v>Aub.</v>
      </c>
      <c r="C284" s="284" t="str">
        <f>Tableau1[[#This Row],[Manager]]</f>
        <v>SAVY</v>
      </c>
      <c r="D284" s="284">
        <f>Tableau1[[#This Row],[Matricule]]</f>
        <v>102911</v>
      </c>
      <c r="E284" s="284" t="str">
        <f>Tableau1[[#This Row],[Nom]]</f>
        <v>SERRE</v>
      </c>
      <c r="F284" s="284" t="str">
        <f>Tableau1[[#This Row],[Prénom]]</f>
        <v>Christian</v>
      </c>
      <c r="G284" s="284" t="str">
        <f>Tableau1[[#This Row],[Axe
(Filières)]]</f>
        <v>Sécurité</v>
      </c>
      <c r="H284" s="284" t="str">
        <f>Tableau1[[#This Row],[Intitulé]]</f>
        <v>Gestes et postures</v>
      </c>
      <c r="I284" s="284">
        <f>Tableau1[[#This Row],[Priorité
mger]]</f>
        <v>0</v>
      </c>
      <c r="J284" s="284" t="str">
        <f>Tableau1[[#This Row],[Organisme]]</f>
        <v>APAVE</v>
      </c>
      <c r="K284" s="284">
        <f>Tableau1[[#This Row],[Durée
H]]</f>
        <v>7</v>
      </c>
      <c r="L284" s="92">
        <f>Tableau1[[#This Row],[Coût
péda.]]</f>
        <v>124</v>
      </c>
      <c r="M284" s="284" t="str">
        <f>Tableau1[[#This Row],[Dispositif
(Plan / DIF)]]</f>
        <v>Plan</v>
      </c>
      <c r="N284" s="284" t="str">
        <f>Tableau1[[#This Row],[Axe
  (note cadrage)]]</f>
        <v>Formation obligatoire</v>
      </c>
      <c r="O284" s="285">
        <f>Tableau1[[#This Row],[Validation
(Oui/Non)]]</f>
        <v>0</v>
      </c>
      <c r="P284" s="287" t="str">
        <f>Tableau1[[#This Row],[Calendrier
de réalisation]]</f>
        <v>2019-Q1</v>
      </c>
      <c r="Q284" s="284"/>
      <c r="S284" s="286" t="str">
        <f>IFERROR(VLOOKUP('Plan 2019 consolidé'!$E284,Tableau5[],COLUMN(Tableau5[[#This Row],[Sexe2]]),FALSE),"")</f>
        <v/>
      </c>
      <c r="W284" s="286" t="str">
        <f>IFERROR(VLOOKUP('Plan 2019 consolidé'!$E284,Tableau5[],COLUMN(Tableau5[[#This Row],[Age]]),FALSE),"")</f>
        <v/>
      </c>
      <c r="X284" s="286" t="str">
        <f>IFERROR(VLOOKUP('Plan 2019 consolidé'!$E284,Tableau5[],COLUMN(Tableau5[[#This Row],[Nombre d''années d''ancienneté dans la société]]),FALSE),"")</f>
        <v/>
      </c>
    </row>
    <row r="285" spans="1:24" x14ac:dyDescent="0.25">
      <c r="A285" s="284" t="str">
        <f>Tableau1[[#This Row],[Service]]</f>
        <v>DVC</v>
      </c>
      <c r="B285" s="284" t="str">
        <f>Tableau1[[#This Row],[Site]]</f>
        <v>Aub.</v>
      </c>
      <c r="C285" s="284" t="str">
        <f>Tableau1[[#This Row],[Manager]]</f>
        <v>SAVY</v>
      </c>
      <c r="D285" s="284">
        <f>Tableau1[[#This Row],[Matricule]]</f>
        <v>102911</v>
      </c>
      <c r="E285" s="284" t="str">
        <f>Tableau1[[#This Row],[Nom]]</f>
        <v>SERRE</v>
      </c>
      <c r="F285" s="284" t="str">
        <f>Tableau1[[#This Row],[Prénom]]</f>
        <v>Christian</v>
      </c>
      <c r="G285" s="284" t="str">
        <f>Tableau1[[#This Row],[Axe
(Filières)]]</f>
        <v>Sécurité</v>
      </c>
      <c r="H285" s="284" t="str">
        <f>Tableau1[[#This Row],[Intitulé]]</f>
        <v>Incendie</v>
      </c>
      <c r="I285" s="284">
        <f>Tableau1[[#This Row],[Priorité
mger]]</f>
        <v>0</v>
      </c>
      <c r="J285" s="284" t="str">
        <f>Tableau1[[#This Row],[Organisme]]</f>
        <v>APAVE</v>
      </c>
      <c r="K285" s="284">
        <f>Tableau1[[#This Row],[Durée
H]]</f>
        <v>1.5</v>
      </c>
      <c r="L285" s="92">
        <f>Tableau1[[#This Row],[Coût
péda.]]</f>
        <v>53</v>
      </c>
      <c r="M285" s="284" t="str">
        <f>Tableau1[[#This Row],[Dispositif
(Plan / DIF)]]</f>
        <v>Plan</v>
      </c>
      <c r="N285" s="284" t="str">
        <f>Tableau1[[#This Row],[Axe
  (note cadrage)]]</f>
        <v>Formation obligatoire</v>
      </c>
      <c r="O285" s="285">
        <f>Tableau1[[#This Row],[Validation
(Oui/Non)]]</f>
        <v>0</v>
      </c>
      <c r="P285" s="287" t="str">
        <f>Tableau1[[#This Row],[Calendrier
de réalisation]]</f>
        <v>2019-Q2</v>
      </c>
      <c r="Q285" s="284"/>
      <c r="S285" s="286" t="str">
        <f>IFERROR(VLOOKUP('Plan 2019 consolidé'!$E285,Tableau5[],COLUMN(Tableau5[[#This Row],[Sexe2]]),FALSE),"")</f>
        <v/>
      </c>
      <c r="W285" s="286" t="str">
        <f>IFERROR(VLOOKUP('Plan 2019 consolidé'!$E285,Tableau5[],COLUMN(Tableau5[[#This Row],[Age]]),FALSE),"")</f>
        <v/>
      </c>
      <c r="X285" s="286" t="str">
        <f>IFERROR(VLOOKUP('Plan 2019 consolidé'!$E285,Tableau5[],COLUMN(Tableau5[[#This Row],[Nombre d''années d''ancienneté dans la société]]),FALSE),"")</f>
        <v/>
      </c>
    </row>
    <row r="286" spans="1:24" x14ac:dyDescent="0.25">
      <c r="A286" s="284" t="str">
        <f>Tableau1[[#This Row],[Service]]</f>
        <v>DVC</v>
      </c>
      <c r="B286" s="284" t="str">
        <f>Tableau1[[#This Row],[Site]]</f>
        <v>Aub.</v>
      </c>
      <c r="C286" s="284" t="str">
        <f>Tableau1[[#This Row],[Manager]]</f>
        <v>SAVY</v>
      </c>
      <c r="D286" s="284">
        <f>Tableau1[[#This Row],[Matricule]]</f>
        <v>102911</v>
      </c>
      <c r="E286" s="284" t="str">
        <f>Tableau1[[#This Row],[Nom]]</f>
        <v>SERRE</v>
      </c>
      <c r="F286" s="284" t="str">
        <f>Tableau1[[#This Row],[Prénom]]</f>
        <v>Christian</v>
      </c>
      <c r="G286" s="284" t="str">
        <f>Tableau1[[#This Row],[Axe
(Filières)]]</f>
        <v>Sécurité</v>
      </c>
      <c r="H286" s="284" t="str">
        <f>Tableau1[[#This Row],[Intitulé]]</f>
        <v>Risques chimiques</v>
      </c>
      <c r="I286" s="284">
        <f>Tableau1[[#This Row],[Priorité
mger]]</f>
        <v>0</v>
      </c>
      <c r="J286" s="284" t="str">
        <f>Tableau1[[#This Row],[Organisme]]</f>
        <v>APAVE</v>
      </c>
      <c r="K286" s="284">
        <f>Tableau1[[#This Row],[Durée
H]]</f>
        <v>7</v>
      </c>
      <c r="L286" s="92">
        <f>Tableau1[[#This Row],[Coût
péda.]]</f>
        <v>162</v>
      </c>
      <c r="M286" s="284" t="str">
        <f>Tableau1[[#This Row],[Dispositif
(Plan / DIF)]]</f>
        <v>Plan</v>
      </c>
      <c r="N286" s="284" t="str">
        <f>Tableau1[[#This Row],[Axe
  (note cadrage)]]</f>
        <v>Formation obligatoire</v>
      </c>
      <c r="O286" s="285">
        <f>Tableau1[[#This Row],[Validation
(Oui/Non)]]</f>
        <v>0</v>
      </c>
      <c r="P286" s="287" t="str">
        <f>Tableau1[[#This Row],[Calendrier
de réalisation]]</f>
        <v>2019-Q1</v>
      </c>
      <c r="Q286" s="284"/>
      <c r="S286" s="286" t="str">
        <f>IFERROR(VLOOKUP('Plan 2019 consolidé'!$E286,Tableau5[],COLUMN(Tableau5[[#This Row],[Sexe2]]),FALSE),"")</f>
        <v/>
      </c>
      <c r="W286" s="286" t="str">
        <f>IFERROR(VLOOKUP('Plan 2019 consolidé'!$E286,Tableau5[],COLUMN(Tableau5[[#This Row],[Age]]),FALSE),"")</f>
        <v/>
      </c>
      <c r="X286" s="286" t="str">
        <f>IFERROR(VLOOKUP('Plan 2019 consolidé'!$E286,Tableau5[],COLUMN(Tableau5[[#This Row],[Nombre d''années d''ancienneté dans la société]]),FALSE),"")</f>
        <v/>
      </c>
    </row>
    <row r="287" spans="1:24" x14ac:dyDescent="0.25">
      <c r="A287" s="284" t="str">
        <f>Tableau1[[#This Row],[Service]]</f>
        <v>DVC</v>
      </c>
      <c r="B287" s="284" t="str">
        <f>Tableau1[[#This Row],[Site]]</f>
        <v>Aub.</v>
      </c>
      <c r="C287" s="284" t="str">
        <f>Tableau1[[#This Row],[Manager]]</f>
        <v>SAVY</v>
      </c>
      <c r="D287" s="284">
        <f>Tableau1[[#This Row],[Matricule]]</f>
        <v>102911</v>
      </c>
      <c r="E287" s="284" t="str">
        <f>Tableau1[[#This Row],[Nom]]</f>
        <v>SERRE</v>
      </c>
      <c r="F287" s="284" t="str">
        <f>Tableau1[[#This Row],[Prénom]]</f>
        <v>Christian</v>
      </c>
      <c r="G287" s="284" t="str">
        <f>Tableau1[[#This Row],[Axe
(Filières)]]</f>
        <v>Sécurité</v>
      </c>
      <c r="H287" s="284" t="str">
        <f>Tableau1[[#This Row],[Intitulé]]</f>
        <v>Recyclage CACES3 5</v>
      </c>
      <c r="I287" s="284">
        <f>Tableau1[[#This Row],[Priorité
mger]]</f>
        <v>0</v>
      </c>
      <c r="J287" s="284" t="str">
        <f>Tableau1[[#This Row],[Organisme]]</f>
        <v>APAVE</v>
      </c>
      <c r="K287" s="284">
        <f>Tableau1[[#This Row],[Durée
H]]</f>
        <v>14</v>
      </c>
      <c r="L287" s="92">
        <f>Tableau1[[#This Row],[Coût
péda.]]</f>
        <v>297</v>
      </c>
      <c r="M287" s="284" t="str">
        <f>Tableau1[[#This Row],[Dispositif
(Plan / DIF)]]</f>
        <v>Plan</v>
      </c>
      <c r="N287" s="284" t="str">
        <f>Tableau1[[#This Row],[Axe
  (note cadrage)]]</f>
        <v>Formation obligatoire</v>
      </c>
      <c r="O287" s="285">
        <f>Tableau1[[#This Row],[Validation
(Oui/Non)]]</f>
        <v>0</v>
      </c>
      <c r="P287" s="287" t="str">
        <f>Tableau1[[#This Row],[Calendrier
de réalisation]]</f>
        <v>2019-Q2</v>
      </c>
      <c r="Q287" s="284"/>
      <c r="S287" s="286" t="str">
        <f>IFERROR(VLOOKUP('Plan 2019 consolidé'!$E287,Tableau5[],COLUMN(Tableau5[[#This Row],[Sexe2]]),FALSE),"")</f>
        <v/>
      </c>
      <c r="W287" s="286" t="str">
        <f>IFERROR(VLOOKUP('Plan 2019 consolidé'!$E287,Tableau5[],COLUMN(Tableau5[[#This Row],[Age]]),FALSE),"")</f>
        <v/>
      </c>
      <c r="X287" s="286" t="str">
        <f>IFERROR(VLOOKUP('Plan 2019 consolidé'!$E287,Tableau5[],COLUMN(Tableau5[[#This Row],[Nombre d''années d''ancienneté dans la société]]),FALSE),"")</f>
        <v/>
      </c>
    </row>
    <row r="288" spans="1:24" x14ac:dyDescent="0.25">
      <c r="A288" s="284" t="str">
        <f>Tableau1[[#This Row],[Service]]</f>
        <v>DVC</v>
      </c>
      <c r="B288" s="284" t="str">
        <f>Tableau1[[#This Row],[Site]]</f>
        <v>STG</v>
      </c>
      <c r="C288" s="284" t="str">
        <f>Tableau1[[#This Row],[Manager]]</f>
        <v>XUEREB</v>
      </c>
      <c r="D288" s="284">
        <f>Tableau1[[#This Row],[Matricule]]</f>
        <v>109706</v>
      </c>
      <c r="E288" s="284" t="str">
        <f>Tableau1[[#This Row],[Nom]]</f>
        <v>SIMIAN-MERMIER</v>
      </c>
      <c r="F288" s="284" t="str">
        <f>Tableau1[[#This Row],[Prénom]]</f>
        <v>Steeve</v>
      </c>
      <c r="G288" s="284" t="str">
        <f>Tableau1[[#This Row],[Axe
(Filières)]]</f>
        <v>Sécurité</v>
      </c>
      <c r="H288" s="284" t="str">
        <f>Tableau1[[#This Row],[Intitulé]]</f>
        <v>Incendie</v>
      </c>
      <c r="I288" s="284">
        <f>Tableau1[[#This Row],[Priorité
mger]]</f>
        <v>0</v>
      </c>
      <c r="J288" s="284" t="str">
        <f>Tableau1[[#This Row],[Organisme]]</f>
        <v>APAVE</v>
      </c>
      <c r="K288" s="284">
        <f>Tableau1[[#This Row],[Durée
H]]</f>
        <v>1.5</v>
      </c>
      <c r="L288" s="92">
        <f>Tableau1[[#This Row],[Coût
péda.]]</f>
        <v>53</v>
      </c>
      <c r="M288" s="284" t="str">
        <f>Tableau1[[#This Row],[Dispositif
(Plan / DIF)]]</f>
        <v>Plan</v>
      </c>
      <c r="N288" s="284" t="str">
        <f>Tableau1[[#This Row],[Axe
  (note cadrage)]]</f>
        <v>Formation obligatoire</v>
      </c>
      <c r="O288" s="285">
        <f>Tableau1[[#This Row],[Validation
(Oui/Non)]]</f>
        <v>0</v>
      </c>
      <c r="P288" s="287" t="str">
        <f>Tableau1[[#This Row],[Calendrier
de réalisation]]</f>
        <v>2019-Q1</v>
      </c>
      <c r="Q288" s="284"/>
      <c r="S288" s="286" t="str">
        <f>IFERROR(VLOOKUP('Plan 2019 consolidé'!$E288,Tableau5[],COLUMN(Tableau5[[#This Row],[Sexe2]]),FALSE),"")</f>
        <v/>
      </c>
      <c r="W288" s="286" t="str">
        <f>IFERROR(VLOOKUP('Plan 2019 consolidé'!$E288,Tableau5[],COLUMN(Tableau5[[#This Row],[Age]]),FALSE),"")</f>
        <v/>
      </c>
      <c r="X288" s="286" t="str">
        <f>IFERROR(VLOOKUP('Plan 2019 consolidé'!$E288,Tableau5[],COLUMN(Tableau5[[#This Row],[Nombre d''années d''ancienneté dans la société]]),FALSE),"")</f>
        <v/>
      </c>
    </row>
    <row r="289" spans="1:24" x14ac:dyDescent="0.25">
      <c r="A289" s="284" t="str">
        <f>Tableau1[[#This Row],[Service]]</f>
        <v>DVC</v>
      </c>
      <c r="B289" s="284" t="str">
        <f>Tableau1[[#This Row],[Site]]</f>
        <v>STG</v>
      </c>
      <c r="C289" s="284" t="str">
        <f>Tableau1[[#This Row],[Manager]]</f>
        <v>XUEREB</v>
      </c>
      <c r="D289" s="284">
        <f>Tableau1[[#This Row],[Matricule]]</f>
        <v>109706</v>
      </c>
      <c r="E289" s="284" t="str">
        <f>Tableau1[[#This Row],[Nom]]</f>
        <v>SIMIAN-MERMIER</v>
      </c>
      <c r="F289" s="284" t="str">
        <f>Tableau1[[#This Row],[Prénom]]</f>
        <v>Steeve</v>
      </c>
      <c r="G289" s="284" t="str">
        <f>Tableau1[[#This Row],[Axe
(Filières)]]</f>
        <v>Sécurité</v>
      </c>
      <c r="H289" s="284" t="str">
        <f>Tableau1[[#This Row],[Intitulé]]</f>
        <v>Risques chimiques</v>
      </c>
      <c r="I289" s="284">
        <f>Tableau1[[#This Row],[Priorité
mger]]</f>
        <v>0</v>
      </c>
      <c r="J289" s="284" t="str">
        <f>Tableau1[[#This Row],[Organisme]]</f>
        <v>APAVE</v>
      </c>
      <c r="K289" s="284">
        <f>Tableau1[[#This Row],[Durée
H]]</f>
        <v>7</v>
      </c>
      <c r="L289" s="92">
        <f>Tableau1[[#This Row],[Coût
péda.]]</f>
        <v>162</v>
      </c>
      <c r="M289" s="284" t="str">
        <f>Tableau1[[#This Row],[Dispositif
(Plan / DIF)]]</f>
        <v>Plan</v>
      </c>
      <c r="N289" s="284" t="str">
        <f>Tableau1[[#This Row],[Axe
  (note cadrage)]]</f>
        <v>Formation obligatoire</v>
      </c>
      <c r="O289" s="285">
        <f>Tableau1[[#This Row],[Validation
(Oui/Non)]]</f>
        <v>0</v>
      </c>
      <c r="P289" s="287" t="str">
        <f>Tableau1[[#This Row],[Calendrier
de réalisation]]</f>
        <v>2019-Q2</v>
      </c>
      <c r="Q289" s="284"/>
      <c r="S289" s="286" t="str">
        <f>IFERROR(VLOOKUP('Plan 2019 consolidé'!$E289,Tableau5[],COLUMN(Tableau5[[#This Row],[Sexe2]]),FALSE),"")</f>
        <v/>
      </c>
      <c r="W289" s="286" t="str">
        <f>IFERROR(VLOOKUP('Plan 2019 consolidé'!$E289,Tableau5[],COLUMN(Tableau5[[#This Row],[Age]]),FALSE),"")</f>
        <v/>
      </c>
      <c r="X289" s="286" t="str">
        <f>IFERROR(VLOOKUP('Plan 2019 consolidé'!$E289,Tableau5[],COLUMN(Tableau5[[#This Row],[Nombre d''années d''ancienneté dans la société]]),FALSE),"")</f>
        <v/>
      </c>
    </row>
    <row r="290" spans="1:24" x14ac:dyDescent="0.25">
      <c r="A290" s="284" t="str">
        <f>Tableau1[[#This Row],[Service]]</f>
        <v>DVC</v>
      </c>
      <c r="B290" s="284" t="str">
        <f>Tableau1[[#This Row],[Site]]</f>
        <v>STG</v>
      </c>
      <c r="C290" s="284" t="str">
        <f>Tableau1[[#This Row],[Manager]]</f>
        <v>XUEREB</v>
      </c>
      <c r="D290" s="284">
        <f>Tableau1[[#This Row],[Matricule]]</f>
        <v>109706</v>
      </c>
      <c r="E290" s="284" t="str">
        <f>Tableau1[[#This Row],[Nom]]</f>
        <v>SIMIAN-MERMIER</v>
      </c>
      <c r="F290" s="284" t="str">
        <f>Tableau1[[#This Row],[Prénom]]</f>
        <v>Steeve</v>
      </c>
      <c r="G290" s="284" t="str">
        <f>Tableau1[[#This Row],[Axe
(Filières)]]</f>
        <v>Sécurité</v>
      </c>
      <c r="H290" s="284" t="str">
        <f>Tableau1[[#This Row],[Intitulé]]</f>
        <v>Recyclage pont rou</v>
      </c>
      <c r="I290" s="284">
        <f>Tableau1[[#This Row],[Priorité
mger]]</f>
        <v>0</v>
      </c>
      <c r="J290" s="284" t="str">
        <f>Tableau1[[#This Row],[Organisme]]</f>
        <v>APAVE</v>
      </c>
      <c r="K290" s="284">
        <f>Tableau1[[#This Row],[Durée
H]]</f>
        <v>7</v>
      </c>
      <c r="L290" s="92">
        <f>Tableau1[[#This Row],[Coût
péda.]]</f>
        <v>165</v>
      </c>
      <c r="M290" s="284" t="str">
        <f>Tableau1[[#This Row],[Dispositif
(Plan / DIF)]]</f>
        <v>Plan</v>
      </c>
      <c r="N290" s="284" t="str">
        <f>Tableau1[[#This Row],[Axe
  (note cadrage)]]</f>
        <v>Formation obligatoire</v>
      </c>
      <c r="O290" s="285">
        <f>Tableau1[[#This Row],[Validation
(Oui/Non)]]</f>
        <v>0</v>
      </c>
      <c r="P290" s="287" t="str">
        <f>Tableau1[[#This Row],[Calendrier
de réalisation]]</f>
        <v/>
      </c>
      <c r="Q290" s="284"/>
      <c r="S290" s="286" t="str">
        <f>IFERROR(VLOOKUP('Plan 2019 consolidé'!$E290,Tableau5[],COLUMN(Tableau5[[#This Row],[Sexe2]]),FALSE),"")</f>
        <v/>
      </c>
      <c r="W290" s="286" t="str">
        <f>IFERROR(VLOOKUP('Plan 2019 consolidé'!$E290,Tableau5[],COLUMN(Tableau5[[#This Row],[Age]]),FALSE),"")</f>
        <v/>
      </c>
      <c r="X290" s="286" t="str">
        <f>IFERROR(VLOOKUP('Plan 2019 consolidé'!$E290,Tableau5[],COLUMN(Tableau5[[#This Row],[Nombre d''années d''ancienneté dans la société]]),FALSE),"")</f>
        <v/>
      </c>
    </row>
    <row r="291" spans="1:24" x14ac:dyDescent="0.25">
      <c r="A291" s="284" t="str">
        <f>Tableau1[[#This Row],[Service]]</f>
        <v>DVC</v>
      </c>
      <c r="B291" s="284" t="str">
        <f>Tableau1[[#This Row],[Site]]</f>
        <v>STG</v>
      </c>
      <c r="C291" s="284" t="str">
        <f>Tableau1[[#This Row],[Manager]]</f>
        <v>XUEREB</v>
      </c>
      <c r="D291" s="284">
        <f>Tableau1[[#This Row],[Matricule]]</f>
        <v>109706</v>
      </c>
      <c r="E291" s="284" t="str">
        <f>Tableau1[[#This Row],[Nom]]</f>
        <v>SIMIAN-MERMIER</v>
      </c>
      <c r="F291" s="284" t="str">
        <f>Tableau1[[#This Row],[Prénom]]</f>
        <v>Steeve</v>
      </c>
      <c r="G291" s="284" t="str">
        <f>Tableau1[[#This Row],[Axe
(Filières)]]</f>
        <v>Sécurité</v>
      </c>
      <c r="H291" s="284" t="str">
        <f>Tableau1[[#This Row],[Intitulé]]</f>
        <v>HAB ELEC</v>
      </c>
      <c r="I291" s="284">
        <f>Tableau1[[#This Row],[Priorité
mger]]</f>
        <v>0</v>
      </c>
      <c r="J291" s="284" t="str">
        <f>Tableau1[[#This Row],[Organisme]]</f>
        <v>SEEF</v>
      </c>
      <c r="K291" s="284">
        <f>Tableau1[[#This Row],[Durée
H]]</f>
        <v>10.5</v>
      </c>
      <c r="L291" s="92">
        <f>Tableau1[[#This Row],[Coût
péda.]]</f>
        <v>260</v>
      </c>
      <c r="M291" s="284" t="str">
        <f>Tableau1[[#This Row],[Dispositif
(Plan / DIF)]]</f>
        <v>Plan</v>
      </c>
      <c r="N291" s="284" t="str">
        <f>Tableau1[[#This Row],[Axe
  (note cadrage)]]</f>
        <v>Formation obligatoire</v>
      </c>
      <c r="O291" s="285">
        <f>Tableau1[[#This Row],[Validation
(Oui/Non)]]</f>
        <v>0</v>
      </c>
      <c r="P291" s="287" t="str">
        <f>Tableau1[[#This Row],[Calendrier
de réalisation]]</f>
        <v/>
      </c>
      <c r="Q291" s="284"/>
      <c r="S291" s="286" t="str">
        <f>IFERROR(VLOOKUP('Plan 2019 consolidé'!$E291,Tableau5[],COLUMN(Tableau5[[#This Row],[Sexe2]]),FALSE),"")</f>
        <v/>
      </c>
      <c r="W291" s="286" t="str">
        <f>IFERROR(VLOOKUP('Plan 2019 consolidé'!$E291,Tableau5[],COLUMN(Tableau5[[#This Row],[Age]]),FALSE),"")</f>
        <v/>
      </c>
      <c r="X291" s="286" t="str">
        <f>IFERROR(VLOOKUP('Plan 2019 consolidé'!$E291,Tableau5[],COLUMN(Tableau5[[#This Row],[Nombre d''années d''ancienneté dans la société]]),FALSE),"")</f>
        <v/>
      </c>
    </row>
    <row r="292" spans="1:24" x14ac:dyDescent="0.25">
      <c r="A292" s="284" t="str">
        <f>Tableau1[[#This Row],[Service]]</f>
        <v>Non DVC</v>
      </c>
      <c r="B292" s="284" t="str">
        <f>Tableau1[[#This Row],[Site]]</f>
        <v>Aub.</v>
      </c>
      <c r="C292" s="284" t="str">
        <f>Tableau1[[#This Row],[Manager]]</f>
        <v>PIFFAUT</v>
      </c>
      <c r="D292" s="284">
        <f>Tableau1[[#This Row],[Matricule]]</f>
        <v>103008</v>
      </c>
      <c r="E292" s="284" t="str">
        <f>Tableau1[[#This Row],[Nom]]</f>
        <v>SINACORI</v>
      </c>
      <c r="F292" s="284" t="str">
        <f>Tableau1[[#This Row],[Prénom]]</f>
        <v>Gilles</v>
      </c>
      <c r="G292" s="284" t="str">
        <f>Tableau1[[#This Row],[Axe
(Filières)]]</f>
        <v>Sécurité</v>
      </c>
      <c r="H292" s="284" t="str">
        <f>Tableau1[[#This Row],[Intitulé]]</f>
        <v>Incendie</v>
      </c>
      <c r="I292" s="284">
        <f>Tableau1[[#This Row],[Priorité
mger]]</f>
        <v>0</v>
      </c>
      <c r="J292" s="284" t="str">
        <f>Tableau1[[#This Row],[Organisme]]</f>
        <v>APAVE</v>
      </c>
      <c r="K292" s="284">
        <f>Tableau1[[#This Row],[Durée
H]]</f>
        <v>1.5</v>
      </c>
      <c r="L292" s="92">
        <f>Tableau1[[#This Row],[Coût
péda.]]</f>
        <v>53</v>
      </c>
      <c r="M292" s="284" t="str">
        <f>Tableau1[[#This Row],[Dispositif
(Plan / DIF)]]</f>
        <v>Plan</v>
      </c>
      <c r="N292" s="284" t="str">
        <f>Tableau1[[#This Row],[Axe
  (note cadrage)]]</f>
        <v>Formation obligatoire</v>
      </c>
      <c r="O292" s="285">
        <f>Tableau1[[#This Row],[Validation
(Oui/Non)]]</f>
        <v>0</v>
      </c>
      <c r="P292" s="287" t="str">
        <f>Tableau1[[#This Row],[Calendrier
de réalisation]]</f>
        <v>2019-Q2</v>
      </c>
      <c r="Q292" s="284"/>
      <c r="S292" s="286" t="str">
        <f>IFERROR(VLOOKUP('Plan 2019 consolidé'!$E292,Tableau5[],COLUMN(Tableau5[[#This Row],[Sexe2]]),FALSE),"")</f>
        <v/>
      </c>
      <c r="W292" s="286" t="str">
        <f>IFERROR(VLOOKUP('Plan 2019 consolidé'!$E292,Tableau5[],COLUMN(Tableau5[[#This Row],[Age]]),FALSE),"")</f>
        <v/>
      </c>
      <c r="X292" s="286" t="str">
        <f>IFERROR(VLOOKUP('Plan 2019 consolidé'!$E292,Tableau5[],COLUMN(Tableau5[[#This Row],[Nombre d''années d''ancienneté dans la société]]),FALSE),"")</f>
        <v/>
      </c>
    </row>
    <row r="293" spans="1:24" x14ac:dyDescent="0.25">
      <c r="A293" s="284" t="str">
        <f>Tableau1[[#This Row],[Service]]</f>
        <v>DVC</v>
      </c>
      <c r="B293" s="284" t="str">
        <f>Tableau1[[#This Row],[Site]]</f>
        <v>Aub.</v>
      </c>
      <c r="C293" s="284" t="str">
        <f>Tableau1[[#This Row],[Manager]]</f>
        <v>SENEPART</v>
      </c>
      <c r="D293" s="284">
        <f>Tableau1[[#This Row],[Matricule]]</f>
        <v>103000</v>
      </c>
      <c r="E293" s="284" t="str">
        <f>Tableau1[[#This Row],[Nom]]</f>
        <v>SOUCHE</v>
      </c>
      <c r="F293" s="284" t="str">
        <f>Tableau1[[#This Row],[Prénom]]</f>
        <v>Stephane</v>
      </c>
      <c r="G293" s="284" t="str">
        <f>Tableau1[[#This Row],[Axe
(Filières)]]</f>
        <v>Sécurité</v>
      </c>
      <c r="H293" s="284" t="str">
        <f>Tableau1[[#This Row],[Intitulé]]</f>
        <v>Incendie</v>
      </c>
      <c r="I293" s="284">
        <f>Tableau1[[#This Row],[Priorité
mger]]</f>
        <v>0</v>
      </c>
      <c r="J293" s="284" t="str">
        <f>Tableau1[[#This Row],[Organisme]]</f>
        <v>APAVE</v>
      </c>
      <c r="K293" s="284">
        <f>Tableau1[[#This Row],[Durée
H]]</f>
        <v>1.5</v>
      </c>
      <c r="L293" s="92">
        <f>Tableau1[[#This Row],[Coût
péda.]]</f>
        <v>53</v>
      </c>
      <c r="M293" s="284" t="str">
        <f>Tableau1[[#This Row],[Dispositif
(Plan / DIF)]]</f>
        <v>Plan</v>
      </c>
      <c r="N293" s="284" t="str">
        <f>Tableau1[[#This Row],[Axe
  (note cadrage)]]</f>
        <v>Formation obligatoire</v>
      </c>
      <c r="O293" s="285">
        <f>Tableau1[[#This Row],[Validation
(Oui/Non)]]</f>
        <v>0</v>
      </c>
      <c r="P293" s="287" t="str">
        <f>Tableau1[[#This Row],[Calendrier
de réalisation]]</f>
        <v>2019-Q2</v>
      </c>
      <c r="Q293" s="284"/>
      <c r="S293" s="286" t="str">
        <f>IFERROR(VLOOKUP('Plan 2019 consolidé'!$E293,Tableau5[],COLUMN(Tableau5[[#This Row],[Sexe2]]),FALSE),"")</f>
        <v/>
      </c>
      <c r="W293" s="286" t="str">
        <f>IFERROR(VLOOKUP('Plan 2019 consolidé'!$E293,Tableau5[],COLUMN(Tableau5[[#This Row],[Age]]),FALSE),"")</f>
        <v/>
      </c>
      <c r="X293" s="286" t="str">
        <f>IFERROR(VLOOKUP('Plan 2019 consolidé'!$E293,Tableau5[],COLUMN(Tableau5[[#This Row],[Nombre d''années d''ancienneté dans la société]]),FALSE),"")</f>
        <v/>
      </c>
    </row>
    <row r="294" spans="1:24" x14ac:dyDescent="0.25">
      <c r="A294" s="284" t="str">
        <f>Tableau1[[#This Row],[Service]]</f>
        <v>DVC</v>
      </c>
      <c r="B294" s="284" t="str">
        <f>Tableau1[[#This Row],[Site]]</f>
        <v>Aub.</v>
      </c>
      <c r="C294" s="284" t="str">
        <f>Tableau1[[#This Row],[Manager]]</f>
        <v>SENEPART</v>
      </c>
      <c r="D294" s="284">
        <f>Tableau1[[#This Row],[Matricule]]</f>
        <v>103000</v>
      </c>
      <c r="E294" s="284" t="str">
        <f>Tableau1[[#This Row],[Nom]]</f>
        <v>SOUCHE</v>
      </c>
      <c r="F294" s="284" t="str">
        <f>Tableau1[[#This Row],[Prénom]]</f>
        <v>Stephane</v>
      </c>
      <c r="G294" s="284" t="str">
        <f>Tableau1[[#This Row],[Axe
(Filières)]]</f>
        <v>Sécurité</v>
      </c>
      <c r="H294" s="284" t="str">
        <f>Tableau1[[#This Row],[Intitulé]]</f>
        <v>Recyclage SST</v>
      </c>
      <c r="I294" s="284">
        <f>Tableau1[[#This Row],[Priorité
mger]]</f>
        <v>0</v>
      </c>
      <c r="J294" s="284" t="str">
        <f>Tableau1[[#This Row],[Organisme]]</f>
        <v>CFSP</v>
      </c>
      <c r="K294" s="284">
        <f>Tableau1[[#This Row],[Durée
H]]</f>
        <v>7</v>
      </c>
      <c r="L294" s="92">
        <f>Tableau1[[#This Row],[Coût
péda.]]</f>
        <v>117</v>
      </c>
      <c r="M294" s="284" t="str">
        <f>Tableau1[[#This Row],[Dispositif
(Plan / DIF)]]</f>
        <v>Plan</v>
      </c>
      <c r="N294" s="284" t="str">
        <f>Tableau1[[#This Row],[Axe
  (note cadrage)]]</f>
        <v>Formation obligatoire</v>
      </c>
      <c r="O294" s="285">
        <f>Tableau1[[#This Row],[Validation
(Oui/Non)]]</f>
        <v>0</v>
      </c>
      <c r="P294" s="287" t="str">
        <f>Tableau1[[#This Row],[Calendrier
de réalisation]]</f>
        <v/>
      </c>
      <c r="Q294" s="284"/>
      <c r="S294" s="286" t="str">
        <f>IFERROR(VLOOKUP('Plan 2019 consolidé'!$E294,Tableau5[],COLUMN(Tableau5[[#This Row],[Sexe2]]),FALSE),"")</f>
        <v/>
      </c>
      <c r="W294" s="286" t="str">
        <f>IFERROR(VLOOKUP('Plan 2019 consolidé'!$E294,Tableau5[],COLUMN(Tableau5[[#This Row],[Age]]),FALSE),"")</f>
        <v/>
      </c>
      <c r="X294" s="286" t="str">
        <f>IFERROR(VLOOKUP('Plan 2019 consolidé'!$E294,Tableau5[],COLUMN(Tableau5[[#This Row],[Nombre d''années d''ancienneté dans la société]]),FALSE),"")</f>
        <v/>
      </c>
    </row>
    <row r="295" spans="1:24" x14ac:dyDescent="0.25">
      <c r="A295" s="284" t="str">
        <f>Tableau1[[#This Row],[Service]]</f>
        <v>Non DVC</v>
      </c>
      <c r="B295" s="284" t="str">
        <f>Tableau1[[#This Row],[Site]]</f>
        <v>STG</v>
      </c>
      <c r="C295" s="284" t="str">
        <f>Tableau1[[#This Row],[Manager]]</f>
        <v>FOUASSIER</v>
      </c>
      <c r="D295" s="284">
        <f>Tableau1[[#This Row],[Matricule]]</f>
        <v>10524265</v>
      </c>
      <c r="E295" s="284" t="str">
        <f>Tableau1[[#This Row],[Nom]]</f>
        <v>TAYAC</v>
      </c>
      <c r="F295" s="284" t="str">
        <f>Tableau1[[#This Row],[Prénom]]</f>
        <v>Vincent</v>
      </c>
      <c r="G295" s="284" t="str">
        <f>Tableau1[[#This Row],[Axe
(Filières)]]</f>
        <v>Sécurité</v>
      </c>
      <c r="H295" s="284" t="str">
        <f>Tableau1[[#This Row],[Intitulé]]</f>
        <v>Incendie</v>
      </c>
      <c r="I295" s="284">
        <f>Tableau1[[#This Row],[Priorité
mger]]</f>
        <v>0</v>
      </c>
      <c r="J295" s="284" t="str">
        <f>Tableau1[[#This Row],[Organisme]]</f>
        <v>APAVE</v>
      </c>
      <c r="K295" s="284">
        <f>Tableau1[[#This Row],[Durée
H]]</f>
        <v>1.5</v>
      </c>
      <c r="L295" s="92">
        <f>Tableau1[[#This Row],[Coût
péda.]]</f>
        <v>53</v>
      </c>
      <c r="M295" s="284" t="str">
        <f>Tableau1[[#This Row],[Dispositif
(Plan / DIF)]]</f>
        <v>Plan</v>
      </c>
      <c r="N295" s="284" t="str">
        <f>Tableau1[[#This Row],[Axe
  (note cadrage)]]</f>
        <v>Formation obligatoire</v>
      </c>
      <c r="O295" s="285">
        <f>Tableau1[[#This Row],[Validation
(Oui/Non)]]</f>
        <v>0</v>
      </c>
      <c r="P295" s="287">
        <f>Tableau1[[#This Row],[Calendrier
de réalisation]]</f>
        <v>0</v>
      </c>
      <c r="Q295" s="284"/>
      <c r="S295" s="286" t="str">
        <f>IFERROR(VLOOKUP('Plan 2019 consolidé'!$E295,Tableau5[],COLUMN(Tableau5[[#This Row],[Sexe2]]),FALSE),"")</f>
        <v/>
      </c>
      <c r="W295" s="286" t="str">
        <f>IFERROR(VLOOKUP('Plan 2019 consolidé'!$E295,Tableau5[],COLUMN(Tableau5[[#This Row],[Age]]),FALSE),"")</f>
        <v/>
      </c>
      <c r="X295" s="286" t="str">
        <f>IFERROR(VLOOKUP('Plan 2019 consolidé'!$E295,Tableau5[],COLUMN(Tableau5[[#This Row],[Nombre d''années d''ancienneté dans la société]]),FALSE),"")</f>
        <v/>
      </c>
    </row>
    <row r="296" spans="1:24" x14ac:dyDescent="0.25">
      <c r="A296" s="284" t="str">
        <f>Tableau1[[#This Row],[Service]]</f>
        <v>DVC</v>
      </c>
      <c r="B296" s="284" t="str">
        <f>Tableau1[[#This Row],[Site]]</f>
        <v>STG</v>
      </c>
      <c r="C296" s="284" t="str">
        <f>Tableau1[[#This Row],[Manager]]</f>
        <v>XUEREB</v>
      </c>
      <c r="D296" s="284">
        <f>Tableau1[[#This Row],[Matricule]]</f>
        <v>10559265</v>
      </c>
      <c r="E296" s="284" t="str">
        <f>Tableau1[[#This Row],[Nom]]</f>
        <v>TESSONNIER</v>
      </c>
      <c r="F296" s="284" t="str">
        <f>Tableau1[[#This Row],[Prénom]]</f>
        <v>Jonathan</v>
      </c>
      <c r="G296" s="284" t="str">
        <f>Tableau1[[#This Row],[Axe
(Filières)]]</f>
        <v>Sécurité</v>
      </c>
      <c r="H296" s="284" t="str">
        <f>Tableau1[[#This Row],[Intitulé]]</f>
        <v>Gestes et postures</v>
      </c>
      <c r="I296" s="284">
        <f>Tableau1[[#This Row],[Priorité
mger]]</f>
        <v>0</v>
      </c>
      <c r="J296" s="284" t="str">
        <f>Tableau1[[#This Row],[Organisme]]</f>
        <v>APAVE</v>
      </c>
      <c r="K296" s="284">
        <f>Tableau1[[#This Row],[Durée
H]]</f>
        <v>7</v>
      </c>
      <c r="L296" s="92">
        <f>Tableau1[[#This Row],[Coût
péda.]]</f>
        <v>124</v>
      </c>
      <c r="M296" s="284" t="str">
        <f>Tableau1[[#This Row],[Dispositif
(Plan / DIF)]]</f>
        <v>Plan</v>
      </c>
      <c r="N296" s="284" t="str">
        <f>Tableau1[[#This Row],[Axe
  (note cadrage)]]</f>
        <v>Formation obligatoire</v>
      </c>
      <c r="O296" s="285">
        <f>Tableau1[[#This Row],[Validation
(Oui/Non)]]</f>
        <v>0</v>
      </c>
      <c r="P296" s="287">
        <f>Tableau1[[#This Row],[Calendrier
de réalisation]]</f>
        <v>0</v>
      </c>
      <c r="Q296" s="284"/>
      <c r="S296" s="286" t="str">
        <f>IFERROR(VLOOKUP('Plan 2019 consolidé'!$E296,Tableau5[],COLUMN(Tableau5[[#This Row],[Sexe2]]),FALSE),"")</f>
        <v/>
      </c>
      <c r="W296" s="286" t="str">
        <f>IFERROR(VLOOKUP('Plan 2019 consolidé'!$E296,Tableau5[],COLUMN(Tableau5[[#This Row],[Age]]),FALSE),"")</f>
        <v/>
      </c>
      <c r="X296" s="286" t="str">
        <f>IFERROR(VLOOKUP('Plan 2019 consolidé'!$E296,Tableau5[],COLUMN(Tableau5[[#This Row],[Nombre d''années d''ancienneté dans la société]]),FALSE),"")</f>
        <v/>
      </c>
    </row>
    <row r="297" spans="1:24" x14ac:dyDescent="0.25">
      <c r="A297" s="284" t="str">
        <f>Tableau1[[#This Row],[Service]]</f>
        <v>DVC</v>
      </c>
      <c r="B297" s="284" t="str">
        <f>Tableau1[[#This Row],[Site]]</f>
        <v>STG</v>
      </c>
      <c r="C297" s="284" t="str">
        <f>Tableau1[[#This Row],[Manager]]</f>
        <v>XUEREB</v>
      </c>
      <c r="D297" s="284">
        <f>Tableau1[[#This Row],[Matricule]]</f>
        <v>10559265</v>
      </c>
      <c r="E297" s="284" t="str">
        <f>Tableau1[[#This Row],[Nom]]</f>
        <v>TESSONNIER</v>
      </c>
      <c r="F297" s="284" t="str">
        <f>Tableau1[[#This Row],[Prénom]]</f>
        <v>Jonathan</v>
      </c>
      <c r="G297" s="284" t="str">
        <f>Tableau1[[#This Row],[Axe
(Filières)]]</f>
        <v>Sécurité</v>
      </c>
      <c r="H297" s="284" t="str">
        <f>Tableau1[[#This Row],[Intitulé]]</f>
        <v>Incendie</v>
      </c>
      <c r="I297" s="284">
        <f>Tableau1[[#This Row],[Priorité
mger]]</f>
        <v>0</v>
      </c>
      <c r="J297" s="284" t="str">
        <f>Tableau1[[#This Row],[Organisme]]</f>
        <v>APAVE</v>
      </c>
      <c r="K297" s="284">
        <f>Tableau1[[#This Row],[Durée
H]]</f>
        <v>1.5</v>
      </c>
      <c r="L297" s="92">
        <f>Tableau1[[#This Row],[Coût
péda.]]</f>
        <v>53</v>
      </c>
      <c r="M297" s="284" t="str">
        <f>Tableau1[[#This Row],[Dispositif
(Plan / DIF)]]</f>
        <v>Plan</v>
      </c>
      <c r="N297" s="284" t="str">
        <f>Tableau1[[#This Row],[Axe
  (note cadrage)]]</f>
        <v>Formation obligatoire</v>
      </c>
      <c r="O297" s="285">
        <f>Tableau1[[#This Row],[Validation
(Oui/Non)]]</f>
        <v>0</v>
      </c>
      <c r="P297" s="287">
        <f>Tableau1[[#This Row],[Calendrier
de réalisation]]</f>
        <v>0</v>
      </c>
      <c r="Q297" s="284"/>
      <c r="S297" s="286" t="str">
        <f>IFERROR(VLOOKUP('Plan 2019 consolidé'!$E297,Tableau5[],COLUMN(Tableau5[[#This Row],[Sexe2]]),FALSE),"")</f>
        <v/>
      </c>
      <c r="W297" s="286" t="str">
        <f>IFERROR(VLOOKUP('Plan 2019 consolidé'!$E297,Tableau5[],COLUMN(Tableau5[[#This Row],[Age]]),FALSE),"")</f>
        <v/>
      </c>
      <c r="X297" s="286" t="str">
        <f>IFERROR(VLOOKUP('Plan 2019 consolidé'!$E297,Tableau5[],COLUMN(Tableau5[[#This Row],[Nombre d''années d''ancienneté dans la société]]),FALSE),"")</f>
        <v/>
      </c>
    </row>
    <row r="298" spans="1:24" x14ac:dyDescent="0.25">
      <c r="A298" s="284" t="str">
        <f>Tableau1[[#This Row],[Service]]</f>
        <v>Non DVC</v>
      </c>
      <c r="B298" s="284" t="str">
        <f>Tableau1[[#This Row],[Site]]</f>
        <v>Aub.</v>
      </c>
      <c r="C298" s="284" t="str">
        <f>Tableau1[[#This Row],[Manager]]</f>
        <v>RICCARDI</v>
      </c>
      <c r="D298" s="284">
        <f>Tableau1[[#This Row],[Matricule]]</f>
        <v>103065</v>
      </c>
      <c r="E298" s="284" t="str">
        <f>Tableau1[[#This Row],[Nom]]</f>
        <v>TEYSSIERS</v>
      </c>
      <c r="F298" s="284" t="str">
        <f>Tableau1[[#This Row],[Prénom]]</f>
        <v>Sylvie</v>
      </c>
      <c r="G298" s="284" t="str">
        <f>Tableau1[[#This Row],[Axe
(Filières)]]</f>
        <v>Sécurité</v>
      </c>
      <c r="H298" s="284" t="str">
        <f>Tableau1[[#This Row],[Intitulé]]</f>
        <v>Gestes et postures</v>
      </c>
      <c r="I298" s="284">
        <f>Tableau1[[#This Row],[Priorité
mger]]</f>
        <v>0</v>
      </c>
      <c r="J298" s="284" t="str">
        <f>Tableau1[[#This Row],[Organisme]]</f>
        <v>APAVE</v>
      </c>
      <c r="K298" s="284">
        <f>Tableau1[[#This Row],[Durée
H]]</f>
        <v>7</v>
      </c>
      <c r="L298" s="92">
        <f>Tableau1[[#This Row],[Coût
péda.]]</f>
        <v>124</v>
      </c>
      <c r="M298" s="284" t="str">
        <f>Tableau1[[#This Row],[Dispositif
(Plan / DIF)]]</f>
        <v>Plan</v>
      </c>
      <c r="N298" s="284" t="str">
        <f>Tableau1[[#This Row],[Axe
  (note cadrage)]]</f>
        <v>Formation obligatoire</v>
      </c>
      <c r="O298" s="285">
        <f>Tableau1[[#This Row],[Validation
(Oui/Non)]]</f>
        <v>0</v>
      </c>
      <c r="P298" s="287" t="str">
        <f>Tableau1[[#This Row],[Calendrier
de réalisation]]</f>
        <v/>
      </c>
      <c r="Q298" s="284"/>
      <c r="S298" s="286" t="str">
        <f>IFERROR(VLOOKUP('Plan 2019 consolidé'!$E298,Tableau5[],COLUMN(Tableau5[[#This Row],[Sexe2]]),FALSE),"")</f>
        <v/>
      </c>
      <c r="W298" s="286" t="str">
        <f>IFERROR(VLOOKUP('Plan 2019 consolidé'!$E298,Tableau5[],COLUMN(Tableau5[[#This Row],[Age]]),FALSE),"")</f>
        <v/>
      </c>
      <c r="X298" s="286" t="str">
        <f>IFERROR(VLOOKUP('Plan 2019 consolidé'!$E298,Tableau5[],COLUMN(Tableau5[[#This Row],[Nombre d''années d''ancienneté dans la société]]),FALSE),"")</f>
        <v/>
      </c>
    </row>
    <row r="299" spans="1:24" x14ac:dyDescent="0.25">
      <c r="A299" s="284" t="str">
        <f>Tableau1[[#This Row],[Service]]</f>
        <v>Non DVC</v>
      </c>
      <c r="B299" s="284" t="str">
        <f>Tableau1[[#This Row],[Site]]</f>
        <v>Aub.</v>
      </c>
      <c r="C299" s="284" t="str">
        <f>Tableau1[[#This Row],[Manager]]</f>
        <v>RICCARDI</v>
      </c>
      <c r="D299" s="284">
        <f>Tableau1[[#This Row],[Matricule]]</f>
        <v>103065</v>
      </c>
      <c r="E299" s="284" t="str">
        <f>Tableau1[[#This Row],[Nom]]</f>
        <v>TEYSSIERS</v>
      </c>
      <c r="F299" s="284" t="str">
        <f>Tableau1[[#This Row],[Prénom]]</f>
        <v>Sylvie</v>
      </c>
      <c r="G299" s="284" t="str">
        <f>Tableau1[[#This Row],[Axe
(Filières)]]</f>
        <v>Sécurité</v>
      </c>
      <c r="H299" s="284" t="str">
        <f>Tableau1[[#This Row],[Intitulé]]</f>
        <v>Incendie</v>
      </c>
      <c r="I299" s="284">
        <f>Tableau1[[#This Row],[Priorité
mger]]</f>
        <v>0</v>
      </c>
      <c r="J299" s="284" t="str">
        <f>Tableau1[[#This Row],[Organisme]]</f>
        <v>APAVE</v>
      </c>
      <c r="K299" s="284">
        <f>Tableau1[[#This Row],[Durée
H]]</f>
        <v>1.5</v>
      </c>
      <c r="L299" s="92">
        <f>Tableau1[[#This Row],[Coût
péda.]]</f>
        <v>53</v>
      </c>
      <c r="M299" s="284" t="str">
        <f>Tableau1[[#This Row],[Dispositif
(Plan / DIF)]]</f>
        <v>Plan</v>
      </c>
      <c r="N299" s="284" t="str">
        <f>Tableau1[[#This Row],[Axe
  (note cadrage)]]</f>
        <v>Formation obligatoire</v>
      </c>
      <c r="O299" s="285">
        <f>Tableau1[[#This Row],[Validation
(Oui/Non)]]</f>
        <v>0</v>
      </c>
      <c r="P299" s="287" t="str">
        <f>Tableau1[[#This Row],[Calendrier
de réalisation]]</f>
        <v>2019-Q2</v>
      </c>
      <c r="Q299" s="284"/>
      <c r="S299" s="286" t="str">
        <f>IFERROR(VLOOKUP('Plan 2019 consolidé'!$E299,Tableau5[],COLUMN(Tableau5[[#This Row],[Sexe2]]),FALSE),"")</f>
        <v/>
      </c>
      <c r="W299" s="286" t="str">
        <f>IFERROR(VLOOKUP('Plan 2019 consolidé'!$E299,Tableau5[],COLUMN(Tableau5[[#This Row],[Age]]),FALSE),"")</f>
        <v/>
      </c>
      <c r="X299" s="286" t="str">
        <f>IFERROR(VLOOKUP('Plan 2019 consolidé'!$E299,Tableau5[],COLUMN(Tableau5[[#This Row],[Nombre d''années d''ancienneté dans la société]]),FALSE),"")</f>
        <v/>
      </c>
    </row>
    <row r="300" spans="1:24" x14ac:dyDescent="0.25">
      <c r="A300" s="284" t="str">
        <f>Tableau1[[#This Row],[Service]]</f>
        <v>Non DVC</v>
      </c>
      <c r="B300" s="284" t="str">
        <f>Tableau1[[#This Row],[Site]]</f>
        <v>Aub.</v>
      </c>
      <c r="C300" s="284" t="str">
        <f>Tableau1[[#This Row],[Manager]]</f>
        <v>RICCARDI</v>
      </c>
      <c r="D300" s="284">
        <f>Tableau1[[#This Row],[Matricule]]</f>
        <v>103065</v>
      </c>
      <c r="E300" s="284" t="str">
        <f>Tableau1[[#This Row],[Nom]]</f>
        <v>TEYSSIERS</v>
      </c>
      <c r="F300" s="284" t="str">
        <f>Tableau1[[#This Row],[Prénom]]</f>
        <v>Sylvie</v>
      </c>
      <c r="G300" s="284" t="str">
        <f>Tableau1[[#This Row],[Axe
(Filières)]]</f>
        <v>Sécurité</v>
      </c>
      <c r="H300" s="284" t="str">
        <f>Tableau1[[#This Row],[Intitulé]]</f>
        <v>Recyclage SST</v>
      </c>
      <c r="I300" s="284">
        <f>Tableau1[[#This Row],[Priorité
mger]]</f>
        <v>0</v>
      </c>
      <c r="J300" s="284" t="str">
        <f>Tableau1[[#This Row],[Organisme]]</f>
        <v>CFSP</v>
      </c>
      <c r="K300" s="284">
        <f>Tableau1[[#This Row],[Durée
H]]</f>
        <v>7</v>
      </c>
      <c r="L300" s="92">
        <f>Tableau1[[#This Row],[Coût
péda.]]</f>
        <v>117</v>
      </c>
      <c r="M300" s="284" t="str">
        <f>Tableau1[[#This Row],[Dispositif
(Plan / DIF)]]</f>
        <v>Plan</v>
      </c>
      <c r="N300" s="284" t="str">
        <f>Tableau1[[#This Row],[Axe
  (note cadrage)]]</f>
        <v>Formation obligatoire</v>
      </c>
      <c r="O300" s="285">
        <f>Tableau1[[#This Row],[Validation
(Oui/Non)]]</f>
        <v>0</v>
      </c>
      <c r="P300" s="287" t="str">
        <f>Tableau1[[#This Row],[Calendrier
de réalisation]]</f>
        <v/>
      </c>
      <c r="Q300" s="284"/>
      <c r="S300" s="286" t="str">
        <f>IFERROR(VLOOKUP('Plan 2019 consolidé'!$E300,Tableau5[],COLUMN(Tableau5[[#This Row],[Sexe2]]),FALSE),"")</f>
        <v/>
      </c>
      <c r="W300" s="286" t="str">
        <f>IFERROR(VLOOKUP('Plan 2019 consolidé'!$E300,Tableau5[],COLUMN(Tableau5[[#This Row],[Age]]),FALSE),"")</f>
        <v/>
      </c>
      <c r="X300" s="286" t="str">
        <f>IFERROR(VLOOKUP('Plan 2019 consolidé'!$E300,Tableau5[],COLUMN(Tableau5[[#This Row],[Nombre d''années d''ancienneté dans la société]]),FALSE),"")</f>
        <v/>
      </c>
    </row>
    <row r="301" spans="1:24" x14ac:dyDescent="0.25">
      <c r="A301" s="284" t="str">
        <f>Tableau1[[#This Row],[Service]]</f>
        <v>DVC</v>
      </c>
      <c r="B301" s="284" t="str">
        <f>Tableau1[[#This Row],[Site]]</f>
        <v>Aub.</v>
      </c>
      <c r="C301" s="284" t="str">
        <f>Tableau1[[#This Row],[Manager]]</f>
        <v>ALIX</v>
      </c>
      <c r="D301" s="284">
        <f>Tableau1[[#This Row],[Matricule]]</f>
        <v>102889</v>
      </c>
      <c r="E301" s="284" t="str">
        <f>Tableau1[[#This Row],[Nom]]</f>
        <v>TOURMEAU</v>
      </c>
      <c r="F301" s="284" t="str">
        <f>Tableau1[[#This Row],[Prénom]]</f>
        <v>Lydia</v>
      </c>
      <c r="G301" s="284" t="str">
        <f>Tableau1[[#This Row],[Axe
(Filières)]]</f>
        <v>Sécurité</v>
      </c>
      <c r="H301" s="284" t="str">
        <f>Tableau1[[#This Row],[Intitulé]]</f>
        <v>Recyclage SST</v>
      </c>
      <c r="I301" s="284">
        <f>Tableau1[[#This Row],[Priorité
mger]]</f>
        <v>0</v>
      </c>
      <c r="J301" s="284" t="str">
        <f>Tableau1[[#This Row],[Organisme]]</f>
        <v>CFSP</v>
      </c>
      <c r="K301" s="284">
        <f>Tableau1[[#This Row],[Durée
H]]</f>
        <v>7</v>
      </c>
      <c r="L301" s="92">
        <f>Tableau1[[#This Row],[Coût
péda.]]</f>
        <v>117</v>
      </c>
      <c r="M301" s="284" t="str">
        <f>Tableau1[[#This Row],[Dispositif
(Plan / DIF)]]</f>
        <v>Plan</v>
      </c>
      <c r="N301" s="284" t="str">
        <f>Tableau1[[#This Row],[Axe
  (note cadrage)]]</f>
        <v>Formation obligatoire</v>
      </c>
      <c r="O301" s="285">
        <f>Tableau1[[#This Row],[Validation
(Oui/Non)]]</f>
        <v>0</v>
      </c>
      <c r="P301" s="287" t="str">
        <f>Tableau1[[#This Row],[Calendrier
de réalisation]]</f>
        <v/>
      </c>
      <c r="Q301" s="284"/>
      <c r="S301" s="286" t="str">
        <f>IFERROR(VLOOKUP('Plan 2019 consolidé'!$E301,Tableau5[],COLUMN(Tableau5[[#This Row],[Sexe2]]),FALSE),"")</f>
        <v/>
      </c>
      <c r="W301" s="286" t="str">
        <f>IFERROR(VLOOKUP('Plan 2019 consolidé'!$E301,Tableau5[],COLUMN(Tableau5[[#This Row],[Age]]),FALSE),"")</f>
        <v/>
      </c>
      <c r="X301" s="286" t="str">
        <f>IFERROR(VLOOKUP('Plan 2019 consolidé'!$E301,Tableau5[],COLUMN(Tableau5[[#This Row],[Nombre d''années d''ancienneté dans la société]]),FALSE),"")</f>
        <v/>
      </c>
    </row>
    <row r="302" spans="1:24" x14ac:dyDescent="0.25">
      <c r="A302" s="284" t="str">
        <f>Tableau1[[#This Row],[Service]]</f>
        <v>DVC</v>
      </c>
      <c r="B302" s="284" t="str">
        <f>Tableau1[[#This Row],[Site]]</f>
        <v>STG</v>
      </c>
      <c r="C302" s="284" t="str">
        <f>Tableau1[[#This Row],[Manager]]</f>
        <v>FOUASSIER</v>
      </c>
      <c r="D302" s="284">
        <f>Tableau1[[#This Row],[Matricule]]</f>
        <v>136680</v>
      </c>
      <c r="E302" s="284" t="str">
        <f>Tableau1[[#This Row],[Nom]]</f>
        <v>VACCHIANI</v>
      </c>
      <c r="F302" s="284" t="str">
        <f>Tableau1[[#This Row],[Prénom]]</f>
        <v>Patrick</v>
      </c>
      <c r="G302" s="284" t="str">
        <f>Tableau1[[#This Row],[Axe
(Filières)]]</f>
        <v>Sécurité</v>
      </c>
      <c r="H302" s="284" t="str">
        <f>Tableau1[[#This Row],[Intitulé]]</f>
        <v>Incendie</v>
      </c>
      <c r="I302" s="284">
        <f>Tableau1[[#This Row],[Priorité
mger]]</f>
        <v>0</v>
      </c>
      <c r="J302" s="284" t="str">
        <f>Tableau1[[#This Row],[Organisme]]</f>
        <v>APAVE</v>
      </c>
      <c r="K302" s="284">
        <f>Tableau1[[#This Row],[Durée
H]]</f>
        <v>1.5</v>
      </c>
      <c r="L302" s="92">
        <f>Tableau1[[#This Row],[Coût
péda.]]</f>
        <v>53</v>
      </c>
      <c r="M302" s="284" t="str">
        <f>Tableau1[[#This Row],[Dispositif
(Plan / DIF)]]</f>
        <v>Plan</v>
      </c>
      <c r="N302" s="284" t="str">
        <f>Tableau1[[#This Row],[Axe
  (note cadrage)]]</f>
        <v>Formation obligatoire</v>
      </c>
      <c r="O302" s="285">
        <f>Tableau1[[#This Row],[Validation
(Oui/Non)]]</f>
        <v>0</v>
      </c>
      <c r="P302" s="287">
        <f>Tableau1[[#This Row],[Calendrier
de réalisation]]</f>
        <v>0</v>
      </c>
      <c r="Q302" s="284"/>
      <c r="S302" s="286" t="str">
        <f>IFERROR(VLOOKUP('Plan 2019 consolidé'!$E302,Tableau5[],COLUMN(Tableau5[[#This Row],[Sexe2]]),FALSE),"")</f>
        <v/>
      </c>
      <c r="W302" s="286" t="str">
        <f>IFERROR(VLOOKUP('Plan 2019 consolidé'!$E302,Tableau5[],COLUMN(Tableau5[[#This Row],[Age]]),FALSE),"")</f>
        <v/>
      </c>
      <c r="X302" s="286" t="str">
        <f>IFERROR(VLOOKUP('Plan 2019 consolidé'!$E302,Tableau5[],COLUMN(Tableau5[[#This Row],[Nombre d''années d''ancienneté dans la société]]),FALSE),"")</f>
        <v/>
      </c>
    </row>
    <row r="303" spans="1:24" x14ac:dyDescent="0.25">
      <c r="A303" s="284" t="str">
        <f>Tableau1[[#This Row],[Service]]</f>
        <v>DVC</v>
      </c>
      <c r="B303" s="284" t="str">
        <f>Tableau1[[#This Row],[Site]]</f>
        <v>Aub.</v>
      </c>
      <c r="C303" s="284" t="str">
        <f>Tableau1[[#This Row],[Manager]]</f>
        <v>ALIX</v>
      </c>
      <c r="D303" s="284">
        <f>Tableau1[[#This Row],[Matricule]]</f>
        <v>102964</v>
      </c>
      <c r="E303" s="284" t="str">
        <f>Tableau1[[#This Row],[Nom]]</f>
        <v>VANIER</v>
      </c>
      <c r="F303" s="284" t="str">
        <f>Tableau1[[#This Row],[Prénom]]</f>
        <v>Bruno</v>
      </c>
      <c r="G303" s="284" t="str">
        <f>Tableau1[[#This Row],[Axe
(Filières)]]</f>
        <v>Sécurité</v>
      </c>
      <c r="H303" s="284" t="str">
        <f>Tableau1[[#This Row],[Intitulé]]</f>
        <v>Incendie</v>
      </c>
      <c r="I303" s="284">
        <f>Tableau1[[#This Row],[Priorité
mger]]</f>
        <v>0</v>
      </c>
      <c r="J303" s="284" t="str">
        <f>Tableau1[[#This Row],[Organisme]]</f>
        <v>APAVE</v>
      </c>
      <c r="K303" s="284">
        <f>Tableau1[[#This Row],[Durée
H]]</f>
        <v>1.5</v>
      </c>
      <c r="L303" s="92">
        <f>Tableau1[[#This Row],[Coût
péda.]]</f>
        <v>53</v>
      </c>
      <c r="M303" s="284" t="str">
        <f>Tableau1[[#This Row],[Dispositif
(Plan / DIF)]]</f>
        <v>Plan</v>
      </c>
      <c r="N303" s="284" t="str">
        <f>Tableau1[[#This Row],[Axe
  (note cadrage)]]</f>
        <v>Formation obligatoire</v>
      </c>
      <c r="O303" s="285">
        <f>Tableau1[[#This Row],[Validation
(Oui/Non)]]</f>
        <v>0</v>
      </c>
      <c r="P303" s="287" t="str">
        <f>Tableau1[[#This Row],[Calendrier
de réalisation]]</f>
        <v>2019-Q2</v>
      </c>
      <c r="Q303" s="284"/>
      <c r="S303" s="286" t="str">
        <f>IFERROR(VLOOKUP('Plan 2019 consolidé'!$E303,Tableau5[],COLUMN(Tableau5[[#This Row],[Sexe2]]),FALSE),"")</f>
        <v/>
      </c>
      <c r="W303" s="286" t="str">
        <f>IFERROR(VLOOKUP('Plan 2019 consolidé'!$E303,Tableau5[],COLUMN(Tableau5[[#This Row],[Age]]),FALSE),"")</f>
        <v/>
      </c>
      <c r="X303" s="286" t="str">
        <f>IFERROR(VLOOKUP('Plan 2019 consolidé'!$E303,Tableau5[],COLUMN(Tableau5[[#This Row],[Nombre d''années d''ancienneté dans la société]]),FALSE),"")</f>
        <v/>
      </c>
    </row>
    <row r="304" spans="1:24" x14ac:dyDescent="0.25">
      <c r="A304" s="284" t="str">
        <f>Tableau1[[#This Row],[Service]]</f>
        <v>DVC</v>
      </c>
      <c r="B304" s="284" t="str">
        <f>Tableau1[[#This Row],[Site]]</f>
        <v>Aub.</v>
      </c>
      <c r="C304" s="284" t="str">
        <f>Tableau1[[#This Row],[Manager]]</f>
        <v>ALIX</v>
      </c>
      <c r="D304" s="284">
        <f>Tableau1[[#This Row],[Matricule]]</f>
        <v>102964</v>
      </c>
      <c r="E304" s="284" t="str">
        <f>Tableau1[[#This Row],[Nom]]</f>
        <v>VANIER</v>
      </c>
      <c r="F304" s="284" t="str">
        <f>Tableau1[[#This Row],[Prénom]]</f>
        <v>Bruno</v>
      </c>
      <c r="G304" s="284" t="str">
        <f>Tableau1[[#This Row],[Axe
(Filières)]]</f>
        <v>Sécurité</v>
      </c>
      <c r="H304" s="284" t="str">
        <f>Tableau1[[#This Row],[Intitulé]]</f>
        <v>Recyclage SST</v>
      </c>
      <c r="I304" s="284">
        <f>Tableau1[[#This Row],[Priorité
mger]]</f>
        <v>0</v>
      </c>
      <c r="J304" s="284" t="str">
        <f>Tableau1[[#This Row],[Organisme]]</f>
        <v>CFSP</v>
      </c>
      <c r="K304" s="284">
        <f>Tableau1[[#This Row],[Durée
H]]</f>
        <v>7</v>
      </c>
      <c r="L304" s="92">
        <f>Tableau1[[#This Row],[Coût
péda.]]</f>
        <v>117</v>
      </c>
      <c r="M304" s="284" t="str">
        <f>Tableau1[[#This Row],[Dispositif
(Plan / DIF)]]</f>
        <v>Plan</v>
      </c>
      <c r="N304" s="284" t="str">
        <f>Tableau1[[#This Row],[Axe
  (note cadrage)]]</f>
        <v>Formation obligatoire</v>
      </c>
      <c r="O304" s="285">
        <f>Tableau1[[#This Row],[Validation
(Oui/Non)]]</f>
        <v>0</v>
      </c>
      <c r="P304" s="287" t="str">
        <f>Tableau1[[#This Row],[Calendrier
de réalisation]]</f>
        <v/>
      </c>
      <c r="Q304" s="284"/>
      <c r="S304" s="286" t="str">
        <f>IFERROR(VLOOKUP('Plan 2019 consolidé'!$E304,Tableau5[],COLUMN(Tableau5[[#This Row],[Sexe2]]),FALSE),"")</f>
        <v/>
      </c>
      <c r="W304" s="286" t="str">
        <f>IFERROR(VLOOKUP('Plan 2019 consolidé'!$E304,Tableau5[],COLUMN(Tableau5[[#This Row],[Age]]),FALSE),"")</f>
        <v/>
      </c>
      <c r="X304" s="286" t="str">
        <f>IFERROR(VLOOKUP('Plan 2019 consolidé'!$E304,Tableau5[],COLUMN(Tableau5[[#This Row],[Nombre d''années d''ancienneté dans la société]]),FALSE),"")</f>
        <v/>
      </c>
    </row>
    <row r="305" spans="1:24" x14ac:dyDescent="0.25">
      <c r="A305" s="284" t="str">
        <f>Tableau1[[#This Row],[Service]]</f>
        <v>DVC</v>
      </c>
      <c r="B305" s="284" t="str">
        <f>Tableau1[[#This Row],[Site]]</f>
        <v>STG</v>
      </c>
      <c r="C305" s="284" t="str">
        <f>Tableau1[[#This Row],[Manager]]</f>
        <v>XUEREB</v>
      </c>
      <c r="D305" s="284">
        <f>Tableau1[[#This Row],[Matricule]]</f>
        <v>10555320</v>
      </c>
      <c r="E305" s="284" t="str">
        <f>Tableau1[[#This Row],[Nom]]</f>
        <v>VANONI</v>
      </c>
      <c r="F305" s="284" t="str">
        <f>Tableau1[[#This Row],[Prénom]]</f>
        <v>Michael</v>
      </c>
      <c r="G305" s="284" t="str">
        <f>Tableau1[[#This Row],[Axe
(Filières)]]</f>
        <v>Sécurité</v>
      </c>
      <c r="H305" s="284" t="str">
        <f>Tableau1[[#This Row],[Intitulé]]</f>
        <v>Gestes et postures</v>
      </c>
      <c r="I305" s="284">
        <f>Tableau1[[#This Row],[Priorité
mger]]</f>
        <v>0</v>
      </c>
      <c r="J305" s="284" t="str">
        <f>Tableau1[[#This Row],[Organisme]]</f>
        <v>APAVE</v>
      </c>
      <c r="K305" s="284">
        <f>Tableau1[[#This Row],[Durée
H]]</f>
        <v>7</v>
      </c>
      <c r="L305" s="92">
        <f>Tableau1[[#This Row],[Coût
péda.]]</f>
        <v>124</v>
      </c>
      <c r="M305" s="284" t="str">
        <f>Tableau1[[#This Row],[Dispositif
(Plan / DIF)]]</f>
        <v>Plan</v>
      </c>
      <c r="N305" s="284" t="str">
        <f>Tableau1[[#This Row],[Axe
  (note cadrage)]]</f>
        <v>Formation obligatoire</v>
      </c>
      <c r="O305" s="285">
        <f>Tableau1[[#This Row],[Validation
(Oui/Non)]]</f>
        <v>0</v>
      </c>
      <c r="P305" s="287">
        <f>Tableau1[[#This Row],[Calendrier
de réalisation]]</f>
        <v>0</v>
      </c>
      <c r="Q305" s="284"/>
      <c r="S305" s="286" t="str">
        <f>IFERROR(VLOOKUP('Plan 2019 consolidé'!$E305,Tableau5[],COLUMN(Tableau5[[#This Row],[Sexe2]]),FALSE),"")</f>
        <v/>
      </c>
      <c r="W305" s="286" t="str">
        <f>IFERROR(VLOOKUP('Plan 2019 consolidé'!$E305,Tableau5[],COLUMN(Tableau5[[#This Row],[Age]]),FALSE),"")</f>
        <v/>
      </c>
      <c r="X305" s="286" t="str">
        <f>IFERROR(VLOOKUP('Plan 2019 consolidé'!$E305,Tableau5[],COLUMN(Tableau5[[#This Row],[Nombre d''années d''ancienneté dans la société]]),FALSE),"")</f>
        <v/>
      </c>
    </row>
    <row r="306" spans="1:24" x14ac:dyDescent="0.25">
      <c r="A306" s="284" t="str">
        <f>Tableau1[[#This Row],[Service]]</f>
        <v>DVC</v>
      </c>
      <c r="B306" s="284" t="str">
        <f>Tableau1[[#This Row],[Site]]</f>
        <v>Lattes</v>
      </c>
      <c r="C306" s="284" t="str">
        <f>Tableau1[[#This Row],[Manager]]</f>
        <v>VERNE</v>
      </c>
      <c r="D306" s="284">
        <f>Tableau1[[#This Row],[Matricule]]</f>
        <v>191532</v>
      </c>
      <c r="E306" s="284" t="str">
        <f>Tableau1[[#This Row],[Nom]]</f>
        <v>VERANT</v>
      </c>
      <c r="F306" s="284" t="str">
        <f>Tableau1[[#This Row],[Prénom]]</f>
        <v>Olivier</v>
      </c>
      <c r="G306" s="284" t="str">
        <f>Tableau1[[#This Row],[Axe
(Filières)]]</f>
        <v>Sécurité</v>
      </c>
      <c r="H306" s="284" t="str">
        <f>Tableau1[[#This Row],[Intitulé]]</f>
        <v>Gestes et postures</v>
      </c>
      <c r="I306" s="284">
        <f>Tableau1[[#This Row],[Priorité
mger]]</f>
        <v>0</v>
      </c>
      <c r="J306" s="284" t="str">
        <f>Tableau1[[#This Row],[Organisme]]</f>
        <v>APAVE</v>
      </c>
      <c r="K306" s="284">
        <f>Tableau1[[#This Row],[Durée
H]]</f>
        <v>7</v>
      </c>
      <c r="L306" s="92">
        <f>Tableau1[[#This Row],[Coût
péda.]]</f>
        <v>124</v>
      </c>
      <c r="M306" s="284" t="str">
        <f>Tableau1[[#This Row],[Dispositif
(Plan / DIF)]]</f>
        <v>Plan</v>
      </c>
      <c r="N306" s="284" t="str">
        <f>Tableau1[[#This Row],[Axe
  (note cadrage)]]</f>
        <v>Formation obligatoire</v>
      </c>
      <c r="O306" s="285">
        <f>Tableau1[[#This Row],[Validation
(Oui/Non)]]</f>
        <v>0</v>
      </c>
      <c r="P306" s="287" t="str">
        <f>Tableau1[[#This Row],[Calendrier
de réalisation]]</f>
        <v>2019-Q3</v>
      </c>
      <c r="Q306" s="284"/>
      <c r="S306" s="286" t="str">
        <f>IFERROR(VLOOKUP('Plan 2019 consolidé'!$E306,Tableau5[],COLUMN(Tableau5[[#This Row],[Sexe2]]),FALSE),"")</f>
        <v/>
      </c>
      <c r="W306" s="286" t="str">
        <f>IFERROR(VLOOKUP('Plan 2019 consolidé'!$E306,Tableau5[],COLUMN(Tableau5[[#This Row],[Age]]),FALSE),"")</f>
        <v/>
      </c>
      <c r="X306" s="286" t="str">
        <f>IFERROR(VLOOKUP('Plan 2019 consolidé'!$E306,Tableau5[],COLUMN(Tableau5[[#This Row],[Nombre d''années d''ancienneté dans la société]]),FALSE),"")</f>
        <v/>
      </c>
    </row>
    <row r="307" spans="1:24" x14ac:dyDescent="0.25">
      <c r="A307" s="284" t="str">
        <f>Tableau1[[#This Row],[Service]]</f>
        <v>Non DVC</v>
      </c>
      <c r="B307" s="284" t="str">
        <f>Tableau1[[#This Row],[Site]]</f>
        <v>Lattes</v>
      </c>
      <c r="C307" s="284" t="str">
        <f>Tableau1[[#This Row],[Manager]]</f>
        <v>CHATAIGNER</v>
      </c>
      <c r="D307" s="284">
        <f>Tableau1[[#This Row],[Matricule]]</f>
        <v>136713</v>
      </c>
      <c r="E307" s="284" t="str">
        <f>Tableau1[[#This Row],[Nom]]</f>
        <v>VERNE</v>
      </c>
      <c r="F307" s="284" t="str">
        <f>Tableau1[[#This Row],[Prénom]]</f>
        <v>Patrick</v>
      </c>
      <c r="G307" s="284" t="str">
        <f>Tableau1[[#This Row],[Axe
(Filières)]]</f>
        <v>Sécurité</v>
      </c>
      <c r="H307" s="284" t="str">
        <f>Tableau1[[#This Row],[Intitulé]]</f>
        <v>SEEDH</v>
      </c>
      <c r="I307" s="284">
        <f>Tableau1[[#This Row],[Priorité
mger]]</f>
        <v>0</v>
      </c>
      <c r="J307" s="284" t="str">
        <f>Tableau1[[#This Row],[Organisme]]</f>
        <v>APAVE</v>
      </c>
      <c r="K307" s="284">
        <f>Tableau1[[#This Row],[Durée
H]]</f>
        <v>3.5</v>
      </c>
      <c r="L307" s="92">
        <f>Tableau1[[#This Row],[Coût
péda.]]</f>
        <v>351</v>
      </c>
      <c r="M307" s="284" t="str">
        <f>Tableau1[[#This Row],[Dispositif
(Plan / DIF)]]</f>
        <v>Plan</v>
      </c>
      <c r="N307" s="284" t="str">
        <f>Tableau1[[#This Row],[Axe
  (note cadrage)]]</f>
        <v>Formation obligatoire</v>
      </c>
      <c r="O307" s="285">
        <f>Tableau1[[#This Row],[Validation
(Oui/Non)]]</f>
        <v>0</v>
      </c>
      <c r="P307" s="287" t="str">
        <f>Tableau1[[#This Row],[Calendrier
de réalisation]]</f>
        <v/>
      </c>
      <c r="Q307" s="284"/>
      <c r="S307" s="286" t="str">
        <f>IFERROR(VLOOKUP('Plan 2019 consolidé'!$E307,Tableau5[],COLUMN(Tableau5[[#This Row],[Sexe2]]),FALSE),"")</f>
        <v/>
      </c>
      <c r="W307" s="286" t="str">
        <f>IFERROR(VLOOKUP('Plan 2019 consolidé'!$E307,Tableau5[],COLUMN(Tableau5[[#This Row],[Age]]),FALSE),"")</f>
        <v/>
      </c>
      <c r="X307" s="286" t="str">
        <f>IFERROR(VLOOKUP('Plan 2019 consolidé'!$E307,Tableau5[],COLUMN(Tableau5[[#This Row],[Nombre d''années d''ancienneté dans la société]]),FALSE),"")</f>
        <v/>
      </c>
    </row>
    <row r="308" spans="1:24" x14ac:dyDescent="0.25">
      <c r="A308" s="284" t="str">
        <f>Tableau1[[#This Row],[Service]]</f>
        <v>Non DVC</v>
      </c>
      <c r="B308" s="284" t="str">
        <f>Tableau1[[#This Row],[Site]]</f>
        <v>Aub.</v>
      </c>
      <c r="C308" s="284" t="str">
        <f>Tableau1[[#This Row],[Manager]]</f>
        <v>RICCARDI</v>
      </c>
      <c r="D308" s="284">
        <f>Tableau1[[#This Row],[Matricule]]</f>
        <v>103031</v>
      </c>
      <c r="E308" s="284" t="str">
        <f>Tableau1[[#This Row],[Nom]]</f>
        <v>VERNETGIL</v>
      </c>
      <c r="F308" s="284" t="str">
        <f>Tableau1[[#This Row],[Prénom]]</f>
        <v>David</v>
      </c>
      <c r="G308" s="284" t="str">
        <f>Tableau1[[#This Row],[Axe
(Filières)]]</f>
        <v>Sécurité</v>
      </c>
      <c r="H308" s="284" t="str">
        <f>Tableau1[[#This Row],[Intitulé]]</f>
        <v>Incendie</v>
      </c>
      <c r="I308" s="284">
        <f>Tableau1[[#This Row],[Priorité
mger]]</f>
        <v>0</v>
      </c>
      <c r="J308" s="284" t="str">
        <f>Tableau1[[#This Row],[Organisme]]</f>
        <v>APAVE</v>
      </c>
      <c r="K308" s="284">
        <f>Tableau1[[#This Row],[Durée
H]]</f>
        <v>1.5</v>
      </c>
      <c r="L308" s="92">
        <f>Tableau1[[#This Row],[Coût
péda.]]</f>
        <v>53</v>
      </c>
      <c r="M308" s="284" t="str">
        <f>Tableau1[[#This Row],[Dispositif
(Plan / DIF)]]</f>
        <v>Plan</v>
      </c>
      <c r="N308" s="284" t="str">
        <f>Tableau1[[#This Row],[Axe
  (note cadrage)]]</f>
        <v>Formation obligatoire</v>
      </c>
      <c r="O308" s="285">
        <f>Tableau1[[#This Row],[Validation
(Oui/Non)]]</f>
        <v>0</v>
      </c>
      <c r="P308" s="287" t="str">
        <f>Tableau1[[#This Row],[Calendrier
de réalisation]]</f>
        <v/>
      </c>
      <c r="Q308" s="284"/>
      <c r="S308" s="286" t="str">
        <f>IFERROR(VLOOKUP('Plan 2019 consolidé'!$E308,Tableau5[],COLUMN(Tableau5[[#This Row],[Sexe2]]),FALSE),"")</f>
        <v/>
      </c>
      <c r="W308" s="286" t="str">
        <f>IFERROR(VLOOKUP('Plan 2019 consolidé'!$E308,Tableau5[],COLUMN(Tableau5[[#This Row],[Age]]),FALSE),"")</f>
        <v/>
      </c>
      <c r="X308" s="286" t="str">
        <f>IFERROR(VLOOKUP('Plan 2019 consolidé'!$E308,Tableau5[],COLUMN(Tableau5[[#This Row],[Nombre d''années d''ancienneté dans la société]]),FALSE),"")</f>
        <v/>
      </c>
    </row>
    <row r="309" spans="1:24" x14ac:dyDescent="0.25">
      <c r="A309" s="284" t="str">
        <f>Tableau1[[#This Row],[Service]]</f>
        <v>DVC</v>
      </c>
      <c r="B309" s="284" t="str">
        <f>Tableau1[[#This Row],[Site]]</f>
        <v>Aub.</v>
      </c>
      <c r="C309" s="284" t="str">
        <f>Tableau1[[#This Row],[Manager]]</f>
        <v>SAVY</v>
      </c>
      <c r="D309" s="284">
        <f>Tableau1[[#This Row],[Matricule]]</f>
        <v>102890</v>
      </c>
      <c r="E309" s="284" t="str">
        <f>Tableau1[[#This Row],[Nom]]</f>
        <v>VERNETLOG</v>
      </c>
      <c r="F309" s="284" t="str">
        <f>Tableau1[[#This Row],[Prénom]]</f>
        <v>David</v>
      </c>
      <c r="G309" s="284" t="str">
        <f>Tableau1[[#This Row],[Axe
(Filières)]]</f>
        <v>Sécurité</v>
      </c>
      <c r="H309" s="284" t="str">
        <f>Tableau1[[#This Row],[Intitulé]]</f>
        <v>Recyclage SST</v>
      </c>
      <c r="I309" s="284">
        <f>Tableau1[[#This Row],[Priorité
mger]]</f>
        <v>0</v>
      </c>
      <c r="J309" s="284" t="str">
        <f>Tableau1[[#This Row],[Organisme]]</f>
        <v>CFSP</v>
      </c>
      <c r="K309" s="284">
        <f>Tableau1[[#This Row],[Durée
H]]</f>
        <v>7</v>
      </c>
      <c r="L309" s="92">
        <f>Tableau1[[#This Row],[Coût
péda.]]</f>
        <v>117</v>
      </c>
      <c r="M309" s="284" t="str">
        <f>Tableau1[[#This Row],[Dispositif
(Plan / DIF)]]</f>
        <v>Plan</v>
      </c>
      <c r="N309" s="284" t="str">
        <f>Tableau1[[#This Row],[Axe
  (note cadrage)]]</f>
        <v>Formation obligatoire</v>
      </c>
      <c r="O309" s="285">
        <f>Tableau1[[#This Row],[Validation
(Oui/Non)]]</f>
        <v>0</v>
      </c>
      <c r="P309" s="287" t="str">
        <f>Tableau1[[#This Row],[Calendrier
de réalisation]]</f>
        <v/>
      </c>
      <c r="Q309" s="284"/>
      <c r="S309" s="286" t="str">
        <f>IFERROR(VLOOKUP('Plan 2019 consolidé'!$E309,Tableau5[],COLUMN(Tableau5[[#This Row],[Sexe2]]),FALSE),"")</f>
        <v/>
      </c>
      <c r="W309" s="286" t="str">
        <f>IFERROR(VLOOKUP('Plan 2019 consolidé'!$E309,Tableau5[],COLUMN(Tableau5[[#This Row],[Age]]),FALSE),"")</f>
        <v/>
      </c>
      <c r="X309" s="286" t="str">
        <f>IFERROR(VLOOKUP('Plan 2019 consolidé'!$E309,Tableau5[],COLUMN(Tableau5[[#This Row],[Nombre d''années d''ancienneté dans la société]]),FALSE),"")</f>
        <v/>
      </c>
    </row>
    <row r="310" spans="1:24" x14ac:dyDescent="0.25">
      <c r="A310" s="284" t="str">
        <f>Tableau1[[#This Row],[Service]]</f>
        <v>DVC</v>
      </c>
      <c r="B310" s="284" t="str">
        <f>Tableau1[[#This Row],[Site]]</f>
        <v>STG</v>
      </c>
      <c r="C310" s="284" t="str">
        <f>Tableau1[[#This Row],[Manager]]</f>
        <v>XUEREB</v>
      </c>
      <c r="D310" s="284">
        <f>Tableau1[[#This Row],[Matricule]]</f>
        <v>330483</v>
      </c>
      <c r="E310" s="284" t="str">
        <f>Tableau1[[#This Row],[Nom]]</f>
        <v>VILLEGAS</v>
      </c>
      <c r="F310" s="284" t="str">
        <f>Tableau1[[#This Row],[Prénom]]</f>
        <v>Frederic</v>
      </c>
      <c r="G310" s="284" t="str">
        <f>Tableau1[[#This Row],[Axe
(Filières)]]</f>
        <v>Sécurité</v>
      </c>
      <c r="H310" s="284" t="str">
        <f>Tableau1[[#This Row],[Intitulé]]</f>
        <v>Incendie</v>
      </c>
      <c r="I310" s="284">
        <f>Tableau1[[#This Row],[Priorité
mger]]</f>
        <v>0</v>
      </c>
      <c r="J310" s="284" t="str">
        <f>Tableau1[[#This Row],[Organisme]]</f>
        <v>APAVE</v>
      </c>
      <c r="K310" s="284">
        <f>Tableau1[[#This Row],[Durée
H]]</f>
        <v>1.5</v>
      </c>
      <c r="L310" s="92">
        <f>Tableau1[[#This Row],[Coût
péda.]]</f>
        <v>53</v>
      </c>
      <c r="M310" s="284" t="str">
        <f>Tableau1[[#This Row],[Dispositif
(Plan / DIF)]]</f>
        <v>Plan</v>
      </c>
      <c r="N310" s="284" t="str">
        <f>Tableau1[[#This Row],[Axe
  (note cadrage)]]</f>
        <v>Formation obligatoire</v>
      </c>
      <c r="O310" s="285">
        <f>Tableau1[[#This Row],[Validation
(Oui/Non)]]</f>
        <v>0</v>
      </c>
      <c r="P310" s="287" t="str">
        <f>Tableau1[[#This Row],[Calendrier
de réalisation]]</f>
        <v>2019-Q1</v>
      </c>
      <c r="Q310" s="284"/>
      <c r="S310" s="286" t="str">
        <f>IFERROR(VLOOKUP('Plan 2019 consolidé'!$E310,Tableau5[],COLUMN(Tableau5[[#This Row],[Sexe2]]),FALSE),"")</f>
        <v/>
      </c>
      <c r="W310" s="286" t="str">
        <f>IFERROR(VLOOKUP('Plan 2019 consolidé'!$E310,Tableau5[],COLUMN(Tableau5[[#This Row],[Age]]),FALSE),"")</f>
        <v/>
      </c>
      <c r="X310" s="286" t="str">
        <f>IFERROR(VLOOKUP('Plan 2019 consolidé'!$E310,Tableau5[],COLUMN(Tableau5[[#This Row],[Nombre d''années d''ancienneté dans la société]]),FALSE),"")</f>
        <v/>
      </c>
    </row>
    <row r="311" spans="1:24" x14ac:dyDescent="0.25">
      <c r="A311" s="284" t="str">
        <f>Tableau1[[#This Row],[Service]]</f>
        <v>DVC</v>
      </c>
      <c r="B311" s="284" t="str">
        <f>Tableau1[[#This Row],[Site]]</f>
        <v>STG</v>
      </c>
      <c r="C311" s="284" t="str">
        <f>Tableau1[[#This Row],[Manager]]</f>
        <v>XUEREB</v>
      </c>
      <c r="D311" s="284">
        <f>Tableau1[[#This Row],[Matricule]]</f>
        <v>330483</v>
      </c>
      <c r="E311" s="284" t="str">
        <f>Tableau1[[#This Row],[Nom]]</f>
        <v>VILLEGAS</v>
      </c>
      <c r="F311" s="284" t="str">
        <f>Tableau1[[#This Row],[Prénom]]</f>
        <v>Frederic</v>
      </c>
      <c r="G311" s="284" t="str">
        <f>Tableau1[[#This Row],[Axe
(Filières)]]</f>
        <v>Sécurité</v>
      </c>
      <c r="H311" s="284" t="str">
        <f>Tableau1[[#This Row],[Intitulé]]</f>
        <v>Risques chimiques</v>
      </c>
      <c r="I311" s="284">
        <f>Tableau1[[#This Row],[Priorité
mger]]</f>
        <v>0</v>
      </c>
      <c r="J311" s="284" t="str">
        <f>Tableau1[[#This Row],[Organisme]]</f>
        <v>APAVE</v>
      </c>
      <c r="K311" s="284">
        <f>Tableau1[[#This Row],[Durée
H]]</f>
        <v>7</v>
      </c>
      <c r="L311" s="92">
        <f>Tableau1[[#This Row],[Coût
péda.]]</f>
        <v>162</v>
      </c>
      <c r="M311" s="284" t="str">
        <f>Tableau1[[#This Row],[Dispositif
(Plan / DIF)]]</f>
        <v>Plan</v>
      </c>
      <c r="N311" s="284" t="str">
        <f>Tableau1[[#This Row],[Axe
  (note cadrage)]]</f>
        <v>Formation obligatoire</v>
      </c>
      <c r="O311" s="285">
        <f>Tableau1[[#This Row],[Validation
(Oui/Non)]]</f>
        <v>0</v>
      </c>
      <c r="P311" s="287">
        <f>Tableau1[[#This Row],[Calendrier
de réalisation]]</f>
        <v>0</v>
      </c>
      <c r="Q311" s="284"/>
      <c r="S311" s="286" t="str">
        <f>IFERROR(VLOOKUP('Plan 2019 consolidé'!$E311,Tableau5[],COLUMN(Tableau5[[#This Row],[Sexe2]]),FALSE),"")</f>
        <v/>
      </c>
      <c r="W311" s="286" t="str">
        <f>IFERROR(VLOOKUP('Plan 2019 consolidé'!$E311,Tableau5[],COLUMN(Tableau5[[#This Row],[Age]]),FALSE),"")</f>
        <v/>
      </c>
      <c r="X311" s="286" t="str">
        <f>IFERROR(VLOOKUP('Plan 2019 consolidé'!$E311,Tableau5[],COLUMN(Tableau5[[#This Row],[Nombre d''années d''ancienneté dans la société]]),FALSE),"")</f>
        <v/>
      </c>
    </row>
    <row r="312" spans="1:24" x14ac:dyDescent="0.25">
      <c r="A312" s="284" t="str">
        <f>Tableau1[[#This Row],[Service]]</f>
        <v>DVC</v>
      </c>
      <c r="B312" s="284" t="str">
        <f>Tableau1[[#This Row],[Site]]</f>
        <v>Lattes</v>
      </c>
      <c r="C312" s="284" t="str">
        <f>Tableau1[[#This Row],[Manager]]</f>
        <v>VERNE</v>
      </c>
      <c r="D312" s="284">
        <f>Tableau1[[#This Row],[Matricule]]</f>
        <v>190978</v>
      </c>
      <c r="E312" s="284" t="str">
        <f>Tableau1[[#This Row],[Nom]]</f>
        <v>WAGON</v>
      </c>
      <c r="F312" s="284" t="str">
        <f>Tableau1[[#This Row],[Prénom]]</f>
        <v>Jean-Paul</v>
      </c>
      <c r="G312" s="284" t="str">
        <f>Tableau1[[#This Row],[Axe
(Filières)]]</f>
        <v>Sécurité</v>
      </c>
      <c r="H312" s="284" t="str">
        <f>Tableau1[[#This Row],[Intitulé]]</f>
        <v>Gestes et postures</v>
      </c>
      <c r="I312" s="284">
        <f>Tableau1[[#This Row],[Priorité
mger]]</f>
        <v>0</v>
      </c>
      <c r="J312" s="284" t="str">
        <f>Tableau1[[#This Row],[Organisme]]</f>
        <v>APAVE</v>
      </c>
      <c r="K312" s="284">
        <f>Tableau1[[#This Row],[Durée
H]]</f>
        <v>7</v>
      </c>
      <c r="L312" s="92">
        <f>Tableau1[[#This Row],[Coût
péda.]]</f>
        <v>124</v>
      </c>
      <c r="M312" s="284" t="str">
        <f>Tableau1[[#This Row],[Dispositif
(Plan / DIF)]]</f>
        <v>Plan</v>
      </c>
      <c r="N312" s="284" t="str">
        <f>Tableau1[[#This Row],[Axe
  (note cadrage)]]</f>
        <v>Formation obligatoire</v>
      </c>
      <c r="O312" s="285">
        <f>Tableau1[[#This Row],[Validation
(Oui/Non)]]</f>
        <v>0</v>
      </c>
      <c r="P312" s="287" t="str">
        <f>Tableau1[[#This Row],[Calendrier
de réalisation]]</f>
        <v>2019-Q4</v>
      </c>
      <c r="Q312" s="284"/>
      <c r="S312" s="286" t="str">
        <f>IFERROR(VLOOKUP('Plan 2019 consolidé'!$E312,Tableau5[],COLUMN(Tableau5[[#This Row],[Sexe2]]),FALSE),"")</f>
        <v/>
      </c>
      <c r="W312" s="286" t="str">
        <f>IFERROR(VLOOKUP('Plan 2019 consolidé'!$E312,Tableau5[],COLUMN(Tableau5[[#This Row],[Age]]),FALSE),"")</f>
        <v/>
      </c>
      <c r="X312" s="286" t="str">
        <f>IFERROR(VLOOKUP('Plan 2019 consolidé'!$E312,Tableau5[],COLUMN(Tableau5[[#This Row],[Nombre d''années d''ancienneté dans la société]]),FALSE),"")</f>
        <v/>
      </c>
    </row>
    <row r="313" spans="1:24" x14ac:dyDescent="0.25">
      <c r="A313" s="284" t="str">
        <f>Tableau1[[#This Row],[Service]]</f>
        <v>Non DVC</v>
      </c>
      <c r="B313" s="284" t="str">
        <f>Tableau1[[#This Row],[Site]]</f>
        <v>STG</v>
      </c>
      <c r="C313" s="284" t="str">
        <f>Tableau1[[#This Row],[Manager]]</f>
        <v>FOUASSIER</v>
      </c>
      <c r="D313" s="284">
        <f>Tableau1[[#This Row],[Matricule]]</f>
        <v>244104</v>
      </c>
      <c r="E313" s="284" t="str">
        <f>Tableau1[[#This Row],[Nom]]</f>
        <v>XUEREB</v>
      </c>
      <c r="F313" s="284" t="str">
        <f>Tableau1[[#This Row],[Prénom]]</f>
        <v>Gregory</v>
      </c>
      <c r="G313" s="284" t="str">
        <f>Tableau1[[#This Row],[Axe
(Filières)]]</f>
        <v>Sécurité</v>
      </c>
      <c r="H313" s="284" t="str">
        <f>Tableau1[[#This Row],[Intitulé]]</f>
        <v>Incendie</v>
      </c>
      <c r="I313" s="284">
        <f>Tableau1[[#This Row],[Priorité
mger]]</f>
        <v>0</v>
      </c>
      <c r="J313" s="284" t="str">
        <f>Tableau1[[#This Row],[Organisme]]</f>
        <v>APAVE</v>
      </c>
      <c r="K313" s="284">
        <f>Tableau1[[#This Row],[Durée
H]]</f>
        <v>1.5</v>
      </c>
      <c r="L313" s="92">
        <f>Tableau1[[#This Row],[Coût
péda.]]</f>
        <v>53</v>
      </c>
      <c r="M313" s="284" t="str">
        <f>Tableau1[[#This Row],[Dispositif
(Plan / DIF)]]</f>
        <v>Plan</v>
      </c>
      <c r="N313" s="284" t="str">
        <f>Tableau1[[#This Row],[Axe
  (note cadrage)]]</f>
        <v>Formation obligatoire</v>
      </c>
      <c r="O313" s="285">
        <f>Tableau1[[#This Row],[Validation
(Oui/Non)]]</f>
        <v>0</v>
      </c>
      <c r="P313" s="287">
        <f>Tableau1[[#This Row],[Calendrier
de réalisation]]</f>
        <v>0</v>
      </c>
      <c r="Q313" s="284"/>
      <c r="S313" s="286" t="str">
        <f>IFERROR(VLOOKUP('Plan 2019 consolidé'!$E313,Tableau5[],COLUMN(Tableau5[[#This Row],[Sexe2]]),FALSE),"")</f>
        <v/>
      </c>
      <c r="W313" s="286" t="str">
        <f>IFERROR(VLOOKUP('Plan 2019 consolidé'!$E313,Tableau5[],COLUMN(Tableau5[[#This Row],[Age]]),FALSE),"")</f>
        <v/>
      </c>
      <c r="X313" s="286" t="str">
        <f>IFERROR(VLOOKUP('Plan 2019 consolidé'!$E313,Tableau5[],COLUMN(Tableau5[[#This Row],[Nombre d''années d''ancienneté dans la société]]),FALSE),"")</f>
        <v/>
      </c>
    </row>
    <row r="314" spans="1:24" x14ac:dyDescent="0.25">
      <c r="A314" s="284" t="str">
        <f>Tableau1[[#This Row],[Service]]</f>
        <v>Non DVC</v>
      </c>
      <c r="B314" s="284" t="str">
        <f>Tableau1[[#This Row],[Site]]</f>
        <v>Aub.</v>
      </c>
      <c r="C314" s="284" t="str">
        <f>Tableau1[[#This Row],[Manager]]</f>
        <v>CHATAIGNER</v>
      </c>
      <c r="D314" s="284">
        <f>Tableau1[[#This Row],[Matricule]]</f>
        <v>102994</v>
      </c>
      <c r="E314" s="284" t="str">
        <f>Tableau1[[#This Row],[Nom]]</f>
        <v>ZAGAR</v>
      </c>
      <c r="F314" s="284" t="str">
        <f>Tableau1[[#This Row],[Prénom]]</f>
        <v>Sabine</v>
      </c>
      <c r="G314" s="284" t="str">
        <f>Tableau1[[#This Row],[Axe
(Filières)]]</f>
        <v>Sécurité</v>
      </c>
      <c r="H314" s="284" t="str">
        <f>Tableau1[[#This Row],[Intitulé]]</f>
        <v>Incendie</v>
      </c>
      <c r="I314" s="284">
        <f>Tableau1[[#This Row],[Priorité
mger]]</f>
        <v>0</v>
      </c>
      <c r="J314" s="284" t="str">
        <f>Tableau1[[#This Row],[Organisme]]</f>
        <v>APAVE</v>
      </c>
      <c r="K314" s="284">
        <f>Tableau1[[#This Row],[Durée
H]]</f>
        <v>1.5</v>
      </c>
      <c r="L314" s="92">
        <f>Tableau1[[#This Row],[Coût
péda.]]</f>
        <v>53</v>
      </c>
      <c r="M314" s="284" t="str">
        <f>Tableau1[[#This Row],[Dispositif
(Plan / DIF)]]</f>
        <v>Plan</v>
      </c>
      <c r="N314" s="284" t="str">
        <f>Tableau1[[#This Row],[Axe
  (note cadrage)]]</f>
        <v>Formation obligatoire</v>
      </c>
      <c r="O314" s="285">
        <f>Tableau1[[#This Row],[Validation
(Oui/Non)]]</f>
        <v>0</v>
      </c>
      <c r="P314" s="287" t="str">
        <f>Tableau1[[#This Row],[Calendrier
de réalisation]]</f>
        <v>2019-Q2</v>
      </c>
      <c r="Q314" s="284"/>
      <c r="S314" s="286" t="str">
        <f>IFERROR(VLOOKUP('Plan 2019 consolidé'!$E314,Tableau5[],COLUMN(Tableau5[[#This Row],[Sexe2]]),FALSE),"")</f>
        <v/>
      </c>
      <c r="W314" s="286" t="str">
        <f>IFERROR(VLOOKUP('Plan 2019 consolidé'!$E314,Tableau5[],COLUMN(Tableau5[[#This Row],[Age]]),FALSE),"")</f>
        <v/>
      </c>
      <c r="X314" s="286" t="str">
        <f>IFERROR(VLOOKUP('Plan 2019 consolidé'!$E314,Tableau5[],COLUMN(Tableau5[[#This Row],[Nombre d''années d''ancienneté dans la société]]),FALSE),"")</f>
        <v/>
      </c>
    </row>
    <row r="315" spans="1:24" x14ac:dyDescent="0.25">
      <c r="A315" s="284" t="str">
        <f>Tableau1[[#This Row],[Service]]</f>
        <v>Non DVC</v>
      </c>
      <c r="B315" s="284" t="str">
        <f>Tableau1[[#This Row],[Site]]</f>
        <v>Aub.</v>
      </c>
      <c r="C315" s="284" t="str">
        <f>Tableau1[[#This Row],[Manager]]</f>
        <v>CHATAIGNER</v>
      </c>
      <c r="D315" s="284">
        <f>Tableau1[[#This Row],[Matricule]]</f>
        <v>102994</v>
      </c>
      <c r="E315" s="284" t="str">
        <f>Tableau1[[#This Row],[Nom]]</f>
        <v>ZAGAR</v>
      </c>
      <c r="F315" s="284" t="str">
        <f>Tableau1[[#This Row],[Prénom]]</f>
        <v>Sabine</v>
      </c>
      <c r="G315" s="284" t="str">
        <f>Tableau1[[#This Row],[Axe
(Filières)]]</f>
        <v>Sécurité</v>
      </c>
      <c r="H315" s="284" t="str">
        <f>Tableau1[[#This Row],[Intitulé]]</f>
        <v>Recyclage SST</v>
      </c>
      <c r="I315" s="284">
        <f>Tableau1[[#This Row],[Priorité
mger]]</f>
        <v>0</v>
      </c>
      <c r="J315" s="284" t="str">
        <f>Tableau1[[#This Row],[Organisme]]</f>
        <v>CFSP</v>
      </c>
      <c r="K315" s="284">
        <f>Tableau1[[#This Row],[Durée
H]]</f>
        <v>7</v>
      </c>
      <c r="L315" s="92">
        <f>Tableau1[[#This Row],[Coût
péda.]]</f>
        <v>117</v>
      </c>
      <c r="M315" s="284" t="str">
        <f>Tableau1[[#This Row],[Dispositif
(Plan / DIF)]]</f>
        <v>Plan</v>
      </c>
      <c r="N315" s="284" t="str">
        <f>Tableau1[[#This Row],[Axe
  (note cadrage)]]</f>
        <v>Formation obligatoire</v>
      </c>
      <c r="O315" s="285">
        <f>Tableau1[[#This Row],[Validation
(Oui/Non)]]</f>
        <v>0</v>
      </c>
      <c r="P315" s="287" t="str">
        <f>Tableau1[[#This Row],[Calendrier
de réalisation]]</f>
        <v/>
      </c>
      <c r="Q315" s="284"/>
      <c r="S315" s="286" t="str">
        <f>IFERROR(VLOOKUP('Plan 2019 consolidé'!$E315,Tableau5[],COLUMN(Tableau5[[#This Row],[Sexe2]]),FALSE),"")</f>
        <v/>
      </c>
      <c r="W315" s="286" t="str">
        <f>IFERROR(VLOOKUP('Plan 2019 consolidé'!$E315,Tableau5[],COLUMN(Tableau5[[#This Row],[Age]]),FALSE),"")</f>
        <v/>
      </c>
      <c r="X315" s="286" t="str">
        <f>IFERROR(VLOOKUP('Plan 2019 consolidé'!$E315,Tableau5[],COLUMN(Tableau5[[#This Row],[Nombre d''années d''ancienneté dans la société]]),FALSE),"")</f>
        <v/>
      </c>
    </row>
    <row r="316" spans="1:24" x14ac:dyDescent="0.25">
      <c r="A316" s="284" t="str">
        <f>Tableau1[[#This Row],[Service]]</f>
        <v>DVC</v>
      </c>
      <c r="B316" s="284" t="str">
        <f>Tableau1[[#This Row],[Site]]</f>
        <v>Aub.</v>
      </c>
      <c r="C316" s="284" t="str">
        <f>Tableau1[[#This Row],[Manager]]</f>
        <v>SENEPART</v>
      </c>
      <c r="D316" s="284">
        <f>Tableau1[[#This Row],[Matricule]]</f>
        <v>102946</v>
      </c>
      <c r="E316" s="284" t="str">
        <f>Tableau1[[#This Row],[Nom]]</f>
        <v>ZAMORA</v>
      </c>
      <c r="F316" s="284" t="str">
        <f>Tableau1[[#This Row],[Prénom]]</f>
        <v>Jean-Luc</v>
      </c>
      <c r="G316" s="284" t="str">
        <f>Tableau1[[#This Row],[Axe
(Filières)]]</f>
        <v>Sécurité</v>
      </c>
      <c r="H316" s="284" t="str">
        <f>Tableau1[[#This Row],[Intitulé]]</f>
        <v>Gestes et postures</v>
      </c>
      <c r="I316" s="284">
        <f>Tableau1[[#This Row],[Priorité
mger]]</f>
        <v>0</v>
      </c>
      <c r="J316" s="284" t="str">
        <f>Tableau1[[#This Row],[Organisme]]</f>
        <v>APAVE</v>
      </c>
      <c r="K316" s="284">
        <f>Tableau1[[#This Row],[Durée
H]]</f>
        <v>7</v>
      </c>
      <c r="L316" s="92">
        <f>Tableau1[[#This Row],[Coût
péda.]]</f>
        <v>124</v>
      </c>
      <c r="M316" s="284" t="str">
        <f>Tableau1[[#This Row],[Dispositif
(Plan / DIF)]]</f>
        <v>Plan</v>
      </c>
      <c r="N316" s="284" t="str">
        <f>Tableau1[[#This Row],[Axe
  (note cadrage)]]</f>
        <v>Formation obligatoire</v>
      </c>
      <c r="O316" s="285">
        <f>Tableau1[[#This Row],[Validation
(Oui/Non)]]</f>
        <v>0</v>
      </c>
      <c r="P316" s="287" t="str">
        <f>Tableau1[[#This Row],[Calendrier
de réalisation]]</f>
        <v>2019-Q1</v>
      </c>
      <c r="Q316" s="284"/>
      <c r="S316" s="286" t="str">
        <f>IFERROR(VLOOKUP('Plan 2019 consolidé'!$E316,Tableau5[],COLUMN(Tableau5[[#This Row],[Sexe2]]),FALSE),"")</f>
        <v/>
      </c>
      <c r="W316" s="286" t="str">
        <f>IFERROR(VLOOKUP('Plan 2019 consolidé'!$E316,Tableau5[],COLUMN(Tableau5[[#This Row],[Age]]),FALSE),"")</f>
        <v/>
      </c>
      <c r="X316" s="286" t="str">
        <f>IFERROR(VLOOKUP('Plan 2019 consolidé'!$E316,Tableau5[],COLUMN(Tableau5[[#This Row],[Nombre d''années d''ancienneté dans la société]]),FALSE),"")</f>
        <v/>
      </c>
    </row>
    <row r="317" spans="1:24" x14ac:dyDescent="0.25">
      <c r="A317" s="284" t="str">
        <f>Tableau1[[#This Row],[Service]]</f>
        <v>DVC</v>
      </c>
      <c r="B317" s="284" t="str">
        <f>Tableau1[[#This Row],[Site]]</f>
        <v>Aub.</v>
      </c>
      <c r="C317" s="284" t="str">
        <f>Tableau1[[#This Row],[Manager]]</f>
        <v>SENEPART</v>
      </c>
      <c r="D317" s="284">
        <f>Tableau1[[#This Row],[Matricule]]</f>
        <v>102946</v>
      </c>
      <c r="E317" s="284" t="str">
        <f>Tableau1[[#This Row],[Nom]]</f>
        <v>ZAMORA</v>
      </c>
      <c r="F317" s="284" t="str">
        <f>Tableau1[[#This Row],[Prénom]]</f>
        <v>Jean-Luc</v>
      </c>
      <c r="G317" s="284" t="str">
        <f>Tableau1[[#This Row],[Axe
(Filières)]]</f>
        <v>Sécurité</v>
      </c>
      <c r="H317" s="284" t="str">
        <f>Tableau1[[#This Row],[Intitulé]]</f>
        <v>Incendie</v>
      </c>
      <c r="I317" s="284">
        <f>Tableau1[[#This Row],[Priorité
mger]]</f>
        <v>0</v>
      </c>
      <c r="J317" s="284" t="str">
        <f>Tableau1[[#This Row],[Organisme]]</f>
        <v>APAVE</v>
      </c>
      <c r="K317" s="284">
        <f>Tableau1[[#This Row],[Durée
H]]</f>
        <v>1.5</v>
      </c>
      <c r="L317" s="92">
        <f>Tableau1[[#This Row],[Coût
péda.]]</f>
        <v>53</v>
      </c>
      <c r="M317" s="284" t="str">
        <f>Tableau1[[#This Row],[Dispositif
(Plan / DIF)]]</f>
        <v>Plan</v>
      </c>
      <c r="N317" s="284" t="str">
        <f>Tableau1[[#This Row],[Axe
  (note cadrage)]]</f>
        <v>Formation obligatoire</v>
      </c>
      <c r="O317" s="285">
        <f>Tableau1[[#This Row],[Validation
(Oui/Non)]]</f>
        <v>0</v>
      </c>
      <c r="P317" s="287" t="str">
        <f>Tableau1[[#This Row],[Calendrier
de réalisation]]</f>
        <v>2019-Q2</v>
      </c>
      <c r="Q317" s="284"/>
      <c r="S317" s="286" t="str">
        <f>IFERROR(VLOOKUP('Plan 2019 consolidé'!$E317,Tableau5[],COLUMN(Tableau5[[#This Row],[Sexe2]]),FALSE),"")</f>
        <v/>
      </c>
      <c r="W317" s="286" t="str">
        <f>IFERROR(VLOOKUP('Plan 2019 consolidé'!$E317,Tableau5[],COLUMN(Tableau5[[#This Row],[Age]]),FALSE),"")</f>
        <v/>
      </c>
      <c r="X317" s="286" t="str">
        <f>IFERROR(VLOOKUP('Plan 2019 consolidé'!$E317,Tableau5[],COLUMN(Tableau5[[#This Row],[Nombre d''années d''ancienneté dans la société]]),FALSE),"")</f>
        <v/>
      </c>
    </row>
    <row r="318" spans="1:24" x14ac:dyDescent="0.25">
      <c r="A318" s="284" t="str">
        <f>Tableau1[[#This Row],[Service]]</f>
        <v>DVC</v>
      </c>
      <c r="B318" s="284" t="str">
        <f>Tableau1[[#This Row],[Site]]</f>
        <v>STG</v>
      </c>
      <c r="C318" s="284" t="str">
        <f>Tableau1[[#This Row],[Manager]]</f>
        <v>XUEREB</v>
      </c>
      <c r="D318" s="284">
        <f>Tableau1[[#This Row],[Matricule]]</f>
        <v>288570</v>
      </c>
      <c r="E318" s="284" t="str">
        <f>Tableau1[[#This Row],[Nom]]</f>
        <v>ZAYOUT</v>
      </c>
      <c r="F318" s="284" t="str">
        <f>Tableau1[[#This Row],[Prénom]]</f>
        <v>Larbi</v>
      </c>
      <c r="G318" s="284" t="str">
        <f>Tableau1[[#This Row],[Axe
(Filières)]]</f>
        <v>Sécurité</v>
      </c>
      <c r="H318" s="284" t="str">
        <f>Tableau1[[#This Row],[Intitulé]]</f>
        <v>Incendie</v>
      </c>
      <c r="I318" s="284">
        <f>Tableau1[[#This Row],[Priorité
mger]]</f>
        <v>0</v>
      </c>
      <c r="J318" s="284" t="str">
        <f>Tableau1[[#This Row],[Organisme]]</f>
        <v>APAVE</v>
      </c>
      <c r="K318" s="284">
        <f>Tableau1[[#This Row],[Durée
H]]</f>
        <v>1.5</v>
      </c>
      <c r="L318" s="92">
        <f>Tableau1[[#This Row],[Coût
péda.]]</f>
        <v>53</v>
      </c>
      <c r="M318" s="284" t="str">
        <f>Tableau1[[#This Row],[Dispositif
(Plan / DIF)]]</f>
        <v>Plan</v>
      </c>
      <c r="N318" s="284" t="str">
        <f>Tableau1[[#This Row],[Axe
  (note cadrage)]]</f>
        <v>Formation obligatoire</v>
      </c>
      <c r="O318" s="285">
        <f>Tableau1[[#This Row],[Validation
(Oui/Non)]]</f>
        <v>0</v>
      </c>
      <c r="P318" s="287" t="str">
        <f>Tableau1[[#This Row],[Calendrier
de réalisation]]</f>
        <v>2019-Q1</v>
      </c>
      <c r="Q318" s="284"/>
      <c r="S318" s="286" t="str">
        <f>IFERROR(VLOOKUP('Plan 2019 consolidé'!$E318,Tableau5[],COLUMN(Tableau5[[#This Row],[Sexe2]]),FALSE),"")</f>
        <v/>
      </c>
      <c r="W318" s="286" t="str">
        <f>IFERROR(VLOOKUP('Plan 2019 consolidé'!$E318,Tableau5[],COLUMN(Tableau5[[#This Row],[Age]]),FALSE),"")</f>
        <v/>
      </c>
      <c r="X318" s="286" t="str">
        <f>IFERROR(VLOOKUP('Plan 2019 consolidé'!$E318,Tableau5[],COLUMN(Tableau5[[#This Row],[Nombre d''années d''ancienneté dans la société]]),FALSE),"")</f>
        <v/>
      </c>
    </row>
    <row r="319" spans="1:24" x14ac:dyDescent="0.25">
      <c r="A319" s="284" t="str">
        <f>Tableau1[[#This Row],[Service]]</f>
        <v>DVC</v>
      </c>
      <c r="B319" s="284" t="str">
        <f>Tableau1[[#This Row],[Site]]</f>
        <v>STG</v>
      </c>
      <c r="C319" s="284" t="str">
        <f>Tableau1[[#This Row],[Manager]]</f>
        <v>XUEREB</v>
      </c>
      <c r="D319" s="284">
        <f>Tableau1[[#This Row],[Matricule]]</f>
        <v>288570</v>
      </c>
      <c r="E319" s="284" t="str">
        <f>Tableau1[[#This Row],[Nom]]</f>
        <v>ZAYOUT</v>
      </c>
      <c r="F319" s="284" t="str">
        <f>Tableau1[[#This Row],[Prénom]]</f>
        <v>Larbi</v>
      </c>
      <c r="G319" s="284" t="str">
        <f>Tableau1[[#This Row],[Axe
(Filières)]]</f>
        <v>Sécurité</v>
      </c>
      <c r="H319" s="284" t="str">
        <f>Tableau1[[#This Row],[Intitulé]]</f>
        <v>HAB ELEC</v>
      </c>
      <c r="I319" s="284">
        <f>Tableau1[[#This Row],[Priorité
mger]]</f>
        <v>0</v>
      </c>
      <c r="J319" s="284" t="str">
        <f>Tableau1[[#This Row],[Organisme]]</f>
        <v>SEEF</v>
      </c>
      <c r="K319" s="284">
        <f>Tableau1[[#This Row],[Durée
H]]</f>
        <v>10.5</v>
      </c>
      <c r="L319" s="92">
        <f>Tableau1[[#This Row],[Coût
péda.]]</f>
        <v>260</v>
      </c>
      <c r="M319" s="284" t="str">
        <f>Tableau1[[#This Row],[Dispositif
(Plan / DIF)]]</f>
        <v>Plan</v>
      </c>
      <c r="N319" s="284" t="str">
        <f>Tableau1[[#This Row],[Axe
  (note cadrage)]]</f>
        <v>Formation obligatoire</v>
      </c>
      <c r="O319" s="285">
        <f>Tableau1[[#This Row],[Validation
(Oui/Non)]]</f>
        <v>0</v>
      </c>
      <c r="P319" s="287" t="str">
        <f>Tableau1[[#This Row],[Calendrier
de réalisation]]</f>
        <v/>
      </c>
      <c r="Q319" s="284"/>
      <c r="S319" s="286" t="str">
        <f>IFERROR(VLOOKUP('Plan 2019 consolidé'!$E319,Tableau5[],COLUMN(Tableau5[[#This Row],[Sexe2]]),FALSE),"")</f>
        <v/>
      </c>
      <c r="W319" s="286" t="str">
        <f>IFERROR(VLOOKUP('Plan 2019 consolidé'!$E319,Tableau5[],COLUMN(Tableau5[[#This Row],[Age]]),FALSE),"")</f>
        <v/>
      </c>
      <c r="X319" s="286" t="str">
        <f>IFERROR(VLOOKUP('Plan 2019 consolidé'!$E319,Tableau5[],COLUMN(Tableau5[[#This Row],[Nombre d''années d''ancienneté dans la société]]),FALSE),"")</f>
        <v/>
      </c>
    </row>
  </sheetData>
  <dataConsolidate>
    <dataRefs count="1">
      <dataRef ref="D12:D204" sheet="Plan 2011 consolidé" r:id="rId1"/>
    </dataRefs>
  </dataConsolidate>
  <mergeCells count="8">
    <mergeCell ref="Y10:AB10"/>
    <mergeCell ref="M10:X10"/>
    <mergeCell ref="F1:J1"/>
    <mergeCell ref="A10:C10"/>
    <mergeCell ref="D10:F10"/>
    <mergeCell ref="Q3:S3"/>
    <mergeCell ref="G10:I10"/>
    <mergeCell ref="J10:L10"/>
  </mergeCells>
  <dataValidations count="2">
    <dataValidation type="list" allowBlank="1" showInputMessage="1" showErrorMessage="1" sqref="Q12:Q319">
      <formula1>Avancement</formula1>
    </dataValidation>
    <dataValidation type="list" allowBlank="1" showInputMessage="1" showErrorMessage="1" sqref="R12:R319">
      <formula1>Typologie</formula1>
    </dataValidation>
  </dataValidations>
  <printOptions horizontalCentered="1"/>
  <pageMargins left="0.11811023622047245" right="0.11811023622047245" top="0.35433070866141736" bottom="0.35433070866141736" header="0.31496062992125984" footer="0.11811023622047245"/>
  <pageSetup scale="48" orientation="landscape"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  <pageSetUpPr fitToPage="1"/>
  </sheetPr>
  <dimension ref="A1:T319"/>
  <sheetViews>
    <sheetView zoomScale="70" zoomScaleNormal="70" workbookViewId="0">
      <selection activeCell="F1" sqref="F1:J1"/>
    </sheetView>
  </sheetViews>
  <sheetFormatPr baseColWidth="10" defaultRowHeight="15" x14ac:dyDescent="0.25"/>
  <cols>
    <col min="1" max="1" width="11.42578125" style="7" customWidth="1"/>
    <col min="2" max="2" width="9.7109375" style="7" customWidth="1"/>
    <col min="3" max="3" width="14.85546875" customWidth="1"/>
    <col min="4" max="4" width="12.5703125" customWidth="1"/>
    <col min="5" max="5" width="19.85546875" customWidth="1"/>
    <col min="6" max="6" width="20.7109375" customWidth="1"/>
    <col min="7" max="7" width="9.85546875" customWidth="1"/>
    <col min="8" max="8" width="21.7109375" customWidth="1"/>
    <col min="9" max="9" width="10" style="7" customWidth="1"/>
    <col min="10" max="10" width="8.5703125" customWidth="1"/>
    <col min="11" max="11" width="9.7109375" customWidth="1"/>
    <col min="12" max="12" width="10.140625" bestFit="1" customWidth="1"/>
    <col min="13" max="13" width="15.7109375" style="7" customWidth="1"/>
    <col min="14" max="14" width="22.140625" customWidth="1"/>
    <col min="15" max="15" width="15" style="7" customWidth="1"/>
    <col min="16" max="16" width="18.42578125" customWidth="1"/>
  </cols>
  <sheetData>
    <row r="1" spans="1:20" s="1" customFormat="1" ht="33" customHeight="1" thickBot="1" x14ac:dyDescent="0.3">
      <c r="A1" s="6"/>
      <c r="B1" s="2"/>
      <c r="C1" s="2"/>
      <c r="D1" s="2"/>
      <c r="E1" s="2"/>
      <c r="F1" s="317" t="s">
        <v>1443</v>
      </c>
      <c r="G1" s="318"/>
      <c r="H1" s="318"/>
      <c r="I1" s="318"/>
      <c r="J1" s="319"/>
      <c r="K1" s="2"/>
      <c r="L1" s="85"/>
      <c r="M1" s="2"/>
      <c r="R1" s="2"/>
      <c r="S1" s="2"/>
      <c r="T1" s="2"/>
    </row>
    <row r="2" spans="1:20" s="1" customFormat="1" ht="14.25" customHeight="1" thickTop="1" thickBot="1" x14ac:dyDescent="0.3">
      <c r="A2" s="6"/>
      <c r="B2" s="2"/>
      <c r="C2" s="2"/>
      <c r="D2" s="2"/>
      <c r="E2" s="2"/>
      <c r="F2" s="2"/>
      <c r="G2" s="2"/>
      <c r="I2" s="2"/>
      <c r="J2" s="2"/>
      <c r="K2" s="2"/>
      <c r="L2" s="85"/>
      <c r="M2" s="2"/>
    </row>
    <row r="3" spans="1:20" s="1" customFormat="1" ht="36" thickTop="1" thickBot="1" x14ac:dyDescent="0.3">
      <c r="A3" s="6"/>
      <c r="C3" s="214"/>
      <c r="D3" s="236" t="s">
        <v>38</v>
      </c>
      <c r="E3" s="237" t="s">
        <v>50</v>
      </c>
      <c r="F3" s="215" t="s">
        <v>51</v>
      </c>
      <c r="G3" s="216" t="s">
        <v>192</v>
      </c>
      <c r="H3" s="218" t="s">
        <v>189</v>
      </c>
      <c r="I3" s="217" t="s">
        <v>183</v>
      </c>
    </row>
    <row r="4" spans="1:20" s="1" customFormat="1" ht="18.75" thickTop="1" thickBot="1" x14ac:dyDescent="0.3">
      <c r="A4" s="6"/>
      <c r="B4" s="213"/>
      <c r="C4" s="212" t="s">
        <v>14</v>
      </c>
      <c r="D4" s="220">
        <f>SUMPRODUCT(1/COUNTIF(Tableau1[Nom],Tableau1[Nom]))</f>
        <v>178.00000000000006</v>
      </c>
      <c r="E4" s="219">
        <f>COUNTA(Tableau1[Intitulé])</f>
        <v>308</v>
      </c>
      <c r="F4" s="220">
        <f>SUM(Tableau1[Durée
H])</f>
        <v>1726</v>
      </c>
      <c r="G4" s="221">
        <f>SUM(Tableau1[Coût
péda.])</f>
        <v>38115</v>
      </c>
      <c r="H4" s="220">
        <f>SUM(V12:V191)</f>
        <v>0</v>
      </c>
      <c r="I4" s="221">
        <f>G4+H4</f>
        <v>38115</v>
      </c>
      <c r="J4" s="222"/>
    </row>
    <row r="5" spans="1:20" s="1" customFormat="1" ht="18.75" thickTop="1" thickBot="1" x14ac:dyDescent="0.3">
      <c r="A5" s="6"/>
      <c r="C5" s="223"/>
      <c r="D5" s="2"/>
      <c r="E5" s="224"/>
      <c r="F5" s="224"/>
      <c r="G5" s="225"/>
      <c r="H5" s="225"/>
      <c r="I5" s="113"/>
    </row>
    <row r="6" spans="1:20" s="1" customFormat="1" ht="18.75" thickTop="1" thickBot="1" x14ac:dyDescent="0.3">
      <c r="A6" s="6"/>
      <c r="C6" s="226" t="s">
        <v>15</v>
      </c>
      <c r="D6" s="228"/>
      <c r="E6" s="220">
        <f>SUBTOTAL(3,Tableau1[Intitulé])</f>
        <v>308</v>
      </c>
      <c r="F6" s="229">
        <f>SUBTOTAL(9,Tableau1[Durée
H])</f>
        <v>1726</v>
      </c>
      <c r="G6" s="230">
        <f>SUBTOTAL(9,Tableau1[Coût
péda.])</f>
        <v>38115</v>
      </c>
      <c r="H6" s="230">
        <f>SUBTOTAL(9,V12:V191)</f>
        <v>0</v>
      </c>
      <c r="I6" s="231">
        <f>G6+H6</f>
        <v>38115</v>
      </c>
      <c r="P6" s="3"/>
      <c r="Q6" s="3"/>
      <c r="R6" s="3"/>
    </row>
    <row r="7" spans="1:20" s="1" customFormat="1" ht="18.75" thickTop="1" thickBot="1" x14ac:dyDescent="0.3">
      <c r="A7" s="6"/>
      <c r="C7" s="227" t="s">
        <v>16</v>
      </c>
      <c r="D7" s="228"/>
      <c r="E7" s="232">
        <f>IFERROR(E6/E4,"")</f>
        <v>1</v>
      </c>
      <c r="F7" s="233">
        <f t="shared" ref="F7:I7" si="0">IFERROR(F6/F4,"")</f>
        <v>1</v>
      </c>
      <c r="G7" s="232">
        <f>IFERROR(G6/G4,"")</f>
        <v>1</v>
      </c>
      <c r="H7" s="233" t="str">
        <f t="shared" si="0"/>
        <v/>
      </c>
      <c r="I7" s="234">
        <f t="shared" si="0"/>
        <v>1</v>
      </c>
    </row>
    <row r="8" spans="1:20" s="1" customFormat="1" ht="15.75" thickTop="1" x14ac:dyDescent="0.25">
      <c r="A8" s="6"/>
      <c r="B8" s="6"/>
      <c r="C8" s="4"/>
      <c r="H8" s="5"/>
      <c r="I8" s="6"/>
      <c r="J8" s="5"/>
      <c r="K8" s="5"/>
      <c r="L8" s="5"/>
      <c r="M8" s="6"/>
      <c r="O8" s="6"/>
    </row>
    <row r="9" spans="1:20" s="1" customFormat="1" x14ac:dyDescent="0.25">
      <c r="A9" s="6"/>
      <c r="B9" s="6"/>
      <c r="C9" s="4"/>
      <c r="H9" s="5"/>
      <c r="I9" s="6"/>
      <c r="J9" s="5"/>
      <c r="K9" s="5"/>
      <c r="L9" s="5"/>
      <c r="M9" s="6"/>
      <c r="O9" s="6"/>
    </row>
    <row r="10" spans="1:20" s="3" customFormat="1" x14ac:dyDescent="0.25">
      <c r="A10" s="308" t="s">
        <v>47</v>
      </c>
      <c r="B10" s="309"/>
      <c r="C10" s="310"/>
      <c r="D10" s="311" t="s">
        <v>48</v>
      </c>
      <c r="E10" s="312"/>
      <c r="F10" s="313"/>
      <c r="G10" s="314" t="s">
        <v>49</v>
      </c>
      <c r="H10" s="315"/>
      <c r="I10" s="315"/>
      <c r="J10" s="315"/>
      <c r="K10" s="315"/>
      <c r="L10" s="316"/>
      <c r="M10" s="306" t="s">
        <v>1320</v>
      </c>
      <c r="N10" s="307"/>
      <c r="O10" s="307"/>
      <c r="P10" s="307"/>
    </row>
    <row r="11" spans="1:20" s="6" customFormat="1" ht="30" x14ac:dyDescent="0.25">
      <c r="A11" s="183" t="s">
        <v>76</v>
      </c>
      <c r="B11" s="184" t="s">
        <v>1321</v>
      </c>
      <c r="C11" s="184" t="s">
        <v>0</v>
      </c>
      <c r="D11" s="185" t="s">
        <v>56</v>
      </c>
      <c r="E11" s="211" t="s">
        <v>53</v>
      </c>
      <c r="F11" s="185" t="s">
        <v>57</v>
      </c>
      <c r="G11" s="186" t="s">
        <v>40</v>
      </c>
      <c r="H11" s="186" t="s">
        <v>41</v>
      </c>
      <c r="I11" s="186" t="s">
        <v>39</v>
      </c>
      <c r="J11" s="186" t="s">
        <v>1</v>
      </c>
      <c r="K11" s="186" t="s">
        <v>42</v>
      </c>
      <c r="L11" s="186" t="s">
        <v>43</v>
      </c>
      <c r="M11" s="194" t="s">
        <v>44</v>
      </c>
      <c r="N11" s="194" t="s">
        <v>45</v>
      </c>
      <c r="O11" s="194" t="s">
        <v>46</v>
      </c>
      <c r="P11" s="194" t="s">
        <v>25</v>
      </c>
    </row>
    <row r="12" spans="1:20" ht="15.95" customHeight="1" x14ac:dyDescent="0.25">
      <c r="A12" s="197" t="str">
        <f>IFERROR(VLOOKUP(Tableau1[Nom],Tableau5[],COLUMN(Tableau5[Definition du costing : DVC ou non DVC]),FALSE),"")</f>
        <v>DVC</v>
      </c>
      <c r="B12" s="197" t="str">
        <f>IFERROR(VLOOKUP(Tableau1[Nom],Tableau5[],COLUMN(Tableau5[Nom de la société]),FALSE),"")</f>
        <v>Aub.</v>
      </c>
      <c r="C12" s="198" t="str">
        <f>IFERROR(VLOOKUP(Tableau1[Nom],Tableau5[],COLUMN(Tableau5[Nom du manager]),FALSE),"")</f>
        <v>ALIX</v>
      </c>
      <c r="D12" s="199">
        <f>IFERROR(VLOOKUP(Tableau1[Nom],Tableau5[],COLUMN(Tableau5[Matricule]),FALSE),"")</f>
        <v>102933</v>
      </c>
      <c r="E12" s="200" t="s">
        <v>278</v>
      </c>
      <c r="F12" s="199" t="str">
        <f>IFERROR(VLOOKUP(Tableau1[Nom],Tableau5[],COLUMN(Tableau5[Prénom]),FALSE),"")</f>
        <v>Yazid</v>
      </c>
      <c r="G12" s="188" t="s">
        <v>9</v>
      </c>
      <c r="H12" s="188" t="s">
        <v>1326</v>
      </c>
      <c r="I12" s="201"/>
      <c r="J12" s="188" t="s">
        <v>1324</v>
      </c>
      <c r="K12" s="189">
        <v>1.5</v>
      </c>
      <c r="L12" s="190">
        <v>53</v>
      </c>
      <c r="M12" s="202" t="s">
        <v>5</v>
      </c>
      <c r="N12" s="203" t="s">
        <v>1444</v>
      </c>
      <c r="O12" s="202"/>
      <c r="P12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3" spans="1:20" ht="16.5" customHeight="1" x14ac:dyDescent="0.25">
      <c r="A13" s="197" t="str">
        <f>IFERROR(VLOOKUP(Tableau1[Nom],Tableau5[],COLUMN(Tableau5[Definition du costing : DVC ou non DVC]),FALSE),"")</f>
        <v>DVC</v>
      </c>
      <c r="B13" s="197" t="str">
        <f>IFERROR(VLOOKUP(Tableau1[Nom],Tableau5[],COLUMN(Tableau5[Nom de la société]),FALSE),"")</f>
        <v>Aub.</v>
      </c>
      <c r="C13" s="198" t="str">
        <f>IFERROR(VLOOKUP(Tableau1[Nom],Tableau5[],COLUMN(Tableau5[Nom du manager]),FALSE),"")</f>
        <v>ALIX</v>
      </c>
      <c r="D13" s="199">
        <f>IFERROR(VLOOKUP(Tableau1[Nom],Tableau5[],COLUMN(Tableau5[Matricule]),FALSE),"")</f>
        <v>102933</v>
      </c>
      <c r="E13" s="200" t="s">
        <v>278</v>
      </c>
      <c r="F13" s="199" t="str">
        <f>IFERROR(VLOOKUP(Tableau1[Nom],Tableau5[],COLUMN(Tableau5[Prénom]),FALSE),"")</f>
        <v>Yazid</v>
      </c>
      <c r="G13" s="188" t="s">
        <v>9</v>
      </c>
      <c r="H13" s="188" t="s">
        <v>1340</v>
      </c>
      <c r="I13" s="201"/>
      <c r="J13" s="188" t="s">
        <v>1341</v>
      </c>
      <c r="K13" s="189">
        <v>7</v>
      </c>
      <c r="L13" s="190">
        <v>117</v>
      </c>
      <c r="M13" s="202" t="s">
        <v>5</v>
      </c>
      <c r="N13" s="203" t="s">
        <v>1444</v>
      </c>
      <c r="O13" s="202"/>
      <c r="P1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4" spans="1:20" x14ac:dyDescent="0.25">
      <c r="A14" s="197" t="str">
        <f>IFERROR(VLOOKUP(Tableau1[Nom],Tableau5[],COLUMN(Tableau5[Definition du costing : DVC ou non DVC]),FALSE),"")</f>
        <v>DVC</v>
      </c>
      <c r="B14" s="197" t="str">
        <f>IFERROR(VLOOKUP(Tableau1[Nom],Tableau5[],COLUMN(Tableau5[Nom de la société]),FALSE),"")</f>
        <v>STG</v>
      </c>
      <c r="C14" s="198" t="str">
        <f>IFERROR(VLOOKUP(Tableau1[Nom],Tableau5[],COLUMN(Tableau5[Nom du manager]),FALSE),"")</f>
        <v>XUEREB</v>
      </c>
      <c r="D14" s="199">
        <f>IFERROR(VLOOKUP(Tableau1[Nom],Tableau5[],COLUMN(Tableau5[Matricule]),FALSE),"")</f>
        <v>104634</v>
      </c>
      <c r="E14" s="200" t="s">
        <v>292</v>
      </c>
      <c r="F14" s="199" t="str">
        <f>IFERROR(VLOOKUP(Tableau1[Nom],Tableau5[],COLUMN(Tableau5[Prénom]),FALSE),"")</f>
        <v>Paolo</v>
      </c>
      <c r="G14" s="188" t="s">
        <v>9</v>
      </c>
      <c r="H14" s="188" t="s">
        <v>1326</v>
      </c>
      <c r="I14" s="201"/>
      <c r="J14" s="188" t="s">
        <v>1324</v>
      </c>
      <c r="K14" s="189">
        <v>1.5</v>
      </c>
      <c r="L14" s="190">
        <v>53</v>
      </c>
      <c r="M14" s="202" t="s">
        <v>5</v>
      </c>
      <c r="N14" s="203" t="s">
        <v>1444</v>
      </c>
      <c r="O14" s="202"/>
      <c r="P14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5" spans="1:20" ht="15" customHeight="1" x14ac:dyDescent="0.25">
      <c r="A15" s="197" t="str">
        <f>IFERROR(VLOOKUP(Tableau1[Nom],Tableau5[],COLUMN(Tableau5[Definition du costing : DVC ou non DVC]),FALSE),"")</f>
        <v>DVC</v>
      </c>
      <c r="B15" s="197" t="str">
        <f>IFERROR(VLOOKUP(Tableau1[Nom],Tableau5[],COLUMN(Tableau5[Nom de la société]),FALSE),"")</f>
        <v>STG</v>
      </c>
      <c r="C15" s="198" t="str">
        <f>IFERROR(VLOOKUP(Tableau1[Nom],Tableau5[],COLUMN(Tableau5[Nom du manager]),FALSE),"")</f>
        <v>XUEREB</v>
      </c>
      <c r="D15" s="199">
        <f>IFERROR(VLOOKUP(Tableau1[Nom],Tableau5[],COLUMN(Tableau5[Matricule]),FALSE),"")</f>
        <v>104634</v>
      </c>
      <c r="E15" s="200" t="s">
        <v>292</v>
      </c>
      <c r="F15" s="199" t="str">
        <f>IFERROR(VLOOKUP(Tableau1[Nom],Tableau5[],COLUMN(Tableau5[Prénom]),FALSE),"")</f>
        <v>Paolo</v>
      </c>
      <c r="G15" s="188" t="s">
        <v>9</v>
      </c>
      <c r="H15" s="188" t="s">
        <v>1333</v>
      </c>
      <c r="I15" s="201"/>
      <c r="J15" s="188" t="s">
        <v>1324</v>
      </c>
      <c r="K15" s="189">
        <v>7</v>
      </c>
      <c r="L15" s="190">
        <v>162</v>
      </c>
      <c r="M15" s="202" t="s">
        <v>5</v>
      </c>
      <c r="N15" s="203" t="s">
        <v>1444</v>
      </c>
      <c r="O15" s="202"/>
      <c r="P15" s="288">
        <f>IFERROR(INDEX(Tableau2[],MATCH(Tableau1[[#This Row],[Nom]]&amp;Tableau1[[#This Row],[Intitulé]],INDEX(Tableau2[],,COLUMN(Tableau2[Clé Recherche])),0),COLUMN(Tableau2[Calendrier de réalisation])),"")</f>
        <v>0</v>
      </c>
    </row>
    <row r="16" spans="1:20" ht="15" customHeight="1" x14ac:dyDescent="0.25">
      <c r="A16" s="197" t="str">
        <f>IFERROR(VLOOKUP(Tableau1[Nom],Tableau5[],COLUMN(Tableau5[Definition du costing : DVC ou non DVC]),FALSE),"")</f>
        <v>DVC</v>
      </c>
      <c r="B16" s="197" t="str">
        <f>IFERROR(VLOOKUP(Tableau1[Nom],Tableau5[],COLUMN(Tableau5[Nom de la société]),FALSE),"")</f>
        <v>STG</v>
      </c>
      <c r="C16" s="198" t="str">
        <f>IFERROR(VLOOKUP(Tableau1[Nom],Tableau5[],COLUMN(Tableau5[Nom du manager]),FALSE),"")</f>
        <v>XUEREB</v>
      </c>
      <c r="D16" s="199">
        <f>IFERROR(VLOOKUP(Tableau1[Nom],Tableau5[],COLUMN(Tableau5[Matricule]),FALSE),"")</f>
        <v>104634</v>
      </c>
      <c r="E16" s="200" t="s">
        <v>292</v>
      </c>
      <c r="F16" s="199" t="str">
        <f>IFERROR(VLOOKUP(Tableau1[Nom],Tableau5[],COLUMN(Tableau5[Prénom]),FALSE),"")</f>
        <v>Paolo</v>
      </c>
      <c r="G16" s="188" t="s">
        <v>9</v>
      </c>
      <c r="H16" s="188" t="s">
        <v>1339</v>
      </c>
      <c r="I16" s="201"/>
      <c r="J16" s="188" t="s">
        <v>1324</v>
      </c>
      <c r="K16" s="189">
        <v>7</v>
      </c>
      <c r="L16" s="190">
        <v>165</v>
      </c>
      <c r="M16" s="202" t="s">
        <v>5</v>
      </c>
      <c r="N16" s="203" t="s">
        <v>1444</v>
      </c>
      <c r="O16" s="202"/>
      <c r="P1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7" spans="1:16" ht="15" customHeight="1" x14ac:dyDescent="0.25">
      <c r="A17" s="197" t="str">
        <f>IFERROR(VLOOKUP(Tableau1[Nom],Tableau5[],COLUMN(Tableau5[Definition du costing : DVC ou non DVC]),FALSE),"")</f>
        <v>DVC</v>
      </c>
      <c r="B17" s="197" t="str">
        <f>IFERROR(VLOOKUP(Tableau1[Nom],Tableau5[],COLUMN(Tableau5[Nom de la société]),FALSE),"")</f>
        <v>STG</v>
      </c>
      <c r="C17" s="198" t="str">
        <f>IFERROR(VLOOKUP(Tableau1[Nom],Tableau5[],COLUMN(Tableau5[Nom du manager]),FALSE),"")</f>
        <v>XUEREB</v>
      </c>
      <c r="D17" s="199">
        <f>IFERROR(VLOOKUP(Tableau1[Nom],Tableau5[],COLUMN(Tableau5[Matricule]),FALSE),"")</f>
        <v>104692</v>
      </c>
      <c r="E17" s="200" t="s">
        <v>305</v>
      </c>
      <c r="F17" s="199" t="str">
        <f>IFERROR(VLOOKUP(Tableau1[Nom],Tableau5[],COLUMN(Tableau5[Prénom]),FALSE),"")</f>
        <v>Jean-Marc</v>
      </c>
      <c r="G17" s="188" t="s">
        <v>9</v>
      </c>
      <c r="H17" s="188" t="s">
        <v>1326</v>
      </c>
      <c r="I17" s="201"/>
      <c r="J17" s="188" t="s">
        <v>1324</v>
      </c>
      <c r="K17" s="189">
        <v>1.5</v>
      </c>
      <c r="L17" s="190">
        <v>53</v>
      </c>
      <c r="M17" s="202" t="s">
        <v>5</v>
      </c>
      <c r="N17" s="203" t="s">
        <v>1444</v>
      </c>
      <c r="O17" s="202"/>
      <c r="P17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8" spans="1:16" x14ac:dyDescent="0.25">
      <c r="A18" s="197" t="str">
        <f>IFERROR(VLOOKUP(Tableau1[Nom],Tableau5[],COLUMN(Tableau5[Definition du costing : DVC ou non DVC]),FALSE),"")</f>
        <v>DVC</v>
      </c>
      <c r="B18" s="197" t="str">
        <f>IFERROR(VLOOKUP(Tableau1[Nom],Tableau5[],COLUMN(Tableau5[Nom de la société]),FALSE),"")</f>
        <v>STG</v>
      </c>
      <c r="C18" s="198" t="str">
        <f>IFERROR(VLOOKUP(Tableau1[Nom],Tableau5[],COLUMN(Tableau5[Nom du manager]),FALSE),"")</f>
        <v>XUEREB</v>
      </c>
      <c r="D18" s="199">
        <f>IFERROR(VLOOKUP(Tableau1[Nom],Tableau5[],COLUMN(Tableau5[Matricule]),FALSE),"")</f>
        <v>104692</v>
      </c>
      <c r="E18" s="200" t="s">
        <v>305</v>
      </c>
      <c r="F18" s="199" t="str">
        <f>IFERROR(VLOOKUP(Tableau1[Nom],Tableau5[],COLUMN(Tableau5[Prénom]),FALSE),"")</f>
        <v>Jean-Marc</v>
      </c>
      <c r="G18" s="188" t="s">
        <v>9</v>
      </c>
      <c r="H18" s="188" t="s">
        <v>1333</v>
      </c>
      <c r="I18" s="201"/>
      <c r="J18" s="188" t="s">
        <v>1324</v>
      </c>
      <c r="K18" s="189">
        <v>7</v>
      </c>
      <c r="L18" s="190">
        <v>162</v>
      </c>
      <c r="M18" s="202" t="s">
        <v>5</v>
      </c>
      <c r="N18" s="203" t="s">
        <v>1444</v>
      </c>
      <c r="O18" s="202"/>
      <c r="P18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9" spans="1:16" x14ac:dyDescent="0.25">
      <c r="A19" s="197" t="str">
        <f>IFERROR(VLOOKUP(Tableau1[Nom],Tableau5[],COLUMN(Tableau5[Definition du costing : DVC ou non DVC]),FALSE),"")</f>
        <v>DVC</v>
      </c>
      <c r="B19" s="197" t="str">
        <f>IFERROR(VLOOKUP(Tableau1[Nom],Tableau5[],COLUMN(Tableau5[Nom de la société]),FALSE),"")</f>
        <v>Aub.</v>
      </c>
      <c r="C19" s="198" t="str">
        <f>IFERROR(VLOOKUP(Tableau1[Nom],Tableau5[],COLUMN(Tableau5[Nom du manager]),FALSE),"")</f>
        <v>SAVY</v>
      </c>
      <c r="D19" s="199">
        <f>IFERROR(VLOOKUP(Tableau1[Nom],Tableau5[],COLUMN(Tableau5[Matricule]),FALSE),"")</f>
        <v>102936</v>
      </c>
      <c r="E19" s="192" t="s">
        <v>1329</v>
      </c>
      <c r="F19" s="199" t="str">
        <f>IFERROR(VLOOKUP(Tableau1[Nom],Tableau5[],COLUMN(Tableau5[Prénom]),FALSE),"")</f>
        <v>Emmanuel</v>
      </c>
      <c r="G19" s="188" t="s">
        <v>9</v>
      </c>
      <c r="H19" s="188" t="s">
        <v>1326</v>
      </c>
      <c r="I19" s="201"/>
      <c r="J19" s="188" t="s">
        <v>1324</v>
      </c>
      <c r="K19" s="189">
        <v>1.5</v>
      </c>
      <c r="L19" s="190">
        <v>53</v>
      </c>
      <c r="M19" s="202" t="s">
        <v>5</v>
      </c>
      <c r="N19" s="203" t="s">
        <v>1444</v>
      </c>
      <c r="O19" s="202"/>
      <c r="P1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0" spans="1:16" x14ac:dyDescent="0.25">
      <c r="A20" s="197" t="str">
        <f>IFERROR(VLOOKUP(Tableau1[Nom],Tableau5[],COLUMN(Tableau5[Definition du costing : DVC ou non DVC]),FALSE),"")</f>
        <v>DVC</v>
      </c>
      <c r="B20" s="197" t="str">
        <f>IFERROR(VLOOKUP(Tableau1[Nom],Tableau5[],COLUMN(Tableau5[Nom de la société]),FALSE),"")</f>
        <v>Aub.</v>
      </c>
      <c r="C20" s="198" t="str">
        <f>IFERROR(VLOOKUP(Tableau1[Nom],Tableau5[],COLUMN(Tableau5[Nom du manager]),FALSE),"")</f>
        <v>SAVY</v>
      </c>
      <c r="D20" s="199">
        <f>IFERROR(VLOOKUP(Tableau1[Nom],Tableau5[],COLUMN(Tableau5[Matricule]),FALSE),"")</f>
        <v>102936</v>
      </c>
      <c r="E20" s="200" t="s">
        <v>1329</v>
      </c>
      <c r="F20" s="199" t="str">
        <f>IFERROR(VLOOKUP(Tableau1[Nom],Tableau5[],COLUMN(Tableau5[Prénom]),FALSE),"")</f>
        <v>Emmanuel</v>
      </c>
      <c r="G20" s="188" t="s">
        <v>9</v>
      </c>
      <c r="H20" s="188" t="s">
        <v>1340</v>
      </c>
      <c r="I20" s="201"/>
      <c r="J20" s="188" t="s">
        <v>1341</v>
      </c>
      <c r="K20" s="189">
        <v>7</v>
      </c>
      <c r="L20" s="190">
        <v>117</v>
      </c>
      <c r="M20" s="202" t="s">
        <v>5</v>
      </c>
      <c r="N20" s="203" t="s">
        <v>1444</v>
      </c>
      <c r="O20" s="202"/>
      <c r="P2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1" spans="1:16" x14ac:dyDescent="0.25">
      <c r="A21" s="197" t="str">
        <f>IFERROR(VLOOKUP(Tableau1[Nom],Tableau5[],COLUMN(Tableau5[Definition du costing : DVC ou non DVC]),FALSE),"")</f>
        <v>DVC</v>
      </c>
      <c r="B21" s="197" t="str">
        <f>IFERROR(VLOOKUP(Tableau1[Nom],Tableau5[],COLUMN(Tableau5[Nom de la société]),FALSE),"")</f>
        <v>Aub.</v>
      </c>
      <c r="C21" s="198" t="str">
        <f>IFERROR(VLOOKUP(Tableau1[Nom],Tableau5[],COLUMN(Tableau5[Nom du manager]),FALSE),"")</f>
        <v>PIFFAUT</v>
      </c>
      <c r="D21" s="199">
        <f>IFERROR(VLOOKUP(Tableau1[Nom],Tableau5[],COLUMN(Tableau5[Matricule]),FALSE),"")</f>
        <v>103038</v>
      </c>
      <c r="E21" s="192" t="s">
        <v>1330</v>
      </c>
      <c r="F21" s="199" t="str">
        <f>IFERROR(VLOOKUP(Tableau1[Nom],Tableau5[],COLUMN(Tableau5[Prénom]),FALSE),"")</f>
        <v>Jean-Luc</v>
      </c>
      <c r="G21" s="188" t="s">
        <v>9</v>
      </c>
      <c r="H21" s="188" t="s">
        <v>1326</v>
      </c>
      <c r="I21" s="201"/>
      <c r="J21" s="188" t="s">
        <v>1324</v>
      </c>
      <c r="K21" s="189">
        <v>1.5</v>
      </c>
      <c r="L21" s="190">
        <v>53</v>
      </c>
      <c r="M21" s="202" t="s">
        <v>5</v>
      </c>
      <c r="N21" s="203" t="s">
        <v>1444</v>
      </c>
      <c r="O21" s="202"/>
      <c r="P21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2" spans="1:16" x14ac:dyDescent="0.25">
      <c r="A22" s="197" t="str">
        <f>IFERROR(VLOOKUP(Tableau1[Nom],Tableau5[],COLUMN(Tableau5[Definition du costing : DVC ou non DVC]),FALSE),"")</f>
        <v>DVC</v>
      </c>
      <c r="B22" s="197" t="str">
        <f>IFERROR(VLOOKUP(Tableau1[Nom],Tableau5[],COLUMN(Tableau5[Nom de la société]),FALSE),"")</f>
        <v>Aub.</v>
      </c>
      <c r="C22" s="198" t="str">
        <f>IFERROR(VLOOKUP(Tableau1[Nom],Tableau5[],COLUMN(Tableau5[Nom du manager]),FALSE),"")</f>
        <v>PIFFAUT</v>
      </c>
      <c r="D22" s="199">
        <f>IFERROR(VLOOKUP(Tableau1[Nom],Tableau5[],COLUMN(Tableau5[Matricule]),FALSE),"")</f>
        <v>103038</v>
      </c>
      <c r="E22" s="200" t="s">
        <v>1330</v>
      </c>
      <c r="F22" s="199" t="str">
        <f>IFERROR(VLOOKUP(Tableau1[Nom],Tableau5[],COLUMN(Tableau5[Prénom]),FALSE),"")</f>
        <v>Jean-Luc</v>
      </c>
      <c r="G22" s="188" t="s">
        <v>9</v>
      </c>
      <c r="H22" s="188" t="s">
        <v>1337</v>
      </c>
      <c r="I22" s="201"/>
      <c r="J22" s="188" t="s">
        <v>1324</v>
      </c>
      <c r="K22" s="189">
        <v>14</v>
      </c>
      <c r="L22" s="190">
        <v>297</v>
      </c>
      <c r="M22" s="202" t="s">
        <v>5</v>
      </c>
      <c r="N22" s="203" t="s">
        <v>1444</v>
      </c>
      <c r="O22" s="202"/>
      <c r="P22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3" spans="1:16" x14ac:dyDescent="0.25">
      <c r="A23" s="197" t="str">
        <f>IFERROR(VLOOKUP(Tableau1[Nom],Tableau5[],COLUMN(Tableau5[Definition du costing : DVC ou non DVC]),FALSE),"")</f>
        <v>DVC</v>
      </c>
      <c r="B23" s="197" t="str">
        <f>IFERROR(VLOOKUP(Tableau1[Nom],Tableau5[],COLUMN(Tableau5[Nom de la société]),FALSE),"")</f>
        <v>Aub.</v>
      </c>
      <c r="C23" s="198" t="str">
        <f>IFERROR(VLOOKUP(Tableau1[Nom],Tableau5[],COLUMN(Tableau5[Nom du manager]),FALSE),"")</f>
        <v>PIFFAUT</v>
      </c>
      <c r="D23" s="199">
        <f>IFERROR(VLOOKUP(Tableau1[Nom],Tableau5[],COLUMN(Tableau5[Matricule]),FALSE),"")</f>
        <v>103038</v>
      </c>
      <c r="E23" s="200" t="s">
        <v>1330</v>
      </c>
      <c r="F23" s="199" t="str">
        <f>IFERROR(VLOOKUP(Tableau1[Nom],Tableau5[],COLUMN(Tableau5[Prénom]),FALSE),"")</f>
        <v>Jean-Luc</v>
      </c>
      <c r="G23" s="188" t="s">
        <v>9</v>
      </c>
      <c r="H23" s="188" t="s">
        <v>1340</v>
      </c>
      <c r="I23" s="201"/>
      <c r="J23" s="188" t="s">
        <v>1341</v>
      </c>
      <c r="K23" s="189">
        <v>7</v>
      </c>
      <c r="L23" s="190">
        <v>117</v>
      </c>
      <c r="M23" s="202" t="s">
        <v>5</v>
      </c>
      <c r="N23" s="203" t="s">
        <v>1444</v>
      </c>
      <c r="O23" s="202"/>
      <c r="P2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4" spans="1:16" x14ac:dyDescent="0.25">
      <c r="A24" s="191" t="str">
        <f>IFERROR(VLOOKUP(Tableau1[Nom],Tableau5[],COLUMN(Tableau5[Definition du costing : DVC ou non DVC]),FALSE),"")</f>
        <v>DVC</v>
      </c>
      <c r="B24" s="197" t="str">
        <f>IFERROR(VLOOKUP(Tableau1[Nom],Tableau5[],COLUMN(Tableau5[Nom de la société]),FALSE),"")</f>
        <v>Aub.</v>
      </c>
      <c r="C24" s="198" t="str">
        <f>IFERROR(VLOOKUP(Tableau1[Nom],Tableau5[],COLUMN(Tableau5[Nom du manager]),FALSE),"")</f>
        <v>SAVY</v>
      </c>
      <c r="D24" s="199">
        <f>IFERROR(VLOOKUP(Tableau1[Nom],Tableau5[],COLUMN(Tableau5[Matricule]),FALSE),"")</f>
        <v>103070</v>
      </c>
      <c r="E24" s="187" t="s">
        <v>389</v>
      </c>
      <c r="F24" s="199" t="str">
        <f>IFERROR(VLOOKUP(Tableau1[Nom],Tableau5[],COLUMN(Tableau5[Prénom]),FALSE),"")</f>
        <v>Herve</v>
      </c>
      <c r="G24" s="188" t="s">
        <v>9</v>
      </c>
      <c r="H24" s="188" t="s">
        <v>1323</v>
      </c>
      <c r="I24" s="189"/>
      <c r="J24" s="188" t="s">
        <v>1324</v>
      </c>
      <c r="K24" s="189">
        <v>7</v>
      </c>
      <c r="L24" s="190">
        <v>124</v>
      </c>
      <c r="M24" s="202" t="s">
        <v>5</v>
      </c>
      <c r="N24" s="203" t="s">
        <v>1444</v>
      </c>
      <c r="O24" s="195"/>
      <c r="P24" s="289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5" spans="1:16" x14ac:dyDescent="0.25">
      <c r="A25" s="197" t="str">
        <f>IFERROR(VLOOKUP(Tableau1[Nom],Tableau5[],COLUMN(Tableau5[Definition du costing : DVC ou non DVC]),FALSE),"")</f>
        <v>Non DVC</v>
      </c>
      <c r="B25" s="197" t="str">
        <f>IFERROR(VLOOKUP(Tableau1[Nom],Tableau5[],COLUMN(Tableau5[Nom de la société]),FALSE),"")</f>
        <v>Aub.</v>
      </c>
      <c r="C25" s="198" t="str">
        <f>IFERROR(VLOOKUP(Tableau1[Nom],Tableau5[],COLUMN(Tableau5[Nom du manager]),FALSE),"")</f>
        <v>RICCARDI</v>
      </c>
      <c r="D25" s="199">
        <f>IFERROR(VLOOKUP(Tableau1[Nom],Tableau5[],COLUMN(Tableau5[Matricule]),FALSE),"")</f>
        <v>102998</v>
      </c>
      <c r="E25" s="200" t="s">
        <v>395</v>
      </c>
      <c r="F25" s="199" t="str">
        <f>IFERROR(VLOOKUP(Tableau1[Nom],Tableau5[],COLUMN(Tableau5[Prénom]),FALSE),"")</f>
        <v>Emmanuel</v>
      </c>
      <c r="G25" s="188" t="s">
        <v>9</v>
      </c>
      <c r="H25" s="188" t="s">
        <v>1326</v>
      </c>
      <c r="I25" s="201"/>
      <c r="J25" s="188" t="s">
        <v>1324</v>
      </c>
      <c r="K25" s="189">
        <v>1.5</v>
      </c>
      <c r="L25" s="190">
        <v>53</v>
      </c>
      <c r="M25" s="202" t="s">
        <v>5</v>
      </c>
      <c r="N25" s="203" t="s">
        <v>1444</v>
      </c>
      <c r="O25" s="202"/>
      <c r="P25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6" spans="1:16" x14ac:dyDescent="0.25">
      <c r="A26" s="197" t="str">
        <f>IFERROR(VLOOKUP(Tableau1[Nom],Tableau5[],COLUMN(Tableau5[Definition du costing : DVC ou non DVC]),FALSE),"")</f>
        <v>Non DVC</v>
      </c>
      <c r="B26" s="197" t="str">
        <f>IFERROR(VLOOKUP(Tableau1[Nom],Tableau5[],COLUMN(Tableau5[Nom de la société]),FALSE),"")</f>
        <v>Aub.</v>
      </c>
      <c r="C26" s="198" t="str">
        <f>IFERROR(VLOOKUP(Tableau1[Nom],Tableau5[],COLUMN(Tableau5[Nom du manager]),FALSE),"")</f>
        <v>RICCARDI</v>
      </c>
      <c r="D26" s="199">
        <f>IFERROR(VLOOKUP(Tableau1[Nom],Tableau5[],COLUMN(Tableau5[Matricule]),FALSE),"")</f>
        <v>102998</v>
      </c>
      <c r="E26" s="200" t="s">
        <v>395</v>
      </c>
      <c r="F26" s="199" t="str">
        <f>IFERROR(VLOOKUP(Tableau1[Nom],Tableau5[],COLUMN(Tableau5[Prénom]),FALSE),"")</f>
        <v>Emmanuel</v>
      </c>
      <c r="G26" s="188" t="s">
        <v>9</v>
      </c>
      <c r="H26" s="188" t="s">
        <v>1340</v>
      </c>
      <c r="I26" s="201"/>
      <c r="J26" s="188" t="s">
        <v>1341</v>
      </c>
      <c r="K26" s="189">
        <v>7</v>
      </c>
      <c r="L26" s="190">
        <v>117</v>
      </c>
      <c r="M26" s="202" t="s">
        <v>5</v>
      </c>
      <c r="N26" s="203" t="s">
        <v>1444</v>
      </c>
      <c r="O26" s="202"/>
      <c r="P2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7" spans="1:16" x14ac:dyDescent="0.25">
      <c r="A27" s="191" t="str">
        <f>IFERROR(VLOOKUP(Tableau1[Nom],Tableau5[],COLUMN(Tableau5[Definition du costing : DVC ou non DVC]),FALSE),"")</f>
        <v>DVC</v>
      </c>
      <c r="B27" s="197" t="str">
        <f>IFERROR(VLOOKUP(Tableau1[Nom],Tableau5[],COLUMN(Tableau5[Nom de la société]),FALSE),"")</f>
        <v>Aub.</v>
      </c>
      <c r="C27" s="198" t="str">
        <f>IFERROR(VLOOKUP(Tableau1[Nom],Tableau5[],COLUMN(Tableau5[Nom du manager]),FALSE),"")</f>
        <v>ALIX</v>
      </c>
      <c r="D27" s="199">
        <f>IFERROR(VLOOKUP(Tableau1[Nom],Tableau5[],COLUMN(Tableau5[Matricule]),FALSE),"")</f>
        <v>103009</v>
      </c>
      <c r="E27" s="187" t="s">
        <v>403</v>
      </c>
      <c r="F27" s="199" t="str">
        <f>IFERROR(VLOOKUP(Tableau1[Nom],Tableau5[],COLUMN(Tableau5[Prénom]),FALSE),"")</f>
        <v>Dominique</v>
      </c>
      <c r="G27" s="188" t="s">
        <v>9</v>
      </c>
      <c r="H27" s="188" t="s">
        <v>1323</v>
      </c>
      <c r="I27" s="189"/>
      <c r="J27" s="188" t="s">
        <v>1324</v>
      </c>
      <c r="K27" s="189">
        <v>7</v>
      </c>
      <c r="L27" s="190">
        <v>124</v>
      </c>
      <c r="M27" s="202" t="s">
        <v>5</v>
      </c>
      <c r="N27" s="203" t="s">
        <v>1444</v>
      </c>
      <c r="O27" s="195"/>
      <c r="P27" s="289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8" spans="1:16" x14ac:dyDescent="0.25">
      <c r="A28" s="197" t="str">
        <f>IFERROR(VLOOKUP(Tableau1[Nom],Tableau5[],COLUMN(Tableau5[Definition du costing : DVC ou non DVC]),FALSE),"")</f>
        <v>DVC</v>
      </c>
      <c r="B28" s="197" t="str">
        <f>IFERROR(VLOOKUP(Tableau1[Nom],Tableau5[],COLUMN(Tableau5[Nom de la société]),FALSE),"")</f>
        <v>STG</v>
      </c>
      <c r="C28" s="198" t="str">
        <f>IFERROR(VLOOKUP(Tableau1[Nom],Tableau5[],COLUMN(Tableau5[Nom du manager]),FALSE),"")</f>
        <v>XUEREB</v>
      </c>
      <c r="D28" s="199">
        <f>IFERROR(VLOOKUP(Tableau1[Nom],Tableau5[],COLUMN(Tableau5[Matricule]),FALSE),"")</f>
        <v>104628</v>
      </c>
      <c r="E28" s="200" t="s">
        <v>917</v>
      </c>
      <c r="F28" s="199" t="str">
        <f>IFERROR(VLOOKUP(Tableau1[Nom],Tableau5[],COLUMN(Tableau5[Prénom]),FALSE),"")</f>
        <v>Lionel</v>
      </c>
      <c r="G28" s="188" t="s">
        <v>9</v>
      </c>
      <c r="H28" s="188" t="s">
        <v>1326</v>
      </c>
      <c r="I28" s="201"/>
      <c r="J28" s="188" t="s">
        <v>1324</v>
      </c>
      <c r="K28" s="189">
        <v>1.5</v>
      </c>
      <c r="L28" s="190">
        <v>53</v>
      </c>
      <c r="M28" s="202" t="s">
        <v>5</v>
      </c>
      <c r="N28" s="203" t="s">
        <v>1444</v>
      </c>
      <c r="O28" s="202"/>
      <c r="P2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9" spans="1:16" x14ac:dyDescent="0.25">
      <c r="A29" s="197" t="str">
        <f>IFERROR(VLOOKUP(Tableau1[Nom],Tableau5[],COLUMN(Tableau5[Definition du costing : DVC ou non DVC]),FALSE),"")</f>
        <v>DVC</v>
      </c>
      <c r="B29" s="197" t="str">
        <f>IFERROR(VLOOKUP(Tableau1[Nom],Tableau5[],COLUMN(Tableau5[Nom de la société]),FALSE),"")</f>
        <v>STG</v>
      </c>
      <c r="C29" s="198" t="str">
        <f>IFERROR(VLOOKUP(Tableau1[Nom],Tableau5[],COLUMN(Tableau5[Nom du manager]),FALSE),"")</f>
        <v>XUEREB</v>
      </c>
      <c r="D29" s="199">
        <f>IFERROR(VLOOKUP(Tableau1[Nom],Tableau5[],COLUMN(Tableau5[Matricule]),FALSE),"")</f>
        <v>104628</v>
      </c>
      <c r="E29" s="200" t="s">
        <v>917</v>
      </c>
      <c r="F29" s="199" t="str">
        <f>IFERROR(VLOOKUP(Tableau1[Nom],Tableau5[],COLUMN(Tableau5[Prénom]),FALSE),"")</f>
        <v>Lionel</v>
      </c>
      <c r="G29" s="188" t="s">
        <v>9</v>
      </c>
      <c r="H29" s="188" t="s">
        <v>1333</v>
      </c>
      <c r="I29" s="201"/>
      <c r="J29" s="188" t="s">
        <v>1324</v>
      </c>
      <c r="K29" s="189">
        <v>7</v>
      </c>
      <c r="L29" s="190">
        <v>162</v>
      </c>
      <c r="M29" s="202" t="s">
        <v>5</v>
      </c>
      <c r="N29" s="203" t="s">
        <v>1444</v>
      </c>
      <c r="O29" s="202"/>
      <c r="P2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30" spans="1:16" x14ac:dyDescent="0.25">
      <c r="A30" s="197" t="str">
        <f>IFERROR(VLOOKUP(Tableau1[Nom],Tableau5[],COLUMN(Tableau5[Definition du costing : DVC ou non DVC]),FALSE),"")</f>
        <v>DVC</v>
      </c>
      <c r="B30" s="197" t="str">
        <f>IFERROR(VLOOKUP(Tableau1[Nom],Tableau5[],COLUMN(Tableau5[Nom de la société]),FALSE),"")</f>
        <v>Aub.</v>
      </c>
      <c r="C30" s="198" t="str">
        <f>IFERROR(VLOOKUP(Tableau1[Nom],Tableau5[],COLUMN(Tableau5[Nom du manager]),FALSE),"")</f>
        <v>SENEPART</v>
      </c>
      <c r="D30" s="199">
        <f>IFERROR(VLOOKUP(Tableau1[Nom],Tableau5[],COLUMN(Tableau5[Matricule]),FALSE),"")</f>
        <v>104383</v>
      </c>
      <c r="E30" s="200" t="s">
        <v>407</v>
      </c>
      <c r="F30" s="199" t="str">
        <f>IFERROR(VLOOKUP(Tableau1[Nom],Tableau5[],COLUMN(Tableau5[Prénom]),FALSE),"")</f>
        <v>Jeremy</v>
      </c>
      <c r="G30" s="188" t="s">
        <v>9</v>
      </c>
      <c r="H30" s="188" t="s">
        <v>1326</v>
      </c>
      <c r="I30" s="201"/>
      <c r="J30" s="188" t="s">
        <v>1324</v>
      </c>
      <c r="K30" s="189">
        <v>1.5</v>
      </c>
      <c r="L30" s="190">
        <v>53</v>
      </c>
      <c r="M30" s="202" t="s">
        <v>5</v>
      </c>
      <c r="N30" s="203" t="s">
        <v>1444</v>
      </c>
      <c r="O30" s="202"/>
      <c r="P30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31" spans="1:16" x14ac:dyDescent="0.25">
      <c r="A31" s="197" t="str">
        <f>IFERROR(VLOOKUP(Tableau1[Nom],Tableau5[],COLUMN(Tableau5[Definition du costing : DVC ou non DVC]),FALSE),"")</f>
        <v>DVC</v>
      </c>
      <c r="B31" s="197" t="str">
        <f>IFERROR(VLOOKUP(Tableau1[Nom],Tableau5[],COLUMN(Tableau5[Nom de la société]),FALSE),"")</f>
        <v>Aub.</v>
      </c>
      <c r="C31" s="198" t="str">
        <f>IFERROR(VLOOKUP(Tableau1[Nom],Tableau5[],COLUMN(Tableau5[Nom du manager]),FALSE),"")</f>
        <v>SENEPART</v>
      </c>
      <c r="D31" s="199">
        <f>IFERROR(VLOOKUP(Tableau1[Nom],Tableau5[],COLUMN(Tableau5[Matricule]),FALSE),"")</f>
        <v>104383</v>
      </c>
      <c r="E31" s="200" t="s">
        <v>407</v>
      </c>
      <c r="F31" s="199" t="str">
        <f>IFERROR(VLOOKUP(Tableau1[Nom],Tableau5[],COLUMN(Tableau5[Prénom]),FALSE),"")</f>
        <v>Jeremy</v>
      </c>
      <c r="G31" s="188" t="s">
        <v>9</v>
      </c>
      <c r="H31" s="188" t="s">
        <v>1346</v>
      </c>
      <c r="I31" s="201"/>
      <c r="J31" s="188" t="s">
        <v>1344</v>
      </c>
      <c r="K31" s="189">
        <v>10.5</v>
      </c>
      <c r="L31" s="190">
        <v>260</v>
      </c>
      <c r="M31" s="202" t="s">
        <v>5</v>
      </c>
      <c r="N31" s="203" t="s">
        <v>1444</v>
      </c>
      <c r="O31" s="202"/>
      <c r="P3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2" spans="1:16" x14ac:dyDescent="0.25">
      <c r="A32" s="197" t="str">
        <f>IFERROR(VLOOKUP(Tableau1[Nom],Tableau5[],COLUMN(Tableau5[Definition du costing : DVC ou non DVC]),FALSE),"")</f>
        <v>DVC</v>
      </c>
      <c r="B32" s="197" t="str">
        <f>IFERROR(VLOOKUP(Tableau1[Nom],Tableau5[],COLUMN(Tableau5[Nom de la société]),FALSE),"")</f>
        <v>Lattes</v>
      </c>
      <c r="C32" s="198" t="str">
        <f>IFERROR(VLOOKUP(Tableau1[Nom],Tableau5[],COLUMN(Tableau5[Nom du manager]),FALSE),"")</f>
        <v>JACKEL</v>
      </c>
      <c r="D32" s="199">
        <f>IFERROR(VLOOKUP(Tableau1[Nom],Tableau5[],COLUMN(Tableau5[Matricule]),FALSE),"")</f>
        <v>240339</v>
      </c>
      <c r="E32" s="200" t="s">
        <v>1172</v>
      </c>
      <c r="F32" s="199" t="str">
        <f>IFERROR(VLOOKUP(Tableau1[Nom],Tableau5[],COLUMN(Tableau5[Prénom]),FALSE),"")</f>
        <v>Anouar</v>
      </c>
      <c r="G32" s="188" t="s">
        <v>9</v>
      </c>
      <c r="H32" s="188" t="s">
        <v>1343</v>
      </c>
      <c r="I32" s="201"/>
      <c r="J32" s="188" t="s">
        <v>1344</v>
      </c>
      <c r="K32" s="189">
        <v>10.5</v>
      </c>
      <c r="L32" s="190">
        <v>260</v>
      </c>
      <c r="M32" s="202" t="s">
        <v>5</v>
      </c>
      <c r="N32" s="203" t="s">
        <v>1444</v>
      </c>
      <c r="O32" s="202"/>
      <c r="P32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3" spans="1:16" x14ac:dyDescent="0.25">
      <c r="A33" s="191" t="str">
        <f>IFERROR(VLOOKUP(Tableau1[Nom],Tableau5[],COLUMN(Tableau5[Definition du costing : DVC ou non DVC]),FALSE),"")</f>
        <v>DVC</v>
      </c>
      <c r="B33" s="197" t="str">
        <f>IFERROR(VLOOKUP(Tableau1[Nom],Tableau5[],COLUMN(Tableau5[Nom de la société]),FALSE),"")</f>
        <v>Aub.</v>
      </c>
      <c r="C33" s="198" t="str">
        <f>IFERROR(VLOOKUP(Tableau1[Nom],Tableau5[],COLUMN(Tableau5[Nom du manager]),FALSE),"")</f>
        <v>FUENTES</v>
      </c>
      <c r="D33" s="199">
        <f>IFERROR(VLOOKUP(Tableau1[Nom],Tableau5[],COLUMN(Tableau5[Matricule]),FALSE),"")</f>
        <v>103071</v>
      </c>
      <c r="E33" s="187" t="s">
        <v>420</v>
      </c>
      <c r="F33" s="199" t="str">
        <f>IFERROR(VLOOKUP(Tableau1[Nom],Tableau5[],COLUMN(Tableau5[Prénom]),FALSE),"")</f>
        <v>Claudine</v>
      </c>
      <c r="G33" s="188" t="s">
        <v>9</v>
      </c>
      <c r="H33" s="188" t="s">
        <v>1323</v>
      </c>
      <c r="I33" s="189"/>
      <c r="J33" s="188" t="s">
        <v>1324</v>
      </c>
      <c r="K33" s="189">
        <v>7</v>
      </c>
      <c r="L33" s="190">
        <v>124</v>
      </c>
      <c r="M33" s="202" t="s">
        <v>5</v>
      </c>
      <c r="N33" s="203" t="s">
        <v>1444</v>
      </c>
      <c r="O33" s="195"/>
      <c r="P33" s="289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34" spans="1:16" x14ac:dyDescent="0.25">
      <c r="A34" s="197" t="str">
        <f>IFERROR(VLOOKUP(Tableau1[Nom],Tableau5[],COLUMN(Tableau5[Definition du costing : DVC ou non DVC]),FALSE),"")</f>
        <v>DVC</v>
      </c>
      <c r="B34" s="197" t="str">
        <f>IFERROR(VLOOKUP(Tableau1[Nom],Tableau5[],COLUMN(Tableau5[Nom de la société]),FALSE),"")</f>
        <v>Lattes</v>
      </c>
      <c r="C34" s="198" t="str">
        <f>IFERROR(VLOOKUP(Tableau1[Nom],Tableau5[],COLUMN(Tableau5[Nom du manager]),FALSE),"")</f>
        <v>VERNE</v>
      </c>
      <c r="D34" s="199">
        <f>IFERROR(VLOOKUP(Tableau1[Nom],Tableau5[],COLUMN(Tableau5[Matricule]),FALSE),"")</f>
        <v>191742</v>
      </c>
      <c r="E34" s="200" t="s">
        <v>1140</v>
      </c>
      <c r="F34" s="199" t="str">
        <f>IFERROR(VLOOKUP(Tableau1[Nom],Tableau5[],COLUMN(Tableau5[Prénom]),FALSE),"")</f>
        <v>Mohamed</v>
      </c>
      <c r="G34" s="188" t="s">
        <v>9</v>
      </c>
      <c r="H34" s="188" t="s">
        <v>1333</v>
      </c>
      <c r="I34" s="201"/>
      <c r="J34" s="188" t="s">
        <v>1324</v>
      </c>
      <c r="K34" s="189">
        <v>7</v>
      </c>
      <c r="L34" s="190">
        <v>162</v>
      </c>
      <c r="M34" s="202" t="s">
        <v>5</v>
      </c>
      <c r="N34" s="203" t="s">
        <v>1444</v>
      </c>
      <c r="O34" s="202"/>
      <c r="P34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35" spans="1:16" x14ac:dyDescent="0.25">
      <c r="A35" s="197" t="str">
        <f>IFERROR(VLOOKUP(Tableau1[Nom],Tableau5[],COLUMN(Tableau5[Definition du costing : DVC ou non DVC]),FALSE),"")</f>
        <v>DVC</v>
      </c>
      <c r="B35" s="197" t="str">
        <f>IFERROR(VLOOKUP(Tableau1[Nom],Tableau5[],COLUMN(Tableau5[Nom de la société]),FALSE),"")</f>
        <v>Lattes</v>
      </c>
      <c r="C35" s="198" t="str">
        <f>IFERROR(VLOOKUP(Tableau1[Nom],Tableau5[],COLUMN(Tableau5[Nom du manager]),FALSE),"")</f>
        <v>VERNE</v>
      </c>
      <c r="D35" s="199">
        <f>IFERROR(VLOOKUP(Tableau1[Nom],Tableau5[],COLUMN(Tableau5[Matricule]),FALSE),"")</f>
        <v>191742</v>
      </c>
      <c r="E35" s="200" t="s">
        <v>1140</v>
      </c>
      <c r="F35" s="199" t="str">
        <f>IFERROR(VLOOKUP(Tableau1[Nom],Tableau5[],COLUMN(Tableau5[Prénom]),FALSE),"")</f>
        <v>Mohamed</v>
      </c>
      <c r="G35" s="188" t="s">
        <v>9</v>
      </c>
      <c r="H35" s="188" t="s">
        <v>1343</v>
      </c>
      <c r="I35" s="201"/>
      <c r="J35" s="188" t="s">
        <v>1344</v>
      </c>
      <c r="K35" s="189">
        <v>10.5</v>
      </c>
      <c r="L35" s="190">
        <v>260</v>
      </c>
      <c r="M35" s="202" t="s">
        <v>5</v>
      </c>
      <c r="N35" s="203" t="s">
        <v>1444</v>
      </c>
      <c r="O35" s="202"/>
      <c r="P3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6" spans="1:16" x14ac:dyDescent="0.25">
      <c r="A36" s="197" t="str">
        <f>IFERROR(VLOOKUP(Tableau1[Nom],Tableau5[],COLUMN(Tableau5[Definition du costing : DVC ou non DVC]),FALSE),"")</f>
        <v>DVC</v>
      </c>
      <c r="B36" s="197" t="str">
        <f>IFERROR(VLOOKUP(Tableau1[Nom],Tableau5[],COLUMN(Tableau5[Nom de la société]),FALSE),"")</f>
        <v>STG</v>
      </c>
      <c r="C36" s="198" t="str">
        <f>IFERROR(VLOOKUP(Tableau1[Nom],Tableau5[],COLUMN(Tableau5[Nom du manager]),FALSE),"")</f>
        <v>XUEREB</v>
      </c>
      <c r="D36" s="199">
        <f>IFERROR(VLOOKUP(Tableau1[Nom],Tableau5[],COLUMN(Tableau5[Matricule]),FALSE),"")</f>
        <v>10559280</v>
      </c>
      <c r="E36" s="200" t="s">
        <v>923</v>
      </c>
      <c r="F36" s="199" t="str">
        <f>IFERROR(VLOOKUP(Tableau1[Nom],Tableau5[],COLUMN(Tableau5[Prénom]),FALSE),"")</f>
        <v>Christian</v>
      </c>
      <c r="G36" s="188" t="s">
        <v>9</v>
      </c>
      <c r="H36" s="188" t="s">
        <v>1326</v>
      </c>
      <c r="I36" s="201"/>
      <c r="J36" s="188" t="s">
        <v>1324</v>
      </c>
      <c r="K36" s="189">
        <v>1.5</v>
      </c>
      <c r="L36" s="190">
        <v>53</v>
      </c>
      <c r="M36" s="202" t="s">
        <v>5</v>
      </c>
      <c r="N36" s="203" t="s">
        <v>1444</v>
      </c>
      <c r="O36" s="202"/>
      <c r="P36" s="288">
        <f>IFERROR(INDEX(Tableau2[],MATCH(Tableau1[[#This Row],[Nom]]&amp;Tableau1[[#This Row],[Intitulé]],INDEX(Tableau2[],,COLUMN(Tableau2[Clé Recherche])),0),COLUMN(Tableau2[Calendrier de réalisation])),"")</f>
        <v>0</v>
      </c>
    </row>
    <row r="37" spans="1:16" x14ac:dyDescent="0.25">
      <c r="A37" s="191" t="str">
        <f>IFERROR(VLOOKUP(Tableau1[Nom],Tableau5[],COLUMN(Tableau5[Definition du costing : DVC ou non DVC]),FALSE),"")</f>
        <v>DVC</v>
      </c>
      <c r="B37" s="197" t="str">
        <f>IFERROR(VLOOKUP(Tableau1[Nom],Tableau5[],COLUMN(Tableau5[Nom de la société]),FALSE),"")</f>
        <v>Aub.</v>
      </c>
      <c r="C37" s="198" t="str">
        <f>IFERROR(VLOOKUP(Tableau1[Nom],Tableau5[],COLUMN(Tableau5[Nom du manager]),FALSE),"")</f>
        <v>SENEPART</v>
      </c>
      <c r="D37" s="199">
        <f>IFERROR(VLOOKUP(Tableau1[Nom],Tableau5[],COLUMN(Tableau5[Matricule]),FALSE),"")</f>
        <v>102925</v>
      </c>
      <c r="E37" s="187" t="s">
        <v>430</v>
      </c>
      <c r="F37" s="199" t="str">
        <f>IFERROR(VLOOKUP(Tableau1[Nom],Tableau5[],COLUMN(Tableau5[Prénom]),FALSE),"")</f>
        <v>Mohammed</v>
      </c>
      <c r="G37" s="188" t="s">
        <v>9</v>
      </c>
      <c r="H37" s="188" t="s">
        <v>1323</v>
      </c>
      <c r="I37" s="189"/>
      <c r="J37" s="188" t="s">
        <v>1324</v>
      </c>
      <c r="K37" s="189">
        <v>7</v>
      </c>
      <c r="L37" s="190">
        <v>124</v>
      </c>
      <c r="M37" s="202" t="s">
        <v>5</v>
      </c>
      <c r="N37" s="203" t="s">
        <v>1444</v>
      </c>
      <c r="O37" s="195"/>
      <c r="P37" s="289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38" spans="1:16" x14ac:dyDescent="0.25">
      <c r="A38" s="197" t="str">
        <f>IFERROR(VLOOKUP(Tableau1[Nom],Tableau5[],COLUMN(Tableau5[Definition du costing : DVC ou non DVC]),FALSE),"")</f>
        <v>DVC</v>
      </c>
      <c r="B38" s="197" t="str">
        <f>IFERROR(VLOOKUP(Tableau1[Nom],Tableau5[],COLUMN(Tableau5[Nom de la société]),FALSE),"")</f>
        <v>Aub.</v>
      </c>
      <c r="C38" s="198" t="str">
        <f>IFERROR(VLOOKUP(Tableau1[Nom],Tableau5[],COLUMN(Tableau5[Nom du manager]),FALSE),"")</f>
        <v>SENEPART</v>
      </c>
      <c r="D38" s="199">
        <f>IFERROR(VLOOKUP(Tableau1[Nom],Tableau5[],COLUMN(Tableau5[Matricule]),FALSE),"")</f>
        <v>102925</v>
      </c>
      <c r="E38" s="200" t="s">
        <v>430</v>
      </c>
      <c r="F38" s="199" t="str">
        <f>IFERROR(VLOOKUP(Tableau1[Nom],Tableau5[],COLUMN(Tableau5[Prénom]),FALSE),"")</f>
        <v>Mohammed</v>
      </c>
      <c r="G38" s="188" t="s">
        <v>9</v>
      </c>
      <c r="H38" s="188" t="s">
        <v>1326</v>
      </c>
      <c r="I38" s="201"/>
      <c r="J38" s="188" t="s">
        <v>1324</v>
      </c>
      <c r="K38" s="189">
        <v>1.5</v>
      </c>
      <c r="L38" s="190">
        <v>53</v>
      </c>
      <c r="M38" s="202" t="s">
        <v>5</v>
      </c>
      <c r="N38" s="203" t="s">
        <v>1444</v>
      </c>
      <c r="O38" s="202"/>
      <c r="P38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39" spans="1:16" x14ac:dyDescent="0.25">
      <c r="A39" s="197" t="str">
        <f>IFERROR(VLOOKUP(Tableau1[Nom],Tableau5[],COLUMN(Tableau5[Definition du costing : DVC ou non DVC]),FALSE),"")</f>
        <v>DVC</v>
      </c>
      <c r="B39" s="197" t="str">
        <f>IFERROR(VLOOKUP(Tableau1[Nom],Tableau5[],COLUMN(Tableau5[Nom de la société]),FALSE),"")</f>
        <v>Aub.</v>
      </c>
      <c r="C39" s="198" t="str">
        <f>IFERROR(VLOOKUP(Tableau1[Nom],Tableau5[],COLUMN(Tableau5[Nom du manager]),FALSE),"")</f>
        <v>SENEPART</v>
      </c>
      <c r="D39" s="199">
        <f>IFERROR(VLOOKUP(Tableau1[Nom],Tableau5[],COLUMN(Tableau5[Matricule]),FALSE),"")</f>
        <v>102925</v>
      </c>
      <c r="E39" s="200" t="s">
        <v>430</v>
      </c>
      <c r="F39" s="199" t="str">
        <f>IFERROR(VLOOKUP(Tableau1[Nom],Tableau5[],COLUMN(Tableau5[Prénom]),FALSE),"")</f>
        <v>Mohammed</v>
      </c>
      <c r="G39" s="188" t="s">
        <v>9</v>
      </c>
      <c r="H39" s="188" t="s">
        <v>1333</v>
      </c>
      <c r="I39" s="201"/>
      <c r="J39" s="188" t="s">
        <v>1324</v>
      </c>
      <c r="K39" s="189">
        <v>7</v>
      </c>
      <c r="L39" s="190">
        <v>162</v>
      </c>
      <c r="M39" s="202" t="s">
        <v>5</v>
      </c>
      <c r="N39" s="203" t="s">
        <v>1444</v>
      </c>
      <c r="O39" s="202"/>
      <c r="P39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40" spans="1:16" x14ac:dyDescent="0.25">
      <c r="A40" s="191" t="str">
        <f>IFERROR(VLOOKUP(Tableau1[Nom],Tableau5[],COLUMN(Tableau5[Definition du costing : DVC ou non DVC]),FALSE),"")</f>
        <v>DVC</v>
      </c>
      <c r="B40" s="197" t="str">
        <f>IFERROR(VLOOKUP(Tableau1[Nom],Tableau5[],COLUMN(Tableau5[Nom de la société]),FALSE),"")</f>
        <v>Aub.</v>
      </c>
      <c r="C40" s="198" t="str">
        <f>IFERROR(VLOOKUP(Tableau1[Nom],Tableau5[],COLUMN(Tableau5[Nom du manager]),FALSE),"")</f>
        <v>ALIX</v>
      </c>
      <c r="D40" s="199">
        <f>IFERROR(VLOOKUP(Tableau1[Nom],Tableau5[],COLUMN(Tableau5[Matricule]),FALSE),"")</f>
        <v>102971</v>
      </c>
      <c r="E40" s="187" t="s">
        <v>435</v>
      </c>
      <c r="F40" s="199" t="str">
        <f>IFERROR(VLOOKUP(Tableau1[Nom],Tableau5[],COLUMN(Tableau5[Prénom]),FALSE),"")</f>
        <v>Henri</v>
      </c>
      <c r="G40" s="188" t="s">
        <v>9</v>
      </c>
      <c r="H40" s="188" t="s">
        <v>1323</v>
      </c>
      <c r="I40" s="189"/>
      <c r="J40" s="188" t="s">
        <v>1324</v>
      </c>
      <c r="K40" s="189">
        <v>7</v>
      </c>
      <c r="L40" s="190">
        <v>124</v>
      </c>
      <c r="M40" s="202" t="s">
        <v>5</v>
      </c>
      <c r="N40" s="203" t="s">
        <v>1444</v>
      </c>
      <c r="O40" s="195"/>
      <c r="P40" s="289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41" spans="1:16" x14ac:dyDescent="0.25">
      <c r="A41" s="197" t="str">
        <f>IFERROR(VLOOKUP(Tableau1[Nom],Tableau5[],COLUMN(Tableau5[Definition du costing : DVC ou non DVC]),FALSE),"")</f>
        <v>DVC</v>
      </c>
      <c r="B41" s="197" t="str">
        <f>IFERROR(VLOOKUP(Tableau1[Nom],Tableau5[],COLUMN(Tableau5[Nom de la société]),FALSE),"")</f>
        <v>Aub.</v>
      </c>
      <c r="C41" s="198" t="str">
        <f>IFERROR(VLOOKUP(Tableau1[Nom],Tableau5[],COLUMN(Tableau5[Nom du manager]),FALSE),"")</f>
        <v>ALIX</v>
      </c>
      <c r="D41" s="199">
        <f>IFERROR(VLOOKUP(Tableau1[Nom],Tableau5[],COLUMN(Tableau5[Matricule]),FALSE),"")</f>
        <v>102971</v>
      </c>
      <c r="E41" s="200" t="s">
        <v>435</v>
      </c>
      <c r="F41" s="199" t="str">
        <f>IFERROR(VLOOKUP(Tableau1[Nom],Tableau5[],COLUMN(Tableau5[Prénom]),FALSE),"")</f>
        <v>Henri</v>
      </c>
      <c r="G41" s="188" t="s">
        <v>9</v>
      </c>
      <c r="H41" s="188" t="s">
        <v>1326</v>
      </c>
      <c r="I41" s="201"/>
      <c r="J41" s="188" t="s">
        <v>1324</v>
      </c>
      <c r="K41" s="189">
        <v>1.5</v>
      </c>
      <c r="L41" s="190">
        <v>53</v>
      </c>
      <c r="M41" s="202" t="s">
        <v>5</v>
      </c>
      <c r="N41" s="203" t="s">
        <v>1444</v>
      </c>
      <c r="O41" s="202"/>
      <c r="P41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42" spans="1:16" x14ac:dyDescent="0.25">
      <c r="A42" s="191" t="str">
        <f>IFERROR(VLOOKUP(Tableau1[Nom],Tableau5[],COLUMN(Tableau5[Definition du costing : DVC ou non DVC]),FALSE),"")</f>
        <v>DVC</v>
      </c>
      <c r="B42" s="197" t="str">
        <f>IFERROR(VLOOKUP(Tableau1[Nom],Tableau5[],COLUMN(Tableau5[Nom de la société]),FALSE),"")</f>
        <v>Aub.</v>
      </c>
      <c r="C42" s="198" t="str">
        <f>IFERROR(VLOOKUP(Tableau1[Nom],Tableau5[],COLUMN(Tableau5[Nom du manager]),FALSE),"")</f>
        <v>SAVY</v>
      </c>
      <c r="D42" s="199">
        <f>IFERROR(VLOOKUP(Tableau1[Nom],Tableau5[],COLUMN(Tableau5[Matricule]),FALSE),"")</f>
        <v>103085</v>
      </c>
      <c r="E42" s="192" t="s">
        <v>440</v>
      </c>
      <c r="F42" s="199" t="str">
        <f>IFERROR(VLOOKUP(Tableau1[Nom],Tableau5[],COLUMN(Tableau5[Prénom]),FALSE),"")</f>
        <v>Michel</v>
      </c>
      <c r="G42" s="188" t="s">
        <v>9</v>
      </c>
      <c r="H42" s="188" t="s">
        <v>1323</v>
      </c>
      <c r="I42" s="193"/>
      <c r="J42" s="188" t="s">
        <v>1324</v>
      </c>
      <c r="K42" s="189">
        <v>7</v>
      </c>
      <c r="L42" s="190">
        <v>124</v>
      </c>
      <c r="M42" s="202" t="s">
        <v>5</v>
      </c>
      <c r="N42" s="203" t="s">
        <v>1444</v>
      </c>
      <c r="O42" s="196"/>
      <c r="P42" s="290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43" spans="1:16" x14ac:dyDescent="0.25">
      <c r="A43" s="197" t="str">
        <f>IFERROR(VLOOKUP(Tableau1[Nom],Tableau5[],COLUMN(Tableau5[Definition du costing : DVC ou non DVC]),FALSE),"")</f>
        <v>DVC</v>
      </c>
      <c r="B43" s="197" t="str">
        <f>IFERROR(VLOOKUP(Tableau1[Nom],Tableau5[],COLUMN(Tableau5[Nom de la société]),FALSE),"")</f>
        <v>Aub.</v>
      </c>
      <c r="C43" s="198" t="str">
        <f>IFERROR(VLOOKUP(Tableau1[Nom],Tableau5[],COLUMN(Tableau5[Nom du manager]),FALSE),"")</f>
        <v>SAVY</v>
      </c>
      <c r="D43" s="199">
        <f>IFERROR(VLOOKUP(Tableau1[Nom],Tableau5[],COLUMN(Tableau5[Matricule]),FALSE),"")</f>
        <v>103085</v>
      </c>
      <c r="E43" s="200" t="s">
        <v>440</v>
      </c>
      <c r="F43" s="199" t="str">
        <f>IFERROR(VLOOKUP(Tableau1[Nom],Tableau5[],COLUMN(Tableau5[Prénom]),FALSE),"")</f>
        <v>Michel</v>
      </c>
      <c r="G43" s="188" t="s">
        <v>9</v>
      </c>
      <c r="H43" s="188" t="s">
        <v>1326</v>
      </c>
      <c r="I43" s="201"/>
      <c r="J43" s="188" t="s">
        <v>1324</v>
      </c>
      <c r="K43" s="189">
        <v>1.5</v>
      </c>
      <c r="L43" s="190">
        <v>53</v>
      </c>
      <c r="M43" s="202" t="s">
        <v>5</v>
      </c>
      <c r="N43" s="203" t="s">
        <v>1444</v>
      </c>
      <c r="O43" s="202"/>
      <c r="P4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44" spans="1:16" x14ac:dyDescent="0.25">
      <c r="A44" s="197" t="str">
        <f>IFERROR(VLOOKUP(Tableau1[Nom],Tableau5[],COLUMN(Tableau5[Definition du costing : DVC ou non DVC]),FALSE),"")</f>
        <v>DVC</v>
      </c>
      <c r="B44" s="197" t="str">
        <f>IFERROR(VLOOKUP(Tableau1[Nom],Tableau5[],COLUMN(Tableau5[Nom de la société]),FALSE),"")</f>
        <v>STG</v>
      </c>
      <c r="C44" s="198" t="str">
        <f>IFERROR(VLOOKUP(Tableau1[Nom],Tableau5[],COLUMN(Tableau5[Nom du manager]),FALSE),"")</f>
        <v>XUEREB</v>
      </c>
      <c r="D44" s="199">
        <f>IFERROR(VLOOKUP(Tableau1[Nom],Tableau5[],COLUMN(Tableau5[Matricule]),FALSE),"")</f>
        <v>10559278</v>
      </c>
      <c r="E44" s="192" t="s">
        <v>928</v>
      </c>
      <c r="F44" s="199" t="str">
        <f>IFERROR(VLOOKUP(Tableau1[Nom],Tableau5[],COLUMN(Tableau5[Prénom]),FALSE),"")</f>
        <v>Bertrand</v>
      </c>
      <c r="G44" s="188" t="s">
        <v>9</v>
      </c>
      <c r="H44" s="188" t="s">
        <v>1326</v>
      </c>
      <c r="I44" s="201"/>
      <c r="J44" s="188" t="s">
        <v>1324</v>
      </c>
      <c r="K44" s="189">
        <v>1.5</v>
      </c>
      <c r="L44" s="190">
        <v>53</v>
      </c>
      <c r="M44" s="202" t="s">
        <v>5</v>
      </c>
      <c r="N44" s="203" t="s">
        <v>1444</v>
      </c>
      <c r="O44" s="202"/>
      <c r="P44" s="288">
        <f>IFERROR(INDEX(Tableau2[],MATCH(Tableau1[[#This Row],[Nom]]&amp;Tableau1[[#This Row],[Intitulé]],INDEX(Tableau2[],,COLUMN(Tableau2[Clé Recherche])),0),COLUMN(Tableau2[Calendrier de réalisation])),"")</f>
        <v>0</v>
      </c>
    </row>
    <row r="45" spans="1:16" x14ac:dyDescent="0.25">
      <c r="A45" s="197" t="str">
        <f>IFERROR(VLOOKUP(Tableau1[Nom],Tableau5[],COLUMN(Tableau5[Definition du costing : DVC ou non DVC]),FALSE),"")</f>
        <v>Non DVC</v>
      </c>
      <c r="B45" s="197" t="str">
        <f>IFERROR(VLOOKUP(Tableau1[Nom],Tableau5[],COLUMN(Tableau5[Nom de la société]),FALSE),"")</f>
        <v>Lattes</v>
      </c>
      <c r="C45" s="198" t="str">
        <f>IFERROR(VLOOKUP(Tableau1[Nom],Tableau5[],COLUMN(Tableau5[Nom du manager]),FALSE),"")</f>
        <v>VERNE</v>
      </c>
      <c r="D45" s="199">
        <f>IFERROR(VLOOKUP(Tableau1[Nom],Tableau5[],COLUMN(Tableau5[Matricule]),FALSE),"")</f>
        <v>191166</v>
      </c>
      <c r="E45" s="192" t="s">
        <v>1057</v>
      </c>
      <c r="F45" s="199" t="str">
        <f>IFERROR(VLOOKUP(Tableau1[Nom],Tableau5[],COLUMN(Tableau5[Prénom]),FALSE),"")</f>
        <v>Amandine</v>
      </c>
      <c r="G45" s="188" t="s">
        <v>9</v>
      </c>
      <c r="H45" s="188" t="s">
        <v>1323</v>
      </c>
      <c r="I45" s="201"/>
      <c r="J45" s="188" t="s">
        <v>1324</v>
      </c>
      <c r="K45" s="189">
        <v>7</v>
      </c>
      <c r="L45" s="190">
        <v>124</v>
      </c>
      <c r="M45" s="202" t="s">
        <v>5</v>
      </c>
      <c r="N45" s="203" t="s">
        <v>1444</v>
      </c>
      <c r="O45" s="202"/>
      <c r="P45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46" spans="1:16" x14ac:dyDescent="0.25">
      <c r="A46" s="197" t="str">
        <f>IFERROR(VLOOKUP(Tableau1[Nom],Tableau5[],COLUMN(Tableau5[Definition du costing : DVC ou non DVC]),FALSE),"")</f>
        <v>DVC</v>
      </c>
      <c r="B46" s="197" t="str">
        <f>IFERROR(VLOOKUP(Tableau1[Nom],Tableau5[],COLUMN(Tableau5[Nom de la société]),FALSE),"")</f>
        <v>Aub.</v>
      </c>
      <c r="C46" s="198" t="str">
        <f>IFERROR(VLOOKUP(Tableau1[Nom],Tableau5[],COLUMN(Tableau5[Nom du manager]),FALSE),"")</f>
        <v>ALIX</v>
      </c>
      <c r="D46" s="199">
        <f>IFERROR(VLOOKUP(Tableau1[Nom],Tableau5[],COLUMN(Tableau5[Matricule]),FALSE),"")</f>
        <v>102961</v>
      </c>
      <c r="E46" s="200" t="s">
        <v>443</v>
      </c>
      <c r="F46" s="199" t="str">
        <f>IFERROR(VLOOKUP(Tableau1[Nom],Tableau5[],COLUMN(Tableau5[Prénom]),FALSE),"")</f>
        <v>Dominique</v>
      </c>
      <c r="G46" s="188" t="s">
        <v>9</v>
      </c>
      <c r="H46" s="188" t="s">
        <v>1340</v>
      </c>
      <c r="I46" s="201"/>
      <c r="J46" s="188" t="s">
        <v>1341</v>
      </c>
      <c r="K46" s="189">
        <v>7</v>
      </c>
      <c r="L46" s="190">
        <v>117</v>
      </c>
      <c r="M46" s="202" t="s">
        <v>5</v>
      </c>
      <c r="N46" s="203" t="s">
        <v>1444</v>
      </c>
      <c r="O46" s="202"/>
      <c r="P4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47" spans="1:16" x14ac:dyDescent="0.25">
      <c r="A47" s="197" t="str">
        <f>IFERROR(VLOOKUP(Tableau1[Nom],Tableau5[],COLUMN(Tableau5[Definition du costing : DVC ou non DVC]),FALSE),"")</f>
        <v>DVC</v>
      </c>
      <c r="B47" s="197" t="str">
        <f>IFERROR(VLOOKUP(Tableau1[Nom],Tableau5[],COLUMN(Tableau5[Nom de la société]),FALSE),"")</f>
        <v>Aub.</v>
      </c>
      <c r="C47" s="198" t="str">
        <f>IFERROR(VLOOKUP(Tableau1[Nom],Tableau5[],COLUMN(Tableau5[Nom du manager]),FALSE),"")</f>
        <v>ALIX</v>
      </c>
      <c r="D47" s="199">
        <f>IFERROR(VLOOKUP(Tableau1[Nom],Tableau5[],COLUMN(Tableau5[Matricule]),FALSE),"")</f>
        <v>103028</v>
      </c>
      <c r="E47" s="200" t="s">
        <v>447</v>
      </c>
      <c r="F47" s="199" t="str">
        <f>IFERROR(VLOOKUP(Tableau1[Nom],Tableau5[],COLUMN(Tableau5[Prénom]),FALSE),"")</f>
        <v>Daniel</v>
      </c>
      <c r="G47" s="188" t="s">
        <v>9</v>
      </c>
      <c r="H47" s="188" t="s">
        <v>1340</v>
      </c>
      <c r="I47" s="201"/>
      <c r="J47" s="188" t="s">
        <v>1341</v>
      </c>
      <c r="K47" s="189">
        <v>7</v>
      </c>
      <c r="L47" s="190">
        <v>117</v>
      </c>
      <c r="M47" s="202" t="s">
        <v>5</v>
      </c>
      <c r="N47" s="203" t="s">
        <v>1444</v>
      </c>
      <c r="O47" s="202"/>
      <c r="P4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48" spans="1:16" x14ac:dyDescent="0.25">
      <c r="A48" s="197" t="str">
        <f>IFERROR(VLOOKUP(Tableau1[Nom],Tableau5[],COLUMN(Tableau5[Definition du costing : DVC ou non DVC]),FALSE),"")</f>
        <v>DVC</v>
      </c>
      <c r="B48" s="197" t="str">
        <f>IFERROR(VLOOKUP(Tableau1[Nom],Tableau5[],COLUMN(Tableau5[Nom de la société]),FALSE),"")</f>
        <v>Lattes</v>
      </c>
      <c r="C48" s="198" t="str">
        <f>IFERROR(VLOOKUP(Tableau1[Nom],Tableau5[],COLUMN(Tableau5[Nom du manager]),FALSE),"")</f>
        <v>VERNE</v>
      </c>
      <c r="D48" s="199">
        <f>IFERROR(VLOOKUP(Tableau1[Nom],Tableau5[],COLUMN(Tableau5[Matricule]),FALSE),"")</f>
        <v>192053</v>
      </c>
      <c r="E48" s="200" t="s">
        <v>1157</v>
      </c>
      <c r="F48" s="199" t="str">
        <f>IFERROR(VLOOKUP(Tableau1[Nom],Tableau5[],COLUMN(Tableau5[Prénom]),FALSE),"")</f>
        <v>Anne</v>
      </c>
      <c r="G48" s="188" t="s">
        <v>9</v>
      </c>
      <c r="H48" s="188" t="s">
        <v>1323</v>
      </c>
      <c r="I48" s="201"/>
      <c r="J48" s="188" t="s">
        <v>1324</v>
      </c>
      <c r="K48" s="189">
        <v>7</v>
      </c>
      <c r="L48" s="190">
        <v>124</v>
      </c>
      <c r="M48" s="202" t="s">
        <v>5</v>
      </c>
      <c r="N48" s="203" t="s">
        <v>1444</v>
      </c>
      <c r="O48" s="202"/>
      <c r="P48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49" spans="1:16" x14ac:dyDescent="0.25">
      <c r="A49" s="197" t="str">
        <f>IFERROR(VLOOKUP(Tableau1[Nom],Tableau5[],COLUMN(Tableau5[Definition du costing : DVC ou non DVC]),FALSE),"")</f>
        <v>DVC</v>
      </c>
      <c r="B49" s="197" t="str">
        <f>IFERROR(VLOOKUP(Tableau1[Nom],Tableau5[],COLUMN(Tableau5[Nom de la société]),FALSE),"")</f>
        <v>Lattes</v>
      </c>
      <c r="C49" s="198" t="str">
        <f>IFERROR(VLOOKUP(Tableau1[Nom],Tableau5[],COLUMN(Tableau5[Nom du manager]),FALSE),"")</f>
        <v>VERNE</v>
      </c>
      <c r="D49" s="199">
        <f>IFERROR(VLOOKUP(Tableau1[Nom],Tableau5[],COLUMN(Tableau5[Matricule]),FALSE),"")</f>
        <v>192053</v>
      </c>
      <c r="E49" s="200" t="s">
        <v>1157</v>
      </c>
      <c r="F49" s="199" t="str">
        <f>IFERROR(VLOOKUP(Tableau1[Nom],Tableau5[],COLUMN(Tableau5[Prénom]),FALSE),"")</f>
        <v>Anne</v>
      </c>
      <c r="G49" s="188" t="s">
        <v>9</v>
      </c>
      <c r="H49" s="188" t="s">
        <v>1333</v>
      </c>
      <c r="I49" s="201"/>
      <c r="J49" s="188" t="s">
        <v>1324</v>
      </c>
      <c r="K49" s="189">
        <v>7</v>
      </c>
      <c r="L49" s="190">
        <v>162</v>
      </c>
      <c r="M49" s="202" t="s">
        <v>5</v>
      </c>
      <c r="N49" s="203" t="s">
        <v>1444</v>
      </c>
      <c r="O49" s="202"/>
      <c r="P4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50" spans="1:16" x14ac:dyDescent="0.25">
      <c r="A50" s="197" t="str">
        <f>IFERROR(VLOOKUP(Tableau1[Nom],Tableau5[],COLUMN(Tableau5[Definition du costing : DVC ou non DVC]),FALSE),"")</f>
        <v>DVC</v>
      </c>
      <c r="B50" s="197" t="str">
        <f>IFERROR(VLOOKUP(Tableau1[Nom],Tableau5[],COLUMN(Tableau5[Nom de la société]),FALSE),"")</f>
        <v>Lattes</v>
      </c>
      <c r="C50" s="198" t="str">
        <f>IFERROR(VLOOKUP(Tableau1[Nom],Tableau5[],COLUMN(Tableau5[Nom du manager]),FALSE),"")</f>
        <v>VERNE</v>
      </c>
      <c r="D50" s="199">
        <f>IFERROR(VLOOKUP(Tableau1[Nom],Tableau5[],COLUMN(Tableau5[Matricule]),FALSE),"")</f>
        <v>192053</v>
      </c>
      <c r="E50" s="192" t="s">
        <v>1157</v>
      </c>
      <c r="F50" s="199" t="str">
        <f>IFERROR(VLOOKUP(Tableau1[Nom],Tableau5[],COLUMN(Tableau5[Prénom]),FALSE),"")</f>
        <v>Anne</v>
      </c>
      <c r="G50" s="188" t="s">
        <v>9</v>
      </c>
      <c r="H50" s="188" t="s">
        <v>1323</v>
      </c>
      <c r="I50" s="201"/>
      <c r="J50" s="188" t="s">
        <v>1324</v>
      </c>
      <c r="K50" s="189">
        <v>7</v>
      </c>
      <c r="L50" s="190">
        <v>124</v>
      </c>
      <c r="M50" s="202" t="s">
        <v>5</v>
      </c>
      <c r="N50" s="203" t="s">
        <v>1444</v>
      </c>
      <c r="O50" s="202"/>
      <c r="P50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51" spans="1:16" x14ac:dyDescent="0.25">
      <c r="A51" s="197" t="str">
        <f>IFERROR(VLOOKUP(Tableau1[Nom],Tableau5[],COLUMN(Tableau5[Definition du costing : DVC ou non DVC]),FALSE),"")</f>
        <v>DVC</v>
      </c>
      <c r="B51" s="197" t="str">
        <f>IFERROR(VLOOKUP(Tableau1[Nom],Tableau5[],COLUMN(Tableau5[Nom de la société]),FALSE),"")</f>
        <v>Aub.</v>
      </c>
      <c r="C51" s="198" t="str">
        <f>IFERROR(VLOOKUP(Tableau1[Nom],Tableau5[],COLUMN(Tableau5[Nom du manager]),FALSE),"")</f>
        <v>ALIX</v>
      </c>
      <c r="D51" s="199">
        <f>IFERROR(VLOOKUP(Tableau1[Nom],Tableau5[],COLUMN(Tableau5[Matricule]),FALSE),"")</f>
        <v>102987</v>
      </c>
      <c r="E51" s="200" t="s">
        <v>460</v>
      </c>
      <c r="F51" s="199" t="str">
        <f>IFERROR(VLOOKUP(Tableau1[Nom],Tableau5[],COLUMN(Tableau5[Prénom]),FALSE),"")</f>
        <v>Dimitri</v>
      </c>
      <c r="G51" s="188" t="s">
        <v>9</v>
      </c>
      <c r="H51" s="188" t="s">
        <v>1326</v>
      </c>
      <c r="I51" s="201"/>
      <c r="J51" s="188" t="s">
        <v>1324</v>
      </c>
      <c r="K51" s="189">
        <v>1.5</v>
      </c>
      <c r="L51" s="190">
        <v>53</v>
      </c>
      <c r="M51" s="202" t="s">
        <v>5</v>
      </c>
      <c r="N51" s="203" t="s">
        <v>1444</v>
      </c>
      <c r="O51" s="202"/>
      <c r="P51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52" spans="1:16" x14ac:dyDescent="0.25">
      <c r="A52" s="197" t="str">
        <f>IFERROR(VLOOKUP(Tableau1[Nom],Tableau5[],COLUMN(Tableau5[Definition du costing : DVC ou non DVC]),FALSE),"")</f>
        <v>DVC</v>
      </c>
      <c r="B52" s="197" t="str">
        <f>IFERROR(VLOOKUP(Tableau1[Nom],Tableau5[],COLUMN(Tableau5[Nom de la société]),FALSE),"")</f>
        <v>Aub.</v>
      </c>
      <c r="C52" s="198" t="str">
        <f>IFERROR(VLOOKUP(Tableau1[Nom],Tableau5[],COLUMN(Tableau5[Nom du manager]),FALSE),"")</f>
        <v>PIFFAUT</v>
      </c>
      <c r="D52" s="199">
        <f>IFERROR(VLOOKUP(Tableau1[Nom],Tableau5[],COLUMN(Tableau5[Matricule]),FALSE),"")</f>
        <v>102920</v>
      </c>
      <c r="E52" s="200" t="s">
        <v>464</v>
      </c>
      <c r="F52" s="199" t="str">
        <f>IFERROR(VLOOKUP(Tableau1[Nom],Tableau5[],COLUMN(Tableau5[Prénom]),FALSE),"")</f>
        <v>Eddy</v>
      </c>
      <c r="G52" s="188" t="s">
        <v>9</v>
      </c>
      <c r="H52" s="188" t="s">
        <v>1333</v>
      </c>
      <c r="I52" s="201"/>
      <c r="J52" s="188" t="s">
        <v>1324</v>
      </c>
      <c r="K52" s="189">
        <v>7</v>
      </c>
      <c r="L52" s="190">
        <v>162</v>
      </c>
      <c r="M52" s="202" t="s">
        <v>5</v>
      </c>
      <c r="N52" s="203" t="s">
        <v>1444</v>
      </c>
      <c r="O52" s="202"/>
      <c r="P52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53" spans="1:16" x14ac:dyDescent="0.25">
      <c r="A53" s="197" t="str">
        <f>IFERROR(VLOOKUP(Tableau1[Nom],Tableau5[],COLUMN(Tableau5[Definition du costing : DVC ou non DVC]),FALSE),"")</f>
        <v>DVC</v>
      </c>
      <c r="B53" s="197" t="str">
        <f>IFERROR(VLOOKUP(Tableau1[Nom],Tableau5[],COLUMN(Tableau5[Nom de la société]),FALSE),"")</f>
        <v>Aub.</v>
      </c>
      <c r="C53" s="198" t="str">
        <f>IFERROR(VLOOKUP(Tableau1[Nom],Tableau5[],COLUMN(Tableau5[Nom du manager]),FALSE),"")</f>
        <v>SENEPART</v>
      </c>
      <c r="D53" s="199">
        <f>IFERROR(VLOOKUP(Tableau1[Nom],Tableau5[],COLUMN(Tableau5[Matricule]),FALSE),"")</f>
        <v>102921</v>
      </c>
      <c r="E53" s="200" t="s">
        <v>468</v>
      </c>
      <c r="F53" s="199" t="str">
        <f>IFERROR(VLOOKUP(Tableau1[Nom],Tableau5[],COLUMN(Tableau5[Prénom]),FALSE),"")</f>
        <v>Laurent</v>
      </c>
      <c r="G53" s="188" t="s">
        <v>9</v>
      </c>
      <c r="H53" s="188" t="s">
        <v>1326</v>
      </c>
      <c r="I53" s="201"/>
      <c r="J53" s="188" t="s">
        <v>1324</v>
      </c>
      <c r="K53" s="189">
        <v>1.5</v>
      </c>
      <c r="L53" s="190">
        <v>53</v>
      </c>
      <c r="M53" s="202" t="s">
        <v>5</v>
      </c>
      <c r="N53" s="203" t="s">
        <v>1444</v>
      </c>
      <c r="O53" s="202"/>
      <c r="P5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54" spans="1:16" x14ac:dyDescent="0.25">
      <c r="A54" s="197" t="str">
        <f>IFERROR(VLOOKUP(Tableau1[Nom],Tableau5[],COLUMN(Tableau5[Definition du costing : DVC ou non DVC]),FALSE),"")</f>
        <v>DVC</v>
      </c>
      <c r="B54" s="197" t="str">
        <f>IFERROR(VLOOKUP(Tableau1[Nom],Tableau5[],COLUMN(Tableau5[Nom de la société]),FALSE),"")</f>
        <v>Aub.</v>
      </c>
      <c r="C54" s="198" t="str">
        <f>IFERROR(VLOOKUP(Tableau1[Nom],Tableau5[],COLUMN(Tableau5[Nom du manager]),FALSE),"")</f>
        <v>SENEPART</v>
      </c>
      <c r="D54" s="199">
        <f>IFERROR(VLOOKUP(Tableau1[Nom],Tableau5[],COLUMN(Tableau5[Matricule]),FALSE),"")</f>
        <v>102921</v>
      </c>
      <c r="E54" s="200" t="s">
        <v>468</v>
      </c>
      <c r="F54" s="199" t="str">
        <f>IFERROR(VLOOKUP(Tableau1[Nom],Tableau5[],COLUMN(Tableau5[Prénom]),FALSE),"")</f>
        <v>Laurent</v>
      </c>
      <c r="G54" s="188" t="s">
        <v>9</v>
      </c>
      <c r="H54" s="188" t="s">
        <v>1340</v>
      </c>
      <c r="I54" s="201"/>
      <c r="J54" s="188" t="s">
        <v>1341</v>
      </c>
      <c r="K54" s="189">
        <v>7</v>
      </c>
      <c r="L54" s="190">
        <v>117</v>
      </c>
      <c r="M54" s="202" t="s">
        <v>5</v>
      </c>
      <c r="N54" s="203" t="s">
        <v>1444</v>
      </c>
      <c r="O54" s="202"/>
      <c r="P5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55" spans="1:16" x14ac:dyDescent="0.25">
      <c r="A55" s="197" t="str">
        <f>IFERROR(VLOOKUP(Tableau1[Nom],Tableau5[],COLUMN(Tableau5[Definition du costing : DVC ou non DVC]),FALSE),"")</f>
        <v>DVC</v>
      </c>
      <c r="B55" s="197" t="str">
        <f>IFERROR(VLOOKUP(Tableau1[Nom],Tableau5[],COLUMN(Tableau5[Nom de la société]),FALSE),"")</f>
        <v>Aub.</v>
      </c>
      <c r="C55" s="198" t="str">
        <f>IFERROR(VLOOKUP(Tableau1[Nom],Tableau5[],COLUMN(Tableau5[Nom du manager]),FALSE),"")</f>
        <v>SENEPART</v>
      </c>
      <c r="D55" s="199">
        <f>IFERROR(VLOOKUP(Tableau1[Nom],Tableau5[],COLUMN(Tableau5[Matricule]),FALSE),"")</f>
        <v>102921</v>
      </c>
      <c r="E55" s="200" t="s">
        <v>468</v>
      </c>
      <c r="F55" s="199" t="str">
        <f>IFERROR(VLOOKUP(Tableau1[Nom],Tableau5[],COLUMN(Tableau5[Prénom]),FALSE),"")</f>
        <v>Laurent</v>
      </c>
      <c r="G55" s="188" t="s">
        <v>9</v>
      </c>
      <c r="H55" s="188" t="s">
        <v>1346</v>
      </c>
      <c r="I55" s="201"/>
      <c r="J55" s="188" t="s">
        <v>1344</v>
      </c>
      <c r="K55" s="189">
        <v>10.5</v>
      </c>
      <c r="L55" s="190">
        <v>260</v>
      </c>
      <c r="M55" s="202" t="s">
        <v>5</v>
      </c>
      <c r="N55" s="203" t="s">
        <v>1444</v>
      </c>
      <c r="O55" s="202"/>
      <c r="P5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56" spans="1:16" x14ac:dyDescent="0.25">
      <c r="A56" s="197" t="str">
        <f>IFERROR(VLOOKUP(Tableau1[Nom],Tableau5[],COLUMN(Tableau5[Definition du costing : DVC ou non DVC]),FALSE),"")</f>
        <v>DVC</v>
      </c>
      <c r="B56" s="197" t="str">
        <f>IFERROR(VLOOKUP(Tableau1[Nom],Tableau5[],COLUMN(Tableau5[Nom de la société]),FALSE),"")</f>
        <v>STG</v>
      </c>
      <c r="C56" s="198" t="str">
        <f>IFERROR(VLOOKUP(Tableau1[Nom],Tableau5[],COLUMN(Tableau5[Nom du manager]),FALSE),"")</f>
        <v>XUEREB</v>
      </c>
      <c r="D56" s="199">
        <f>IFERROR(VLOOKUP(Tableau1[Nom],Tableau5[],COLUMN(Tableau5[Matricule]),FALSE),"")</f>
        <v>104646</v>
      </c>
      <c r="E56" s="200" t="s">
        <v>933</v>
      </c>
      <c r="F56" s="199" t="str">
        <f>IFERROR(VLOOKUP(Tableau1[Nom],Tableau5[],COLUMN(Tableau5[Prénom]),FALSE),"")</f>
        <v>David</v>
      </c>
      <c r="G56" s="188" t="s">
        <v>9</v>
      </c>
      <c r="H56" s="188" t="s">
        <v>1326</v>
      </c>
      <c r="I56" s="201"/>
      <c r="J56" s="188" t="s">
        <v>1324</v>
      </c>
      <c r="K56" s="189">
        <v>1.5</v>
      </c>
      <c r="L56" s="190">
        <v>53</v>
      </c>
      <c r="M56" s="202" t="s">
        <v>5</v>
      </c>
      <c r="N56" s="203" t="s">
        <v>1444</v>
      </c>
      <c r="O56" s="202"/>
      <c r="P56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57" spans="1:16" x14ac:dyDescent="0.25">
      <c r="A57" s="197" t="str">
        <f>IFERROR(VLOOKUP(Tableau1[Nom],Tableau5[],COLUMN(Tableau5[Definition du costing : DVC ou non DVC]),FALSE),"")</f>
        <v>DVC</v>
      </c>
      <c r="B57" s="197" t="str">
        <f>IFERROR(VLOOKUP(Tableau1[Nom],Tableau5[],COLUMN(Tableau5[Nom de la société]),FALSE),"")</f>
        <v>STG</v>
      </c>
      <c r="C57" s="198" t="str">
        <f>IFERROR(VLOOKUP(Tableau1[Nom],Tableau5[],COLUMN(Tableau5[Nom du manager]),FALSE),"")</f>
        <v>XUEREB</v>
      </c>
      <c r="D57" s="199">
        <f>IFERROR(VLOOKUP(Tableau1[Nom],Tableau5[],COLUMN(Tableau5[Matricule]),FALSE),"")</f>
        <v>104646</v>
      </c>
      <c r="E57" s="200" t="s">
        <v>933</v>
      </c>
      <c r="F57" s="199" t="str">
        <f>IFERROR(VLOOKUP(Tableau1[Nom],Tableau5[],COLUMN(Tableau5[Prénom]),FALSE),"")</f>
        <v>David</v>
      </c>
      <c r="G57" s="188" t="s">
        <v>9</v>
      </c>
      <c r="H57" s="188" t="s">
        <v>1340</v>
      </c>
      <c r="I57" s="201"/>
      <c r="J57" s="188" t="s">
        <v>1341</v>
      </c>
      <c r="K57" s="189">
        <v>7</v>
      </c>
      <c r="L57" s="190">
        <v>117</v>
      </c>
      <c r="M57" s="202" t="s">
        <v>5</v>
      </c>
      <c r="N57" s="203" t="s">
        <v>1444</v>
      </c>
      <c r="O57" s="202"/>
      <c r="P5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58" spans="1:16" x14ac:dyDescent="0.25">
      <c r="A58" s="191" t="str">
        <f>IFERROR(VLOOKUP(Tableau1[Nom],Tableau5[],COLUMN(Tableau5[Definition du costing : DVC ou non DVC]),FALSE),"")</f>
        <v>DVC</v>
      </c>
      <c r="B58" s="197" t="str">
        <f>IFERROR(VLOOKUP(Tableau1[Nom],Tableau5[],COLUMN(Tableau5[Nom de la société]),FALSE),"")</f>
        <v>Aub.</v>
      </c>
      <c r="C58" s="198" t="str">
        <f>IFERROR(VLOOKUP(Tableau1[Nom],Tableau5[],COLUMN(Tableau5[Nom du manager]),FALSE),"")</f>
        <v>SENEPART</v>
      </c>
      <c r="D58" s="199">
        <f>IFERROR(VLOOKUP(Tableau1[Nom],Tableau5[],COLUMN(Tableau5[Matricule]),FALSE),"")</f>
        <v>103039</v>
      </c>
      <c r="E58" s="192" t="s">
        <v>471</v>
      </c>
      <c r="F58" s="199" t="str">
        <f>IFERROR(VLOOKUP(Tableau1[Nom],Tableau5[],COLUMN(Tableau5[Prénom]),FALSE),"")</f>
        <v>Didier</v>
      </c>
      <c r="G58" s="188" t="s">
        <v>9</v>
      </c>
      <c r="H58" s="188" t="s">
        <v>1323</v>
      </c>
      <c r="I58" s="193"/>
      <c r="J58" s="188" t="s">
        <v>1324</v>
      </c>
      <c r="K58" s="189">
        <v>7</v>
      </c>
      <c r="L58" s="190">
        <v>124</v>
      </c>
      <c r="M58" s="202" t="s">
        <v>5</v>
      </c>
      <c r="N58" s="203" t="s">
        <v>1444</v>
      </c>
      <c r="O58" s="196"/>
      <c r="P58" s="290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59" spans="1:16" x14ac:dyDescent="0.25">
      <c r="A59" s="191" t="str">
        <f>IFERROR(VLOOKUP(Tableau1[Nom],Tableau5[],COLUMN(Tableau5[Definition du costing : DVC ou non DVC]),FALSE),"")</f>
        <v>DVC</v>
      </c>
      <c r="B59" s="197" t="str">
        <f>IFERROR(VLOOKUP(Tableau1[Nom],Tableau5[],COLUMN(Tableau5[Nom de la société]),FALSE),"")</f>
        <v>STG</v>
      </c>
      <c r="C59" s="198" t="str">
        <f>IFERROR(VLOOKUP(Tableau1[Nom],Tableau5[],COLUMN(Tableau5[Nom du manager]),FALSE),"")</f>
        <v>XUEREB</v>
      </c>
      <c r="D59" s="199">
        <f>IFERROR(VLOOKUP(Tableau1[Nom],Tableau5[],COLUMN(Tableau5[Matricule]),FALSE),"")</f>
        <v>10559261</v>
      </c>
      <c r="E59" s="187" t="s">
        <v>937</v>
      </c>
      <c r="F59" s="199" t="str">
        <f>IFERROR(VLOOKUP(Tableau1[Nom],Tableau5[],COLUMN(Tableau5[Prénom]),FALSE),"")</f>
        <v>Simon</v>
      </c>
      <c r="G59" s="188" t="s">
        <v>9</v>
      </c>
      <c r="H59" s="188" t="s">
        <v>1323</v>
      </c>
      <c r="I59" s="189"/>
      <c r="J59" s="188" t="s">
        <v>1324</v>
      </c>
      <c r="K59" s="189">
        <v>7</v>
      </c>
      <c r="L59" s="190">
        <v>124</v>
      </c>
      <c r="M59" s="202" t="s">
        <v>5</v>
      </c>
      <c r="N59" s="203" t="s">
        <v>1444</v>
      </c>
      <c r="O59" s="195" t="s">
        <v>6</v>
      </c>
      <c r="P59" s="289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60" spans="1:16" x14ac:dyDescent="0.25">
      <c r="A60" s="197" t="str">
        <f>IFERROR(VLOOKUP(Tableau1[Nom],Tableau5[],COLUMN(Tableau5[Definition du costing : DVC ou non DVC]),FALSE),"")</f>
        <v>DVC</v>
      </c>
      <c r="B60" s="197" t="str">
        <f>IFERROR(VLOOKUP(Tableau1[Nom],Tableau5[],COLUMN(Tableau5[Nom de la société]),FALSE),"")</f>
        <v>STG</v>
      </c>
      <c r="C60" s="198" t="str">
        <f>IFERROR(VLOOKUP(Tableau1[Nom],Tableau5[],COLUMN(Tableau5[Nom du manager]),FALSE),"")</f>
        <v>XUEREB</v>
      </c>
      <c r="D60" s="199">
        <f>IFERROR(VLOOKUP(Tableau1[Nom],Tableau5[],COLUMN(Tableau5[Matricule]),FALSE),"")</f>
        <v>10559261</v>
      </c>
      <c r="E60" s="200" t="s">
        <v>937</v>
      </c>
      <c r="F60" s="199" t="str">
        <f>IFERROR(VLOOKUP(Tableau1[Nom],Tableau5[],COLUMN(Tableau5[Prénom]),FALSE),"")</f>
        <v>Simon</v>
      </c>
      <c r="G60" s="188" t="s">
        <v>9</v>
      </c>
      <c r="H60" s="188" t="s">
        <v>1326</v>
      </c>
      <c r="I60" s="201"/>
      <c r="J60" s="188" t="s">
        <v>1324</v>
      </c>
      <c r="K60" s="189">
        <v>1.5</v>
      </c>
      <c r="L60" s="190">
        <v>53</v>
      </c>
      <c r="M60" s="202" t="s">
        <v>5</v>
      </c>
      <c r="N60" s="203" t="s">
        <v>1444</v>
      </c>
      <c r="O60" s="202"/>
      <c r="P60" s="288">
        <f>IFERROR(INDEX(Tableau2[],MATCH(Tableau1[[#This Row],[Nom]]&amp;Tableau1[[#This Row],[Intitulé]],INDEX(Tableau2[],,COLUMN(Tableau2[Clé Recherche])),0),COLUMN(Tableau2[Calendrier de réalisation])),"")</f>
        <v>0</v>
      </c>
    </row>
    <row r="61" spans="1:16" x14ac:dyDescent="0.25">
      <c r="A61" s="197" t="str">
        <f>IFERROR(VLOOKUP(Tableau1[Nom],Tableau5[],COLUMN(Tableau5[Definition du costing : DVC ou non DVC]),FALSE),"")</f>
        <v>DVC</v>
      </c>
      <c r="B61" s="197" t="str">
        <f>IFERROR(VLOOKUP(Tableau1[Nom],Tableau5[],COLUMN(Tableau5[Nom de la société]),FALSE),"")</f>
        <v>STG</v>
      </c>
      <c r="C61" s="198" t="str">
        <f>IFERROR(VLOOKUP(Tableau1[Nom],Tableau5[],COLUMN(Tableau5[Nom du manager]),FALSE),"")</f>
        <v>FOUASSIER</v>
      </c>
      <c r="D61" s="199">
        <f>IFERROR(VLOOKUP(Tableau1[Nom],Tableau5[],COLUMN(Tableau5[Matricule]),FALSE),"")</f>
        <v>104658</v>
      </c>
      <c r="E61" s="200" t="s">
        <v>942</v>
      </c>
      <c r="F61" s="199" t="str">
        <f>IFERROR(VLOOKUP(Tableau1[Nom],Tableau5[],COLUMN(Tableau5[Prénom]),FALSE),"")</f>
        <v>Christian</v>
      </c>
      <c r="G61" s="188" t="s">
        <v>9</v>
      </c>
      <c r="H61" s="188" t="s">
        <v>1326</v>
      </c>
      <c r="I61" s="201"/>
      <c r="J61" s="188" t="s">
        <v>1324</v>
      </c>
      <c r="K61" s="189">
        <v>1.5</v>
      </c>
      <c r="L61" s="190">
        <v>53</v>
      </c>
      <c r="M61" s="202" t="s">
        <v>5</v>
      </c>
      <c r="N61" s="203" t="s">
        <v>1444</v>
      </c>
      <c r="O61" s="202"/>
      <c r="P61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62" spans="1:16" x14ac:dyDescent="0.25">
      <c r="A62" s="197" t="str">
        <f>IFERROR(VLOOKUP(Tableau1[Nom],Tableau5[],COLUMN(Tableau5[Definition du costing : DVC ou non DVC]),FALSE),"")</f>
        <v>DVC</v>
      </c>
      <c r="B62" s="197" t="str">
        <f>IFERROR(VLOOKUP(Tableau1[Nom],Tableau5[],COLUMN(Tableau5[Nom de la société]),FALSE),"")</f>
        <v>STG</v>
      </c>
      <c r="C62" s="198" t="str">
        <f>IFERROR(VLOOKUP(Tableau1[Nom],Tableau5[],COLUMN(Tableau5[Nom du manager]),FALSE),"")</f>
        <v>FOUASSIER</v>
      </c>
      <c r="D62" s="199">
        <f>IFERROR(VLOOKUP(Tableau1[Nom],Tableau5[],COLUMN(Tableau5[Matricule]),FALSE),"")</f>
        <v>104658</v>
      </c>
      <c r="E62" s="200" t="s">
        <v>942</v>
      </c>
      <c r="F62" s="199" t="str">
        <f>IFERROR(VLOOKUP(Tableau1[Nom],Tableau5[],COLUMN(Tableau5[Prénom]),FALSE),"")</f>
        <v>Christian</v>
      </c>
      <c r="G62" s="188" t="s">
        <v>9</v>
      </c>
      <c r="H62" s="188" t="s">
        <v>1333</v>
      </c>
      <c r="I62" s="201"/>
      <c r="J62" s="188" t="s">
        <v>1324</v>
      </c>
      <c r="K62" s="189">
        <v>7</v>
      </c>
      <c r="L62" s="190">
        <v>162</v>
      </c>
      <c r="M62" s="202" t="s">
        <v>5</v>
      </c>
      <c r="N62" s="203" t="s">
        <v>1444</v>
      </c>
      <c r="O62" s="202"/>
      <c r="P62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63" spans="1:16" x14ac:dyDescent="0.25">
      <c r="A63" s="197" t="str">
        <f>IFERROR(VLOOKUP(Tableau1[Nom],Tableau5[],COLUMN(Tableau5[Definition du costing : DVC ou non DVC]),FALSE),"")</f>
        <v>DVC</v>
      </c>
      <c r="B63" s="197" t="str">
        <f>IFERROR(VLOOKUP(Tableau1[Nom],Tableau5[],COLUMN(Tableau5[Nom de la société]),FALSE),"")</f>
        <v>Aub.</v>
      </c>
      <c r="C63" s="198" t="str">
        <f>IFERROR(VLOOKUP(Tableau1[Nom],Tableau5[],COLUMN(Tableau5[Nom du manager]),FALSE),"")</f>
        <v>ALIX</v>
      </c>
      <c r="D63" s="199">
        <f>IFERROR(VLOOKUP(Tableau1[Nom],Tableau5[],COLUMN(Tableau5[Matricule]),FALSE),"")</f>
        <v>115869</v>
      </c>
      <c r="E63" s="200" t="s">
        <v>474</v>
      </c>
      <c r="F63" s="199" t="str">
        <f>IFERROR(VLOOKUP(Tableau1[Nom],Tableau5[],COLUMN(Tableau5[Prénom]),FALSE),"")</f>
        <v>Xavier</v>
      </c>
      <c r="G63" s="188" t="s">
        <v>9</v>
      </c>
      <c r="H63" s="188" t="s">
        <v>1340</v>
      </c>
      <c r="I63" s="201"/>
      <c r="J63" s="188" t="s">
        <v>1341</v>
      </c>
      <c r="K63" s="189">
        <v>7</v>
      </c>
      <c r="L63" s="190">
        <v>117</v>
      </c>
      <c r="M63" s="202" t="s">
        <v>5</v>
      </c>
      <c r="N63" s="203" t="s">
        <v>1444</v>
      </c>
      <c r="O63" s="202"/>
      <c r="P6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64" spans="1:16" x14ac:dyDescent="0.25">
      <c r="A64" s="197" t="str">
        <f>IFERROR(VLOOKUP(Tableau1[Nom],Tableau5[],COLUMN(Tableau5[Definition du costing : DVC ou non DVC]),FALSE),"")</f>
        <v>DVC</v>
      </c>
      <c r="B64" s="197" t="str">
        <f>IFERROR(VLOOKUP(Tableau1[Nom],Tableau5[],COLUMN(Tableau5[Nom de la société]),FALSE),"")</f>
        <v>Aub.</v>
      </c>
      <c r="C64" s="198" t="str">
        <f>IFERROR(VLOOKUP(Tableau1[Nom],Tableau5[],COLUMN(Tableau5[Nom du manager]),FALSE),"")</f>
        <v>ALIX</v>
      </c>
      <c r="D64" s="199">
        <f>IFERROR(VLOOKUP(Tableau1[Nom],Tableau5[],COLUMN(Tableau5[Matricule]),FALSE),"")</f>
        <v>115869</v>
      </c>
      <c r="E64" s="200" t="s">
        <v>474</v>
      </c>
      <c r="F64" s="199" t="str">
        <f>IFERROR(VLOOKUP(Tableau1[Nom],Tableau5[],COLUMN(Tableau5[Prénom]),FALSE),"")</f>
        <v>Xavier</v>
      </c>
      <c r="G64" s="188" t="s">
        <v>9</v>
      </c>
      <c r="H64" s="188" t="s">
        <v>1346</v>
      </c>
      <c r="I64" s="201"/>
      <c r="J64" s="188" t="s">
        <v>1344</v>
      </c>
      <c r="K64" s="189">
        <v>10.5</v>
      </c>
      <c r="L64" s="190">
        <v>260</v>
      </c>
      <c r="M64" s="202" t="s">
        <v>5</v>
      </c>
      <c r="N64" s="203" t="s">
        <v>1444</v>
      </c>
      <c r="O64" s="202"/>
      <c r="P6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65" spans="1:16" x14ac:dyDescent="0.25">
      <c r="A65" s="197" t="str">
        <f>IFERROR(VLOOKUP(Tableau1[Nom],Tableau5[],COLUMN(Tableau5[Definition du costing : DVC ou non DVC]),FALSE),"")</f>
        <v>DVC</v>
      </c>
      <c r="B65" s="197" t="str">
        <f>IFERROR(VLOOKUP(Tableau1[Nom],Tableau5[],COLUMN(Tableau5[Nom de la société]),FALSE),"")</f>
        <v>STG</v>
      </c>
      <c r="C65" s="198" t="str">
        <f>IFERROR(VLOOKUP(Tableau1[Nom],Tableau5[],COLUMN(Tableau5[Nom du manager]),FALSE),"")</f>
        <v>FOUASSIER</v>
      </c>
      <c r="D65" s="199">
        <f>IFERROR(VLOOKUP(Tableau1[Nom],Tableau5[],COLUMN(Tableau5[Matricule]),FALSE),"")</f>
        <v>104784</v>
      </c>
      <c r="E65" s="200" t="s">
        <v>948</v>
      </c>
      <c r="F65" s="199" t="str">
        <f>IFERROR(VLOOKUP(Tableau1[Nom],Tableau5[],COLUMN(Tableau5[Prénom]),FALSE),"")</f>
        <v>Florian</v>
      </c>
      <c r="G65" s="188" t="s">
        <v>9</v>
      </c>
      <c r="H65" s="188" t="s">
        <v>1326</v>
      </c>
      <c r="I65" s="201"/>
      <c r="J65" s="188" t="s">
        <v>1324</v>
      </c>
      <c r="K65" s="189">
        <v>1.5</v>
      </c>
      <c r="L65" s="190">
        <v>53</v>
      </c>
      <c r="M65" s="202" t="s">
        <v>5</v>
      </c>
      <c r="N65" s="203" t="s">
        <v>1444</v>
      </c>
      <c r="O65" s="202"/>
      <c r="P65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66" spans="1:16" x14ac:dyDescent="0.25">
      <c r="A66" s="197" t="str">
        <f>IFERROR(VLOOKUP(Tableau1[Nom],Tableau5[],COLUMN(Tableau5[Definition du costing : DVC ou non DVC]),FALSE),"")</f>
        <v>DVC</v>
      </c>
      <c r="B66" s="197" t="str">
        <f>IFERROR(VLOOKUP(Tableau1[Nom],Tableau5[],COLUMN(Tableau5[Nom de la société]),FALSE),"")</f>
        <v>STG</v>
      </c>
      <c r="C66" s="198" t="str">
        <f>IFERROR(VLOOKUP(Tableau1[Nom],Tableau5[],COLUMN(Tableau5[Nom du manager]),FALSE),"")</f>
        <v>FOUASSIER</v>
      </c>
      <c r="D66" s="199">
        <f>IFERROR(VLOOKUP(Tableau1[Nom],Tableau5[],COLUMN(Tableau5[Matricule]),FALSE),"")</f>
        <v>104784</v>
      </c>
      <c r="E66" s="200" t="s">
        <v>948</v>
      </c>
      <c r="F66" s="199" t="str">
        <f>IFERROR(VLOOKUP(Tableau1[Nom],Tableau5[],COLUMN(Tableau5[Prénom]),FALSE),"")</f>
        <v>Florian</v>
      </c>
      <c r="G66" s="188" t="s">
        <v>9</v>
      </c>
      <c r="H66" s="188" t="s">
        <v>1340</v>
      </c>
      <c r="I66" s="201"/>
      <c r="J66" s="188" t="s">
        <v>1341</v>
      </c>
      <c r="K66" s="189">
        <v>7</v>
      </c>
      <c r="L66" s="190">
        <v>117</v>
      </c>
      <c r="M66" s="202" t="s">
        <v>5</v>
      </c>
      <c r="N66" s="203" t="s">
        <v>1444</v>
      </c>
      <c r="O66" s="202"/>
      <c r="P6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67" spans="1:16" x14ac:dyDescent="0.25">
      <c r="A67" s="197" t="str">
        <f>IFERROR(VLOOKUP(Tableau1[Nom],Tableau5[],COLUMN(Tableau5[Definition du costing : DVC ou non DVC]),FALSE),"")</f>
        <v>DVC</v>
      </c>
      <c r="B67" s="197" t="str">
        <f>IFERROR(VLOOKUP(Tableau1[Nom],Tableau5[],COLUMN(Tableau5[Nom de la société]),FALSE),"")</f>
        <v>STG</v>
      </c>
      <c r="C67" s="198" t="str">
        <f>IFERROR(VLOOKUP(Tableau1[Nom],Tableau5[],COLUMN(Tableau5[Nom du manager]),FALSE),"")</f>
        <v>FOUASSIER</v>
      </c>
      <c r="D67" s="199">
        <f>IFERROR(VLOOKUP(Tableau1[Nom],Tableau5[],COLUMN(Tableau5[Matricule]),FALSE),"")</f>
        <v>104784</v>
      </c>
      <c r="E67" s="200" t="s">
        <v>948</v>
      </c>
      <c r="F67" s="199" t="str">
        <f>IFERROR(VLOOKUP(Tableau1[Nom],Tableau5[],COLUMN(Tableau5[Prénom]),FALSE),"")</f>
        <v>Florian</v>
      </c>
      <c r="G67" s="188" t="s">
        <v>9</v>
      </c>
      <c r="H67" s="188" t="s">
        <v>1346</v>
      </c>
      <c r="I67" s="201"/>
      <c r="J67" s="188" t="s">
        <v>1344</v>
      </c>
      <c r="K67" s="189">
        <v>10.5</v>
      </c>
      <c r="L67" s="190">
        <v>260</v>
      </c>
      <c r="M67" s="202" t="s">
        <v>5</v>
      </c>
      <c r="N67" s="203" t="s">
        <v>1444</v>
      </c>
      <c r="O67" s="202"/>
      <c r="P6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68" spans="1:16" x14ac:dyDescent="0.25">
      <c r="A68" s="197" t="str">
        <f>IFERROR(VLOOKUP(Tableau1[Nom],Tableau5[],COLUMN(Tableau5[Definition du costing : DVC ou non DVC]),FALSE),"")</f>
        <v>DVC</v>
      </c>
      <c r="B68" s="197" t="str">
        <f>IFERROR(VLOOKUP(Tableau1[Nom],Tableau5[],COLUMN(Tableau5[Nom de la société]),FALSE),"")</f>
        <v>STG</v>
      </c>
      <c r="C68" s="198" t="str">
        <f>IFERROR(VLOOKUP(Tableau1[Nom],Tableau5[],COLUMN(Tableau5[Nom du manager]),FALSE),"")</f>
        <v>XUEREB</v>
      </c>
      <c r="D68" s="199">
        <f>IFERROR(VLOOKUP(Tableau1[Nom],Tableau5[],COLUMN(Tableau5[Matricule]),FALSE),"")</f>
        <v>135347</v>
      </c>
      <c r="E68" s="200" t="s">
        <v>953</v>
      </c>
      <c r="F68" s="199" t="str">
        <f>IFERROR(VLOOKUP(Tableau1[Nom],Tableau5[],COLUMN(Tableau5[Prénom]),FALSE),"")</f>
        <v>Stephane</v>
      </c>
      <c r="G68" s="188" t="s">
        <v>9</v>
      </c>
      <c r="H68" s="188" t="s">
        <v>1326</v>
      </c>
      <c r="I68" s="201"/>
      <c r="J68" s="188" t="s">
        <v>1324</v>
      </c>
      <c r="K68" s="189">
        <v>1.5</v>
      </c>
      <c r="L68" s="190">
        <v>53</v>
      </c>
      <c r="M68" s="202" t="s">
        <v>5</v>
      </c>
      <c r="N68" s="203" t="s">
        <v>1444</v>
      </c>
      <c r="O68" s="202"/>
      <c r="P6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69" spans="1:16" x14ac:dyDescent="0.25">
      <c r="A69" s="197" t="str">
        <f>IFERROR(VLOOKUP(Tableau1[Nom],Tableau5[],COLUMN(Tableau5[Definition du costing : DVC ou non DVC]),FALSE),"")</f>
        <v>DVC</v>
      </c>
      <c r="B69" s="197" t="str">
        <f>IFERROR(VLOOKUP(Tableau1[Nom],Tableau5[],COLUMN(Tableau5[Nom de la société]),FALSE),"")</f>
        <v>STG</v>
      </c>
      <c r="C69" s="198" t="str">
        <f>IFERROR(VLOOKUP(Tableau1[Nom],Tableau5[],COLUMN(Tableau5[Nom du manager]),FALSE),"")</f>
        <v>XUEREB</v>
      </c>
      <c r="D69" s="199">
        <f>IFERROR(VLOOKUP(Tableau1[Nom],Tableau5[],COLUMN(Tableau5[Matricule]),FALSE),"")</f>
        <v>135347</v>
      </c>
      <c r="E69" s="200" t="s">
        <v>953</v>
      </c>
      <c r="F69" s="199" t="str">
        <f>IFERROR(VLOOKUP(Tableau1[Nom],Tableau5[],COLUMN(Tableau5[Prénom]),FALSE),"")</f>
        <v>Stephane</v>
      </c>
      <c r="G69" s="188" t="s">
        <v>9</v>
      </c>
      <c r="H69" s="188" t="s">
        <v>1340</v>
      </c>
      <c r="I69" s="201"/>
      <c r="J69" s="188" t="s">
        <v>1341</v>
      </c>
      <c r="K69" s="189">
        <v>7</v>
      </c>
      <c r="L69" s="190">
        <v>117</v>
      </c>
      <c r="M69" s="202" t="s">
        <v>5</v>
      </c>
      <c r="N69" s="203" t="s">
        <v>1444</v>
      </c>
      <c r="O69" s="202"/>
      <c r="P6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70" spans="1:16" x14ac:dyDescent="0.25">
      <c r="A70" s="197" t="str">
        <f>IFERROR(VLOOKUP(Tableau1[Nom],Tableau5[],COLUMN(Tableau5[Definition du costing : DVC ou non DVC]),FALSE),"")</f>
        <v>DVC</v>
      </c>
      <c r="B70" s="197" t="str">
        <f>IFERROR(VLOOKUP(Tableau1[Nom],Tableau5[],COLUMN(Tableau5[Nom de la société]),FALSE),"")</f>
        <v>STG</v>
      </c>
      <c r="C70" s="198" t="str">
        <f>IFERROR(VLOOKUP(Tableau1[Nom],Tableau5[],COLUMN(Tableau5[Nom du manager]),FALSE),"")</f>
        <v>XUEREB</v>
      </c>
      <c r="D70" s="199">
        <f>IFERROR(VLOOKUP(Tableau1[Nom],Tableau5[],COLUMN(Tableau5[Matricule]),FALSE),"")</f>
        <v>135347</v>
      </c>
      <c r="E70" s="200" t="s">
        <v>953</v>
      </c>
      <c r="F70" s="199" t="str">
        <f>IFERROR(VLOOKUP(Tableau1[Nom],Tableau5[],COLUMN(Tableau5[Prénom]),FALSE),"")</f>
        <v>Stephane</v>
      </c>
      <c r="G70" s="188" t="s">
        <v>9</v>
      </c>
      <c r="H70" s="188" t="s">
        <v>1346</v>
      </c>
      <c r="I70" s="201"/>
      <c r="J70" s="188" t="s">
        <v>1344</v>
      </c>
      <c r="K70" s="189">
        <v>10.5</v>
      </c>
      <c r="L70" s="190">
        <v>260</v>
      </c>
      <c r="M70" s="202" t="s">
        <v>5</v>
      </c>
      <c r="N70" s="203" t="s">
        <v>1444</v>
      </c>
      <c r="O70" s="202"/>
      <c r="P7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71" spans="1:16" x14ac:dyDescent="0.25">
      <c r="A71" s="197" t="str">
        <f>IFERROR(VLOOKUP(Tableau1[Nom],Tableau5[],COLUMN(Tableau5[Definition du costing : DVC ou non DVC]),FALSE),"")</f>
        <v>DVC</v>
      </c>
      <c r="B71" s="197" t="str">
        <f>IFERROR(VLOOKUP(Tableau1[Nom],Tableau5[],COLUMN(Tableau5[Nom de la société]),FALSE),"")</f>
        <v>Lattes</v>
      </c>
      <c r="C71" s="198" t="str">
        <f>IFERROR(VLOOKUP(Tableau1[Nom],Tableau5[],COLUMN(Tableau5[Nom du manager]),FALSE),"")</f>
        <v>VERNE</v>
      </c>
      <c r="D71" s="199">
        <f>IFERROR(VLOOKUP(Tableau1[Nom],Tableau5[],COLUMN(Tableau5[Matricule]),FALSE),"")</f>
        <v>191775</v>
      </c>
      <c r="E71" s="200" t="s">
        <v>1146</v>
      </c>
      <c r="F71" s="199" t="str">
        <f>IFERROR(VLOOKUP(Tableau1[Nom],Tableau5[],COLUMN(Tableau5[Prénom]),FALSE),"")</f>
        <v>Sylvie</v>
      </c>
      <c r="G71" s="188" t="s">
        <v>9</v>
      </c>
      <c r="H71" s="188" t="s">
        <v>1323</v>
      </c>
      <c r="I71" s="201"/>
      <c r="J71" s="188" t="s">
        <v>1324</v>
      </c>
      <c r="K71" s="189">
        <v>7</v>
      </c>
      <c r="L71" s="190">
        <v>124</v>
      </c>
      <c r="M71" s="202" t="s">
        <v>5</v>
      </c>
      <c r="N71" s="203" t="s">
        <v>1444</v>
      </c>
      <c r="O71" s="202"/>
      <c r="P71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72" spans="1:16" x14ac:dyDescent="0.25">
      <c r="A72" s="197" t="str">
        <f>IFERROR(VLOOKUP(Tableau1[Nom],Tableau5[],COLUMN(Tableau5[Definition du costing : DVC ou non DVC]),FALSE),"")</f>
        <v>Non DVC</v>
      </c>
      <c r="B72" s="197" t="str">
        <f>IFERROR(VLOOKUP(Tableau1[Nom],Tableau5[],COLUMN(Tableau5[Nom de la société]),FALSE),"")</f>
        <v>STG</v>
      </c>
      <c r="C72" s="198" t="str">
        <f>IFERROR(VLOOKUP(Tableau1[Nom],Tableau5[],COLUMN(Tableau5[Nom du manager]),FALSE),"")</f>
        <v>FOUASSIER</v>
      </c>
      <c r="D72" s="199">
        <f>IFERROR(VLOOKUP(Tableau1[Nom],Tableau5[],COLUMN(Tableau5[Matricule]),FALSE),"")</f>
        <v>66339</v>
      </c>
      <c r="E72" s="192" t="s">
        <v>1325</v>
      </c>
      <c r="F72" s="199" t="str">
        <f>IFERROR(VLOOKUP(Tableau1[Nom],Tableau5[],COLUMN(Tableau5[Prénom]),FALSE),"")</f>
        <v>Alexandre</v>
      </c>
      <c r="G72" s="188" t="s">
        <v>9</v>
      </c>
      <c r="H72" s="188" t="s">
        <v>1326</v>
      </c>
      <c r="I72" s="201"/>
      <c r="J72" s="188" t="s">
        <v>1324</v>
      </c>
      <c r="K72" s="189">
        <v>1.5</v>
      </c>
      <c r="L72" s="190">
        <v>53</v>
      </c>
      <c r="M72" s="202" t="s">
        <v>5</v>
      </c>
      <c r="N72" s="203" t="s">
        <v>1444</v>
      </c>
      <c r="O72" s="202"/>
      <c r="P72" s="288">
        <f>IFERROR(INDEX(Tableau2[],MATCH(Tableau1[[#This Row],[Nom]]&amp;Tableau1[[#This Row],[Intitulé]],INDEX(Tableau2[],,COLUMN(Tableau2[Clé Recherche])),0),COLUMN(Tableau2[Calendrier de réalisation])),"")</f>
        <v>0</v>
      </c>
    </row>
    <row r="73" spans="1:16" x14ac:dyDescent="0.25">
      <c r="A73" s="197" t="str">
        <f>IFERROR(VLOOKUP(Tableau1[Nom],Tableau5[],COLUMN(Tableau5[Definition du costing : DVC ou non DVC]),FALSE),"")</f>
        <v>DVC</v>
      </c>
      <c r="B73" s="197" t="str">
        <f>IFERROR(VLOOKUP(Tableau1[Nom],Tableau5[],COLUMN(Tableau5[Nom de la société]),FALSE),"")</f>
        <v>Aub.</v>
      </c>
      <c r="C73" s="198" t="str">
        <f>IFERROR(VLOOKUP(Tableau1[Nom],Tableau5[],COLUMN(Tableau5[Nom du manager]),FALSE),"")</f>
        <v>SAVY</v>
      </c>
      <c r="D73" s="199">
        <f>IFERROR(VLOOKUP(Tableau1[Nom],Tableau5[],COLUMN(Tableau5[Matricule]),FALSE),"")</f>
        <v>102965</v>
      </c>
      <c r="E73" s="200" t="s">
        <v>477</v>
      </c>
      <c r="F73" s="199" t="str">
        <f>IFERROR(VLOOKUP(Tableau1[Nom],Tableau5[],COLUMN(Tableau5[Prénom]),FALSE),"")</f>
        <v>Frederic</v>
      </c>
      <c r="G73" s="188" t="s">
        <v>9</v>
      </c>
      <c r="H73" s="188" t="s">
        <v>1326</v>
      </c>
      <c r="I73" s="201"/>
      <c r="J73" s="188" t="s">
        <v>1324</v>
      </c>
      <c r="K73" s="189">
        <v>1.5</v>
      </c>
      <c r="L73" s="190">
        <v>53</v>
      </c>
      <c r="M73" s="202" t="s">
        <v>5</v>
      </c>
      <c r="N73" s="203" t="s">
        <v>1444</v>
      </c>
      <c r="O73" s="202"/>
      <c r="P7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74" spans="1:16" x14ac:dyDescent="0.25">
      <c r="A74" s="197" t="str">
        <f>IFERROR(VLOOKUP(Tableau1[Nom],Tableau5[],COLUMN(Tableau5[Definition du costing : DVC ou non DVC]),FALSE),"")</f>
        <v>DVC</v>
      </c>
      <c r="B74" s="197" t="str">
        <f>IFERROR(VLOOKUP(Tableau1[Nom],Tableau5[],COLUMN(Tableau5[Nom de la société]),FALSE),"")</f>
        <v>Aub.</v>
      </c>
      <c r="C74" s="198" t="str">
        <f>IFERROR(VLOOKUP(Tableau1[Nom],Tableau5[],COLUMN(Tableau5[Nom du manager]),FALSE),"")</f>
        <v>SENEPART</v>
      </c>
      <c r="D74" s="199">
        <f>IFERROR(VLOOKUP(Tableau1[Nom],Tableau5[],COLUMN(Tableau5[Matricule]),FALSE),"")</f>
        <v>103027</v>
      </c>
      <c r="E74" s="200" t="s">
        <v>481</v>
      </c>
      <c r="F74" s="199" t="str">
        <f>IFERROR(VLOOKUP(Tableau1[Nom],Tableau5[],COLUMN(Tableau5[Prénom]),FALSE),"")</f>
        <v>Stephane</v>
      </c>
      <c r="G74" s="188" t="s">
        <v>9</v>
      </c>
      <c r="H74" s="188" t="s">
        <v>1326</v>
      </c>
      <c r="I74" s="201"/>
      <c r="J74" s="188" t="s">
        <v>1324</v>
      </c>
      <c r="K74" s="189">
        <v>1.5</v>
      </c>
      <c r="L74" s="190">
        <v>53</v>
      </c>
      <c r="M74" s="202" t="s">
        <v>5</v>
      </c>
      <c r="N74" s="203" t="s">
        <v>1444</v>
      </c>
      <c r="O74" s="202"/>
      <c r="P7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75" spans="1:16" x14ac:dyDescent="0.25">
      <c r="A75" s="197" t="str">
        <f>IFERROR(VLOOKUP(Tableau1[Nom],Tableau5[],COLUMN(Tableau5[Definition du costing : DVC ou non DVC]),FALSE),"")</f>
        <v>DVC</v>
      </c>
      <c r="B75" s="197" t="str">
        <f>IFERROR(VLOOKUP(Tableau1[Nom],Tableau5[],COLUMN(Tableau5[Nom de la société]),FALSE),"")</f>
        <v>Aub.</v>
      </c>
      <c r="C75" s="198" t="str">
        <f>IFERROR(VLOOKUP(Tableau1[Nom],Tableau5[],COLUMN(Tableau5[Nom du manager]),FALSE),"")</f>
        <v>SENEPART</v>
      </c>
      <c r="D75" s="199">
        <f>IFERROR(VLOOKUP(Tableau1[Nom],Tableau5[],COLUMN(Tableau5[Matricule]),FALSE),"")</f>
        <v>103027</v>
      </c>
      <c r="E75" s="200" t="s">
        <v>481</v>
      </c>
      <c r="F75" s="199" t="str">
        <f>IFERROR(VLOOKUP(Tableau1[Nom],Tableau5[],COLUMN(Tableau5[Prénom]),FALSE),"")</f>
        <v>Stephane</v>
      </c>
      <c r="G75" s="188" t="s">
        <v>9</v>
      </c>
      <c r="H75" s="188" t="s">
        <v>1340</v>
      </c>
      <c r="I75" s="201"/>
      <c r="J75" s="188" t="s">
        <v>1341</v>
      </c>
      <c r="K75" s="189">
        <v>7</v>
      </c>
      <c r="L75" s="190">
        <v>117</v>
      </c>
      <c r="M75" s="202" t="s">
        <v>5</v>
      </c>
      <c r="N75" s="203" t="s">
        <v>1444</v>
      </c>
      <c r="O75" s="202"/>
      <c r="P7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76" spans="1:16" x14ac:dyDescent="0.25">
      <c r="A76" s="191" t="str">
        <f>IFERROR(VLOOKUP(Tableau1[Nom],Tableau5[],COLUMN(Tableau5[Definition du costing : DVC ou non DVC]),FALSE),"")</f>
        <v>DVC</v>
      </c>
      <c r="B76" s="197" t="str">
        <f>IFERROR(VLOOKUP(Tableau1[Nom],Tableau5[],COLUMN(Tableau5[Nom de la société]),FALSE),"")</f>
        <v>Aub.</v>
      </c>
      <c r="C76" s="198" t="str">
        <f>IFERROR(VLOOKUP(Tableau1[Nom],Tableau5[],COLUMN(Tableau5[Nom du manager]),FALSE),"")</f>
        <v>ALIX</v>
      </c>
      <c r="D76" s="199">
        <f>IFERROR(VLOOKUP(Tableau1[Nom],Tableau5[],COLUMN(Tableau5[Matricule]),FALSE),"")</f>
        <v>102966</v>
      </c>
      <c r="E76" s="192" t="s">
        <v>489</v>
      </c>
      <c r="F76" s="199" t="str">
        <f>IFERROR(VLOOKUP(Tableau1[Nom],Tableau5[],COLUMN(Tableau5[Prénom]),FALSE),"")</f>
        <v>Patrick</v>
      </c>
      <c r="G76" s="188" t="s">
        <v>9</v>
      </c>
      <c r="H76" s="188" t="s">
        <v>1323</v>
      </c>
      <c r="I76" s="193"/>
      <c r="J76" s="188" t="s">
        <v>1324</v>
      </c>
      <c r="K76" s="189">
        <v>7</v>
      </c>
      <c r="L76" s="190">
        <v>124</v>
      </c>
      <c r="M76" s="202" t="s">
        <v>5</v>
      </c>
      <c r="N76" s="203" t="s">
        <v>1444</v>
      </c>
      <c r="O76" s="196"/>
      <c r="P76" s="290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77" spans="1:16" x14ac:dyDescent="0.25">
      <c r="A77" s="197" t="str">
        <f>IFERROR(VLOOKUP(Tableau1[Nom],Tableau5[],COLUMN(Tableau5[Definition du costing : DVC ou non DVC]),FALSE),"")</f>
        <v>DVC</v>
      </c>
      <c r="B77" s="197" t="str">
        <f>IFERROR(VLOOKUP(Tableau1[Nom],Tableau5[],COLUMN(Tableau5[Nom de la société]),FALSE),"")</f>
        <v>Aub.</v>
      </c>
      <c r="C77" s="198" t="str">
        <f>IFERROR(VLOOKUP(Tableau1[Nom],Tableau5[],COLUMN(Tableau5[Nom du manager]),FALSE),"")</f>
        <v>ALIX</v>
      </c>
      <c r="D77" s="199">
        <f>IFERROR(VLOOKUP(Tableau1[Nom],Tableau5[],COLUMN(Tableau5[Matricule]),FALSE),"")</f>
        <v>102966</v>
      </c>
      <c r="E77" s="200" t="s">
        <v>489</v>
      </c>
      <c r="F77" s="199" t="str">
        <f>IFERROR(VLOOKUP(Tableau1[Nom],Tableau5[],COLUMN(Tableau5[Prénom]),FALSE),"")</f>
        <v>Patrick</v>
      </c>
      <c r="G77" s="188" t="s">
        <v>9</v>
      </c>
      <c r="H77" s="188" t="s">
        <v>1333</v>
      </c>
      <c r="I77" s="201"/>
      <c r="J77" s="188" t="s">
        <v>1324</v>
      </c>
      <c r="K77" s="189">
        <v>7</v>
      </c>
      <c r="L77" s="190">
        <v>162</v>
      </c>
      <c r="M77" s="202" t="s">
        <v>5</v>
      </c>
      <c r="N77" s="203" t="s">
        <v>1444</v>
      </c>
      <c r="O77" s="202"/>
      <c r="P77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78" spans="1:16" x14ac:dyDescent="0.25">
      <c r="A78" s="197" t="str">
        <f>IFERROR(VLOOKUP(Tableau1[Nom],Tableau5[],COLUMN(Tableau5[Definition du costing : DVC ou non DVC]),FALSE),"")</f>
        <v>DVC</v>
      </c>
      <c r="B78" s="197" t="str">
        <f>IFERROR(VLOOKUP(Tableau1[Nom],Tableau5[],COLUMN(Tableau5[Nom de la société]),FALSE),"")</f>
        <v>Aub.</v>
      </c>
      <c r="C78" s="198" t="str">
        <f>IFERROR(VLOOKUP(Tableau1[Nom],Tableau5[],COLUMN(Tableau5[Nom du manager]),FALSE),"")</f>
        <v>SENEPART</v>
      </c>
      <c r="D78" s="199">
        <f>IFERROR(VLOOKUP(Tableau1[Nom],Tableau5[],COLUMN(Tableau5[Matricule]),FALSE),"")</f>
        <v>103062</v>
      </c>
      <c r="E78" s="200" t="s">
        <v>501</v>
      </c>
      <c r="F78" s="199" t="str">
        <f>IFERROR(VLOOKUP(Tableau1[Nom],Tableau5[],COLUMN(Tableau5[Prénom]),FALSE),"")</f>
        <v>Serge</v>
      </c>
      <c r="G78" s="188" t="s">
        <v>9</v>
      </c>
      <c r="H78" s="188" t="s">
        <v>1326</v>
      </c>
      <c r="I78" s="201"/>
      <c r="J78" s="188" t="s">
        <v>1324</v>
      </c>
      <c r="K78" s="189">
        <v>1.5</v>
      </c>
      <c r="L78" s="190">
        <v>53</v>
      </c>
      <c r="M78" s="202" t="s">
        <v>5</v>
      </c>
      <c r="N78" s="203" t="s">
        <v>1444</v>
      </c>
      <c r="O78" s="202"/>
      <c r="P78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79" spans="1:16" x14ac:dyDescent="0.25">
      <c r="A79" s="191" t="str">
        <f>IFERROR(VLOOKUP(Tableau1[Nom],Tableau5[],COLUMN(Tableau5[Definition du costing : DVC ou non DVC]),FALSE),"")</f>
        <v>DVC</v>
      </c>
      <c r="B79" s="197" t="str">
        <f>IFERROR(VLOOKUP(Tableau1[Nom],Tableau5[],COLUMN(Tableau5[Nom de la société]),FALSE),"")</f>
        <v>Aub.</v>
      </c>
      <c r="C79" s="198" t="str">
        <f>IFERROR(VLOOKUP(Tableau1[Nom],Tableau5[],COLUMN(Tableau5[Nom du manager]),FALSE),"")</f>
        <v>FUENTES</v>
      </c>
      <c r="D79" s="199">
        <f>IFERROR(VLOOKUP(Tableau1[Nom],Tableau5[],COLUMN(Tableau5[Matricule]),FALSE),"")</f>
        <v>103026</v>
      </c>
      <c r="E79" s="192" t="s">
        <v>505</v>
      </c>
      <c r="F79" s="199" t="str">
        <f>IFERROR(VLOOKUP(Tableau1[Nom],Tableau5[],COLUMN(Tableau5[Prénom]),FALSE),"")</f>
        <v>Olivier</v>
      </c>
      <c r="G79" s="188" t="s">
        <v>9</v>
      </c>
      <c r="H79" s="188" t="s">
        <v>1323</v>
      </c>
      <c r="I79" s="193"/>
      <c r="J79" s="188" t="s">
        <v>1324</v>
      </c>
      <c r="K79" s="189">
        <v>7</v>
      </c>
      <c r="L79" s="190">
        <v>124</v>
      </c>
      <c r="M79" s="202" t="s">
        <v>5</v>
      </c>
      <c r="N79" s="203" t="s">
        <v>1444</v>
      </c>
      <c r="O79" s="196"/>
      <c r="P79" s="290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80" spans="1:16" x14ac:dyDescent="0.25">
      <c r="A80" s="197" t="str">
        <f>IFERROR(VLOOKUP(Tableau1[Nom],Tableau5[],COLUMN(Tableau5[Definition du costing : DVC ou non DVC]),FALSE),"")</f>
        <v>DVC</v>
      </c>
      <c r="B80" s="197" t="str">
        <f>IFERROR(VLOOKUP(Tableau1[Nom],Tableau5[],COLUMN(Tableau5[Nom de la société]),FALSE),"")</f>
        <v>Aub.</v>
      </c>
      <c r="C80" s="198" t="str">
        <f>IFERROR(VLOOKUP(Tableau1[Nom],Tableau5[],COLUMN(Tableau5[Nom du manager]),FALSE),"")</f>
        <v>FUENTES</v>
      </c>
      <c r="D80" s="199">
        <f>IFERROR(VLOOKUP(Tableau1[Nom],Tableau5[],COLUMN(Tableau5[Matricule]),FALSE),"")</f>
        <v>103026</v>
      </c>
      <c r="E80" s="200" t="s">
        <v>505</v>
      </c>
      <c r="F80" s="199" t="str">
        <f>IFERROR(VLOOKUP(Tableau1[Nom],Tableau5[],COLUMN(Tableau5[Prénom]),FALSE),"")</f>
        <v>Olivier</v>
      </c>
      <c r="G80" s="188" t="s">
        <v>9</v>
      </c>
      <c r="H80" s="188" t="s">
        <v>1326</v>
      </c>
      <c r="I80" s="201"/>
      <c r="J80" s="188" t="s">
        <v>1324</v>
      </c>
      <c r="K80" s="189">
        <v>1.5</v>
      </c>
      <c r="L80" s="190">
        <v>53</v>
      </c>
      <c r="M80" s="202" t="s">
        <v>5</v>
      </c>
      <c r="N80" s="203" t="s">
        <v>1444</v>
      </c>
      <c r="O80" s="202"/>
      <c r="P80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81" spans="1:16" x14ac:dyDescent="0.25">
      <c r="A81" s="197" t="str">
        <f>IFERROR(VLOOKUP(Tableau1[Nom],Tableau5[],COLUMN(Tableau5[Definition du costing : DVC ou non DVC]),FALSE),"")</f>
        <v>DVC</v>
      </c>
      <c r="B81" s="197" t="str">
        <f>IFERROR(VLOOKUP(Tableau1[Nom],Tableau5[],COLUMN(Tableau5[Nom de la société]),FALSE),"")</f>
        <v>Aub.</v>
      </c>
      <c r="C81" s="198" t="str">
        <f>IFERROR(VLOOKUP(Tableau1[Nom],Tableau5[],COLUMN(Tableau5[Nom du manager]),FALSE),"")</f>
        <v>FUENTES</v>
      </c>
      <c r="D81" s="199">
        <f>IFERROR(VLOOKUP(Tableau1[Nom],Tableau5[],COLUMN(Tableau5[Matricule]),FALSE),"")</f>
        <v>103026</v>
      </c>
      <c r="E81" s="200" t="s">
        <v>505</v>
      </c>
      <c r="F81" s="199" t="str">
        <f>IFERROR(VLOOKUP(Tableau1[Nom],Tableau5[],COLUMN(Tableau5[Prénom]),FALSE),"")</f>
        <v>Olivier</v>
      </c>
      <c r="G81" s="188" t="s">
        <v>9</v>
      </c>
      <c r="H81" s="188" t="s">
        <v>1340</v>
      </c>
      <c r="I81" s="201"/>
      <c r="J81" s="188" t="s">
        <v>1341</v>
      </c>
      <c r="K81" s="189">
        <v>7</v>
      </c>
      <c r="L81" s="190">
        <v>117</v>
      </c>
      <c r="M81" s="202" t="s">
        <v>5</v>
      </c>
      <c r="N81" s="203" t="s">
        <v>1444</v>
      </c>
      <c r="O81" s="202"/>
      <c r="P8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82" spans="1:16" x14ac:dyDescent="0.25">
      <c r="A82" s="197" t="str">
        <f>IFERROR(VLOOKUP(Tableau1[Nom],Tableau5[],COLUMN(Tableau5[Definition du costing : DVC ou non DVC]),FALSE),"")</f>
        <v>DVC</v>
      </c>
      <c r="B82" s="197" t="str">
        <f>IFERROR(VLOOKUP(Tableau1[Nom],Tableau5[],COLUMN(Tableau5[Nom de la société]),FALSE),"")</f>
        <v>STG</v>
      </c>
      <c r="C82" s="198" t="str">
        <f>IFERROR(VLOOKUP(Tableau1[Nom],Tableau5[],COLUMN(Tableau5[Nom du manager]),FALSE),"")</f>
        <v>XUEREB</v>
      </c>
      <c r="D82" s="199">
        <f>IFERROR(VLOOKUP(Tableau1[Nom],Tableau5[],COLUMN(Tableau5[Matricule]),FALSE),"")</f>
        <v>104625</v>
      </c>
      <c r="E82" s="200" t="s">
        <v>963</v>
      </c>
      <c r="F82" s="199" t="str">
        <f>IFERROR(VLOOKUP(Tableau1[Nom],Tableau5[],COLUMN(Tableau5[Prénom]),FALSE),"")</f>
        <v>Franck</v>
      </c>
      <c r="G82" s="188" t="s">
        <v>9</v>
      </c>
      <c r="H82" s="188" t="s">
        <v>1326</v>
      </c>
      <c r="I82" s="201"/>
      <c r="J82" s="188" t="s">
        <v>1324</v>
      </c>
      <c r="K82" s="189">
        <v>1.5</v>
      </c>
      <c r="L82" s="190">
        <v>53</v>
      </c>
      <c r="M82" s="202" t="s">
        <v>5</v>
      </c>
      <c r="N82" s="203" t="s">
        <v>1444</v>
      </c>
      <c r="O82" s="202"/>
      <c r="P82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83" spans="1:16" x14ac:dyDescent="0.25">
      <c r="A83" s="197" t="str">
        <f>IFERROR(VLOOKUP(Tableau1[Nom],Tableau5[],COLUMN(Tableau5[Definition du costing : DVC ou non DVC]),FALSE),"")</f>
        <v>DVC</v>
      </c>
      <c r="B83" s="197" t="str">
        <f>IFERROR(VLOOKUP(Tableau1[Nom],Tableau5[],COLUMN(Tableau5[Nom de la société]),FALSE),"")</f>
        <v>STG</v>
      </c>
      <c r="C83" s="198" t="str">
        <f>IFERROR(VLOOKUP(Tableau1[Nom],Tableau5[],COLUMN(Tableau5[Nom du manager]),FALSE),"")</f>
        <v>XUEREB</v>
      </c>
      <c r="D83" s="199">
        <f>IFERROR(VLOOKUP(Tableau1[Nom],Tableau5[],COLUMN(Tableau5[Matricule]),FALSE),"")</f>
        <v>104625</v>
      </c>
      <c r="E83" s="200" t="s">
        <v>963</v>
      </c>
      <c r="F83" s="199" t="str">
        <f>IFERROR(VLOOKUP(Tableau1[Nom],Tableau5[],COLUMN(Tableau5[Prénom]),FALSE),"")</f>
        <v>Franck</v>
      </c>
      <c r="G83" s="188" t="s">
        <v>9</v>
      </c>
      <c r="H83" s="188" t="s">
        <v>1339</v>
      </c>
      <c r="I83" s="201"/>
      <c r="J83" s="188" t="s">
        <v>1324</v>
      </c>
      <c r="K83" s="189">
        <v>7</v>
      </c>
      <c r="L83" s="190">
        <v>165</v>
      </c>
      <c r="M83" s="202" t="s">
        <v>5</v>
      </c>
      <c r="N83" s="203" t="s">
        <v>1444</v>
      </c>
      <c r="O83" s="202"/>
      <c r="P8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84" spans="1:16" x14ac:dyDescent="0.25">
      <c r="A84" s="197" t="str">
        <f>IFERROR(VLOOKUP(Tableau1[Nom],Tableau5[],COLUMN(Tableau5[Definition du costing : DVC ou non DVC]),FALSE),"")</f>
        <v>DVC</v>
      </c>
      <c r="B84" s="197" t="str">
        <f>IFERROR(VLOOKUP(Tableau1[Nom],Tableau5[],COLUMN(Tableau5[Nom de la société]),FALSE),"")</f>
        <v>STG</v>
      </c>
      <c r="C84" s="198" t="str">
        <f>IFERROR(VLOOKUP(Tableau1[Nom],Tableau5[],COLUMN(Tableau5[Nom du manager]),FALSE),"")</f>
        <v>XUEREB</v>
      </c>
      <c r="D84" s="199">
        <f>IFERROR(VLOOKUP(Tableau1[Nom],Tableau5[],COLUMN(Tableau5[Matricule]),FALSE),"")</f>
        <v>104625</v>
      </c>
      <c r="E84" s="200" t="s">
        <v>963</v>
      </c>
      <c r="F84" s="199" t="str">
        <f>IFERROR(VLOOKUP(Tableau1[Nom],Tableau5[],COLUMN(Tableau5[Prénom]),FALSE),"")</f>
        <v>Franck</v>
      </c>
      <c r="G84" s="188" t="s">
        <v>9</v>
      </c>
      <c r="H84" s="188" t="s">
        <v>1346</v>
      </c>
      <c r="I84" s="201"/>
      <c r="J84" s="188" t="s">
        <v>1344</v>
      </c>
      <c r="K84" s="189">
        <v>10.5</v>
      </c>
      <c r="L84" s="190">
        <v>260</v>
      </c>
      <c r="M84" s="202" t="s">
        <v>5</v>
      </c>
      <c r="N84" s="203" t="s">
        <v>1444</v>
      </c>
      <c r="O84" s="202"/>
      <c r="P8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85" spans="1:16" x14ac:dyDescent="0.25">
      <c r="A85" s="197" t="str">
        <f>IFERROR(VLOOKUP(Tableau1[Nom],Tableau5[],COLUMN(Tableau5[Definition du costing : DVC ou non DVC]),FALSE),"")</f>
        <v>DVC</v>
      </c>
      <c r="B85" s="197" t="str">
        <f>IFERROR(VLOOKUP(Tableau1[Nom],Tableau5[],COLUMN(Tableau5[Nom de la société]),FALSE),"")</f>
        <v>STG</v>
      </c>
      <c r="C85" s="198" t="str">
        <f>IFERROR(VLOOKUP(Tableau1[Nom],Tableau5[],COLUMN(Tableau5[Nom du manager]),FALSE),"")</f>
        <v>BUISSON</v>
      </c>
      <c r="D85" s="199">
        <f>IFERROR(VLOOKUP(Tableau1[Nom],Tableau5[],COLUMN(Tableau5[Matricule]),FALSE),"")</f>
        <v>104649</v>
      </c>
      <c r="E85" s="200" t="s">
        <v>966</v>
      </c>
      <c r="F85" s="199" t="str">
        <f>IFERROR(VLOOKUP(Tableau1[Nom],Tableau5[],COLUMN(Tableau5[Prénom]),FALSE),"")</f>
        <v>Patrick</v>
      </c>
      <c r="G85" s="188" t="s">
        <v>9</v>
      </c>
      <c r="H85" s="188" t="s">
        <v>1326</v>
      </c>
      <c r="I85" s="201"/>
      <c r="J85" s="188" t="s">
        <v>1324</v>
      </c>
      <c r="K85" s="189">
        <v>1.5</v>
      </c>
      <c r="L85" s="190">
        <v>53</v>
      </c>
      <c r="M85" s="202" t="s">
        <v>5</v>
      </c>
      <c r="N85" s="203" t="s">
        <v>1444</v>
      </c>
      <c r="O85" s="202"/>
      <c r="P85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86" spans="1:16" x14ac:dyDescent="0.25">
      <c r="A86" s="197" t="str">
        <f>IFERROR(VLOOKUP(Tableau1[Nom],Tableau5[],COLUMN(Tableau5[Definition du costing : DVC ou non DVC]),FALSE),"")</f>
        <v>DVC</v>
      </c>
      <c r="B86" s="197" t="str">
        <f>IFERROR(VLOOKUP(Tableau1[Nom],Tableau5[],COLUMN(Tableau5[Nom de la société]),FALSE),"")</f>
        <v>STG</v>
      </c>
      <c r="C86" s="198" t="str">
        <f>IFERROR(VLOOKUP(Tableau1[Nom],Tableau5[],COLUMN(Tableau5[Nom du manager]),FALSE),"")</f>
        <v>BUISSON</v>
      </c>
      <c r="D86" s="199">
        <f>IFERROR(VLOOKUP(Tableau1[Nom],Tableau5[],COLUMN(Tableau5[Matricule]),FALSE),"")</f>
        <v>104649</v>
      </c>
      <c r="E86" s="200" t="s">
        <v>966</v>
      </c>
      <c r="F86" s="199" t="str">
        <f>IFERROR(VLOOKUP(Tableau1[Nom],Tableau5[],COLUMN(Tableau5[Prénom]),FALSE),"")</f>
        <v>Patrick</v>
      </c>
      <c r="G86" s="188" t="s">
        <v>9</v>
      </c>
      <c r="H86" s="188" t="s">
        <v>1346</v>
      </c>
      <c r="I86" s="201"/>
      <c r="J86" s="188" t="s">
        <v>1344</v>
      </c>
      <c r="K86" s="189">
        <v>10.5</v>
      </c>
      <c r="L86" s="190">
        <v>260</v>
      </c>
      <c r="M86" s="202" t="s">
        <v>5</v>
      </c>
      <c r="N86" s="203" t="s">
        <v>1444</v>
      </c>
      <c r="O86" s="202"/>
      <c r="P8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87" spans="1:16" x14ac:dyDescent="0.25">
      <c r="A87" s="197" t="str">
        <f>IFERROR(VLOOKUP(Tableau1[Nom],Tableau5[],COLUMN(Tableau5[Definition du costing : DVC ou non DVC]),FALSE),"")</f>
        <v>Non DVC</v>
      </c>
      <c r="B87" s="197" t="str">
        <f>IFERROR(VLOOKUP(Tableau1[Nom],Tableau5[],COLUMN(Tableau5[Nom de la société]),FALSE),"")</f>
        <v>Aub.</v>
      </c>
      <c r="C87" s="198" t="str">
        <f>IFERROR(VLOOKUP(Tableau1[Nom],Tableau5[],COLUMN(Tableau5[Nom du manager]),FALSE),"")</f>
        <v>HAON</v>
      </c>
      <c r="D87" s="199">
        <f>IFERROR(VLOOKUP(Tableau1[Nom],Tableau5[],COLUMN(Tableau5[Matricule]),FALSE),"")</f>
        <v>102960</v>
      </c>
      <c r="E87" s="200" t="s">
        <v>511</v>
      </c>
      <c r="F87" s="199" t="str">
        <f>IFERROR(VLOOKUP(Tableau1[Nom],Tableau5[],COLUMN(Tableau5[Prénom]),FALSE),"")</f>
        <v>Francois</v>
      </c>
      <c r="G87" s="188" t="s">
        <v>9</v>
      </c>
      <c r="H87" s="188" t="s">
        <v>1326</v>
      </c>
      <c r="I87" s="201"/>
      <c r="J87" s="188" t="s">
        <v>1324</v>
      </c>
      <c r="K87" s="189">
        <v>1.5</v>
      </c>
      <c r="L87" s="190">
        <v>53</v>
      </c>
      <c r="M87" s="202" t="s">
        <v>5</v>
      </c>
      <c r="N87" s="203" t="s">
        <v>1444</v>
      </c>
      <c r="O87" s="202"/>
      <c r="P87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88" spans="1:16" x14ac:dyDescent="0.25">
      <c r="A88" s="197" t="str">
        <f>IFERROR(VLOOKUP(Tableau1[Nom],Tableau5[],COLUMN(Tableau5[Definition du costing : DVC ou non DVC]),FALSE),"")</f>
        <v>Non DVC</v>
      </c>
      <c r="B88" s="197" t="str">
        <f>IFERROR(VLOOKUP(Tableau1[Nom],Tableau5[],COLUMN(Tableau5[Nom de la société]),FALSE),"")</f>
        <v>Aub.</v>
      </c>
      <c r="C88" s="198" t="str">
        <f>IFERROR(VLOOKUP(Tableau1[Nom],Tableau5[],COLUMN(Tableau5[Nom du manager]),FALSE),"")</f>
        <v>HAON</v>
      </c>
      <c r="D88" s="199">
        <f>IFERROR(VLOOKUP(Tableau1[Nom],Tableau5[],COLUMN(Tableau5[Matricule]),FALSE),"")</f>
        <v>102960</v>
      </c>
      <c r="E88" s="200" t="s">
        <v>511</v>
      </c>
      <c r="F88" s="199" t="str">
        <f>IFERROR(VLOOKUP(Tableau1[Nom],Tableau5[],COLUMN(Tableau5[Prénom]),FALSE),"")</f>
        <v>Francois</v>
      </c>
      <c r="G88" s="188" t="s">
        <v>9</v>
      </c>
      <c r="H88" s="188" t="s">
        <v>1333</v>
      </c>
      <c r="I88" s="201"/>
      <c r="J88" s="188" t="s">
        <v>1324</v>
      </c>
      <c r="K88" s="189">
        <v>7</v>
      </c>
      <c r="L88" s="190">
        <v>162</v>
      </c>
      <c r="M88" s="202" t="s">
        <v>5</v>
      </c>
      <c r="N88" s="203" t="s">
        <v>1444</v>
      </c>
      <c r="O88" s="202"/>
      <c r="P88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89" spans="1:16" x14ac:dyDescent="0.25">
      <c r="A89" s="197" t="str">
        <f>IFERROR(VLOOKUP(Tableau1[Nom],Tableau5[],COLUMN(Tableau5[Definition du costing : DVC ou non DVC]),FALSE),"")</f>
        <v>DVC</v>
      </c>
      <c r="B89" s="197" t="str">
        <f>IFERROR(VLOOKUP(Tableau1[Nom],Tableau5[],COLUMN(Tableau5[Nom de la société]),FALSE),"")</f>
        <v>Lattes</v>
      </c>
      <c r="C89" s="198" t="str">
        <f>IFERROR(VLOOKUP(Tableau1[Nom],Tableau5[],COLUMN(Tableau5[Nom du manager]),FALSE),"")</f>
        <v>VERNE</v>
      </c>
      <c r="D89" s="199">
        <f>IFERROR(VLOOKUP(Tableau1[Nom],Tableau5[],COLUMN(Tableau5[Matricule]),FALSE),"")</f>
        <v>191743</v>
      </c>
      <c r="E89" s="200" t="s">
        <v>1143</v>
      </c>
      <c r="F89" s="199" t="str">
        <f>IFERROR(VLOOKUP(Tableau1[Nom],Tableau5[],COLUMN(Tableau5[Prénom]),FALSE),"")</f>
        <v>Jerome</v>
      </c>
      <c r="G89" s="188" t="s">
        <v>9</v>
      </c>
      <c r="H89" s="188" t="s">
        <v>1323</v>
      </c>
      <c r="I89" s="201"/>
      <c r="J89" s="188" t="s">
        <v>1324</v>
      </c>
      <c r="K89" s="189">
        <v>7</v>
      </c>
      <c r="L89" s="190">
        <v>124</v>
      </c>
      <c r="M89" s="202" t="s">
        <v>5</v>
      </c>
      <c r="N89" s="203" t="s">
        <v>1444</v>
      </c>
      <c r="O89" s="202"/>
      <c r="P89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90" spans="1:16" x14ac:dyDescent="0.25">
      <c r="A90" s="191" t="str">
        <f>IFERROR(VLOOKUP(Tableau1[Nom],Tableau5[],COLUMN(Tableau5[Definition du costing : DVC ou non DVC]),FALSE),"")</f>
        <v>DVC</v>
      </c>
      <c r="B90" s="197" t="str">
        <f>IFERROR(VLOOKUP(Tableau1[Nom],Tableau5[],COLUMN(Tableau5[Nom de la société]),FALSE),"")</f>
        <v>STG</v>
      </c>
      <c r="C90" s="198" t="str">
        <f>IFERROR(VLOOKUP(Tableau1[Nom],Tableau5[],COLUMN(Tableau5[Nom du manager]),FALSE),"")</f>
        <v>XUEREB</v>
      </c>
      <c r="D90" s="199">
        <f>IFERROR(VLOOKUP(Tableau1[Nom],Tableau5[],COLUMN(Tableau5[Matricule]),FALSE),"")</f>
        <v>104664</v>
      </c>
      <c r="E90" s="187" t="s">
        <v>970</v>
      </c>
      <c r="F90" s="199" t="str">
        <f>IFERROR(VLOOKUP(Tableau1[Nom],Tableau5[],COLUMN(Tableau5[Prénom]),FALSE),"")</f>
        <v>Dominique</v>
      </c>
      <c r="G90" s="188" t="s">
        <v>9</v>
      </c>
      <c r="H90" s="188" t="s">
        <v>1323</v>
      </c>
      <c r="I90" s="189"/>
      <c r="J90" s="188" t="s">
        <v>1324</v>
      </c>
      <c r="K90" s="189">
        <v>7</v>
      </c>
      <c r="L90" s="190">
        <v>124</v>
      </c>
      <c r="M90" s="202" t="s">
        <v>5</v>
      </c>
      <c r="N90" s="203" t="s">
        <v>1444</v>
      </c>
      <c r="O90" s="195"/>
      <c r="P90" s="289">
        <f>IFERROR(INDEX(Tableau2[],MATCH(Tableau1[[#This Row],[Nom]]&amp;Tableau1[[#This Row],[Intitulé]],INDEX(Tableau2[],,COLUMN(Tableau2[Clé Recherche])),0),COLUMN(Tableau2[Calendrier de réalisation])),"")</f>
        <v>0</v>
      </c>
    </row>
    <row r="91" spans="1:16" x14ac:dyDescent="0.25">
      <c r="A91" s="197" t="str">
        <f>IFERROR(VLOOKUP(Tableau1[Nom],Tableau5[],COLUMN(Tableau5[Definition du costing : DVC ou non DVC]),FALSE),"")</f>
        <v>DVC</v>
      </c>
      <c r="B91" s="197" t="str">
        <f>IFERROR(VLOOKUP(Tableau1[Nom],Tableau5[],COLUMN(Tableau5[Nom de la société]),FALSE),"")</f>
        <v>STG</v>
      </c>
      <c r="C91" s="198" t="str">
        <f>IFERROR(VLOOKUP(Tableau1[Nom],Tableau5[],COLUMN(Tableau5[Nom du manager]),FALSE),"")</f>
        <v>XUEREB</v>
      </c>
      <c r="D91" s="199">
        <f>IFERROR(VLOOKUP(Tableau1[Nom],Tableau5[],COLUMN(Tableau5[Matricule]),FALSE),"")</f>
        <v>104664</v>
      </c>
      <c r="E91" s="200" t="s">
        <v>970</v>
      </c>
      <c r="F91" s="199" t="str">
        <f>IFERROR(VLOOKUP(Tableau1[Nom],Tableau5[],COLUMN(Tableau5[Prénom]),FALSE),"")</f>
        <v>Dominique</v>
      </c>
      <c r="G91" s="188" t="s">
        <v>9</v>
      </c>
      <c r="H91" s="188" t="s">
        <v>1326</v>
      </c>
      <c r="I91" s="201"/>
      <c r="J91" s="188" t="s">
        <v>1324</v>
      </c>
      <c r="K91" s="189">
        <v>1.5</v>
      </c>
      <c r="L91" s="190">
        <v>53</v>
      </c>
      <c r="M91" s="202" t="s">
        <v>5</v>
      </c>
      <c r="N91" s="203" t="s">
        <v>1444</v>
      </c>
      <c r="O91" s="202"/>
      <c r="P91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92" spans="1:16" x14ac:dyDescent="0.25">
      <c r="A92" s="197" t="str">
        <f>IFERROR(VLOOKUP(Tableau1[Nom],Tableau5[],COLUMN(Tableau5[Definition du costing : DVC ou non DVC]),FALSE),"")</f>
        <v>DVC</v>
      </c>
      <c r="B92" s="197" t="str">
        <f>IFERROR(VLOOKUP(Tableau1[Nom],Tableau5[],COLUMN(Tableau5[Nom de la société]),FALSE),"")</f>
        <v>STG</v>
      </c>
      <c r="C92" s="198" t="str">
        <f>IFERROR(VLOOKUP(Tableau1[Nom],Tableau5[],COLUMN(Tableau5[Nom du manager]),FALSE),"")</f>
        <v>XUEREB</v>
      </c>
      <c r="D92" s="199">
        <f>IFERROR(VLOOKUP(Tableau1[Nom],Tableau5[],COLUMN(Tableau5[Matricule]),FALSE),"")</f>
        <v>104664</v>
      </c>
      <c r="E92" s="200" t="s">
        <v>970</v>
      </c>
      <c r="F92" s="199" t="str">
        <f>IFERROR(VLOOKUP(Tableau1[Nom],Tableau5[],COLUMN(Tableau5[Prénom]),FALSE),"")</f>
        <v>Dominique</v>
      </c>
      <c r="G92" s="188" t="s">
        <v>9</v>
      </c>
      <c r="H92" s="188" t="s">
        <v>1333</v>
      </c>
      <c r="I92" s="201"/>
      <c r="J92" s="188" t="s">
        <v>1324</v>
      </c>
      <c r="K92" s="189">
        <v>7</v>
      </c>
      <c r="L92" s="190">
        <v>162</v>
      </c>
      <c r="M92" s="202" t="s">
        <v>5</v>
      </c>
      <c r="N92" s="203" t="s">
        <v>1444</v>
      </c>
      <c r="O92" s="202"/>
      <c r="P92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93" spans="1:16" x14ac:dyDescent="0.25">
      <c r="A93" s="191" t="str">
        <f>IFERROR(VLOOKUP(Tableau1[Nom],Tableau5[],COLUMN(Tableau5[Definition du costing : DVC ou non DVC]),FALSE),"")</f>
        <v>DVC</v>
      </c>
      <c r="B93" s="197" t="str">
        <f>IFERROR(VLOOKUP(Tableau1[Nom],Tableau5[],COLUMN(Tableau5[Nom de la société]),FALSE),"")</f>
        <v>STG</v>
      </c>
      <c r="C93" s="198" t="str">
        <f>IFERROR(VLOOKUP(Tableau1[Nom],Tableau5[],COLUMN(Tableau5[Nom du manager]),FALSE),"")</f>
        <v>BUISSON</v>
      </c>
      <c r="D93" s="199">
        <f>IFERROR(VLOOKUP(Tableau1[Nom],Tableau5[],COLUMN(Tableau5[Matricule]),FALSE),"")</f>
        <v>332168</v>
      </c>
      <c r="E93" s="187" t="s">
        <v>974</v>
      </c>
      <c r="F93" s="199" t="str">
        <f>IFERROR(VLOOKUP(Tableau1[Nom],Tableau5[],COLUMN(Tableau5[Prénom]),FALSE),"")</f>
        <v>Sebastien</v>
      </c>
      <c r="G93" s="188" t="s">
        <v>9</v>
      </c>
      <c r="H93" s="188" t="s">
        <v>1323</v>
      </c>
      <c r="I93" s="189"/>
      <c r="J93" s="188" t="s">
        <v>1324</v>
      </c>
      <c r="K93" s="189">
        <v>7</v>
      </c>
      <c r="L93" s="190">
        <v>124</v>
      </c>
      <c r="M93" s="202" t="s">
        <v>5</v>
      </c>
      <c r="N93" s="203" t="s">
        <v>1444</v>
      </c>
      <c r="O93" s="195"/>
      <c r="P93" s="289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94" spans="1:16" x14ac:dyDescent="0.25">
      <c r="A94" s="197" t="str">
        <f>IFERROR(VLOOKUP(Tableau1[Nom],Tableau5[],COLUMN(Tableau5[Definition du costing : DVC ou non DVC]),FALSE),"")</f>
        <v>DVC</v>
      </c>
      <c r="B94" s="197" t="str">
        <f>IFERROR(VLOOKUP(Tableau1[Nom],Tableau5[],COLUMN(Tableau5[Nom de la société]),FALSE),"")</f>
        <v>STG</v>
      </c>
      <c r="C94" s="198" t="str">
        <f>IFERROR(VLOOKUP(Tableau1[Nom],Tableau5[],COLUMN(Tableau5[Nom du manager]),FALSE),"")</f>
        <v>BUISSON</v>
      </c>
      <c r="D94" s="199">
        <f>IFERROR(VLOOKUP(Tableau1[Nom],Tableau5[],COLUMN(Tableau5[Matricule]),FALSE),"")</f>
        <v>332168</v>
      </c>
      <c r="E94" s="200" t="s">
        <v>974</v>
      </c>
      <c r="F94" s="199" t="str">
        <f>IFERROR(VLOOKUP(Tableau1[Nom],Tableau5[],COLUMN(Tableau5[Prénom]),FALSE),"")</f>
        <v>Sebastien</v>
      </c>
      <c r="G94" s="188" t="s">
        <v>9</v>
      </c>
      <c r="H94" s="188" t="s">
        <v>1326</v>
      </c>
      <c r="I94" s="201"/>
      <c r="J94" s="188" t="s">
        <v>1324</v>
      </c>
      <c r="K94" s="189">
        <v>1.5</v>
      </c>
      <c r="L94" s="190">
        <v>53</v>
      </c>
      <c r="M94" s="202" t="s">
        <v>5</v>
      </c>
      <c r="N94" s="203" t="s">
        <v>1444</v>
      </c>
      <c r="O94" s="202"/>
      <c r="P94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95" spans="1:16" x14ac:dyDescent="0.25">
      <c r="A95" s="197" t="str">
        <f>IFERROR(VLOOKUP(Tableau1[Nom],Tableau5[],COLUMN(Tableau5[Definition du costing : DVC ou non DVC]),FALSE),"")</f>
        <v>DVC</v>
      </c>
      <c r="B95" s="197" t="str">
        <f>IFERROR(VLOOKUP(Tableau1[Nom],Tableau5[],COLUMN(Tableau5[Nom de la société]),FALSE),"")</f>
        <v>STG</v>
      </c>
      <c r="C95" s="198" t="str">
        <f>IFERROR(VLOOKUP(Tableau1[Nom],Tableau5[],COLUMN(Tableau5[Nom du manager]),FALSE),"")</f>
        <v>BUISSON</v>
      </c>
      <c r="D95" s="199">
        <f>IFERROR(VLOOKUP(Tableau1[Nom],Tableau5[],COLUMN(Tableau5[Matricule]),FALSE),"")</f>
        <v>332168</v>
      </c>
      <c r="E95" s="200" t="s">
        <v>974</v>
      </c>
      <c r="F95" s="199" t="str">
        <f>IFERROR(VLOOKUP(Tableau1[Nom],Tableau5[],COLUMN(Tableau5[Prénom]),FALSE),"")</f>
        <v>Sebastien</v>
      </c>
      <c r="G95" s="188" t="s">
        <v>9</v>
      </c>
      <c r="H95" s="188" t="s">
        <v>1346</v>
      </c>
      <c r="I95" s="201"/>
      <c r="J95" s="188" t="s">
        <v>1344</v>
      </c>
      <c r="K95" s="189">
        <v>10.5</v>
      </c>
      <c r="L95" s="190">
        <v>260</v>
      </c>
      <c r="M95" s="202" t="s">
        <v>5</v>
      </c>
      <c r="N95" s="203" t="s">
        <v>1444</v>
      </c>
      <c r="O95" s="202"/>
      <c r="P9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96" spans="1:16" x14ac:dyDescent="0.25">
      <c r="A96" s="191" t="str">
        <f>IFERROR(VLOOKUP(Tableau1[Nom],Tableau5[],COLUMN(Tableau5[Definition du costing : DVC ou non DVC]),FALSE),"")</f>
        <v>DVC</v>
      </c>
      <c r="B96" s="197" t="str">
        <f>IFERROR(VLOOKUP(Tableau1[Nom],Tableau5[],COLUMN(Tableau5[Nom de la société]),FALSE),"")</f>
        <v>Aub.</v>
      </c>
      <c r="C96" s="198" t="str">
        <f>IFERROR(VLOOKUP(Tableau1[Nom],Tableau5[],COLUMN(Tableau5[Nom du manager]),FALSE),"")</f>
        <v>SENEPART</v>
      </c>
      <c r="D96" s="199">
        <f>IFERROR(VLOOKUP(Tableau1[Nom],Tableau5[],COLUMN(Tableau5[Matricule]),FALSE),"")</f>
        <v>103064</v>
      </c>
      <c r="E96" s="192" t="s">
        <v>524</v>
      </c>
      <c r="F96" s="199" t="str">
        <f>IFERROR(VLOOKUP(Tableau1[Nom],Tableau5[],COLUMN(Tableau5[Prénom]),FALSE),"")</f>
        <v>Gisele</v>
      </c>
      <c r="G96" s="188" t="s">
        <v>9</v>
      </c>
      <c r="H96" s="188" t="s">
        <v>1323</v>
      </c>
      <c r="I96" s="193"/>
      <c r="J96" s="188" t="s">
        <v>1324</v>
      </c>
      <c r="K96" s="189">
        <v>7</v>
      </c>
      <c r="L96" s="190">
        <v>124</v>
      </c>
      <c r="M96" s="202" t="s">
        <v>5</v>
      </c>
      <c r="N96" s="203" t="s">
        <v>1444</v>
      </c>
      <c r="O96" s="196"/>
      <c r="P96" s="290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97" spans="1:16" x14ac:dyDescent="0.25">
      <c r="A97" s="197" t="str">
        <f>IFERROR(VLOOKUP(Tableau1[Nom],Tableau5[],COLUMN(Tableau5[Definition du costing : DVC ou non DVC]),FALSE),"")</f>
        <v>DVC</v>
      </c>
      <c r="B97" s="197" t="str">
        <f>IFERROR(VLOOKUP(Tableau1[Nom],Tableau5[],COLUMN(Tableau5[Nom de la société]),FALSE),"")</f>
        <v>Aub.</v>
      </c>
      <c r="C97" s="198" t="str">
        <f>IFERROR(VLOOKUP(Tableau1[Nom],Tableau5[],COLUMN(Tableau5[Nom du manager]),FALSE),"")</f>
        <v>SENEPART</v>
      </c>
      <c r="D97" s="199">
        <f>IFERROR(VLOOKUP(Tableau1[Nom],Tableau5[],COLUMN(Tableau5[Matricule]),FALSE),"")</f>
        <v>103064</v>
      </c>
      <c r="E97" s="200" t="s">
        <v>524</v>
      </c>
      <c r="F97" s="199" t="str">
        <f>IFERROR(VLOOKUP(Tableau1[Nom],Tableau5[],COLUMN(Tableau5[Prénom]),FALSE),"")</f>
        <v>Gisele</v>
      </c>
      <c r="G97" s="188" t="s">
        <v>9</v>
      </c>
      <c r="H97" s="188" t="s">
        <v>1326</v>
      </c>
      <c r="I97" s="201"/>
      <c r="J97" s="188" t="s">
        <v>1324</v>
      </c>
      <c r="K97" s="189">
        <v>1.5</v>
      </c>
      <c r="L97" s="190">
        <v>53</v>
      </c>
      <c r="M97" s="202" t="s">
        <v>5</v>
      </c>
      <c r="N97" s="203" t="s">
        <v>1444</v>
      </c>
      <c r="O97" s="202"/>
      <c r="P97" s="288">
        <f>IFERROR(INDEX(Tableau2[],MATCH(Tableau1[[#This Row],[Nom]]&amp;Tableau1[[#This Row],[Intitulé]],INDEX(Tableau2[],,COLUMN(Tableau2[Clé Recherche])),0),COLUMN(Tableau2[Calendrier de réalisation])),"")</f>
        <v>0</v>
      </c>
    </row>
    <row r="98" spans="1:16" x14ac:dyDescent="0.25">
      <c r="A98" s="191" t="str">
        <f>IFERROR(VLOOKUP(Tableau1[Nom],Tableau5[],COLUMN(Tableau5[Definition du costing : DVC ou non DVC]),FALSE),"")</f>
        <v>DVC</v>
      </c>
      <c r="B98" s="197" t="str">
        <f>IFERROR(VLOOKUP(Tableau1[Nom],Tableau5[],COLUMN(Tableau5[Nom de la société]),FALSE),"")</f>
        <v>STG</v>
      </c>
      <c r="C98" s="198" t="str">
        <f>IFERROR(VLOOKUP(Tableau1[Nom],Tableau5[],COLUMN(Tableau5[Nom du manager]),FALSE),"")</f>
        <v>XUEREB</v>
      </c>
      <c r="D98" s="199">
        <f>IFERROR(VLOOKUP(Tableau1[Nom],Tableau5[],COLUMN(Tableau5[Matricule]),FALSE),"")</f>
        <v>104710</v>
      </c>
      <c r="E98" s="187" t="s">
        <v>977</v>
      </c>
      <c r="F98" s="199" t="str">
        <f>IFERROR(VLOOKUP(Tableau1[Nom],Tableau5[],COLUMN(Tableau5[Prénom]),FALSE),"")</f>
        <v>Adriano</v>
      </c>
      <c r="G98" s="188" t="s">
        <v>9</v>
      </c>
      <c r="H98" s="188" t="s">
        <v>1323</v>
      </c>
      <c r="I98" s="189"/>
      <c r="J98" s="188" t="s">
        <v>1324</v>
      </c>
      <c r="K98" s="189">
        <v>7</v>
      </c>
      <c r="L98" s="190">
        <v>124</v>
      </c>
      <c r="M98" s="202" t="s">
        <v>5</v>
      </c>
      <c r="N98" s="203" t="s">
        <v>1444</v>
      </c>
      <c r="O98" s="195"/>
      <c r="P98" s="289">
        <f>IFERROR(INDEX(Tableau2[],MATCH(Tableau1[[#This Row],[Nom]]&amp;Tableau1[[#This Row],[Intitulé]],INDEX(Tableau2[],,COLUMN(Tableau2[Clé Recherche])),0),COLUMN(Tableau2[Calendrier de réalisation])),"")</f>
        <v>0</v>
      </c>
    </row>
    <row r="99" spans="1:16" x14ac:dyDescent="0.25">
      <c r="A99" s="197" t="str">
        <f>IFERROR(VLOOKUP(Tableau1[Nom],Tableau5[],COLUMN(Tableau5[Definition du costing : DVC ou non DVC]),FALSE),"")</f>
        <v>DVC</v>
      </c>
      <c r="B99" s="197" t="str">
        <f>IFERROR(VLOOKUP(Tableau1[Nom],Tableau5[],COLUMN(Tableau5[Nom de la société]),FALSE),"")</f>
        <v>STG</v>
      </c>
      <c r="C99" s="198" t="str">
        <f>IFERROR(VLOOKUP(Tableau1[Nom],Tableau5[],COLUMN(Tableau5[Nom du manager]),FALSE),"")</f>
        <v>XUEREB</v>
      </c>
      <c r="D99" s="199">
        <f>IFERROR(VLOOKUP(Tableau1[Nom],Tableau5[],COLUMN(Tableau5[Matricule]),FALSE),"")</f>
        <v>104710</v>
      </c>
      <c r="E99" s="192" t="s">
        <v>977</v>
      </c>
      <c r="F99" s="199" t="str">
        <f>IFERROR(VLOOKUP(Tableau1[Nom],Tableau5[],COLUMN(Tableau5[Prénom]),FALSE),"")</f>
        <v>Adriano</v>
      </c>
      <c r="G99" s="188" t="s">
        <v>9</v>
      </c>
      <c r="H99" s="188" t="s">
        <v>1339</v>
      </c>
      <c r="I99" s="201"/>
      <c r="J99" s="188" t="s">
        <v>1324</v>
      </c>
      <c r="K99" s="189">
        <v>7</v>
      </c>
      <c r="L99" s="190">
        <v>165</v>
      </c>
      <c r="M99" s="202" t="s">
        <v>5</v>
      </c>
      <c r="N99" s="203" t="s">
        <v>1444</v>
      </c>
      <c r="O99" s="202"/>
      <c r="P9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00" spans="1:16" x14ac:dyDescent="0.25">
      <c r="A100" s="197" t="str">
        <f>IFERROR(VLOOKUP(Tableau1[Nom],Tableau5[],COLUMN(Tableau5[Definition du costing : DVC ou non DVC]),FALSE),"")</f>
        <v>DVC</v>
      </c>
      <c r="B100" s="197" t="str">
        <f>IFERROR(VLOOKUP(Tableau1[Nom],Tableau5[],COLUMN(Tableau5[Nom de la société]),FALSE),"")</f>
        <v>Aub.</v>
      </c>
      <c r="C100" s="198" t="str">
        <f>IFERROR(VLOOKUP(Tableau1[Nom],Tableau5[],COLUMN(Tableau5[Nom du manager]),FALSE),"")</f>
        <v>ALIX</v>
      </c>
      <c r="D100" s="199">
        <f>IFERROR(VLOOKUP(Tableau1[Nom],Tableau5[],COLUMN(Tableau5[Matricule]),FALSE),"")</f>
        <v>102972</v>
      </c>
      <c r="E100" s="200" t="s">
        <v>528</v>
      </c>
      <c r="F100" s="199" t="str">
        <f>IFERROR(VLOOKUP(Tableau1[Nom],Tableau5[],COLUMN(Tableau5[Prénom]),FALSE),"")</f>
        <v>Jean-Louis</v>
      </c>
      <c r="G100" s="188" t="s">
        <v>9</v>
      </c>
      <c r="H100" s="188" t="s">
        <v>1323</v>
      </c>
      <c r="I100" s="201"/>
      <c r="J100" s="188" t="s">
        <v>1324</v>
      </c>
      <c r="K100" s="189">
        <v>7</v>
      </c>
      <c r="L100" s="190">
        <v>124</v>
      </c>
      <c r="M100" s="202" t="s">
        <v>5</v>
      </c>
      <c r="N100" s="203" t="s">
        <v>1444</v>
      </c>
      <c r="O100" s="202"/>
      <c r="P100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01" spans="1:16" x14ac:dyDescent="0.25">
      <c r="A101" s="197" t="str">
        <f>IFERROR(VLOOKUP(Tableau1[Nom],Tableau5[],COLUMN(Tableau5[Definition du costing : DVC ou non DVC]),FALSE),"")</f>
        <v>Non DVC</v>
      </c>
      <c r="B101" s="197" t="str">
        <f>IFERROR(VLOOKUP(Tableau1[Nom],Tableau5[],COLUMN(Tableau5[Nom de la société]),FALSE),"")</f>
        <v>Aub.</v>
      </c>
      <c r="C101" s="198" t="str">
        <f>IFERROR(VLOOKUP(Tableau1[Nom],Tableau5[],COLUMN(Tableau5[Nom du manager]),FALSE),"")</f>
        <v>DARDARE</v>
      </c>
      <c r="D101" s="199">
        <f>IFERROR(VLOOKUP(Tableau1[Nom],Tableau5[],COLUMN(Tableau5[Matricule]),FALSE),"")</f>
        <v>103034</v>
      </c>
      <c r="E101" s="200" t="s">
        <v>532</v>
      </c>
      <c r="F101" s="199" t="str">
        <f>IFERROR(VLOOKUP(Tableau1[Nom],Tableau5[],COLUMN(Tableau5[Prénom]),FALSE),"")</f>
        <v>Didier</v>
      </c>
      <c r="G101" s="188" t="s">
        <v>9</v>
      </c>
      <c r="H101" s="188" t="s">
        <v>1340</v>
      </c>
      <c r="I101" s="201"/>
      <c r="J101" s="188" t="s">
        <v>1341</v>
      </c>
      <c r="K101" s="189">
        <v>7</v>
      </c>
      <c r="L101" s="190">
        <v>117</v>
      </c>
      <c r="M101" s="202" t="s">
        <v>5</v>
      </c>
      <c r="N101" s="203" t="s">
        <v>1444</v>
      </c>
      <c r="O101" s="202"/>
      <c r="P10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02" spans="1:16" x14ac:dyDescent="0.25">
      <c r="A102" s="197" t="str">
        <f>IFERROR(VLOOKUP(Tableau1[Nom],Tableau5[],COLUMN(Tableau5[Definition du costing : DVC ou non DVC]),FALSE),"")</f>
        <v>DVC</v>
      </c>
      <c r="B102" s="197" t="str">
        <f>IFERROR(VLOOKUP(Tableau1[Nom],Tableau5[],COLUMN(Tableau5[Nom de la société]),FALSE),"")</f>
        <v>Aub.</v>
      </c>
      <c r="C102" s="198" t="str">
        <f>IFERROR(VLOOKUP(Tableau1[Nom],Tableau5[],COLUMN(Tableau5[Nom du manager]),FALSE),"")</f>
        <v>ALIX</v>
      </c>
      <c r="D102" s="199">
        <f>IFERROR(VLOOKUP(Tableau1[Nom],Tableau5[],COLUMN(Tableau5[Matricule]),FALSE),"")</f>
        <v>102894</v>
      </c>
      <c r="E102" s="200" t="s">
        <v>539</v>
      </c>
      <c r="F102" s="199" t="str">
        <f>IFERROR(VLOOKUP(Tableau1[Nom],Tableau5[],COLUMN(Tableau5[Prénom]),FALSE),"")</f>
        <v>Gerald</v>
      </c>
      <c r="G102" s="188" t="s">
        <v>9</v>
      </c>
      <c r="H102" s="188" t="s">
        <v>1323</v>
      </c>
      <c r="I102" s="201"/>
      <c r="J102" s="188" t="s">
        <v>1324</v>
      </c>
      <c r="K102" s="189">
        <v>7</v>
      </c>
      <c r="L102" s="190">
        <v>124</v>
      </c>
      <c r="M102" s="202" t="s">
        <v>5</v>
      </c>
      <c r="N102" s="203" t="s">
        <v>1444</v>
      </c>
      <c r="O102" s="202"/>
      <c r="P102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03" spans="1:16" x14ac:dyDescent="0.25">
      <c r="A103" s="197" t="str">
        <f>IFERROR(VLOOKUP(Tableau1[Nom],Tableau5[],COLUMN(Tableau5[Definition du costing : DVC ou non DVC]),FALSE),"")</f>
        <v>DVC</v>
      </c>
      <c r="B103" s="197" t="str">
        <f>IFERROR(VLOOKUP(Tableau1[Nom],Tableau5[],COLUMN(Tableau5[Nom de la société]),FALSE),"")</f>
        <v>Aub.</v>
      </c>
      <c r="C103" s="198" t="str">
        <f>IFERROR(VLOOKUP(Tableau1[Nom],Tableau5[],COLUMN(Tableau5[Nom du manager]),FALSE),"")</f>
        <v>ALIX</v>
      </c>
      <c r="D103" s="199">
        <f>IFERROR(VLOOKUP(Tableau1[Nom],Tableau5[],COLUMN(Tableau5[Matricule]),FALSE),"")</f>
        <v>102894</v>
      </c>
      <c r="E103" s="200" t="s">
        <v>539</v>
      </c>
      <c r="F103" s="199" t="str">
        <f>IFERROR(VLOOKUP(Tableau1[Nom],Tableau5[],COLUMN(Tableau5[Prénom]),FALSE),"")</f>
        <v>Gerald</v>
      </c>
      <c r="G103" s="188" t="s">
        <v>9</v>
      </c>
      <c r="H103" s="188" t="s">
        <v>1326</v>
      </c>
      <c r="I103" s="201"/>
      <c r="J103" s="188" t="s">
        <v>1324</v>
      </c>
      <c r="K103" s="189">
        <v>1.5</v>
      </c>
      <c r="L103" s="190">
        <v>53</v>
      </c>
      <c r="M103" s="202" t="s">
        <v>5</v>
      </c>
      <c r="N103" s="203" t="s">
        <v>1444</v>
      </c>
      <c r="O103" s="202"/>
      <c r="P10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04" spans="1:16" x14ac:dyDescent="0.25">
      <c r="A104" s="197" t="str">
        <f>IFERROR(VLOOKUP(Tableau1[Nom],Tableau5[],COLUMN(Tableau5[Definition du costing : DVC ou non DVC]),FALSE),"")</f>
        <v>Non DVC</v>
      </c>
      <c r="B104" s="197" t="str">
        <f>IFERROR(VLOOKUP(Tableau1[Nom],Tableau5[],COLUMN(Tableau5[Nom de la société]),FALSE),"")</f>
        <v>Aub.</v>
      </c>
      <c r="C104" s="198" t="str">
        <f>IFERROR(VLOOKUP(Tableau1[Nom],Tableau5[],COLUMN(Tableau5[Nom du manager]),FALSE),"")</f>
        <v>CHATAIGNER</v>
      </c>
      <c r="D104" s="199">
        <f>IFERROR(VLOOKUP(Tableau1[Nom],Tableau5[],COLUMN(Tableau5[Matricule]),FALSE),"")</f>
        <v>11655</v>
      </c>
      <c r="E104" s="200" t="s">
        <v>493</v>
      </c>
      <c r="F104" s="199" t="str">
        <f>IFERROR(VLOOKUP(Tableau1[Nom],Tableau5[],COLUMN(Tableau5[Prénom]),FALSE),"")</f>
        <v>Olivier</v>
      </c>
      <c r="G104" s="188" t="s">
        <v>9</v>
      </c>
      <c r="H104" s="188" t="s">
        <v>1326</v>
      </c>
      <c r="I104" s="201"/>
      <c r="J104" s="188" t="s">
        <v>1324</v>
      </c>
      <c r="K104" s="189">
        <v>1.5</v>
      </c>
      <c r="L104" s="190">
        <v>53</v>
      </c>
      <c r="M104" s="202" t="s">
        <v>5</v>
      </c>
      <c r="N104" s="203" t="s">
        <v>1444</v>
      </c>
      <c r="O104" s="202"/>
      <c r="P104" s="288">
        <f>IFERROR(INDEX(Tableau2[],MATCH(Tableau1[[#This Row],[Nom]]&amp;Tableau1[[#This Row],[Intitulé]],INDEX(Tableau2[],,COLUMN(Tableau2[Clé Recherche])),0),COLUMN(Tableau2[Calendrier de réalisation])),"")</f>
        <v>0</v>
      </c>
    </row>
    <row r="105" spans="1:16" x14ac:dyDescent="0.25">
      <c r="A105" s="197" t="str">
        <f>IFERROR(VLOOKUP(Tableau1[Nom],Tableau5[],COLUMN(Tableau5[Definition du costing : DVC ou non DVC]),FALSE),"")</f>
        <v>DVC</v>
      </c>
      <c r="B105" s="197" t="str">
        <f>IFERROR(VLOOKUP(Tableau1[Nom],Tableau5[],COLUMN(Tableau5[Nom de la société]),FALSE),"")</f>
        <v>STG</v>
      </c>
      <c r="C105" s="198" t="str">
        <f>IFERROR(VLOOKUP(Tableau1[Nom],Tableau5[],COLUMN(Tableau5[Nom du manager]),FALSE),"")</f>
        <v>XUEREB</v>
      </c>
      <c r="D105" s="199">
        <f>IFERROR(VLOOKUP(Tableau1[Nom],Tableau5[],COLUMN(Tableau5[Matricule]),FALSE),"")</f>
        <v>10555317</v>
      </c>
      <c r="E105" s="192" t="s">
        <v>991</v>
      </c>
      <c r="F105" s="199" t="str">
        <f>IFERROR(VLOOKUP(Tableau1[Nom],Tableau5[],COLUMN(Tableau5[Prénom]),FALSE),"")</f>
        <v>Brahim</v>
      </c>
      <c r="G105" s="188" t="s">
        <v>9</v>
      </c>
      <c r="H105" s="188" t="s">
        <v>1326</v>
      </c>
      <c r="I105" s="201"/>
      <c r="J105" s="188" t="s">
        <v>1324</v>
      </c>
      <c r="K105" s="189">
        <v>1.5</v>
      </c>
      <c r="L105" s="190">
        <v>53</v>
      </c>
      <c r="M105" s="202" t="s">
        <v>5</v>
      </c>
      <c r="N105" s="203" t="s">
        <v>1444</v>
      </c>
      <c r="O105" s="202"/>
      <c r="P105" s="288">
        <f>IFERROR(INDEX(Tableau2[],MATCH(Tableau1[[#This Row],[Nom]]&amp;Tableau1[[#This Row],[Intitulé]],INDEX(Tableau2[],,COLUMN(Tableau2[Clé Recherche])),0),COLUMN(Tableau2[Calendrier de réalisation])),"")</f>
        <v>0</v>
      </c>
    </row>
    <row r="106" spans="1:16" x14ac:dyDescent="0.25">
      <c r="A106" s="197" t="str">
        <f>IFERROR(VLOOKUP(Tableau1[Nom],Tableau5[],COLUMN(Tableau5[Definition du costing : DVC ou non DVC]),FALSE),"")</f>
        <v>Non DVC</v>
      </c>
      <c r="B106" s="197" t="str">
        <f>IFERROR(VLOOKUP(Tableau1[Nom],Tableau5[],COLUMN(Tableau5[Nom de la société]),FALSE),"")</f>
        <v>Aub.</v>
      </c>
      <c r="C106" s="198" t="str">
        <f>IFERROR(VLOOKUP(Tableau1[Nom],Tableau5[],COLUMN(Tableau5[Nom du manager]),FALSE),"")</f>
        <v>DARDARE</v>
      </c>
      <c r="D106" s="199">
        <f>IFERROR(VLOOKUP(Tableau1[Nom],Tableau5[],COLUMN(Tableau5[Matricule]),FALSE),"")</f>
        <v>68142</v>
      </c>
      <c r="E106" s="200" t="s">
        <v>568</v>
      </c>
      <c r="F106" s="199" t="str">
        <f>IFERROR(VLOOKUP(Tableau1[Nom],Tableau5[],COLUMN(Tableau5[Prénom]),FALSE),"")</f>
        <v>Nicolas</v>
      </c>
      <c r="G106" s="188" t="s">
        <v>9</v>
      </c>
      <c r="H106" s="188" t="s">
        <v>1326</v>
      </c>
      <c r="I106" s="201"/>
      <c r="J106" s="188" t="s">
        <v>1324</v>
      </c>
      <c r="K106" s="189">
        <v>1.5</v>
      </c>
      <c r="L106" s="190">
        <v>53</v>
      </c>
      <c r="M106" s="202" t="s">
        <v>5</v>
      </c>
      <c r="N106" s="203" t="s">
        <v>1444</v>
      </c>
      <c r="O106" s="202"/>
      <c r="P106" s="288">
        <f>IFERROR(INDEX(Tableau2[],MATCH(Tableau1[[#This Row],[Nom]]&amp;Tableau1[[#This Row],[Intitulé]],INDEX(Tableau2[],,COLUMN(Tableau2[Clé Recherche])),0),COLUMN(Tableau2[Calendrier de réalisation])),"")</f>
        <v>0</v>
      </c>
    </row>
    <row r="107" spans="1:16" x14ac:dyDescent="0.25">
      <c r="A107" s="197" t="str">
        <f>IFERROR(VLOOKUP(Tableau1[Nom],Tableau5[],COLUMN(Tableau5[Definition du costing : DVC ou non DVC]),FALSE),"")</f>
        <v>Non DVC</v>
      </c>
      <c r="B107" s="197" t="str">
        <f>IFERROR(VLOOKUP(Tableau1[Nom],Tableau5[],COLUMN(Tableau5[Nom de la société]),FALSE),"")</f>
        <v>Aub.</v>
      </c>
      <c r="C107" s="198" t="str">
        <f>IFERROR(VLOOKUP(Tableau1[Nom],Tableau5[],COLUMN(Tableau5[Nom du manager]),FALSE),"")</f>
        <v>DARDARE</v>
      </c>
      <c r="D107" s="199">
        <f>IFERROR(VLOOKUP(Tableau1[Nom],Tableau5[],COLUMN(Tableau5[Matricule]),FALSE),"")</f>
        <v>68142</v>
      </c>
      <c r="E107" s="200" t="s">
        <v>568</v>
      </c>
      <c r="F107" s="199" t="str">
        <f>IFERROR(VLOOKUP(Tableau1[Nom],Tableau5[],COLUMN(Tableau5[Prénom]),FALSE),"")</f>
        <v>Nicolas</v>
      </c>
      <c r="G107" s="188" t="s">
        <v>9</v>
      </c>
      <c r="H107" s="188" t="s">
        <v>1340</v>
      </c>
      <c r="I107" s="201"/>
      <c r="J107" s="188" t="s">
        <v>1341</v>
      </c>
      <c r="K107" s="189">
        <v>7</v>
      </c>
      <c r="L107" s="190">
        <v>117</v>
      </c>
      <c r="M107" s="202" t="s">
        <v>5</v>
      </c>
      <c r="N107" s="203" t="s">
        <v>1444</v>
      </c>
      <c r="O107" s="202"/>
      <c r="P10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08" spans="1:16" x14ac:dyDescent="0.25">
      <c r="A108" s="197" t="str">
        <f>IFERROR(VLOOKUP(Tableau1[Nom],Tableau5[],COLUMN(Tableau5[Definition du costing : DVC ou non DVC]),FALSE),"")</f>
        <v>DVC</v>
      </c>
      <c r="B108" s="197" t="str">
        <f>IFERROR(VLOOKUP(Tableau1[Nom],Tableau5[],COLUMN(Tableau5[Nom de la société]),FALSE),"")</f>
        <v>Aub.</v>
      </c>
      <c r="C108" s="198" t="str">
        <f>IFERROR(VLOOKUP(Tableau1[Nom],Tableau5[],COLUMN(Tableau5[Nom du manager]),FALSE),"")</f>
        <v>SAVY</v>
      </c>
      <c r="D108" s="199">
        <f>IFERROR(VLOOKUP(Tableau1[Nom],Tableau5[],COLUMN(Tableau5[Matricule]),FALSE),"")</f>
        <v>103003</v>
      </c>
      <c r="E108" s="200" t="s">
        <v>575</v>
      </c>
      <c r="F108" s="199" t="str">
        <f>IFERROR(VLOOKUP(Tableau1[Nom],Tableau5[],COLUMN(Tableau5[Prénom]),FALSE),"")</f>
        <v>Remi</v>
      </c>
      <c r="G108" s="188" t="s">
        <v>9</v>
      </c>
      <c r="H108" s="188" t="s">
        <v>1323</v>
      </c>
      <c r="I108" s="201"/>
      <c r="J108" s="188" t="s">
        <v>1324</v>
      </c>
      <c r="K108" s="189">
        <v>7</v>
      </c>
      <c r="L108" s="190">
        <v>124</v>
      </c>
      <c r="M108" s="202" t="s">
        <v>5</v>
      </c>
      <c r="N108" s="203" t="s">
        <v>1444</v>
      </c>
      <c r="O108" s="202"/>
      <c r="P10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09" spans="1:16" x14ac:dyDescent="0.25">
      <c r="A109" s="197" t="str">
        <f>IFERROR(VLOOKUP(Tableau1[Nom],Tableau5[],COLUMN(Tableau5[Definition du costing : DVC ou non DVC]),FALSE),"")</f>
        <v>DVC</v>
      </c>
      <c r="B109" s="197" t="str">
        <f>IFERROR(VLOOKUP(Tableau1[Nom],Tableau5[],COLUMN(Tableau5[Nom de la société]),FALSE),"")</f>
        <v>Aub.</v>
      </c>
      <c r="C109" s="198" t="str">
        <f>IFERROR(VLOOKUP(Tableau1[Nom],Tableau5[],COLUMN(Tableau5[Nom du manager]),FALSE),"")</f>
        <v>SAVY</v>
      </c>
      <c r="D109" s="199">
        <f>IFERROR(VLOOKUP(Tableau1[Nom],Tableau5[],COLUMN(Tableau5[Matricule]),FALSE),"")</f>
        <v>103003</v>
      </c>
      <c r="E109" s="200" t="s">
        <v>575</v>
      </c>
      <c r="F109" s="199" t="str">
        <f>IFERROR(VLOOKUP(Tableau1[Nom],Tableau5[],COLUMN(Tableau5[Prénom]),FALSE),"")</f>
        <v>Remi</v>
      </c>
      <c r="G109" s="188" t="s">
        <v>9</v>
      </c>
      <c r="H109" s="188" t="s">
        <v>1326</v>
      </c>
      <c r="I109" s="201"/>
      <c r="J109" s="188" t="s">
        <v>1324</v>
      </c>
      <c r="K109" s="189">
        <v>1.5</v>
      </c>
      <c r="L109" s="190">
        <v>53</v>
      </c>
      <c r="M109" s="202" t="s">
        <v>5</v>
      </c>
      <c r="N109" s="203" t="s">
        <v>1444</v>
      </c>
      <c r="O109" s="202"/>
      <c r="P10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10" spans="1:16" x14ac:dyDescent="0.25">
      <c r="A110" s="197" t="str">
        <f>IFERROR(VLOOKUP(Tableau1[Nom],Tableau5[],COLUMN(Tableau5[Definition du costing : DVC ou non DVC]),FALSE),"")</f>
        <v>DVC</v>
      </c>
      <c r="B110" s="197" t="str">
        <f>IFERROR(VLOOKUP(Tableau1[Nom],Tableau5[],COLUMN(Tableau5[Nom de la société]),FALSE),"")</f>
        <v>Aub.</v>
      </c>
      <c r="C110" s="198" t="str">
        <f>IFERROR(VLOOKUP(Tableau1[Nom],Tableau5[],COLUMN(Tableau5[Nom du manager]),FALSE),"")</f>
        <v>SAVY</v>
      </c>
      <c r="D110" s="199">
        <f>IFERROR(VLOOKUP(Tableau1[Nom],Tableau5[],COLUMN(Tableau5[Matricule]),FALSE),"")</f>
        <v>103003</v>
      </c>
      <c r="E110" s="200" t="s">
        <v>575</v>
      </c>
      <c r="F110" s="199" t="str">
        <f>IFERROR(VLOOKUP(Tableau1[Nom],Tableau5[],COLUMN(Tableau5[Prénom]),FALSE),"")</f>
        <v>Remi</v>
      </c>
      <c r="G110" s="188" t="s">
        <v>9</v>
      </c>
      <c r="H110" s="188" t="s">
        <v>1333</v>
      </c>
      <c r="I110" s="201"/>
      <c r="J110" s="188" t="s">
        <v>1324</v>
      </c>
      <c r="K110" s="189">
        <v>7</v>
      </c>
      <c r="L110" s="190">
        <v>162</v>
      </c>
      <c r="M110" s="202" t="s">
        <v>5</v>
      </c>
      <c r="N110" s="203" t="s">
        <v>1444</v>
      </c>
      <c r="O110" s="202"/>
      <c r="P110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11" spans="1:16" x14ac:dyDescent="0.25">
      <c r="A111" s="197" t="str">
        <f>IFERROR(VLOOKUP(Tableau1[Nom],Tableau5[],COLUMN(Tableau5[Definition du costing : DVC ou non DVC]),FALSE),"")</f>
        <v>DVC</v>
      </c>
      <c r="B111" s="197" t="str">
        <f>IFERROR(VLOOKUP(Tableau1[Nom],Tableau5[],COLUMN(Tableau5[Nom de la société]),FALSE),"")</f>
        <v>Aub.</v>
      </c>
      <c r="C111" s="198" t="str">
        <f>IFERROR(VLOOKUP(Tableau1[Nom],Tableau5[],COLUMN(Tableau5[Nom du manager]),FALSE),"")</f>
        <v>SAVY</v>
      </c>
      <c r="D111" s="199">
        <f>IFERROR(VLOOKUP(Tableau1[Nom],Tableau5[],COLUMN(Tableau5[Matricule]),FALSE),"")</f>
        <v>103003</v>
      </c>
      <c r="E111" s="200" t="s">
        <v>575</v>
      </c>
      <c r="F111" s="199" t="str">
        <f>IFERROR(VLOOKUP(Tableau1[Nom],Tableau5[],COLUMN(Tableau5[Prénom]),FALSE),"")</f>
        <v>Remi</v>
      </c>
      <c r="G111" s="188" t="s">
        <v>9</v>
      </c>
      <c r="H111" s="188" t="s">
        <v>1338</v>
      </c>
      <c r="I111" s="201"/>
      <c r="J111" s="188" t="s">
        <v>1324</v>
      </c>
      <c r="K111" s="189">
        <v>14</v>
      </c>
      <c r="L111" s="190">
        <v>297</v>
      </c>
      <c r="M111" s="202" t="s">
        <v>5</v>
      </c>
      <c r="N111" s="203" t="s">
        <v>1444</v>
      </c>
      <c r="O111" s="202"/>
      <c r="P111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12" spans="1:16" x14ac:dyDescent="0.25">
      <c r="A112" s="197" t="str">
        <f>IFERROR(VLOOKUP(Tableau1[Nom],Tableau5[],COLUMN(Tableau5[Definition du costing : DVC ou non DVC]),FALSE),"")</f>
        <v>Non DVC</v>
      </c>
      <c r="B112" s="197" t="str">
        <f>IFERROR(VLOOKUP(Tableau1[Nom],Tableau5[],COLUMN(Tableau5[Nom de la société]),FALSE),"")</f>
        <v>Aub.</v>
      </c>
      <c r="C112" s="198" t="str">
        <f>IFERROR(VLOOKUP(Tableau1[Nom],Tableau5[],COLUMN(Tableau5[Nom du manager]),FALSE),"")</f>
        <v>FELDER</v>
      </c>
      <c r="D112" s="199">
        <f>IFERROR(VLOOKUP(Tableau1[Nom],Tableau5[],COLUMN(Tableau5[Matricule]),FALSE),"")</f>
        <v>103074</v>
      </c>
      <c r="E112" s="200" t="s">
        <v>579</v>
      </c>
      <c r="F112" s="199" t="str">
        <f>IFERROR(VLOOKUP(Tableau1[Nom],Tableau5[],COLUMN(Tableau5[Prénom]),FALSE),"")</f>
        <v>Gilles</v>
      </c>
      <c r="G112" s="188" t="s">
        <v>9</v>
      </c>
      <c r="H112" s="188" t="s">
        <v>1323</v>
      </c>
      <c r="I112" s="201"/>
      <c r="J112" s="188" t="s">
        <v>1324</v>
      </c>
      <c r="K112" s="189">
        <v>7</v>
      </c>
      <c r="L112" s="190">
        <v>124</v>
      </c>
      <c r="M112" s="202" t="s">
        <v>5</v>
      </c>
      <c r="N112" s="203" t="s">
        <v>1444</v>
      </c>
      <c r="O112" s="202"/>
      <c r="P112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13" spans="1:16" x14ac:dyDescent="0.25">
      <c r="A113" s="197" t="str">
        <f>IFERROR(VLOOKUP(Tableau1[Nom],Tableau5[],COLUMN(Tableau5[Definition du costing : DVC ou non DVC]),FALSE),"")</f>
        <v>DVC</v>
      </c>
      <c r="B113" s="197" t="str">
        <f>IFERROR(VLOOKUP(Tableau1[Nom],Tableau5[],COLUMN(Tableau5[Nom de la société]),FALSE),"")</f>
        <v>Aub.</v>
      </c>
      <c r="C113" s="198" t="str">
        <f>IFERROR(VLOOKUP(Tableau1[Nom],Tableau5[],COLUMN(Tableau5[Nom du manager]),FALSE),"")</f>
        <v>SENEPART</v>
      </c>
      <c r="D113" s="199">
        <f>IFERROR(VLOOKUP(Tableau1[Nom],Tableau5[],COLUMN(Tableau5[Matricule]),FALSE),"")</f>
        <v>102984</v>
      </c>
      <c r="E113" s="200" t="s">
        <v>583</v>
      </c>
      <c r="F113" s="199" t="str">
        <f>IFERROR(VLOOKUP(Tableau1[Nom],Tableau5[],COLUMN(Tableau5[Prénom]),FALSE),"")</f>
        <v>Jerome</v>
      </c>
      <c r="G113" s="188" t="s">
        <v>9</v>
      </c>
      <c r="H113" s="188" t="s">
        <v>1326</v>
      </c>
      <c r="I113" s="201"/>
      <c r="J113" s="188" t="s">
        <v>1324</v>
      </c>
      <c r="K113" s="189">
        <v>1.5</v>
      </c>
      <c r="L113" s="190">
        <v>53</v>
      </c>
      <c r="M113" s="202" t="s">
        <v>5</v>
      </c>
      <c r="N113" s="203" t="s">
        <v>1444</v>
      </c>
      <c r="O113" s="202"/>
      <c r="P11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14" spans="1:16" x14ac:dyDescent="0.25">
      <c r="A114" s="197" t="str">
        <f>IFERROR(VLOOKUP(Tableau1[Nom],Tableau5[],COLUMN(Tableau5[Definition du costing : DVC ou non DVC]),FALSE),"")</f>
        <v>DVC</v>
      </c>
      <c r="B114" s="197" t="str">
        <f>IFERROR(VLOOKUP(Tableau1[Nom],Tableau5[],COLUMN(Tableau5[Nom de la société]),FALSE),"")</f>
        <v>Aub.</v>
      </c>
      <c r="C114" s="198" t="str">
        <f>IFERROR(VLOOKUP(Tableau1[Nom],Tableau5[],COLUMN(Tableau5[Nom du manager]),FALSE),"")</f>
        <v>SENEPART</v>
      </c>
      <c r="D114" s="199">
        <f>IFERROR(VLOOKUP(Tableau1[Nom],Tableau5[],COLUMN(Tableau5[Matricule]),FALSE),"")</f>
        <v>102984</v>
      </c>
      <c r="E114" s="200" t="s">
        <v>583</v>
      </c>
      <c r="F114" s="199" t="str">
        <f>IFERROR(VLOOKUP(Tableau1[Nom],Tableau5[],COLUMN(Tableau5[Prénom]),FALSE),"")</f>
        <v>Jerome</v>
      </c>
      <c r="G114" s="188" t="s">
        <v>9</v>
      </c>
      <c r="H114" s="188" t="s">
        <v>1340</v>
      </c>
      <c r="I114" s="201"/>
      <c r="J114" s="188" t="s">
        <v>1341</v>
      </c>
      <c r="K114" s="189">
        <v>7</v>
      </c>
      <c r="L114" s="190">
        <v>117</v>
      </c>
      <c r="M114" s="202" t="s">
        <v>5</v>
      </c>
      <c r="N114" s="203" t="s">
        <v>1444</v>
      </c>
      <c r="O114" s="202"/>
      <c r="P11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15" spans="1:16" x14ac:dyDescent="0.25">
      <c r="A115" s="197" t="str">
        <f>IFERROR(VLOOKUP(Tableau1[Nom],Tableau5[],COLUMN(Tableau5[Definition du costing : DVC ou non DVC]),FALSE),"")</f>
        <v>DVC</v>
      </c>
      <c r="B115" s="197" t="str">
        <f>IFERROR(VLOOKUP(Tableau1[Nom],Tableau5[],COLUMN(Tableau5[Nom de la société]),FALSE),"")</f>
        <v>Aub.</v>
      </c>
      <c r="C115" s="198" t="str">
        <f>IFERROR(VLOOKUP(Tableau1[Nom],Tableau5[],COLUMN(Tableau5[Nom du manager]),FALSE),"")</f>
        <v>ALIX</v>
      </c>
      <c r="D115" s="199">
        <f>IFERROR(VLOOKUP(Tableau1[Nom],Tableau5[],COLUMN(Tableau5[Matricule]),FALSE),"")</f>
        <v>102981</v>
      </c>
      <c r="E115" s="200" t="s">
        <v>587</v>
      </c>
      <c r="F115" s="199" t="str">
        <f>IFERROR(VLOOKUP(Tableau1[Nom],Tableau5[],COLUMN(Tableau5[Prénom]),FALSE),"")</f>
        <v>Guy</v>
      </c>
      <c r="G115" s="188" t="s">
        <v>9</v>
      </c>
      <c r="H115" s="188" t="s">
        <v>1326</v>
      </c>
      <c r="I115" s="201"/>
      <c r="J115" s="188" t="s">
        <v>1324</v>
      </c>
      <c r="K115" s="189">
        <v>1.5</v>
      </c>
      <c r="L115" s="190">
        <v>53</v>
      </c>
      <c r="M115" s="202" t="s">
        <v>5</v>
      </c>
      <c r="N115" s="203" t="s">
        <v>1444</v>
      </c>
      <c r="O115" s="202"/>
      <c r="P115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16" spans="1:16" x14ac:dyDescent="0.25">
      <c r="A116" s="197" t="str">
        <f>IFERROR(VLOOKUP(Tableau1[Nom],Tableau5[],COLUMN(Tableau5[Definition du costing : DVC ou non DVC]),FALSE),"")</f>
        <v>DVC</v>
      </c>
      <c r="B116" s="197" t="str">
        <f>IFERROR(VLOOKUP(Tableau1[Nom],Tableau5[],COLUMN(Tableau5[Nom de la société]),FALSE),"")</f>
        <v>Aub.</v>
      </c>
      <c r="C116" s="198" t="str">
        <f>IFERROR(VLOOKUP(Tableau1[Nom],Tableau5[],COLUMN(Tableau5[Nom du manager]),FALSE),"")</f>
        <v>ALIX</v>
      </c>
      <c r="D116" s="199">
        <f>IFERROR(VLOOKUP(Tableau1[Nom],Tableau5[],COLUMN(Tableau5[Matricule]),FALSE),"")</f>
        <v>102981</v>
      </c>
      <c r="E116" s="200" t="s">
        <v>587</v>
      </c>
      <c r="F116" s="199" t="str">
        <f>IFERROR(VLOOKUP(Tableau1[Nom],Tableau5[],COLUMN(Tableau5[Prénom]),FALSE),"")</f>
        <v>Guy</v>
      </c>
      <c r="G116" s="188" t="s">
        <v>9</v>
      </c>
      <c r="H116" s="188" t="s">
        <v>1340</v>
      </c>
      <c r="I116" s="201"/>
      <c r="J116" s="188" t="s">
        <v>1341</v>
      </c>
      <c r="K116" s="189">
        <v>7</v>
      </c>
      <c r="L116" s="190">
        <v>117</v>
      </c>
      <c r="M116" s="202" t="s">
        <v>5</v>
      </c>
      <c r="N116" s="203" t="s">
        <v>1444</v>
      </c>
      <c r="O116" s="202"/>
      <c r="P11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17" spans="1:16" x14ac:dyDescent="0.25">
      <c r="A117" s="197" t="str">
        <f>IFERROR(VLOOKUP(Tableau1[Nom],Tableau5[],COLUMN(Tableau5[Definition du costing : DVC ou non DVC]),FALSE),"")</f>
        <v>DVC</v>
      </c>
      <c r="B117" s="197" t="str">
        <f>IFERROR(VLOOKUP(Tableau1[Nom],Tableau5[],COLUMN(Tableau5[Nom de la société]),FALSE),"")</f>
        <v>Aub.</v>
      </c>
      <c r="C117" s="198" t="str">
        <f>IFERROR(VLOOKUP(Tableau1[Nom],Tableau5[],COLUMN(Tableau5[Nom du manager]),FALSE),"")</f>
        <v>ALIX</v>
      </c>
      <c r="D117" s="199">
        <f>IFERROR(VLOOKUP(Tableau1[Nom],Tableau5[],COLUMN(Tableau5[Matricule]),FALSE),"")</f>
        <v>102981</v>
      </c>
      <c r="E117" s="200" t="s">
        <v>587</v>
      </c>
      <c r="F117" s="199" t="str">
        <f>IFERROR(VLOOKUP(Tableau1[Nom],Tableau5[],COLUMN(Tableau5[Prénom]),FALSE),"")</f>
        <v>Guy</v>
      </c>
      <c r="G117" s="188" t="s">
        <v>9</v>
      </c>
      <c r="H117" s="188" t="s">
        <v>1346</v>
      </c>
      <c r="I117" s="201"/>
      <c r="J117" s="188" t="s">
        <v>1344</v>
      </c>
      <c r="K117" s="189">
        <v>10.5</v>
      </c>
      <c r="L117" s="190">
        <v>260</v>
      </c>
      <c r="M117" s="202" t="s">
        <v>5</v>
      </c>
      <c r="N117" s="203" t="s">
        <v>1444</v>
      </c>
      <c r="O117" s="202"/>
      <c r="P11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18" spans="1:16" x14ac:dyDescent="0.25">
      <c r="A118" s="197" t="str">
        <f>IFERROR(VLOOKUP(Tableau1[Nom],Tableau5[],COLUMN(Tableau5[Definition du costing : DVC ou non DVC]),FALSE),"")</f>
        <v>Non DVC</v>
      </c>
      <c r="B118" s="197" t="str">
        <f>IFERROR(VLOOKUP(Tableau1[Nom],Tableau5[],COLUMN(Tableau5[Nom de la société]),FALSE),"")</f>
        <v>Aub.</v>
      </c>
      <c r="C118" s="198" t="str">
        <f>IFERROR(VLOOKUP(Tableau1[Nom],Tableau5[],COLUMN(Tableau5[Nom du manager]),FALSE),"")</f>
        <v>DARDARE</v>
      </c>
      <c r="D118" s="199">
        <f>IFERROR(VLOOKUP(Tableau1[Nom],Tableau5[],COLUMN(Tableau5[Matricule]),FALSE),"")</f>
        <v>102983</v>
      </c>
      <c r="E118" s="200" t="s">
        <v>591</v>
      </c>
      <c r="F118" s="199" t="str">
        <f>IFERROR(VLOOKUP(Tableau1[Nom],Tableau5[],COLUMN(Tableau5[Prénom]),FALSE),"")</f>
        <v>Michel</v>
      </c>
      <c r="G118" s="188" t="s">
        <v>9</v>
      </c>
      <c r="H118" s="188" t="s">
        <v>1326</v>
      </c>
      <c r="I118" s="201"/>
      <c r="J118" s="188" t="s">
        <v>1324</v>
      </c>
      <c r="K118" s="189">
        <v>1.5</v>
      </c>
      <c r="L118" s="190">
        <v>53</v>
      </c>
      <c r="M118" s="202" t="s">
        <v>5</v>
      </c>
      <c r="N118" s="203" t="s">
        <v>1444</v>
      </c>
      <c r="O118" s="202"/>
      <c r="P118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19" spans="1:16" x14ac:dyDescent="0.25">
      <c r="A119" s="197" t="str">
        <f>IFERROR(VLOOKUP(Tableau1[Nom],Tableau5[],COLUMN(Tableau5[Definition du costing : DVC ou non DVC]),FALSE),"")</f>
        <v>Non DVC</v>
      </c>
      <c r="B119" s="197" t="str">
        <f>IFERROR(VLOOKUP(Tableau1[Nom],Tableau5[],COLUMN(Tableau5[Nom de la société]),FALSE),"")</f>
        <v>Aub.</v>
      </c>
      <c r="C119" s="198" t="str">
        <f>IFERROR(VLOOKUP(Tableau1[Nom],Tableau5[],COLUMN(Tableau5[Nom du manager]),FALSE),"")</f>
        <v>DARDARE</v>
      </c>
      <c r="D119" s="199">
        <f>IFERROR(VLOOKUP(Tableau1[Nom],Tableau5[],COLUMN(Tableau5[Matricule]),FALSE),"")</f>
        <v>102983</v>
      </c>
      <c r="E119" s="200" t="s">
        <v>591</v>
      </c>
      <c r="F119" s="199" t="str">
        <f>IFERROR(VLOOKUP(Tableau1[Nom],Tableau5[],COLUMN(Tableau5[Prénom]),FALSE),"")</f>
        <v>Michel</v>
      </c>
      <c r="G119" s="188" t="s">
        <v>9</v>
      </c>
      <c r="H119" s="188" t="s">
        <v>1346</v>
      </c>
      <c r="I119" s="201"/>
      <c r="J119" s="188" t="s">
        <v>1344</v>
      </c>
      <c r="K119" s="189">
        <v>10.5</v>
      </c>
      <c r="L119" s="190">
        <v>260</v>
      </c>
      <c r="M119" s="202" t="s">
        <v>5</v>
      </c>
      <c r="N119" s="203" t="s">
        <v>1444</v>
      </c>
      <c r="O119" s="202"/>
      <c r="P11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20" spans="1:16" x14ac:dyDescent="0.25">
      <c r="A120" s="197" t="str">
        <f>IFERROR(VLOOKUP(Tableau1[Nom],Tableau5[],COLUMN(Tableau5[Definition du costing : DVC ou non DVC]),FALSE),"")</f>
        <v>DVC</v>
      </c>
      <c r="B120" s="197" t="str">
        <f>IFERROR(VLOOKUP(Tableau1[Nom],Tableau5[],COLUMN(Tableau5[Nom de la société]),FALSE),"")</f>
        <v>Lattes</v>
      </c>
      <c r="C120" s="198" t="str">
        <f>IFERROR(VLOOKUP(Tableau1[Nom],Tableau5[],COLUMN(Tableau5[Nom du manager]),FALSE),"")</f>
        <v>VERNE</v>
      </c>
      <c r="D120" s="199">
        <f>IFERROR(VLOOKUP(Tableau1[Nom],Tableau5[],COLUMN(Tableau5[Matricule]),FALSE),"")</f>
        <v>191667</v>
      </c>
      <c r="E120" s="200" t="s">
        <v>1107</v>
      </c>
      <c r="F120" s="199" t="str">
        <f>IFERROR(VLOOKUP(Tableau1[Nom],Tableau5[],COLUMN(Tableau5[Prénom]),FALSE),"")</f>
        <v>Mohamed</v>
      </c>
      <c r="G120" s="188" t="s">
        <v>9</v>
      </c>
      <c r="H120" s="188" t="s">
        <v>1323</v>
      </c>
      <c r="I120" s="201"/>
      <c r="J120" s="188" t="s">
        <v>1324</v>
      </c>
      <c r="K120" s="189">
        <v>7</v>
      </c>
      <c r="L120" s="190">
        <v>124</v>
      </c>
      <c r="M120" s="202" t="s">
        <v>5</v>
      </c>
      <c r="N120" s="203" t="s">
        <v>1444</v>
      </c>
      <c r="O120" s="202"/>
      <c r="P120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121" spans="1:16" x14ac:dyDescent="0.25">
      <c r="A121" s="197" t="str">
        <f>IFERROR(VLOOKUP(Tableau1[Nom],Tableau5[],COLUMN(Tableau5[Definition du costing : DVC ou non DVC]),FALSE),"")</f>
        <v>DVC</v>
      </c>
      <c r="B121" s="197" t="str">
        <f>IFERROR(VLOOKUP(Tableau1[Nom],Tableau5[],COLUMN(Tableau5[Nom de la société]),FALSE),"")</f>
        <v>Lattes</v>
      </c>
      <c r="C121" s="198" t="str">
        <f>IFERROR(VLOOKUP(Tableau1[Nom],Tableau5[],COLUMN(Tableau5[Nom du manager]),FALSE),"")</f>
        <v>VERNE</v>
      </c>
      <c r="D121" s="199">
        <f>IFERROR(VLOOKUP(Tableau1[Nom],Tableau5[],COLUMN(Tableau5[Matricule]),FALSE),"")</f>
        <v>191667</v>
      </c>
      <c r="E121" s="200" t="s">
        <v>1107</v>
      </c>
      <c r="F121" s="199" t="str">
        <f>IFERROR(VLOOKUP(Tableau1[Nom],Tableau5[],COLUMN(Tableau5[Prénom]),FALSE),"")</f>
        <v>Mohamed</v>
      </c>
      <c r="G121" s="188" t="s">
        <v>9</v>
      </c>
      <c r="H121" s="188" t="s">
        <v>1333</v>
      </c>
      <c r="I121" s="201"/>
      <c r="J121" s="188" t="s">
        <v>1324</v>
      </c>
      <c r="K121" s="189">
        <v>7</v>
      </c>
      <c r="L121" s="190">
        <v>162</v>
      </c>
      <c r="M121" s="202" t="s">
        <v>5</v>
      </c>
      <c r="N121" s="203" t="s">
        <v>1444</v>
      </c>
      <c r="O121" s="202"/>
      <c r="P121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22" spans="1:16" x14ac:dyDescent="0.25">
      <c r="A122" s="197" t="str">
        <f>IFERROR(VLOOKUP(Tableau1[Nom],Tableau5[],COLUMN(Tableau5[Definition du costing : DVC ou non DVC]),FALSE),"")</f>
        <v>DVC</v>
      </c>
      <c r="B122" s="197" t="str">
        <f>IFERROR(VLOOKUP(Tableau1[Nom],Tableau5[],COLUMN(Tableau5[Nom de la société]),FALSE),"")</f>
        <v>Aub.</v>
      </c>
      <c r="C122" s="198" t="str">
        <f>IFERROR(VLOOKUP(Tableau1[Nom],Tableau5[],COLUMN(Tableau5[Nom du manager]),FALSE),"")</f>
        <v>SAVY</v>
      </c>
      <c r="D122" s="199">
        <f>IFERROR(VLOOKUP(Tableau1[Nom],Tableau5[],COLUMN(Tableau5[Matricule]),FALSE),"")</f>
        <v>103061</v>
      </c>
      <c r="E122" s="200" t="s">
        <v>594</v>
      </c>
      <c r="F122" s="199" t="str">
        <f>IFERROR(VLOOKUP(Tableau1[Nom],Tableau5[],COLUMN(Tableau5[Prénom]),FALSE),"")</f>
        <v>Frederic</v>
      </c>
      <c r="G122" s="188" t="s">
        <v>9</v>
      </c>
      <c r="H122" s="188" t="s">
        <v>1323</v>
      </c>
      <c r="I122" s="201"/>
      <c r="J122" s="188" t="s">
        <v>1324</v>
      </c>
      <c r="K122" s="189">
        <v>7</v>
      </c>
      <c r="L122" s="190">
        <v>124</v>
      </c>
      <c r="M122" s="202" t="s">
        <v>5</v>
      </c>
      <c r="N122" s="203" t="s">
        <v>1444</v>
      </c>
      <c r="O122" s="202"/>
      <c r="P122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23" spans="1:16" x14ac:dyDescent="0.25">
      <c r="A123" s="197" t="str">
        <f>IFERROR(VLOOKUP(Tableau1[Nom],Tableau5[],COLUMN(Tableau5[Definition du costing : DVC ou non DVC]),FALSE),"")</f>
        <v>DVC</v>
      </c>
      <c r="B123" s="197" t="str">
        <f>IFERROR(VLOOKUP(Tableau1[Nom],Tableau5[],COLUMN(Tableau5[Nom de la société]),FALSE),"")</f>
        <v>Aub.</v>
      </c>
      <c r="C123" s="198" t="str">
        <f>IFERROR(VLOOKUP(Tableau1[Nom],Tableau5[],COLUMN(Tableau5[Nom du manager]),FALSE),"")</f>
        <v>SAVY</v>
      </c>
      <c r="D123" s="199">
        <f>IFERROR(VLOOKUP(Tableau1[Nom],Tableau5[],COLUMN(Tableau5[Matricule]),FALSE),"")</f>
        <v>103061</v>
      </c>
      <c r="E123" s="200" t="s">
        <v>594</v>
      </c>
      <c r="F123" s="199" t="str">
        <f>IFERROR(VLOOKUP(Tableau1[Nom],Tableau5[],COLUMN(Tableau5[Prénom]),FALSE),"")</f>
        <v>Frederic</v>
      </c>
      <c r="G123" s="188" t="s">
        <v>9</v>
      </c>
      <c r="H123" s="188" t="s">
        <v>1326</v>
      </c>
      <c r="I123" s="201"/>
      <c r="J123" s="188" t="s">
        <v>1324</v>
      </c>
      <c r="K123" s="189">
        <v>1.5</v>
      </c>
      <c r="L123" s="190">
        <v>53</v>
      </c>
      <c r="M123" s="202" t="s">
        <v>5</v>
      </c>
      <c r="N123" s="203" t="s">
        <v>1444</v>
      </c>
      <c r="O123" s="202"/>
      <c r="P12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24" spans="1:16" x14ac:dyDescent="0.25">
      <c r="A124" s="197" t="str">
        <f>IFERROR(VLOOKUP(Tableau1[Nom],Tableau5[],COLUMN(Tableau5[Definition du costing : DVC ou non DVC]),FALSE),"")</f>
        <v>DVC</v>
      </c>
      <c r="B124" s="197" t="str">
        <f>IFERROR(VLOOKUP(Tableau1[Nom],Tableau5[],COLUMN(Tableau5[Nom de la société]),FALSE),"")</f>
        <v>Aub.</v>
      </c>
      <c r="C124" s="198" t="str">
        <f>IFERROR(VLOOKUP(Tableau1[Nom],Tableau5[],COLUMN(Tableau5[Nom du manager]),FALSE),"")</f>
        <v>SAVY</v>
      </c>
      <c r="D124" s="199">
        <f>IFERROR(VLOOKUP(Tableau1[Nom],Tableau5[],COLUMN(Tableau5[Matricule]),FALSE),"")</f>
        <v>103061</v>
      </c>
      <c r="E124" s="200" t="s">
        <v>594</v>
      </c>
      <c r="F124" s="199" t="str">
        <f>IFERROR(VLOOKUP(Tableau1[Nom],Tableau5[],COLUMN(Tableau5[Prénom]),FALSE),"")</f>
        <v>Frederic</v>
      </c>
      <c r="G124" s="188" t="s">
        <v>9</v>
      </c>
      <c r="H124" s="188" t="s">
        <v>1333</v>
      </c>
      <c r="I124" s="201"/>
      <c r="J124" s="188" t="s">
        <v>1324</v>
      </c>
      <c r="K124" s="189">
        <v>7</v>
      </c>
      <c r="L124" s="190">
        <v>162</v>
      </c>
      <c r="M124" s="202" t="s">
        <v>5</v>
      </c>
      <c r="N124" s="203" t="s">
        <v>1444</v>
      </c>
      <c r="O124" s="202"/>
      <c r="P124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25" spans="1:16" x14ac:dyDescent="0.25">
      <c r="A125" s="197" t="str">
        <f>IFERROR(VLOOKUP(Tableau1[Nom],Tableau5[],COLUMN(Tableau5[Definition du costing : DVC ou non DVC]),FALSE),"")</f>
        <v>DVC</v>
      </c>
      <c r="B125" s="197" t="str">
        <f>IFERROR(VLOOKUP(Tableau1[Nom],Tableau5[],COLUMN(Tableau5[Nom de la société]),FALSE),"")</f>
        <v>Aub.</v>
      </c>
      <c r="C125" s="198" t="str">
        <f>IFERROR(VLOOKUP(Tableau1[Nom],Tableau5[],COLUMN(Tableau5[Nom du manager]),FALSE),"")</f>
        <v>ALIX</v>
      </c>
      <c r="D125" s="199">
        <f>IFERROR(VLOOKUP(Tableau1[Nom],Tableau5[],COLUMN(Tableau5[Matricule]),FALSE),"")</f>
        <v>102990</v>
      </c>
      <c r="E125" s="200" t="s">
        <v>599</v>
      </c>
      <c r="F125" s="199" t="str">
        <f>IFERROR(VLOOKUP(Tableau1[Nom],Tableau5[],COLUMN(Tableau5[Prénom]),FALSE),"")</f>
        <v>Manuel</v>
      </c>
      <c r="G125" s="188" t="s">
        <v>9</v>
      </c>
      <c r="H125" s="188" t="s">
        <v>1326</v>
      </c>
      <c r="I125" s="201"/>
      <c r="J125" s="188" t="s">
        <v>1324</v>
      </c>
      <c r="K125" s="189">
        <v>1.5</v>
      </c>
      <c r="L125" s="190">
        <v>53</v>
      </c>
      <c r="M125" s="202" t="s">
        <v>5</v>
      </c>
      <c r="N125" s="203" t="s">
        <v>1444</v>
      </c>
      <c r="O125" s="202"/>
      <c r="P125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26" spans="1:16" x14ac:dyDescent="0.25">
      <c r="A126" s="197" t="str">
        <f>IFERROR(VLOOKUP(Tableau1[Nom],Tableau5[],COLUMN(Tableau5[Definition du costing : DVC ou non DVC]),FALSE),"")</f>
        <v>DVC</v>
      </c>
      <c r="B126" s="197" t="str">
        <f>IFERROR(VLOOKUP(Tableau1[Nom],Tableau5[],COLUMN(Tableau5[Nom de la société]),FALSE),"")</f>
        <v>Aub.</v>
      </c>
      <c r="C126" s="198" t="str">
        <f>IFERROR(VLOOKUP(Tableau1[Nom],Tableau5[],COLUMN(Tableau5[Nom du manager]),FALSE),"")</f>
        <v>PIFFAUT</v>
      </c>
      <c r="D126" s="199">
        <f>IFERROR(VLOOKUP(Tableau1[Nom],Tableau5[],COLUMN(Tableau5[Matricule]),FALSE),"")</f>
        <v>103056</v>
      </c>
      <c r="E126" s="200" t="s">
        <v>127</v>
      </c>
      <c r="F126" s="199" t="str">
        <f>IFERROR(VLOOKUP(Tableau1[Nom],Tableau5[],COLUMN(Tableau5[Prénom]),FALSE),"")</f>
        <v>Patrick</v>
      </c>
      <c r="G126" s="188" t="s">
        <v>9</v>
      </c>
      <c r="H126" s="188" t="s">
        <v>1326</v>
      </c>
      <c r="I126" s="201"/>
      <c r="J126" s="188" t="s">
        <v>1324</v>
      </c>
      <c r="K126" s="189">
        <v>1.5</v>
      </c>
      <c r="L126" s="190">
        <v>53</v>
      </c>
      <c r="M126" s="202" t="s">
        <v>5</v>
      </c>
      <c r="N126" s="203" t="s">
        <v>1444</v>
      </c>
      <c r="O126" s="202"/>
      <c r="P126" s="288">
        <f>IFERROR(INDEX(Tableau2[],MATCH(Tableau1[[#This Row],[Nom]]&amp;Tableau1[[#This Row],[Intitulé]],INDEX(Tableau2[],,COLUMN(Tableau2[Clé Recherche])),0),COLUMN(Tableau2[Calendrier de réalisation])),"")</f>
        <v>0</v>
      </c>
    </row>
    <row r="127" spans="1:16" x14ac:dyDescent="0.25">
      <c r="A127" s="197" t="str">
        <f>IFERROR(VLOOKUP(Tableau1[Nom],Tableau5[],COLUMN(Tableau5[Definition du costing : DVC ou non DVC]),FALSE),"")</f>
        <v>DVC</v>
      </c>
      <c r="B127" s="197" t="str">
        <f>IFERROR(VLOOKUP(Tableau1[Nom],Tableau5[],COLUMN(Tableau5[Nom de la société]),FALSE),"")</f>
        <v>Aub.</v>
      </c>
      <c r="C127" s="198" t="str">
        <f>IFERROR(VLOOKUP(Tableau1[Nom],Tableau5[],COLUMN(Tableau5[Nom du manager]),FALSE),"")</f>
        <v>PIFFAUT</v>
      </c>
      <c r="D127" s="199">
        <f>IFERROR(VLOOKUP(Tableau1[Nom],Tableau5[],COLUMN(Tableau5[Matricule]),FALSE),"")</f>
        <v>103056</v>
      </c>
      <c r="E127" s="200" t="s">
        <v>127</v>
      </c>
      <c r="F127" s="199" t="str">
        <f>IFERROR(VLOOKUP(Tableau1[Nom],Tableau5[],COLUMN(Tableau5[Prénom]),FALSE),"")</f>
        <v>Patrick</v>
      </c>
      <c r="G127" s="188" t="s">
        <v>9</v>
      </c>
      <c r="H127" s="188" t="s">
        <v>1340</v>
      </c>
      <c r="I127" s="201"/>
      <c r="J127" s="188" t="s">
        <v>1341</v>
      </c>
      <c r="K127" s="189">
        <v>7</v>
      </c>
      <c r="L127" s="190">
        <v>117</v>
      </c>
      <c r="M127" s="202" t="s">
        <v>5</v>
      </c>
      <c r="N127" s="203" t="s">
        <v>1444</v>
      </c>
      <c r="O127" s="202"/>
      <c r="P12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28" spans="1:16" x14ac:dyDescent="0.25">
      <c r="A128" s="197" t="str">
        <f>IFERROR(VLOOKUP(Tableau1[Nom],Tableau5[],COLUMN(Tableau5[Definition du costing : DVC ou non DVC]),FALSE),"")</f>
        <v>Non DVC</v>
      </c>
      <c r="B128" s="197" t="str">
        <f>IFERROR(VLOOKUP(Tableau1[Nom],Tableau5[],COLUMN(Tableau5[Nom de la société]),FALSE),"")</f>
        <v>Aub.</v>
      </c>
      <c r="C128" s="198" t="str">
        <f>IFERROR(VLOOKUP(Tableau1[Nom],Tableau5[],COLUMN(Tableau5[Nom du manager]),FALSE),"")</f>
        <v>CHATAIGNER</v>
      </c>
      <c r="D128" s="199">
        <f>IFERROR(VLOOKUP(Tableau1[Nom],Tableau5[],COLUMN(Tableau5[Matricule]),FALSE),"")</f>
        <v>69432</v>
      </c>
      <c r="E128" s="200" t="s">
        <v>516</v>
      </c>
      <c r="F128" s="199" t="str">
        <f>IFERROR(VLOOKUP(Tableau1[Nom],Tableau5[],COLUMN(Tableau5[Prénom]),FALSE),"")</f>
        <v>Martin</v>
      </c>
      <c r="G128" s="188" t="s">
        <v>9</v>
      </c>
      <c r="H128" s="188" t="s">
        <v>1323</v>
      </c>
      <c r="I128" s="201"/>
      <c r="J128" s="188" t="s">
        <v>1324</v>
      </c>
      <c r="K128" s="189">
        <v>7</v>
      </c>
      <c r="L128" s="190">
        <v>124</v>
      </c>
      <c r="M128" s="202" t="s">
        <v>5</v>
      </c>
      <c r="N128" s="203" t="s">
        <v>1444</v>
      </c>
      <c r="O128" s="202"/>
      <c r="P12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29" spans="1:16" x14ac:dyDescent="0.25">
      <c r="A129" s="197" t="str">
        <f>IFERROR(VLOOKUP(Tableau1[Nom],Tableau5[],COLUMN(Tableau5[Definition du costing : DVC ou non DVC]),FALSE),"")</f>
        <v>DVC</v>
      </c>
      <c r="B129" s="197" t="str">
        <f>IFERROR(VLOOKUP(Tableau1[Nom],Tableau5[],COLUMN(Tableau5[Nom de la société]),FALSE),"")</f>
        <v>Aub.</v>
      </c>
      <c r="C129" s="198" t="str">
        <f>IFERROR(VLOOKUP(Tableau1[Nom],Tableau5[],COLUMN(Tableau5[Nom du manager]),FALSE),"")</f>
        <v>SAVY</v>
      </c>
      <c r="D129" s="199">
        <f>IFERROR(VLOOKUP(Tableau1[Nom],Tableau5[],COLUMN(Tableau5[Matricule]),FALSE),"")</f>
        <v>103092</v>
      </c>
      <c r="E129" s="200" t="s">
        <v>616</v>
      </c>
      <c r="F129" s="199" t="str">
        <f>IFERROR(VLOOKUP(Tableau1[Nom],Tableau5[],COLUMN(Tableau5[Prénom]),FALSE),"")</f>
        <v>Christian</v>
      </c>
      <c r="G129" s="188" t="s">
        <v>9</v>
      </c>
      <c r="H129" s="188" t="s">
        <v>1323</v>
      </c>
      <c r="I129" s="201"/>
      <c r="J129" s="188" t="s">
        <v>1324</v>
      </c>
      <c r="K129" s="189">
        <v>7</v>
      </c>
      <c r="L129" s="190">
        <v>124</v>
      </c>
      <c r="M129" s="202" t="s">
        <v>5</v>
      </c>
      <c r="N129" s="203" t="s">
        <v>1444</v>
      </c>
      <c r="O129" s="202"/>
      <c r="P129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30" spans="1:16" x14ac:dyDescent="0.25">
      <c r="A130" s="197" t="str">
        <f>IFERROR(VLOOKUP(Tableau1[Nom],Tableau5[],COLUMN(Tableau5[Definition du costing : DVC ou non DVC]),FALSE),"")</f>
        <v>DVC</v>
      </c>
      <c r="B130" s="197" t="str">
        <f>IFERROR(VLOOKUP(Tableau1[Nom],Tableau5[],COLUMN(Tableau5[Nom de la société]),FALSE),"")</f>
        <v>Aub.</v>
      </c>
      <c r="C130" s="198" t="str">
        <f>IFERROR(VLOOKUP(Tableau1[Nom],Tableau5[],COLUMN(Tableau5[Nom du manager]),FALSE),"")</f>
        <v>SAVY</v>
      </c>
      <c r="D130" s="199">
        <f>IFERROR(VLOOKUP(Tableau1[Nom],Tableau5[],COLUMN(Tableau5[Matricule]),FALSE),"")</f>
        <v>103092</v>
      </c>
      <c r="E130" s="200" t="s">
        <v>616</v>
      </c>
      <c r="F130" s="199" t="str">
        <f>IFERROR(VLOOKUP(Tableau1[Nom],Tableau5[],COLUMN(Tableau5[Prénom]),FALSE),"")</f>
        <v>Christian</v>
      </c>
      <c r="G130" s="188" t="s">
        <v>9</v>
      </c>
      <c r="H130" s="188" t="s">
        <v>1333</v>
      </c>
      <c r="I130" s="201"/>
      <c r="J130" s="188" t="s">
        <v>1324</v>
      </c>
      <c r="K130" s="189">
        <v>7</v>
      </c>
      <c r="L130" s="190">
        <v>162</v>
      </c>
      <c r="M130" s="202" t="s">
        <v>5</v>
      </c>
      <c r="N130" s="203" t="s">
        <v>1444</v>
      </c>
      <c r="O130" s="202"/>
      <c r="P130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31" spans="1:16" x14ac:dyDescent="0.25">
      <c r="A131" s="197" t="str">
        <f>IFERROR(VLOOKUP(Tableau1[Nom],Tableau5[],COLUMN(Tableau5[Definition du costing : DVC ou non DVC]),FALSE),"")</f>
        <v>DVC</v>
      </c>
      <c r="B131" s="197" t="str">
        <f>IFERROR(VLOOKUP(Tableau1[Nom],Tableau5[],COLUMN(Tableau5[Nom de la société]),FALSE),"")</f>
        <v>Aub.</v>
      </c>
      <c r="C131" s="198" t="str">
        <f>IFERROR(VLOOKUP(Tableau1[Nom],Tableau5[],COLUMN(Tableau5[Nom du manager]),FALSE),"")</f>
        <v>SAVY</v>
      </c>
      <c r="D131" s="199">
        <f>IFERROR(VLOOKUP(Tableau1[Nom],Tableau5[],COLUMN(Tableau5[Matricule]),FALSE),"")</f>
        <v>103092</v>
      </c>
      <c r="E131" s="200" t="s">
        <v>616</v>
      </c>
      <c r="F131" s="199" t="str">
        <f>IFERROR(VLOOKUP(Tableau1[Nom],Tableau5[],COLUMN(Tableau5[Prénom]),FALSE),"")</f>
        <v>Christian</v>
      </c>
      <c r="G131" s="188" t="s">
        <v>9</v>
      </c>
      <c r="H131" s="188" t="s">
        <v>1336</v>
      </c>
      <c r="I131" s="201"/>
      <c r="J131" s="188" t="s">
        <v>1324</v>
      </c>
      <c r="K131" s="189">
        <v>14</v>
      </c>
      <c r="L131" s="190">
        <v>297</v>
      </c>
      <c r="M131" s="202" t="s">
        <v>5</v>
      </c>
      <c r="N131" s="203" t="s">
        <v>1444</v>
      </c>
      <c r="O131" s="202"/>
      <c r="P131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132" spans="1:16" x14ac:dyDescent="0.25">
      <c r="A132" s="197" t="str">
        <f>IFERROR(VLOOKUP(Tableau1[Nom],Tableau5[],COLUMN(Tableau5[Definition du costing : DVC ou non DVC]),FALSE),"")</f>
        <v>DVC</v>
      </c>
      <c r="B132" s="197" t="str">
        <f>IFERROR(VLOOKUP(Tableau1[Nom],Tableau5[],COLUMN(Tableau5[Nom de la société]),FALSE),"")</f>
        <v>Aub.</v>
      </c>
      <c r="C132" s="198" t="str">
        <f>IFERROR(VLOOKUP(Tableau1[Nom],Tableau5[],COLUMN(Tableau5[Nom du manager]),FALSE),"")</f>
        <v>SAVY</v>
      </c>
      <c r="D132" s="199">
        <f>IFERROR(VLOOKUP(Tableau1[Nom],Tableau5[],COLUMN(Tableau5[Matricule]),FALSE),"")</f>
        <v>102896</v>
      </c>
      <c r="E132" s="200" t="s">
        <v>619</v>
      </c>
      <c r="F132" s="199" t="str">
        <f>IFERROR(VLOOKUP(Tableau1[Nom],Tableau5[],COLUMN(Tableau5[Prénom]),FALSE),"")</f>
        <v>Gael</v>
      </c>
      <c r="G132" s="188" t="s">
        <v>9</v>
      </c>
      <c r="H132" s="188" t="s">
        <v>1323</v>
      </c>
      <c r="I132" s="201"/>
      <c r="J132" s="188" t="s">
        <v>1324</v>
      </c>
      <c r="K132" s="189">
        <v>7</v>
      </c>
      <c r="L132" s="190">
        <v>124</v>
      </c>
      <c r="M132" s="202" t="s">
        <v>5</v>
      </c>
      <c r="N132" s="203" t="s">
        <v>1444</v>
      </c>
      <c r="O132" s="202"/>
      <c r="P132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133" spans="1:16" x14ac:dyDescent="0.25">
      <c r="A133" s="197" t="str">
        <f>IFERROR(VLOOKUP(Tableau1[Nom],Tableau5[],COLUMN(Tableau5[Definition du costing : DVC ou non DVC]),FALSE),"")</f>
        <v>DVC</v>
      </c>
      <c r="B133" s="197" t="str">
        <f>IFERROR(VLOOKUP(Tableau1[Nom],Tableau5[],COLUMN(Tableau5[Nom de la société]),FALSE),"")</f>
        <v>Aub.</v>
      </c>
      <c r="C133" s="198" t="str">
        <f>IFERROR(VLOOKUP(Tableau1[Nom],Tableau5[],COLUMN(Tableau5[Nom du manager]),FALSE),"")</f>
        <v>SAVY</v>
      </c>
      <c r="D133" s="199">
        <f>IFERROR(VLOOKUP(Tableau1[Nom],Tableau5[],COLUMN(Tableau5[Matricule]),FALSE),"")</f>
        <v>102896</v>
      </c>
      <c r="E133" s="200" t="s">
        <v>619</v>
      </c>
      <c r="F133" s="199" t="str">
        <f>IFERROR(VLOOKUP(Tableau1[Nom],Tableau5[],COLUMN(Tableau5[Prénom]),FALSE),"")</f>
        <v>Gael</v>
      </c>
      <c r="G133" s="188" t="s">
        <v>9</v>
      </c>
      <c r="H133" s="188" t="s">
        <v>1333</v>
      </c>
      <c r="I133" s="201"/>
      <c r="J133" s="188" t="s">
        <v>1324</v>
      </c>
      <c r="K133" s="189">
        <v>7</v>
      </c>
      <c r="L133" s="190">
        <v>162</v>
      </c>
      <c r="M133" s="202" t="s">
        <v>5</v>
      </c>
      <c r="N133" s="203" t="s">
        <v>1444</v>
      </c>
      <c r="O133" s="202"/>
      <c r="P133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34" spans="1:16" x14ac:dyDescent="0.25">
      <c r="A134" s="197" t="str">
        <f>IFERROR(VLOOKUP(Tableau1[Nom],Tableau5[],COLUMN(Tableau5[Definition du costing : DVC ou non DVC]),FALSE),"")</f>
        <v>DVC</v>
      </c>
      <c r="B134" s="197" t="str">
        <f>IFERROR(VLOOKUP(Tableau1[Nom],Tableau5[],COLUMN(Tableau5[Nom de la société]),FALSE),"")</f>
        <v>Aub.</v>
      </c>
      <c r="C134" s="198" t="str">
        <f>IFERROR(VLOOKUP(Tableau1[Nom],Tableau5[],COLUMN(Tableau5[Nom du manager]),FALSE),"")</f>
        <v>SAVY</v>
      </c>
      <c r="D134" s="199">
        <f>IFERROR(VLOOKUP(Tableau1[Nom],Tableau5[],COLUMN(Tableau5[Matricule]),FALSE),"")</f>
        <v>102896</v>
      </c>
      <c r="E134" s="200" t="s">
        <v>619</v>
      </c>
      <c r="F134" s="199" t="str">
        <f>IFERROR(VLOOKUP(Tableau1[Nom],Tableau5[],COLUMN(Tableau5[Prénom]),FALSE),"")</f>
        <v>Gael</v>
      </c>
      <c r="G134" s="188" t="s">
        <v>9</v>
      </c>
      <c r="H134" s="188" t="s">
        <v>1338</v>
      </c>
      <c r="I134" s="201"/>
      <c r="J134" s="188" t="s">
        <v>1324</v>
      </c>
      <c r="K134" s="189">
        <v>14</v>
      </c>
      <c r="L134" s="190">
        <v>297</v>
      </c>
      <c r="M134" s="202" t="s">
        <v>5</v>
      </c>
      <c r="N134" s="203" t="s">
        <v>1444</v>
      </c>
      <c r="O134" s="202"/>
      <c r="P13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35" spans="1:16" x14ac:dyDescent="0.25">
      <c r="A135" s="197" t="str">
        <f>IFERROR(VLOOKUP(Tableau1[Nom],Tableau5[],COLUMN(Tableau5[Definition du costing : DVC ou non DVC]),FALSE),"")</f>
        <v>DVC</v>
      </c>
      <c r="B135" s="197" t="str">
        <f>IFERROR(VLOOKUP(Tableau1[Nom],Tableau5[],COLUMN(Tableau5[Nom de la société]),FALSE),"")</f>
        <v>Aub.</v>
      </c>
      <c r="C135" s="198" t="str">
        <f>IFERROR(VLOOKUP(Tableau1[Nom],Tableau5[],COLUMN(Tableau5[Nom du manager]),FALSE),"")</f>
        <v>ALIX</v>
      </c>
      <c r="D135" s="199">
        <f>IFERROR(VLOOKUP(Tableau1[Nom],Tableau5[],COLUMN(Tableau5[Matricule]),FALSE),"")</f>
        <v>102897</v>
      </c>
      <c r="E135" s="200" t="s">
        <v>623</v>
      </c>
      <c r="F135" s="199" t="str">
        <f>IFERROR(VLOOKUP(Tableau1[Nom],Tableau5[],COLUMN(Tableau5[Prénom]),FALSE),"")</f>
        <v>Romuald</v>
      </c>
      <c r="G135" s="188" t="s">
        <v>9</v>
      </c>
      <c r="H135" s="188" t="s">
        <v>1326</v>
      </c>
      <c r="I135" s="201"/>
      <c r="J135" s="188" t="s">
        <v>1324</v>
      </c>
      <c r="K135" s="189">
        <v>1.5</v>
      </c>
      <c r="L135" s="190">
        <v>53</v>
      </c>
      <c r="M135" s="202" t="s">
        <v>5</v>
      </c>
      <c r="N135" s="203" t="s">
        <v>1444</v>
      </c>
      <c r="O135" s="202"/>
      <c r="P135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36" spans="1:16" x14ac:dyDescent="0.25">
      <c r="A136" s="197" t="str">
        <f>IFERROR(VLOOKUP(Tableau1[Nom],Tableau5[],COLUMN(Tableau5[Definition du costing : DVC ou non DVC]),FALSE),"")</f>
        <v>DVC</v>
      </c>
      <c r="B136" s="197" t="str">
        <f>IFERROR(VLOOKUP(Tableau1[Nom],Tableau5[],COLUMN(Tableau5[Nom de la société]),FALSE),"")</f>
        <v>Aub.</v>
      </c>
      <c r="C136" s="198" t="str">
        <f>IFERROR(VLOOKUP(Tableau1[Nom],Tableau5[],COLUMN(Tableau5[Nom du manager]),FALSE),"")</f>
        <v>ALIX</v>
      </c>
      <c r="D136" s="199">
        <f>IFERROR(VLOOKUP(Tableau1[Nom],Tableau5[],COLUMN(Tableau5[Matricule]),FALSE),"")</f>
        <v>102897</v>
      </c>
      <c r="E136" s="200" t="s">
        <v>623</v>
      </c>
      <c r="F136" s="199" t="str">
        <f>IFERROR(VLOOKUP(Tableau1[Nom],Tableau5[],COLUMN(Tableau5[Prénom]),FALSE),"")</f>
        <v>Romuald</v>
      </c>
      <c r="G136" s="188" t="s">
        <v>9</v>
      </c>
      <c r="H136" s="188" t="s">
        <v>1340</v>
      </c>
      <c r="I136" s="201"/>
      <c r="J136" s="188" t="s">
        <v>1341</v>
      </c>
      <c r="K136" s="189">
        <v>7</v>
      </c>
      <c r="L136" s="190">
        <v>117</v>
      </c>
      <c r="M136" s="202" t="s">
        <v>5</v>
      </c>
      <c r="N136" s="203" t="s">
        <v>1444</v>
      </c>
      <c r="O136" s="202"/>
      <c r="P13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37" spans="1:16" x14ac:dyDescent="0.25">
      <c r="A137" s="197" t="str">
        <f>IFERROR(VLOOKUP(Tableau1[Nom],Tableau5[],COLUMN(Tableau5[Definition du costing : DVC ou non DVC]),FALSE),"")</f>
        <v>Non DVC</v>
      </c>
      <c r="B137" s="197" t="str">
        <f>IFERROR(VLOOKUP(Tableau1[Nom],Tableau5[],COLUMN(Tableau5[Nom de la société]),FALSE),"")</f>
        <v>STG</v>
      </c>
      <c r="C137" s="198" t="str">
        <f>IFERROR(VLOOKUP(Tableau1[Nom],Tableau5[],COLUMN(Tableau5[Nom du manager]),FALSE),"")</f>
        <v>CHATAIGNER</v>
      </c>
      <c r="D137" s="199">
        <f>IFERROR(VLOOKUP(Tableau1[Nom],Tableau5[],COLUMN(Tableau5[Matricule]),FALSE),"")</f>
        <v>12837</v>
      </c>
      <c r="E137" s="200" t="s">
        <v>355</v>
      </c>
      <c r="F137" s="199" t="str">
        <f>IFERROR(VLOOKUP(Tableau1[Nom],Tableau5[],COLUMN(Tableau5[Prénom]),FALSE),"")</f>
        <v>Cecile</v>
      </c>
      <c r="G137" s="188" t="s">
        <v>9</v>
      </c>
      <c r="H137" s="188" t="s">
        <v>1326</v>
      </c>
      <c r="I137" s="201"/>
      <c r="J137" s="188" t="s">
        <v>1324</v>
      </c>
      <c r="K137" s="189">
        <v>1.5</v>
      </c>
      <c r="L137" s="190">
        <v>53</v>
      </c>
      <c r="M137" s="202" t="s">
        <v>5</v>
      </c>
      <c r="N137" s="203" t="s">
        <v>1444</v>
      </c>
      <c r="O137" s="202"/>
      <c r="P137" s="288">
        <f>IFERROR(INDEX(Tableau2[],MATCH(Tableau1[[#This Row],[Nom]]&amp;Tableau1[[#This Row],[Intitulé]],INDEX(Tableau2[],,COLUMN(Tableau2[Clé Recherche])),0),COLUMN(Tableau2[Calendrier de réalisation])),"")</f>
        <v>0</v>
      </c>
    </row>
    <row r="138" spans="1:16" x14ac:dyDescent="0.25">
      <c r="A138" s="197" t="str">
        <f>IFERROR(VLOOKUP(Tableau1[Nom],Tableau5[],COLUMN(Tableau5[Definition du costing : DVC ou non DVC]),FALSE),"")</f>
        <v>DVC</v>
      </c>
      <c r="B138" s="197" t="str">
        <f>IFERROR(VLOOKUP(Tableau1[Nom],Tableau5[],COLUMN(Tableau5[Nom de la société]),FALSE),"")</f>
        <v>Aub.</v>
      </c>
      <c r="C138" s="198" t="str">
        <f>IFERROR(VLOOKUP(Tableau1[Nom],Tableau5[],COLUMN(Tableau5[Nom du manager]),FALSE),"")</f>
        <v>SENEPART</v>
      </c>
      <c r="D138" s="199">
        <f>IFERROR(VLOOKUP(Tableau1[Nom],Tableau5[],COLUMN(Tableau5[Matricule]),FALSE),"")</f>
        <v>103083</v>
      </c>
      <c r="E138" s="200" t="s">
        <v>627</v>
      </c>
      <c r="F138" s="199" t="str">
        <f>IFERROR(VLOOKUP(Tableau1[Nom],Tableau5[],COLUMN(Tableau5[Prénom]),FALSE),"")</f>
        <v>Catherine</v>
      </c>
      <c r="G138" s="188" t="s">
        <v>9</v>
      </c>
      <c r="H138" s="188" t="s">
        <v>1326</v>
      </c>
      <c r="I138" s="201"/>
      <c r="J138" s="188" t="s">
        <v>1324</v>
      </c>
      <c r="K138" s="189">
        <v>1.5</v>
      </c>
      <c r="L138" s="190">
        <v>53</v>
      </c>
      <c r="M138" s="202" t="s">
        <v>5</v>
      </c>
      <c r="N138" s="203" t="s">
        <v>1444</v>
      </c>
      <c r="O138" s="202"/>
      <c r="P138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39" spans="1:16" x14ac:dyDescent="0.25">
      <c r="A139" s="197" t="str">
        <f>IFERROR(VLOOKUP(Tableau1[Nom],Tableau5[],COLUMN(Tableau5[Definition du costing : DVC ou non DVC]),FALSE),"")</f>
        <v>DVC</v>
      </c>
      <c r="B139" s="197" t="str">
        <f>IFERROR(VLOOKUP(Tableau1[Nom],Tableau5[],COLUMN(Tableau5[Nom de la société]),FALSE),"")</f>
        <v>Aub.</v>
      </c>
      <c r="C139" s="198" t="str">
        <f>IFERROR(VLOOKUP(Tableau1[Nom],Tableau5[],COLUMN(Tableau5[Nom du manager]),FALSE),"")</f>
        <v>SAVY</v>
      </c>
      <c r="D139" s="199">
        <f>IFERROR(VLOOKUP(Tableau1[Nom],Tableau5[],COLUMN(Tableau5[Matricule]),FALSE),"")</f>
        <v>103017</v>
      </c>
      <c r="E139" s="200" t="s">
        <v>631</v>
      </c>
      <c r="F139" s="199" t="str">
        <f>IFERROR(VLOOKUP(Tableau1[Nom],Tableau5[],COLUMN(Tableau5[Prénom]),FALSE),"")</f>
        <v>Fabienne</v>
      </c>
      <c r="G139" s="188" t="s">
        <v>9</v>
      </c>
      <c r="H139" s="188" t="s">
        <v>1340</v>
      </c>
      <c r="I139" s="201"/>
      <c r="J139" s="188" t="s">
        <v>1341</v>
      </c>
      <c r="K139" s="189">
        <v>7</v>
      </c>
      <c r="L139" s="190">
        <v>117</v>
      </c>
      <c r="M139" s="202" t="s">
        <v>5</v>
      </c>
      <c r="N139" s="203" t="s">
        <v>1444</v>
      </c>
      <c r="O139" s="202"/>
      <c r="P13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40" spans="1:16" x14ac:dyDescent="0.25">
      <c r="A140" s="197" t="str">
        <f>IFERROR(VLOOKUP(Tableau1[Nom],Tableau5[],COLUMN(Tableau5[Definition du costing : DVC ou non DVC]),FALSE),"")</f>
        <v>Non DVC</v>
      </c>
      <c r="B140" s="197" t="str">
        <f>IFERROR(VLOOKUP(Tableau1[Nom],Tableau5[],COLUMN(Tableau5[Nom de la société]),FALSE),"")</f>
        <v>Aub.</v>
      </c>
      <c r="C140" s="198" t="str">
        <f>IFERROR(VLOOKUP(Tableau1[Nom],Tableau5[],COLUMN(Tableau5[Nom du manager]),FALSE),"")</f>
        <v>CHATAIGNER</v>
      </c>
      <c r="D140" s="199">
        <f>IFERROR(VLOOKUP(Tableau1[Nom],Tableau5[],COLUMN(Tableau5[Matricule]),FALSE),"")</f>
        <v>10631106</v>
      </c>
      <c r="E140" s="192" t="s">
        <v>637</v>
      </c>
      <c r="F140" s="199" t="str">
        <f>IFERROR(VLOOKUP(Tableau1[Nom],Tableau5[],COLUMN(Tableau5[Prénom]),FALSE),"")</f>
        <v>Maria</v>
      </c>
      <c r="G140" s="188" t="s">
        <v>9</v>
      </c>
      <c r="H140" s="188" t="s">
        <v>1326</v>
      </c>
      <c r="I140" s="201"/>
      <c r="J140" s="188" t="s">
        <v>1324</v>
      </c>
      <c r="K140" s="189">
        <v>1.5</v>
      </c>
      <c r="L140" s="190">
        <v>53</v>
      </c>
      <c r="M140" s="202" t="s">
        <v>5</v>
      </c>
      <c r="N140" s="203" t="s">
        <v>1444</v>
      </c>
      <c r="O140" s="202"/>
      <c r="P140" s="288">
        <f>IFERROR(INDEX(Tableau2[],MATCH(Tableau1[[#This Row],[Nom]]&amp;Tableau1[[#This Row],[Intitulé]],INDEX(Tableau2[],,COLUMN(Tableau2[Clé Recherche])),0),COLUMN(Tableau2[Calendrier de réalisation])),"")</f>
        <v>0</v>
      </c>
    </row>
    <row r="141" spans="1:16" x14ac:dyDescent="0.25">
      <c r="A141" s="197" t="str">
        <f>IFERROR(VLOOKUP(Tableau1[Nom],Tableau5[],COLUMN(Tableau5[Definition du costing : DVC ou non DVC]),FALSE),"")</f>
        <v>Non DVC</v>
      </c>
      <c r="B141" s="197" t="str">
        <f>IFERROR(VLOOKUP(Tableau1[Nom],Tableau5[],COLUMN(Tableau5[Nom de la société]),FALSE),"")</f>
        <v>Aub.</v>
      </c>
      <c r="C141" s="198" t="str">
        <f>IFERROR(VLOOKUP(Tableau1[Nom],Tableau5[],COLUMN(Tableau5[Nom du manager]),FALSE),"")</f>
        <v>DARDARE</v>
      </c>
      <c r="D141" s="199">
        <f>IFERROR(VLOOKUP(Tableau1[Nom],Tableau5[],COLUMN(Tableau5[Matricule]),FALSE),"")</f>
        <v>103019</v>
      </c>
      <c r="E141" s="200" t="s">
        <v>422</v>
      </c>
      <c r="F141" s="199" t="str">
        <f>IFERROR(VLOOKUP(Tableau1[Nom],Tableau5[],COLUMN(Tableau5[Prénom]),FALSE),"")</f>
        <v>Teofilo</v>
      </c>
      <c r="G141" s="188" t="s">
        <v>9</v>
      </c>
      <c r="H141" s="188" t="s">
        <v>1326</v>
      </c>
      <c r="I141" s="201"/>
      <c r="J141" s="188" t="s">
        <v>1324</v>
      </c>
      <c r="K141" s="189">
        <v>1.5</v>
      </c>
      <c r="L141" s="190">
        <v>53</v>
      </c>
      <c r="M141" s="202" t="s">
        <v>5</v>
      </c>
      <c r="N141" s="203" t="s">
        <v>1444</v>
      </c>
      <c r="O141" s="202"/>
      <c r="P141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42" spans="1:16" x14ac:dyDescent="0.25">
      <c r="A142" s="197" t="str">
        <f>IFERROR(VLOOKUP(Tableau1[Nom],Tableau5[],COLUMN(Tableau5[Definition du costing : DVC ou non DVC]),FALSE),"")</f>
        <v>Non DVC</v>
      </c>
      <c r="B142" s="197" t="str">
        <f>IFERROR(VLOOKUP(Tableau1[Nom],Tableau5[],COLUMN(Tableau5[Nom de la société]),FALSE),"")</f>
        <v>Aub.</v>
      </c>
      <c r="C142" s="198" t="str">
        <f>IFERROR(VLOOKUP(Tableau1[Nom],Tableau5[],COLUMN(Tableau5[Nom du manager]),FALSE),"")</f>
        <v>DARDARE</v>
      </c>
      <c r="D142" s="199">
        <f>IFERROR(VLOOKUP(Tableau1[Nom],Tableau5[],COLUMN(Tableau5[Matricule]),FALSE),"")</f>
        <v>103019</v>
      </c>
      <c r="E142" s="200" t="s">
        <v>422</v>
      </c>
      <c r="F142" s="199" t="str">
        <f>IFERROR(VLOOKUP(Tableau1[Nom],Tableau5[],COLUMN(Tableau5[Prénom]),FALSE),"")</f>
        <v>Teofilo</v>
      </c>
      <c r="G142" s="188" t="s">
        <v>9</v>
      </c>
      <c r="H142" s="188" t="s">
        <v>1340</v>
      </c>
      <c r="I142" s="201"/>
      <c r="J142" s="188" t="s">
        <v>1341</v>
      </c>
      <c r="K142" s="189">
        <v>7</v>
      </c>
      <c r="L142" s="190">
        <v>117</v>
      </c>
      <c r="M142" s="202" t="s">
        <v>5</v>
      </c>
      <c r="N142" s="203" t="s">
        <v>1444</v>
      </c>
      <c r="O142" s="202"/>
      <c r="P142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43" spans="1:16" x14ac:dyDescent="0.25">
      <c r="A143" s="197" t="str">
        <f>IFERROR(VLOOKUP(Tableau1[Nom],Tableau5[],COLUMN(Tableau5[Definition du costing : DVC ou non DVC]),FALSE),"")</f>
        <v>Non DVC</v>
      </c>
      <c r="B143" s="197" t="str">
        <f>IFERROR(VLOOKUP(Tableau1[Nom],Tableau5[],COLUMN(Tableau5[Nom de la société]),FALSE),"")</f>
        <v>Aub.</v>
      </c>
      <c r="C143" s="198" t="str">
        <f>IFERROR(VLOOKUP(Tableau1[Nom],Tableau5[],COLUMN(Tableau5[Nom du manager]),FALSE),"")</f>
        <v>RICCARDI</v>
      </c>
      <c r="D143" s="199">
        <f>IFERROR(VLOOKUP(Tableau1[Nom],Tableau5[],COLUMN(Tableau5[Matricule]),FALSE),"")</f>
        <v>103057</v>
      </c>
      <c r="E143" s="200" t="s">
        <v>649</v>
      </c>
      <c r="F143" s="199" t="str">
        <f>IFERROR(VLOOKUP(Tableau1[Nom],Tableau5[],COLUMN(Tableau5[Prénom]),FALSE),"")</f>
        <v>Alain</v>
      </c>
      <c r="G143" s="188" t="s">
        <v>9</v>
      </c>
      <c r="H143" s="188" t="s">
        <v>1326</v>
      </c>
      <c r="I143" s="201"/>
      <c r="J143" s="188" t="s">
        <v>1324</v>
      </c>
      <c r="K143" s="189">
        <v>1.5</v>
      </c>
      <c r="L143" s="190">
        <v>53</v>
      </c>
      <c r="M143" s="202" t="s">
        <v>5</v>
      </c>
      <c r="N143" s="203" t="s">
        <v>1444</v>
      </c>
      <c r="O143" s="202"/>
      <c r="P14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44" spans="1:16" x14ac:dyDescent="0.25">
      <c r="A144" s="197" t="str">
        <f>IFERROR(VLOOKUP(Tableau1[Nom],Tableau5[],COLUMN(Tableau5[Definition du costing : DVC ou non DVC]),FALSE),"")</f>
        <v>DVC</v>
      </c>
      <c r="B144" s="197" t="str">
        <f>IFERROR(VLOOKUP(Tableau1[Nom],Tableau5[],COLUMN(Tableau5[Nom de la société]),FALSE),"")</f>
        <v>Aub.</v>
      </c>
      <c r="C144" s="198" t="str">
        <f>IFERROR(VLOOKUP(Tableau1[Nom],Tableau5[],COLUMN(Tableau5[Nom du manager]),FALSE),"")</f>
        <v>SENEPART</v>
      </c>
      <c r="D144" s="199">
        <f>IFERROR(VLOOKUP(Tableau1[Nom],Tableau5[],COLUMN(Tableau5[Matricule]),FALSE),"")</f>
        <v>102898</v>
      </c>
      <c r="E144" s="200" t="s">
        <v>656</v>
      </c>
      <c r="F144" s="199" t="str">
        <f>IFERROR(VLOOKUP(Tableau1[Nom],Tableau5[],COLUMN(Tableau5[Prénom]),FALSE),"")</f>
        <v>Mickael</v>
      </c>
      <c r="G144" s="188" t="s">
        <v>9</v>
      </c>
      <c r="H144" s="188" t="s">
        <v>1326</v>
      </c>
      <c r="I144" s="201"/>
      <c r="J144" s="188" t="s">
        <v>1324</v>
      </c>
      <c r="K144" s="189">
        <v>1.5</v>
      </c>
      <c r="L144" s="190">
        <v>53</v>
      </c>
      <c r="M144" s="202" t="s">
        <v>5</v>
      </c>
      <c r="N144" s="203" t="s">
        <v>1444</v>
      </c>
      <c r="O144" s="202"/>
      <c r="P14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45" spans="1:16" x14ac:dyDescent="0.25">
      <c r="A145" s="197" t="str">
        <f>IFERROR(VLOOKUP(Tableau1[Nom],Tableau5[],COLUMN(Tableau5[Definition du costing : DVC ou non DVC]),FALSE),"")</f>
        <v>DVC</v>
      </c>
      <c r="B145" s="197" t="str">
        <f>IFERROR(VLOOKUP(Tableau1[Nom],Tableau5[],COLUMN(Tableau5[Nom de la société]),FALSE),"")</f>
        <v>Aub.</v>
      </c>
      <c r="C145" s="198" t="str">
        <f>IFERROR(VLOOKUP(Tableau1[Nom],Tableau5[],COLUMN(Tableau5[Nom du manager]),FALSE),"")</f>
        <v>SENEPART</v>
      </c>
      <c r="D145" s="199">
        <f>IFERROR(VLOOKUP(Tableau1[Nom],Tableau5[],COLUMN(Tableau5[Matricule]),FALSE),"")</f>
        <v>102898</v>
      </c>
      <c r="E145" s="200" t="s">
        <v>656</v>
      </c>
      <c r="F145" s="199" t="str">
        <f>IFERROR(VLOOKUP(Tableau1[Nom],Tableau5[],COLUMN(Tableau5[Prénom]),FALSE),"")</f>
        <v>Mickael</v>
      </c>
      <c r="G145" s="188" t="s">
        <v>9</v>
      </c>
      <c r="H145" s="188" t="s">
        <v>1340</v>
      </c>
      <c r="I145" s="201"/>
      <c r="J145" s="188" t="s">
        <v>1341</v>
      </c>
      <c r="K145" s="189">
        <v>7</v>
      </c>
      <c r="L145" s="190">
        <v>117</v>
      </c>
      <c r="M145" s="202" t="s">
        <v>5</v>
      </c>
      <c r="N145" s="203" t="s">
        <v>1444</v>
      </c>
      <c r="O145" s="202"/>
      <c r="P14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46" spans="1:16" x14ac:dyDescent="0.25">
      <c r="A146" s="197" t="str">
        <f>IFERROR(VLOOKUP(Tableau1[Nom],Tableau5[],COLUMN(Tableau5[Definition du costing : DVC ou non DVC]),FALSE),"")</f>
        <v>Non DVC</v>
      </c>
      <c r="B146" s="197" t="str">
        <f>IFERROR(VLOOKUP(Tableau1[Nom],Tableau5[],COLUMN(Tableau5[Nom de la société]),FALSE),"")</f>
        <v>Lattes</v>
      </c>
      <c r="C146" s="198" t="str">
        <f>IFERROR(VLOOKUP(Tableau1[Nom],Tableau5[],COLUMN(Tableau5[Nom du manager]),FALSE),"")</f>
        <v>VERNE</v>
      </c>
      <c r="D146" s="199">
        <f>IFERROR(VLOOKUP(Tableau1[Nom],Tableau5[],COLUMN(Tableau5[Matricule]),FALSE),"")</f>
        <v>190953</v>
      </c>
      <c r="E146" s="200" t="s">
        <v>1042</v>
      </c>
      <c r="F146" s="199" t="str">
        <f>IFERROR(VLOOKUP(Tableau1[Nom],Tableau5[],COLUMN(Tableau5[Prénom]),FALSE),"")</f>
        <v>Olivier</v>
      </c>
      <c r="G146" s="188" t="s">
        <v>9</v>
      </c>
      <c r="H146" s="188" t="s">
        <v>1345</v>
      </c>
      <c r="I146" s="201"/>
      <c r="J146" s="188" t="s">
        <v>1344</v>
      </c>
      <c r="K146" s="189">
        <v>7</v>
      </c>
      <c r="L146" s="190">
        <v>220</v>
      </c>
      <c r="M146" s="202" t="s">
        <v>5</v>
      </c>
      <c r="N146" s="203" t="s">
        <v>1444</v>
      </c>
      <c r="O146" s="202"/>
      <c r="P14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47" spans="1:16" x14ac:dyDescent="0.25">
      <c r="A147" s="197" t="str">
        <f>IFERROR(VLOOKUP(Tableau1[Nom],Tableau5[],COLUMN(Tableau5[Definition du costing : DVC ou non DVC]),FALSE),"")</f>
        <v>DVC</v>
      </c>
      <c r="B147" s="197" t="str">
        <f>IFERROR(VLOOKUP(Tableau1[Nom],Tableau5[],COLUMN(Tableau5[Nom de la société]),FALSE),"")</f>
        <v>Aub.</v>
      </c>
      <c r="C147" s="198" t="str">
        <f>IFERROR(VLOOKUP(Tableau1[Nom],Tableau5[],COLUMN(Tableau5[Nom du manager]),FALSE),"")</f>
        <v>SENEPART</v>
      </c>
      <c r="D147" s="199">
        <f>IFERROR(VLOOKUP(Tableau1[Nom],Tableau5[],COLUMN(Tableau5[Matricule]),FALSE),"")</f>
        <v>103081</v>
      </c>
      <c r="E147" s="200" t="s">
        <v>659</v>
      </c>
      <c r="F147" s="199" t="str">
        <f>IFERROR(VLOOKUP(Tableau1[Nom],Tableau5[],COLUMN(Tableau5[Prénom]),FALSE),"")</f>
        <v>Laurent</v>
      </c>
      <c r="G147" s="188" t="s">
        <v>9</v>
      </c>
      <c r="H147" s="188" t="s">
        <v>1326</v>
      </c>
      <c r="I147" s="201"/>
      <c r="J147" s="188" t="s">
        <v>1324</v>
      </c>
      <c r="K147" s="189">
        <v>1.5</v>
      </c>
      <c r="L147" s="190">
        <v>53</v>
      </c>
      <c r="M147" s="202" t="s">
        <v>5</v>
      </c>
      <c r="N147" s="203" t="s">
        <v>1444</v>
      </c>
      <c r="O147" s="202"/>
      <c r="P147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48" spans="1:16" x14ac:dyDescent="0.25">
      <c r="A148" s="197" t="str">
        <f>IFERROR(VLOOKUP(Tableau1[Nom],Tableau5[],COLUMN(Tableau5[Definition du costing : DVC ou non DVC]),FALSE),"")</f>
        <v>DVC</v>
      </c>
      <c r="B148" s="197" t="str">
        <f>IFERROR(VLOOKUP(Tableau1[Nom],Tableau5[],COLUMN(Tableau5[Nom de la société]),FALSE),"")</f>
        <v>Aub.</v>
      </c>
      <c r="C148" s="198" t="str">
        <f>IFERROR(VLOOKUP(Tableau1[Nom],Tableau5[],COLUMN(Tableau5[Nom du manager]),FALSE),"")</f>
        <v>SENEPART</v>
      </c>
      <c r="D148" s="199">
        <f>IFERROR(VLOOKUP(Tableau1[Nom],Tableau5[],COLUMN(Tableau5[Matricule]),FALSE),"")</f>
        <v>103081</v>
      </c>
      <c r="E148" s="200" t="s">
        <v>659</v>
      </c>
      <c r="F148" s="199" t="str">
        <f>IFERROR(VLOOKUP(Tableau1[Nom],Tableau5[],COLUMN(Tableau5[Prénom]),FALSE),"")</f>
        <v>Laurent</v>
      </c>
      <c r="G148" s="188" t="s">
        <v>9</v>
      </c>
      <c r="H148" s="188" t="s">
        <v>1340</v>
      </c>
      <c r="I148" s="201"/>
      <c r="J148" s="188" t="s">
        <v>1341</v>
      </c>
      <c r="K148" s="189">
        <v>7</v>
      </c>
      <c r="L148" s="190">
        <v>117</v>
      </c>
      <c r="M148" s="202" t="s">
        <v>5</v>
      </c>
      <c r="N148" s="203" t="s">
        <v>1444</v>
      </c>
      <c r="O148" s="202"/>
      <c r="P148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49" spans="1:16" x14ac:dyDescent="0.25">
      <c r="A149" s="191" t="str">
        <f>IFERROR(VLOOKUP(Tableau1[Nom],Tableau5[],COLUMN(Tableau5[Definition du costing : DVC ou non DVC]),FALSE),"")</f>
        <v>DVC</v>
      </c>
      <c r="B149" s="197" t="str">
        <f>IFERROR(VLOOKUP(Tableau1[Nom],Tableau5[],COLUMN(Tableau5[Nom de la société]),FALSE),"")</f>
        <v>STG</v>
      </c>
      <c r="C149" s="198" t="str">
        <f>IFERROR(VLOOKUP(Tableau1[Nom],Tableau5[],COLUMN(Tableau5[Nom du manager]),FALSE),"")</f>
        <v>XUEREB</v>
      </c>
      <c r="D149" s="199">
        <f>IFERROR(VLOOKUP(Tableau1[Nom],Tableau5[],COLUMN(Tableau5[Matricule]),FALSE),"")</f>
        <v>104638</v>
      </c>
      <c r="E149" s="187" t="s">
        <v>1001</v>
      </c>
      <c r="F149" s="199" t="str">
        <f>IFERROR(VLOOKUP(Tableau1[Nom],Tableau5[],COLUMN(Tableau5[Prénom]),FALSE),"")</f>
        <v>Frederic</v>
      </c>
      <c r="G149" s="188" t="s">
        <v>9</v>
      </c>
      <c r="H149" s="188" t="s">
        <v>1323</v>
      </c>
      <c r="I149" s="189"/>
      <c r="J149" s="188" t="s">
        <v>1324</v>
      </c>
      <c r="K149" s="189">
        <v>7</v>
      </c>
      <c r="L149" s="190">
        <v>124</v>
      </c>
      <c r="M149" s="202" t="s">
        <v>5</v>
      </c>
      <c r="N149" s="203" t="s">
        <v>1444</v>
      </c>
      <c r="O149" s="195"/>
      <c r="P149" s="289">
        <f>IFERROR(INDEX(Tableau2[],MATCH(Tableau1[[#This Row],[Nom]]&amp;Tableau1[[#This Row],[Intitulé]],INDEX(Tableau2[],,COLUMN(Tableau2[Clé Recherche])),0),COLUMN(Tableau2[Calendrier de réalisation])),"")</f>
        <v>0</v>
      </c>
    </row>
    <row r="150" spans="1:16" x14ac:dyDescent="0.25">
      <c r="A150" s="197" t="str">
        <f>IFERROR(VLOOKUP(Tableau1[Nom],Tableau5[],COLUMN(Tableau5[Definition du costing : DVC ou non DVC]),FALSE),"")</f>
        <v>DVC</v>
      </c>
      <c r="B150" s="197" t="str">
        <f>IFERROR(VLOOKUP(Tableau1[Nom],Tableau5[],COLUMN(Tableau5[Nom de la société]),FALSE),"")</f>
        <v>STG</v>
      </c>
      <c r="C150" s="198" t="str">
        <f>IFERROR(VLOOKUP(Tableau1[Nom],Tableau5[],COLUMN(Tableau5[Nom du manager]),FALSE),"")</f>
        <v>XUEREB</v>
      </c>
      <c r="D150" s="199">
        <f>IFERROR(VLOOKUP(Tableau1[Nom],Tableau5[],COLUMN(Tableau5[Matricule]),FALSE),"")</f>
        <v>104638</v>
      </c>
      <c r="E150" s="200" t="s">
        <v>1001</v>
      </c>
      <c r="F150" s="199" t="str">
        <f>IFERROR(VLOOKUP(Tableau1[Nom],Tableau5[],COLUMN(Tableau5[Prénom]),FALSE),"")</f>
        <v>Frederic</v>
      </c>
      <c r="G150" s="188" t="s">
        <v>9</v>
      </c>
      <c r="H150" s="188" t="s">
        <v>1326</v>
      </c>
      <c r="I150" s="201"/>
      <c r="J150" s="188" t="s">
        <v>1324</v>
      </c>
      <c r="K150" s="189">
        <v>1.5</v>
      </c>
      <c r="L150" s="190">
        <v>53</v>
      </c>
      <c r="M150" s="202" t="s">
        <v>5</v>
      </c>
      <c r="N150" s="203" t="s">
        <v>1444</v>
      </c>
      <c r="O150" s="202"/>
      <c r="P150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51" spans="1:16" x14ac:dyDescent="0.25">
      <c r="A151" s="197" t="str">
        <f>IFERROR(VLOOKUP(Tableau1[Nom],Tableau5[],COLUMN(Tableau5[Definition du costing : DVC ou non DVC]),FALSE),"")</f>
        <v>DVC</v>
      </c>
      <c r="B151" s="197" t="str">
        <f>IFERROR(VLOOKUP(Tableau1[Nom],Tableau5[],COLUMN(Tableau5[Nom de la société]),FALSE),"")</f>
        <v>STG</v>
      </c>
      <c r="C151" s="198" t="str">
        <f>IFERROR(VLOOKUP(Tableau1[Nom],Tableau5[],COLUMN(Tableau5[Nom du manager]),FALSE),"")</f>
        <v>XUEREB</v>
      </c>
      <c r="D151" s="199">
        <f>IFERROR(VLOOKUP(Tableau1[Nom],Tableau5[],COLUMN(Tableau5[Matricule]),FALSE),"")</f>
        <v>104638</v>
      </c>
      <c r="E151" s="200" t="s">
        <v>1001</v>
      </c>
      <c r="F151" s="199" t="str">
        <f>IFERROR(VLOOKUP(Tableau1[Nom],Tableau5[],COLUMN(Tableau5[Prénom]),FALSE),"")</f>
        <v>Frederic</v>
      </c>
      <c r="G151" s="188" t="s">
        <v>9</v>
      </c>
      <c r="H151" s="188" t="s">
        <v>1339</v>
      </c>
      <c r="I151" s="201"/>
      <c r="J151" s="188" t="s">
        <v>1324</v>
      </c>
      <c r="K151" s="189">
        <v>7</v>
      </c>
      <c r="L151" s="190">
        <v>165</v>
      </c>
      <c r="M151" s="202" t="s">
        <v>5</v>
      </c>
      <c r="N151" s="203" t="s">
        <v>1444</v>
      </c>
      <c r="O151" s="202"/>
      <c r="P15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52" spans="1:16" x14ac:dyDescent="0.25">
      <c r="A152" s="197" t="str">
        <f>IFERROR(VLOOKUP(Tableau1[Nom],Tableau5[],COLUMN(Tableau5[Definition du costing : DVC ou non DVC]),FALSE),"")</f>
        <v>DVC</v>
      </c>
      <c r="B152" s="197" t="str">
        <f>IFERROR(VLOOKUP(Tableau1[Nom],Tableau5[],COLUMN(Tableau5[Nom de la société]),FALSE),"")</f>
        <v>STG</v>
      </c>
      <c r="C152" s="198" t="str">
        <f>IFERROR(VLOOKUP(Tableau1[Nom],Tableau5[],COLUMN(Tableau5[Nom du manager]),FALSE),"")</f>
        <v>XUEREB</v>
      </c>
      <c r="D152" s="199">
        <f>IFERROR(VLOOKUP(Tableau1[Nom],Tableau5[],COLUMN(Tableau5[Matricule]),FALSE),"")</f>
        <v>104638</v>
      </c>
      <c r="E152" s="200" t="s">
        <v>1001</v>
      </c>
      <c r="F152" s="199" t="str">
        <f>IFERROR(VLOOKUP(Tableau1[Nom],Tableau5[],COLUMN(Tableau5[Prénom]),FALSE),"")</f>
        <v>Frederic</v>
      </c>
      <c r="G152" s="188" t="s">
        <v>9</v>
      </c>
      <c r="H152" s="188" t="s">
        <v>1340</v>
      </c>
      <c r="I152" s="201"/>
      <c r="J152" s="188" t="s">
        <v>1341</v>
      </c>
      <c r="K152" s="189">
        <v>7</v>
      </c>
      <c r="L152" s="190">
        <v>117</v>
      </c>
      <c r="M152" s="202" t="s">
        <v>5</v>
      </c>
      <c r="N152" s="203" t="s">
        <v>1444</v>
      </c>
      <c r="O152" s="202"/>
      <c r="P152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53" spans="1:16" x14ac:dyDescent="0.25">
      <c r="A153" s="197" t="str">
        <f>IFERROR(VLOOKUP(Tableau1[Nom],Tableau5[],COLUMN(Tableau5[Definition du costing : DVC ou non DVC]),FALSE),"")</f>
        <v>DVC</v>
      </c>
      <c r="B153" s="197" t="str">
        <f>IFERROR(VLOOKUP(Tableau1[Nom],Tableau5[],COLUMN(Tableau5[Nom de la société]),FALSE),"")</f>
        <v>STG</v>
      </c>
      <c r="C153" s="198" t="str">
        <f>IFERROR(VLOOKUP(Tableau1[Nom],Tableau5[],COLUMN(Tableau5[Nom du manager]),FALSE),"")</f>
        <v>XUEREB</v>
      </c>
      <c r="D153" s="199">
        <f>IFERROR(VLOOKUP(Tableau1[Nom],Tableau5[],COLUMN(Tableau5[Matricule]),FALSE),"")</f>
        <v>104638</v>
      </c>
      <c r="E153" s="200" t="s">
        <v>1001</v>
      </c>
      <c r="F153" s="199" t="str">
        <f>IFERROR(VLOOKUP(Tableau1[Nom],Tableau5[],COLUMN(Tableau5[Prénom]),FALSE),"")</f>
        <v>Frederic</v>
      </c>
      <c r="G153" s="188" t="s">
        <v>9</v>
      </c>
      <c r="H153" s="188" t="s">
        <v>1346</v>
      </c>
      <c r="I153" s="201"/>
      <c r="J153" s="188" t="s">
        <v>1344</v>
      </c>
      <c r="K153" s="189">
        <v>10.5</v>
      </c>
      <c r="L153" s="190">
        <v>260</v>
      </c>
      <c r="M153" s="202" t="s">
        <v>5</v>
      </c>
      <c r="N153" s="203" t="s">
        <v>1444</v>
      </c>
      <c r="O153" s="202"/>
      <c r="P15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54" spans="1:16" x14ac:dyDescent="0.25">
      <c r="A154" s="197" t="str">
        <f>IFERROR(VLOOKUP(Tableau1[Nom],Tableau5[],COLUMN(Tableau5[Definition du costing : DVC ou non DVC]),FALSE),"")</f>
        <v>DVC</v>
      </c>
      <c r="B154" s="197" t="str">
        <f>IFERROR(VLOOKUP(Tableau1[Nom],Tableau5[],COLUMN(Tableau5[Nom de la société]),FALSE),"")</f>
        <v>STG</v>
      </c>
      <c r="C154" s="198" t="str">
        <f>IFERROR(VLOOKUP(Tableau1[Nom],Tableau5[],COLUMN(Tableau5[Nom du manager]),FALSE),"")</f>
        <v>FOUASSIER</v>
      </c>
      <c r="D154" s="199">
        <f>IFERROR(VLOOKUP(Tableau1[Nom],Tableau5[],COLUMN(Tableau5[Matricule]),FALSE),"")</f>
        <v>76818</v>
      </c>
      <c r="E154" s="200" t="s">
        <v>1004</v>
      </c>
      <c r="F154" s="199" t="str">
        <f>IFERROR(VLOOKUP(Tableau1[Nom],Tableau5[],COLUMN(Tableau5[Prénom]),FALSE),"")</f>
        <v>Serge</v>
      </c>
      <c r="G154" s="188" t="s">
        <v>9</v>
      </c>
      <c r="H154" s="188" t="s">
        <v>1337</v>
      </c>
      <c r="I154" s="201"/>
      <c r="J154" s="188" t="s">
        <v>1324</v>
      </c>
      <c r="K154" s="189">
        <v>14</v>
      </c>
      <c r="L154" s="190">
        <v>297</v>
      </c>
      <c r="M154" s="202" t="s">
        <v>5</v>
      </c>
      <c r="N154" s="203" t="s">
        <v>1444</v>
      </c>
      <c r="O154" s="202"/>
      <c r="P15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55" spans="1:16" x14ac:dyDescent="0.25">
      <c r="A155" s="197" t="str">
        <f>IFERROR(VLOOKUP(Tableau1[Nom],Tableau5[],COLUMN(Tableau5[Definition du costing : DVC ou non DVC]),FALSE),"")</f>
        <v>Non DVC</v>
      </c>
      <c r="B155" s="197" t="str">
        <f>IFERROR(VLOOKUP(Tableau1[Nom],Tableau5[],COLUMN(Tableau5[Nom de la société]),FALSE),"")</f>
        <v>Aub.</v>
      </c>
      <c r="C155" s="198" t="str">
        <f>IFERROR(VLOOKUP(Tableau1[Nom],Tableau5[],COLUMN(Tableau5[Nom du manager]),FALSE),"")</f>
        <v>DARDARE</v>
      </c>
      <c r="D155" s="199">
        <f>IFERROR(VLOOKUP(Tableau1[Nom],Tableau5[],COLUMN(Tableau5[Matricule]),FALSE),"")</f>
        <v>103004</v>
      </c>
      <c r="E155" s="200" t="s">
        <v>662</v>
      </c>
      <c r="F155" s="199" t="str">
        <f>IFERROR(VLOOKUP(Tableau1[Nom],Tableau5[],COLUMN(Tableau5[Prénom]),FALSE),"")</f>
        <v>Ouali</v>
      </c>
      <c r="G155" s="188" t="s">
        <v>9</v>
      </c>
      <c r="H155" s="188" t="s">
        <v>1326</v>
      </c>
      <c r="I155" s="201"/>
      <c r="J155" s="188" t="s">
        <v>1324</v>
      </c>
      <c r="K155" s="189">
        <v>1.5</v>
      </c>
      <c r="L155" s="190">
        <v>53</v>
      </c>
      <c r="M155" s="202" t="s">
        <v>5</v>
      </c>
      <c r="N155" s="203" t="s">
        <v>1444</v>
      </c>
      <c r="O155" s="202"/>
      <c r="P155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56" spans="1:16" x14ac:dyDescent="0.25">
      <c r="A156" s="197" t="str">
        <f>IFERROR(VLOOKUP(Tableau1[Nom],Tableau5[],COLUMN(Tableau5[Definition du costing : DVC ou non DVC]),FALSE),"")</f>
        <v>Non DVC</v>
      </c>
      <c r="B156" s="197" t="str">
        <f>IFERROR(VLOOKUP(Tableau1[Nom],Tableau5[],COLUMN(Tableau5[Nom de la société]),FALSE),"")</f>
        <v>Aub.</v>
      </c>
      <c r="C156" s="198" t="str">
        <f>IFERROR(VLOOKUP(Tableau1[Nom],Tableau5[],COLUMN(Tableau5[Nom du manager]),FALSE),"")</f>
        <v>DARDARE</v>
      </c>
      <c r="D156" s="199">
        <f>IFERROR(VLOOKUP(Tableau1[Nom],Tableau5[],COLUMN(Tableau5[Matricule]),FALSE),"")</f>
        <v>103004</v>
      </c>
      <c r="E156" s="200" t="s">
        <v>662</v>
      </c>
      <c r="F156" s="199" t="str">
        <f>IFERROR(VLOOKUP(Tableau1[Nom],Tableau5[],COLUMN(Tableau5[Prénom]),FALSE),"")</f>
        <v>Ouali</v>
      </c>
      <c r="G156" s="188" t="s">
        <v>9</v>
      </c>
      <c r="H156" s="188" t="s">
        <v>1340</v>
      </c>
      <c r="I156" s="201"/>
      <c r="J156" s="188" t="s">
        <v>1341</v>
      </c>
      <c r="K156" s="189">
        <v>7</v>
      </c>
      <c r="L156" s="190">
        <v>117</v>
      </c>
      <c r="M156" s="202" t="s">
        <v>5</v>
      </c>
      <c r="N156" s="203" t="s">
        <v>1444</v>
      </c>
      <c r="O156" s="202"/>
      <c r="P15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57" spans="1:16" x14ac:dyDescent="0.25">
      <c r="A157" s="197" t="str">
        <f>IFERROR(VLOOKUP(Tableau1[Nom],Tableau5[],COLUMN(Tableau5[Definition du costing : DVC ou non DVC]),FALSE),"")</f>
        <v>DVC</v>
      </c>
      <c r="B157" s="197" t="str">
        <f>IFERROR(VLOOKUP(Tableau1[Nom],Tableau5[],COLUMN(Tableau5[Nom de la société]),FALSE),"")</f>
        <v>Aub.</v>
      </c>
      <c r="C157" s="198" t="str">
        <f>IFERROR(VLOOKUP(Tableau1[Nom],Tableau5[],COLUMN(Tableau5[Nom du manager]),FALSE),"")</f>
        <v>PIFFAUT</v>
      </c>
      <c r="D157" s="199">
        <f>IFERROR(VLOOKUP(Tableau1[Nom],Tableau5[],COLUMN(Tableau5[Matricule]),FALSE),"")</f>
        <v>103046</v>
      </c>
      <c r="E157" s="200" t="s">
        <v>666</v>
      </c>
      <c r="F157" s="199" t="str">
        <f>IFERROR(VLOOKUP(Tableau1[Nom],Tableau5[],COLUMN(Tableau5[Prénom]),FALSE),"")</f>
        <v>Thierry</v>
      </c>
      <c r="G157" s="188" t="s">
        <v>9</v>
      </c>
      <c r="H157" s="188" t="s">
        <v>1326</v>
      </c>
      <c r="I157" s="201"/>
      <c r="J157" s="188" t="s">
        <v>1324</v>
      </c>
      <c r="K157" s="189">
        <v>1.5</v>
      </c>
      <c r="L157" s="190">
        <v>53</v>
      </c>
      <c r="M157" s="202" t="s">
        <v>5</v>
      </c>
      <c r="N157" s="203" t="s">
        <v>1444</v>
      </c>
      <c r="O157" s="202"/>
      <c r="P157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58" spans="1:16" x14ac:dyDescent="0.25">
      <c r="A158" s="197" t="str">
        <f>IFERROR(VLOOKUP(Tableau1[Nom],Tableau5[],COLUMN(Tableau5[Definition du costing : DVC ou non DVC]),FALSE),"")</f>
        <v>DVC</v>
      </c>
      <c r="B158" s="197" t="str">
        <f>IFERROR(VLOOKUP(Tableau1[Nom],Tableau5[],COLUMN(Tableau5[Nom de la société]),FALSE),"")</f>
        <v>Aub.</v>
      </c>
      <c r="C158" s="198" t="str">
        <f>IFERROR(VLOOKUP(Tableau1[Nom],Tableau5[],COLUMN(Tableau5[Nom du manager]),FALSE),"")</f>
        <v>PIFFAUT</v>
      </c>
      <c r="D158" s="199">
        <f>IFERROR(VLOOKUP(Tableau1[Nom],Tableau5[],COLUMN(Tableau5[Matricule]),FALSE),"")</f>
        <v>103046</v>
      </c>
      <c r="E158" s="200" t="s">
        <v>666</v>
      </c>
      <c r="F158" s="199" t="str">
        <f>IFERROR(VLOOKUP(Tableau1[Nom],Tableau5[],COLUMN(Tableau5[Prénom]),FALSE),"")</f>
        <v>Thierry</v>
      </c>
      <c r="G158" s="188" t="s">
        <v>9</v>
      </c>
      <c r="H158" s="188" t="s">
        <v>1346</v>
      </c>
      <c r="I158" s="201"/>
      <c r="J158" s="188" t="s">
        <v>1344</v>
      </c>
      <c r="K158" s="189">
        <v>10.5</v>
      </c>
      <c r="L158" s="190">
        <v>260</v>
      </c>
      <c r="M158" s="202" t="s">
        <v>5</v>
      </c>
      <c r="N158" s="203" t="s">
        <v>1444</v>
      </c>
      <c r="O158" s="202"/>
      <c r="P158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59" spans="1:16" x14ac:dyDescent="0.25">
      <c r="A159" s="191" t="str">
        <f>IFERROR(VLOOKUP(Tableau1[Nom],Tableau5[],COLUMN(Tableau5[Definition du costing : DVC ou non DVC]),FALSE),"")</f>
        <v>DVC</v>
      </c>
      <c r="B159" s="197" t="str">
        <f>IFERROR(VLOOKUP(Tableau1[Nom],Tableau5[],COLUMN(Tableau5[Nom de la société]),FALSE),"")</f>
        <v>STG</v>
      </c>
      <c r="C159" s="198" t="str">
        <f>IFERROR(VLOOKUP(Tableau1[Nom],Tableau5[],COLUMN(Tableau5[Nom du manager]),FALSE),"")</f>
        <v>BUISSON</v>
      </c>
      <c r="D159" s="199">
        <f>IFERROR(VLOOKUP(Tableau1[Nom],Tableau5[],COLUMN(Tableau5[Matricule]),FALSE),"")</f>
        <v>104656</v>
      </c>
      <c r="E159" s="187" t="s">
        <v>1011</v>
      </c>
      <c r="F159" s="199" t="str">
        <f>IFERROR(VLOOKUP(Tableau1[Nom],Tableau5[],COLUMN(Tableau5[Prénom]),FALSE),"")</f>
        <v>Thierry</v>
      </c>
      <c r="G159" s="188" t="s">
        <v>9</v>
      </c>
      <c r="H159" s="188" t="s">
        <v>1323</v>
      </c>
      <c r="I159" s="189"/>
      <c r="J159" s="188" t="s">
        <v>1324</v>
      </c>
      <c r="K159" s="189">
        <v>7</v>
      </c>
      <c r="L159" s="190">
        <v>124</v>
      </c>
      <c r="M159" s="202" t="s">
        <v>5</v>
      </c>
      <c r="N159" s="203" t="s">
        <v>1444</v>
      </c>
      <c r="O159" s="195"/>
      <c r="P159" s="289">
        <f>IFERROR(INDEX(Tableau2[],MATCH(Tableau1[[#This Row],[Nom]]&amp;Tableau1[[#This Row],[Intitulé]],INDEX(Tableau2[],,COLUMN(Tableau2[Clé Recherche])),0),COLUMN(Tableau2[Calendrier de réalisation])),"")</f>
        <v>0</v>
      </c>
    </row>
    <row r="160" spans="1:16" x14ac:dyDescent="0.25">
      <c r="A160" s="197" t="str">
        <f>IFERROR(VLOOKUP(Tableau1[Nom],Tableau5[],COLUMN(Tableau5[Definition du costing : DVC ou non DVC]),FALSE),"")</f>
        <v>DVC</v>
      </c>
      <c r="B160" s="197" t="str">
        <f>IFERROR(VLOOKUP(Tableau1[Nom],Tableau5[],COLUMN(Tableau5[Nom de la société]),FALSE),"")</f>
        <v>STG</v>
      </c>
      <c r="C160" s="198" t="str">
        <f>IFERROR(VLOOKUP(Tableau1[Nom],Tableau5[],COLUMN(Tableau5[Nom du manager]),FALSE),"")</f>
        <v>BUISSON</v>
      </c>
      <c r="D160" s="199">
        <f>IFERROR(VLOOKUP(Tableau1[Nom],Tableau5[],COLUMN(Tableau5[Matricule]),FALSE),"")</f>
        <v>104656</v>
      </c>
      <c r="E160" s="200" t="s">
        <v>1011</v>
      </c>
      <c r="F160" s="199" t="str">
        <f>IFERROR(VLOOKUP(Tableau1[Nom],Tableau5[],COLUMN(Tableau5[Prénom]),FALSE),"")</f>
        <v>Thierry</v>
      </c>
      <c r="G160" s="188" t="s">
        <v>9</v>
      </c>
      <c r="H160" s="188" t="s">
        <v>1346</v>
      </c>
      <c r="I160" s="201"/>
      <c r="J160" s="188" t="s">
        <v>1344</v>
      </c>
      <c r="K160" s="189">
        <v>10.5</v>
      </c>
      <c r="L160" s="190">
        <v>260</v>
      </c>
      <c r="M160" s="202" t="s">
        <v>5</v>
      </c>
      <c r="N160" s="203" t="s">
        <v>1444</v>
      </c>
      <c r="O160" s="202"/>
      <c r="P16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61" spans="1:16" x14ac:dyDescent="0.25">
      <c r="A161" s="197" t="str">
        <f>IFERROR(VLOOKUP(Tableau1[Nom],Tableau5[],COLUMN(Tableau5[Definition du costing : DVC ou non DVC]),FALSE),"")</f>
        <v>DVC</v>
      </c>
      <c r="B161" s="197" t="str">
        <f>IFERROR(VLOOKUP(Tableau1[Nom],Tableau5[],COLUMN(Tableau5[Nom de la société]),FALSE),"")</f>
        <v>Aub.</v>
      </c>
      <c r="C161" s="198" t="str">
        <f>IFERROR(VLOOKUP(Tableau1[Nom],Tableau5[],COLUMN(Tableau5[Nom du manager]),FALSE),"")</f>
        <v>SAVY</v>
      </c>
      <c r="D161" s="199">
        <f>IFERROR(VLOOKUP(Tableau1[Nom],Tableau5[],COLUMN(Tableau5[Matricule]),FALSE),"")</f>
        <v>103093</v>
      </c>
      <c r="E161" s="200" t="s">
        <v>672</v>
      </c>
      <c r="F161" s="199" t="str">
        <f>IFERROR(VLOOKUP(Tableau1[Nom],Tableau5[],COLUMN(Tableau5[Prénom]),FALSE),"")</f>
        <v>Pierre</v>
      </c>
      <c r="G161" s="188" t="s">
        <v>9</v>
      </c>
      <c r="H161" s="188" t="s">
        <v>1333</v>
      </c>
      <c r="I161" s="201"/>
      <c r="J161" s="188" t="s">
        <v>1324</v>
      </c>
      <c r="K161" s="189">
        <v>7</v>
      </c>
      <c r="L161" s="190">
        <v>162</v>
      </c>
      <c r="M161" s="202" t="s">
        <v>5</v>
      </c>
      <c r="N161" s="203" t="s">
        <v>1444</v>
      </c>
      <c r="O161" s="202"/>
      <c r="P161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62" spans="1:16" x14ac:dyDescent="0.25">
      <c r="A162" s="191" t="str">
        <f>IFERROR(VLOOKUP(Tableau1[Nom],Tableau5[],COLUMN(Tableau5[Definition du costing : DVC ou non DVC]),FALSE),"")</f>
        <v>DVC</v>
      </c>
      <c r="B162" s="197" t="str">
        <f>IFERROR(VLOOKUP(Tableau1[Nom],Tableau5[],COLUMN(Tableau5[Nom de la société]),FALSE),"")</f>
        <v>STG</v>
      </c>
      <c r="C162" s="198" t="str">
        <f>IFERROR(VLOOKUP(Tableau1[Nom],Tableau5[],COLUMN(Tableau5[Nom du manager]),FALSE),"")</f>
        <v>XUEREB</v>
      </c>
      <c r="D162" s="199">
        <f>IFERROR(VLOOKUP(Tableau1[Nom],Tableau5[],COLUMN(Tableau5[Matricule]),FALSE),"")</f>
        <v>104655</v>
      </c>
      <c r="E162" s="187" t="s">
        <v>1029</v>
      </c>
      <c r="F162" s="199" t="str">
        <f>IFERROR(VLOOKUP(Tableau1[Nom],Tableau5[],COLUMN(Tableau5[Prénom]),FALSE),"")</f>
        <v>Eric</v>
      </c>
      <c r="G162" s="188" t="s">
        <v>9</v>
      </c>
      <c r="H162" s="188" t="s">
        <v>1323</v>
      </c>
      <c r="I162" s="189"/>
      <c r="J162" s="188" t="s">
        <v>1324</v>
      </c>
      <c r="K162" s="189">
        <v>7</v>
      </c>
      <c r="L162" s="190">
        <v>124</v>
      </c>
      <c r="M162" s="202" t="s">
        <v>5</v>
      </c>
      <c r="N162" s="203" t="s">
        <v>1444</v>
      </c>
      <c r="O162" s="195"/>
      <c r="P162" s="289">
        <f>IFERROR(INDEX(Tableau2[],MATCH(Tableau1[[#This Row],[Nom]]&amp;Tableau1[[#This Row],[Intitulé]],INDEX(Tableau2[],,COLUMN(Tableau2[Clé Recherche])),0),COLUMN(Tableau2[Calendrier de réalisation])),"")</f>
        <v>0</v>
      </c>
    </row>
    <row r="163" spans="1:16" x14ac:dyDescent="0.25">
      <c r="A163" s="197" t="str">
        <f>IFERROR(VLOOKUP(Tableau1[Nom],Tableau5[],COLUMN(Tableau5[Definition du costing : DVC ou non DVC]),FALSE),"")</f>
        <v>DVC</v>
      </c>
      <c r="B163" s="197" t="str">
        <f>IFERROR(VLOOKUP(Tableau1[Nom],Tableau5[],COLUMN(Tableau5[Nom de la société]),FALSE),"")</f>
        <v>STG</v>
      </c>
      <c r="C163" s="198" t="str">
        <f>IFERROR(VLOOKUP(Tableau1[Nom],Tableau5[],COLUMN(Tableau5[Nom du manager]),FALSE),"")</f>
        <v>XUEREB</v>
      </c>
      <c r="D163" s="199">
        <f>IFERROR(VLOOKUP(Tableau1[Nom],Tableau5[],COLUMN(Tableau5[Matricule]),FALSE),"")</f>
        <v>104655</v>
      </c>
      <c r="E163" s="200" t="s">
        <v>1029</v>
      </c>
      <c r="F163" s="199" t="str">
        <f>IFERROR(VLOOKUP(Tableau1[Nom],Tableau5[],COLUMN(Tableau5[Prénom]),FALSE),"")</f>
        <v>Eric</v>
      </c>
      <c r="G163" s="188" t="s">
        <v>9</v>
      </c>
      <c r="H163" s="188" t="s">
        <v>1333</v>
      </c>
      <c r="I163" s="201"/>
      <c r="J163" s="188" t="s">
        <v>1324</v>
      </c>
      <c r="K163" s="189">
        <v>7</v>
      </c>
      <c r="L163" s="190">
        <v>162</v>
      </c>
      <c r="M163" s="202" t="s">
        <v>5</v>
      </c>
      <c r="N163" s="203" t="s">
        <v>1444</v>
      </c>
      <c r="O163" s="202"/>
      <c r="P16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64" spans="1:16" x14ac:dyDescent="0.25">
      <c r="A164" s="197" t="str">
        <f>IFERROR(VLOOKUP(Tableau1[Nom],Tableau5[],COLUMN(Tableau5[Definition du costing : DVC ou non DVC]),FALSE),"")</f>
        <v>DVC</v>
      </c>
      <c r="B164" s="197" t="str">
        <f>IFERROR(VLOOKUP(Tableau1[Nom],Tableau5[],COLUMN(Tableau5[Nom de la société]),FALSE),"")</f>
        <v>STG</v>
      </c>
      <c r="C164" s="198" t="str">
        <f>IFERROR(VLOOKUP(Tableau1[Nom],Tableau5[],COLUMN(Tableau5[Nom du manager]),FALSE),"")</f>
        <v>XUEREB</v>
      </c>
      <c r="D164" s="199">
        <f>IFERROR(VLOOKUP(Tableau1[Nom],Tableau5[],COLUMN(Tableau5[Matricule]),FALSE),"")</f>
        <v>104655</v>
      </c>
      <c r="E164" s="200" t="s">
        <v>1029</v>
      </c>
      <c r="F164" s="199" t="str">
        <f>IFERROR(VLOOKUP(Tableau1[Nom],Tableau5[],COLUMN(Tableau5[Prénom]),FALSE),"")</f>
        <v>Eric</v>
      </c>
      <c r="G164" s="188" t="s">
        <v>9</v>
      </c>
      <c r="H164" s="188" t="s">
        <v>1340</v>
      </c>
      <c r="I164" s="201"/>
      <c r="J164" s="188" t="s">
        <v>1341</v>
      </c>
      <c r="K164" s="189">
        <v>7</v>
      </c>
      <c r="L164" s="190">
        <v>117</v>
      </c>
      <c r="M164" s="202" t="s">
        <v>5</v>
      </c>
      <c r="N164" s="203" t="s">
        <v>1444</v>
      </c>
      <c r="O164" s="202"/>
      <c r="P16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65" spans="1:16" x14ac:dyDescent="0.25">
      <c r="A165" s="197" t="str">
        <f>IFERROR(VLOOKUP(Tableau1[Nom],Tableau5[],COLUMN(Tableau5[Definition du costing : DVC ou non DVC]),FALSE),"")</f>
        <v>DVC</v>
      </c>
      <c r="B165" s="197" t="str">
        <f>IFERROR(VLOOKUP(Tableau1[Nom],Tableau5[],COLUMN(Tableau5[Nom de la société]),FALSE),"")</f>
        <v>Aub.</v>
      </c>
      <c r="C165" s="198" t="str">
        <f>IFERROR(VLOOKUP(Tableau1[Nom],Tableau5[],COLUMN(Tableau5[Nom du manager]),FALSE),"")</f>
        <v>ALIX</v>
      </c>
      <c r="D165" s="199">
        <f>IFERROR(VLOOKUP(Tableau1[Nom],Tableau5[],COLUMN(Tableau5[Matricule]),FALSE),"")</f>
        <v>103063</v>
      </c>
      <c r="E165" s="200" t="s">
        <v>676</v>
      </c>
      <c r="F165" s="199" t="str">
        <f>IFERROR(VLOOKUP(Tableau1[Nom],Tableau5[],COLUMN(Tableau5[Prénom]),FALSE),"")</f>
        <v>Alain</v>
      </c>
      <c r="G165" s="188" t="s">
        <v>9</v>
      </c>
      <c r="H165" s="188" t="s">
        <v>1340</v>
      </c>
      <c r="I165" s="201"/>
      <c r="J165" s="188" t="s">
        <v>1341</v>
      </c>
      <c r="K165" s="189">
        <v>7</v>
      </c>
      <c r="L165" s="190">
        <v>117</v>
      </c>
      <c r="M165" s="202" t="s">
        <v>5</v>
      </c>
      <c r="N165" s="203" t="s">
        <v>1444</v>
      </c>
      <c r="O165" s="202"/>
      <c r="P16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66" spans="1:16" x14ac:dyDescent="0.25">
      <c r="A166" s="191" t="str">
        <f>IFERROR(VLOOKUP(Tableau1[Nom],Tableau5[],COLUMN(Tableau5[Definition du costing : DVC ou non DVC]),FALSE),"")</f>
        <v>DVC</v>
      </c>
      <c r="B166" s="197" t="str">
        <f>IFERROR(VLOOKUP(Tableau1[Nom],Tableau5[],COLUMN(Tableau5[Nom de la société]),FALSE),"")</f>
        <v>STG</v>
      </c>
      <c r="C166" s="198" t="str">
        <f>IFERROR(VLOOKUP(Tableau1[Nom],Tableau5[],COLUMN(Tableau5[Nom du manager]),FALSE),"")</f>
        <v>XUEREB</v>
      </c>
      <c r="D166" s="199">
        <f>IFERROR(VLOOKUP(Tableau1[Nom],Tableau5[],COLUMN(Tableau5[Matricule]),FALSE),"")</f>
        <v>10555049</v>
      </c>
      <c r="E166" s="187" t="s">
        <v>1032</v>
      </c>
      <c r="F166" s="199" t="str">
        <f>IFERROR(VLOOKUP(Tableau1[Nom],Tableau5[],COLUMN(Tableau5[Prénom]),FALSE),"")</f>
        <v>Christophe</v>
      </c>
      <c r="G166" s="188" t="s">
        <v>9</v>
      </c>
      <c r="H166" s="188" t="s">
        <v>1323</v>
      </c>
      <c r="I166" s="189"/>
      <c r="J166" s="188" t="s">
        <v>1324</v>
      </c>
      <c r="K166" s="189">
        <v>7</v>
      </c>
      <c r="L166" s="190">
        <v>124</v>
      </c>
      <c r="M166" s="202" t="s">
        <v>5</v>
      </c>
      <c r="N166" s="203" t="s">
        <v>1444</v>
      </c>
      <c r="O166" s="195"/>
      <c r="P166" s="289">
        <f>IFERROR(INDEX(Tableau2[],MATCH(Tableau1[[#This Row],[Nom]]&amp;Tableau1[[#This Row],[Intitulé]],INDEX(Tableau2[],,COLUMN(Tableau2[Clé Recherche])),0),COLUMN(Tableau2[Calendrier de réalisation])),"")</f>
        <v>0</v>
      </c>
    </row>
    <row r="167" spans="1:16" x14ac:dyDescent="0.25">
      <c r="A167" s="197" t="str">
        <f>IFERROR(VLOOKUP(Tableau1[Nom],Tableau5[],COLUMN(Tableau5[Definition du costing : DVC ou non DVC]),FALSE),"")</f>
        <v>DVC</v>
      </c>
      <c r="B167" s="197" t="str">
        <f>IFERROR(VLOOKUP(Tableau1[Nom],Tableau5[],COLUMN(Tableau5[Nom de la société]),FALSE),"")</f>
        <v>Aub.</v>
      </c>
      <c r="C167" s="198" t="str">
        <f>IFERROR(VLOOKUP(Tableau1[Nom],Tableau5[],COLUMN(Tableau5[Nom du manager]),FALSE),"")</f>
        <v>ALIX</v>
      </c>
      <c r="D167" s="199">
        <f>IFERROR(VLOOKUP(Tableau1[Nom],Tableau5[],COLUMN(Tableau5[Matricule]),FALSE),"")</f>
        <v>102985</v>
      </c>
      <c r="E167" s="200" t="s">
        <v>679</v>
      </c>
      <c r="F167" s="199" t="str">
        <f>IFERROR(VLOOKUP(Tableau1[Nom],Tableau5[],COLUMN(Tableau5[Prénom]),FALSE),"")</f>
        <v>Eric</v>
      </c>
      <c r="G167" s="188" t="s">
        <v>9</v>
      </c>
      <c r="H167" s="188" t="s">
        <v>1346</v>
      </c>
      <c r="I167" s="201"/>
      <c r="J167" s="188" t="s">
        <v>1344</v>
      </c>
      <c r="K167" s="189">
        <v>10.5</v>
      </c>
      <c r="L167" s="190">
        <v>260</v>
      </c>
      <c r="M167" s="202" t="s">
        <v>5</v>
      </c>
      <c r="N167" s="203" t="s">
        <v>1444</v>
      </c>
      <c r="O167" s="202"/>
      <c r="P16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68" spans="1:16" x14ac:dyDescent="0.25">
      <c r="A168" s="197" t="str">
        <f>IFERROR(VLOOKUP(Tableau1[Nom],Tableau5[],COLUMN(Tableau5[Definition du costing : DVC ou non DVC]),FALSE),"")</f>
        <v>DVC</v>
      </c>
      <c r="B168" s="197" t="str">
        <f>IFERROR(VLOOKUP(Tableau1[Nom],Tableau5[],COLUMN(Tableau5[Nom de la société]),FALSE),"")</f>
        <v>Aub.</v>
      </c>
      <c r="C168" s="198" t="str">
        <f>IFERROR(VLOOKUP(Tableau1[Nom],Tableau5[],COLUMN(Tableau5[Nom du manager]),FALSE),"")</f>
        <v>FUENTES</v>
      </c>
      <c r="D168" s="199">
        <f>IFERROR(VLOOKUP(Tableau1[Nom],Tableau5[],COLUMN(Tableau5[Matricule]),FALSE),"")</f>
        <v>103035</v>
      </c>
      <c r="E168" s="200" t="s">
        <v>682</v>
      </c>
      <c r="F168" s="199" t="str">
        <f>IFERROR(VLOOKUP(Tableau1[Nom],Tableau5[],COLUMN(Tableau5[Prénom]),FALSE),"")</f>
        <v>Bernard</v>
      </c>
      <c r="G168" s="188" t="s">
        <v>9</v>
      </c>
      <c r="H168" s="188" t="s">
        <v>1326</v>
      </c>
      <c r="I168" s="201"/>
      <c r="J168" s="188" t="s">
        <v>1324</v>
      </c>
      <c r="K168" s="189">
        <v>1.5</v>
      </c>
      <c r="L168" s="190">
        <v>53</v>
      </c>
      <c r="M168" s="202" t="s">
        <v>5</v>
      </c>
      <c r="N168" s="203" t="s">
        <v>1444</v>
      </c>
      <c r="O168" s="202"/>
      <c r="P168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69" spans="1:16" x14ac:dyDescent="0.25">
      <c r="A169" s="197" t="str">
        <f>IFERROR(VLOOKUP(Tableau1[Nom],Tableau5[],COLUMN(Tableau5[Definition du costing : DVC ou non DVC]),FALSE),"")</f>
        <v>DVC</v>
      </c>
      <c r="B169" s="197" t="str">
        <f>IFERROR(VLOOKUP(Tableau1[Nom],Tableau5[],COLUMN(Tableau5[Nom de la société]),FALSE),"")</f>
        <v>Aub.</v>
      </c>
      <c r="C169" s="198" t="str">
        <f>IFERROR(VLOOKUP(Tableau1[Nom],Tableau5[],COLUMN(Tableau5[Nom du manager]),FALSE),"")</f>
        <v>FUENTES</v>
      </c>
      <c r="D169" s="199">
        <f>IFERROR(VLOOKUP(Tableau1[Nom],Tableau5[],COLUMN(Tableau5[Matricule]),FALSE),"")</f>
        <v>103035</v>
      </c>
      <c r="E169" s="200" t="s">
        <v>682</v>
      </c>
      <c r="F169" s="199" t="str">
        <f>IFERROR(VLOOKUP(Tableau1[Nom],Tableau5[],COLUMN(Tableau5[Prénom]),FALSE),"")</f>
        <v>Bernard</v>
      </c>
      <c r="G169" s="188" t="s">
        <v>9</v>
      </c>
      <c r="H169" s="188" t="s">
        <v>1333</v>
      </c>
      <c r="I169" s="201"/>
      <c r="J169" s="188" t="s">
        <v>1324</v>
      </c>
      <c r="K169" s="189">
        <v>7</v>
      </c>
      <c r="L169" s="190">
        <v>162</v>
      </c>
      <c r="M169" s="202" t="s">
        <v>5</v>
      </c>
      <c r="N169" s="203" t="s">
        <v>1444</v>
      </c>
      <c r="O169" s="202"/>
      <c r="P169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70" spans="1:16" x14ac:dyDescent="0.25">
      <c r="A170" s="191" t="str">
        <f>IFERROR(VLOOKUP(Tableau1[Nom],Tableau5[],COLUMN(Tableau5[Definition du costing : DVC ou non DVC]),FALSE),"")</f>
        <v>DVC</v>
      </c>
      <c r="B170" s="197" t="str">
        <f>IFERROR(VLOOKUP(Tableau1[Nom],Tableau5[],COLUMN(Tableau5[Nom de la société]),FALSE),"")</f>
        <v>STG</v>
      </c>
      <c r="C170" s="198" t="str">
        <f>IFERROR(VLOOKUP(Tableau1[Nom],Tableau5[],COLUMN(Tableau5[Nom du manager]),FALSE),"")</f>
        <v>XUEREB</v>
      </c>
      <c r="D170" s="199">
        <f>IFERROR(VLOOKUP(Tableau1[Nom],Tableau5[],COLUMN(Tableau5[Matricule]),FALSE),"")</f>
        <v>104685</v>
      </c>
      <c r="E170" s="187" t="s">
        <v>1039</v>
      </c>
      <c r="F170" s="199" t="str">
        <f>IFERROR(VLOOKUP(Tableau1[Nom],Tableau5[],COLUMN(Tableau5[Prénom]),FALSE),"")</f>
        <v>Michel</v>
      </c>
      <c r="G170" s="188" t="s">
        <v>9</v>
      </c>
      <c r="H170" s="188" t="s">
        <v>1323</v>
      </c>
      <c r="I170" s="189"/>
      <c r="J170" s="188" t="s">
        <v>1324</v>
      </c>
      <c r="K170" s="189">
        <v>7</v>
      </c>
      <c r="L170" s="190">
        <v>124</v>
      </c>
      <c r="M170" s="202" t="s">
        <v>5</v>
      </c>
      <c r="N170" s="203" t="s">
        <v>1444</v>
      </c>
      <c r="O170" s="195"/>
      <c r="P170" s="289">
        <f>IFERROR(INDEX(Tableau2[],MATCH(Tableau1[[#This Row],[Nom]]&amp;Tableau1[[#This Row],[Intitulé]],INDEX(Tableau2[],,COLUMN(Tableau2[Clé Recherche])),0),COLUMN(Tableau2[Calendrier de réalisation])),"")</f>
        <v>0</v>
      </c>
    </row>
    <row r="171" spans="1:16" x14ac:dyDescent="0.25">
      <c r="A171" s="197" t="str">
        <f>IFERROR(VLOOKUP(Tableau1[Nom],Tableau5[],COLUMN(Tableau5[Definition du costing : DVC ou non DVC]),FALSE),"")</f>
        <v>DVC</v>
      </c>
      <c r="B171" s="197" t="str">
        <f>IFERROR(VLOOKUP(Tableau1[Nom],Tableau5[],COLUMN(Tableau5[Nom de la société]),FALSE),"")</f>
        <v>STG</v>
      </c>
      <c r="C171" s="198" t="str">
        <f>IFERROR(VLOOKUP(Tableau1[Nom],Tableau5[],COLUMN(Tableau5[Nom du manager]),FALSE),"")</f>
        <v>XUEREB</v>
      </c>
      <c r="D171" s="199">
        <f>IFERROR(VLOOKUP(Tableau1[Nom],Tableau5[],COLUMN(Tableau5[Matricule]),FALSE),"")</f>
        <v>104685</v>
      </c>
      <c r="E171" s="200" t="s">
        <v>1039</v>
      </c>
      <c r="F171" s="199" t="str">
        <f>IFERROR(VLOOKUP(Tableau1[Nom],Tableau5[],COLUMN(Tableau5[Prénom]),FALSE),"")</f>
        <v>Michel</v>
      </c>
      <c r="G171" s="188" t="s">
        <v>9</v>
      </c>
      <c r="H171" s="188" t="s">
        <v>1326</v>
      </c>
      <c r="I171" s="201"/>
      <c r="J171" s="188" t="s">
        <v>1324</v>
      </c>
      <c r="K171" s="189">
        <v>1.5</v>
      </c>
      <c r="L171" s="190">
        <v>53</v>
      </c>
      <c r="M171" s="202" t="s">
        <v>5</v>
      </c>
      <c r="N171" s="203" t="s">
        <v>1444</v>
      </c>
      <c r="O171" s="202"/>
      <c r="P171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72" spans="1:16" x14ac:dyDescent="0.25">
      <c r="A172" s="197" t="str">
        <f>IFERROR(VLOOKUP(Tableau1[Nom],Tableau5[],COLUMN(Tableau5[Definition du costing : DVC ou non DVC]),FALSE),"")</f>
        <v>Non DVC</v>
      </c>
      <c r="B172" s="197" t="str">
        <f>IFERROR(VLOOKUP(Tableau1[Nom],Tableau5[],COLUMN(Tableau5[Nom de la société]),FALSE),"")</f>
        <v>Aub.</v>
      </c>
      <c r="C172" s="198" t="str">
        <f>IFERROR(VLOOKUP(Tableau1[Nom],Tableau5[],COLUMN(Tableau5[Nom du manager]),FALSE),"")</f>
        <v>PIFFAUT</v>
      </c>
      <c r="D172" s="199">
        <f>IFERROR(VLOOKUP(Tableau1[Nom],Tableau5[],COLUMN(Tableau5[Matricule]),FALSE),"")</f>
        <v>103114</v>
      </c>
      <c r="E172" s="200" t="s">
        <v>379</v>
      </c>
      <c r="F172" s="199" t="str">
        <f>IFERROR(VLOOKUP(Tableau1[Nom],Tableau5[],COLUMN(Tableau5[Prénom]),FALSE),"")</f>
        <v>Patrick</v>
      </c>
      <c r="G172" s="188" t="s">
        <v>9</v>
      </c>
      <c r="H172" s="188" t="s">
        <v>1340</v>
      </c>
      <c r="I172" s="201"/>
      <c r="J172" s="188" t="s">
        <v>1341</v>
      </c>
      <c r="K172" s="189">
        <v>7</v>
      </c>
      <c r="L172" s="190">
        <v>117</v>
      </c>
      <c r="M172" s="202" t="s">
        <v>5</v>
      </c>
      <c r="N172" s="203" t="s">
        <v>1444</v>
      </c>
      <c r="O172" s="202"/>
      <c r="P172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73" spans="1:16" x14ac:dyDescent="0.25">
      <c r="A173" s="197" t="str">
        <f>IFERROR(VLOOKUP(Tableau1[Nom],Tableau5[],COLUMN(Tableau5[Definition du costing : DVC ou non DVC]),FALSE),"")</f>
        <v>DVC</v>
      </c>
      <c r="B173" s="197" t="str">
        <f>IFERROR(VLOOKUP(Tableau1[Nom],Tableau5[],COLUMN(Tableau5[Nom de la société]),FALSE),"")</f>
        <v>Lattes</v>
      </c>
      <c r="C173" s="198" t="str">
        <f>IFERROR(VLOOKUP(Tableau1[Nom],Tableau5[],COLUMN(Tableau5[Nom du manager]),FALSE),"")</f>
        <v>VERNE</v>
      </c>
      <c r="D173" s="199">
        <f>IFERROR(VLOOKUP(Tableau1[Nom],Tableau5[],COLUMN(Tableau5[Matricule]),FALSE),"")</f>
        <v>191520</v>
      </c>
      <c r="E173" s="200" t="s">
        <v>1092</v>
      </c>
      <c r="F173" s="199" t="str">
        <f>IFERROR(VLOOKUP(Tableau1[Nom],Tableau5[],COLUMN(Tableau5[Prénom]),FALSE),"")</f>
        <v>Pascal</v>
      </c>
      <c r="G173" s="188" t="s">
        <v>9</v>
      </c>
      <c r="H173" s="188" t="s">
        <v>1323</v>
      </c>
      <c r="I173" s="201"/>
      <c r="J173" s="188" t="s">
        <v>1324</v>
      </c>
      <c r="K173" s="189">
        <v>7</v>
      </c>
      <c r="L173" s="190">
        <v>124</v>
      </c>
      <c r="M173" s="202" t="s">
        <v>5</v>
      </c>
      <c r="N173" s="203" t="s">
        <v>1444</v>
      </c>
      <c r="O173" s="202"/>
      <c r="P173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174" spans="1:16" x14ac:dyDescent="0.25">
      <c r="A174" s="197" t="str">
        <f>IFERROR(VLOOKUP(Tableau1[Nom],Tableau5[],COLUMN(Tableau5[Definition du costing : DVC ou non DVC]),FALSE),"")</f>
        <v>DVC</v>
      </c>
      <c r="B174" s="197" t="str">
        <f>IFERROR(VLOOKUP(Tableau1[Nom],Tableau5[],COLUMN(Tableau5[Nom de la société]),FALSE),"")</f>
        <v>Aub.</v>
      </c>
      <c r="C174" s="198" t="str">
        <f>IFERROR(VLOOKUP(Tableau1[Nom],Tableau5[],COLUMN(Tableau5[Nom du manager]),FALSE),"")</f>
        <v>ALIX</v>
      </c>
      <c r="D174" s="199">
        <f>IFERROR(VLOOKUP(Tableau1[Nom],Tableau5[],COLUMN(Tableau5[Matricule]),FALSE),"")</f>
        <v>102926</v>
      </c>
      <c r="E174" s="200" t="s">
        <v>688</v>
      </c>
      <c r="F174" s="199" t="str">
        <f>IFERROR(VLOOKUP(Tableau1[Nom],Tableau5[],COLUMN(Tableau5[Prénom]),FALSE),"")</f>
        <v>Marjorie</v>
      </c>
      <c r="G174" s="188" t="s">
        <v>9</v>
      </c>
      <c r="H174" s="188" t="s">
        <v>1326</v>
      </c>
      <c r="I174" s="201"/>
      <c r="J174" s="188" t="s">
        <v>1324</v>
      </c>
      <c r="K174" s="189">
        <v>1.5</v>
      </c>
      <c r="L174" s="190">
        <v>53</v>
      </c>
      <c r="M174" s="202" t="s">
        <v>5</v>
      </c>
      <c r="N174" s="203" t="s">
        <v>1444</v>
      </c>
      <c r="O174" s="202"/>
      <c r="P17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75" spans="1:16" x14ac:dyDescent="0.25">
      <c r="A175" s="197" t="str">
        <f>IFERROR(VLOOKUP(Tableau1[Nom],Tableau5[],COLUMN(Tableau5[Definition du costing : DVC ou non DVC]),FALSE),"")</f>
        <v>DVC</v>
      </c>
      <c r="B175" s="197" t="str">
        <f>IFERROR(VLOOKUP(Tableau1[Nom],Tableau5[],COLUMN(Tableau5[Nom de la société]),FALSE),"")</f>
        <v>STG</v>
      </c>
      <c r="C175" s="198" t="str">
        <f>IFERROR(VLOOKUP(Tableau1[Nom],Tableau5[],COLUMN(Tableau5[Nom du manager]),FALSE),"")</f>
        <v>XUEREB</v>
      </c>
      <c r="D175" s="199">
        <f>IFERROR(VLOOKUP(Tableau1[Nom],Tableau5[],COLUMN(Tableau5[Matricule]),FALSE),"")</f>
        <v>104647</v>
      </c>
      <c r="E175" s="200" t="s">
        <v>1165</v>
      </c>
      <c r="F175" s="199" t="str">
        <f>IFERROR(VLOOKUP(Tableau1[Nom],Tableau5[],COLUMN(Tableau5[Prénom]),FALSE),"")</f>
        <v>Pierre</v>
      </c>
      <c r="G175" s="188" t="s">
        <v>9</v>
      </c>
      <c r="H175" s="188" t="s">
        <v>1326</v>
      </c>
      <c r="I175" s="201"/>
      <c r="J175" s="188" t="s">
        <v>1324</v>
      </c>
      <c r="K175" s="189">
        <v>1.5</v>
      </c>
      <c r="L175" s="190">
        <v>53</v>
      </c>
      <c r="M175" s="202" t="s">
        <v>5</v>
      </c>
      <c r="N175" s="203" t="s">
        <v>1444</v>
      </c>
      <c r="O175" s="202"/>
      <c r="P175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76" spans="1:16" x14ac:dyDescent="0.25">
      <c r="A176" s="197" t="str">
        <f>IFERROR(VLOOKUP(Tableau1[Nom],Tableau5[],COLUMN(Tableau5[Definition du costing : DVC ou non DVC]),FALSE),"")</f>
        <v>DVC</v>
      </c>
      <c r="B176" s="197" t="str">
        <f>IFERROR(VLOOKUP(Tableau1[Nom],Tableau5[],COLUMN(Tableau5[Nom de la société]),FALSE),"")</f>
        <v>STG</v>
      </c>
      <c r="C176" s="198" t="str">
        <f>IFERROR(VLOOKUP(Tableau1[Nom],Tableau5[],COLUMN(Tableau5[Nom du manager]),FALSE),"")</f>
        <v>BUISSON</v>
      </c>
      <c r="D176" s="199">
        <f>IFERROR(VLOOKUP(Tableau1[Nom],Tableau5[],COLUMN(Tableau5[Matricule]),FALSE),"")</f>
        <v>10507194</v>
      </c>
      <c r="E176" s="200" t="s">
        <v>1176</v>
      </c>
      <c r="F176" s="199" t="str">
        <f>IFERROR(VLOOKUP(Tableau1[Nom],Tableau5[],COLUMN(Tableau5[Prénom]),FALSE),"")</f>
        <v>Julien</v>
      </c>
      <c r="G176" s="188" t="s">
        <v>9</v>
      </c>
      <c r="H176" s="188" t="s">
        <v>1346</v>
      </c>
      <c r="I176" s="201"/>
      <c r="J176" s="188" t="s">
        <v>1344</v>
      </c>
      <c r="K176" s="189">
        <v>10.5</v>
      </c>
      <c r="L176" s="190">
        <v>260</v>
      </c>
      <c r="M176" s="202" t="s">
        <v>5</v>
      </c>
      <c r="N176" s="203" t="s">
        <v>1444</v>
      </c>
      <c r="O176" s="202"/>
      <c r="P17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77" spans="1:16" x14ac:dyDescent="0.25">
      <c r="A177" s="197" t="str">
        <f>IFERROR(VLOOKUP(Tableau1[Nom],Tableau5[],COLUMN(Tableau5[Definition du costing : DVC ou non DVC]),FALSE),"")</f>
        <v>DVC</v>
      </c>
      <c r="B177" s="197" t="str">
        <f>IFERROR(VLOOKUP(Tableau1[Nom],Tableau5[],COLUMN(Tableau5[Nom de la société]),FALSE),"")</f>
        <v>Lattes</v>
      </c>
      <c r="C177" s="198" t="str">
        <f>IFERROR(VLOOKUP(Tableau1[Nom],Tableau5[],COLUMN(Tableau5[Nom du manager]),FALSE),"")</f>
        <v>VERNE</v>
      </c>
      <c r="D177" s="199">
        <f>IFERROR(VLOOKUP(Tableau1[Nom],Tableau5[],COLUMN(Tableau5[Matricule]),FALSE),"")</f>
        <v>191229</v>
      </c>
      <c r="E177" s="200" t="s">
        <v>1064</v>
      </c>
      <c r="F177" s="199" t="str">
        <f>IFERROR(VLOOKUP(Tableau1[Nom],Tableau5[],COLUMN(Tableau5[Prénom]),FALSE),"")</f>
        <v>Ludovic</v>
      </c>
      <c r="G177" s="188" t="s">
        <v>9</v>
      </c>
      <c r="H177" s="188" t="s">
        <v>1333</v>
      </c>
      <c r="I177" s="201"/>
      <c r="J177" s="188" t="s">
        <v>1324</v>
      </c>
      <c r="K177" s="189">
        <v>7</v>
      </c>
      <c r="L177" s="190">
        <v>162</v>
      </c>
      <c r="M177" s="202" t="s">
        <v>5</v>
      </c>
      <c r="N177" s="203" t="s">
        <v>1444</v>
      </c>
      <c r="O177" s="202"/>
      <c r="P177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78" spans="1:16" x14ac:dyDescent="0.25">
      <c r="A178" s="197" t="str">
        <f>IFERROR(VLOOKUP(Tableau1[Nom],Tableau5[],COLUMN(Tableau5[Definition du costing : DVC ou non DVC]),FALSE),"")</f>
        <v>Non DVC</v>
      </c>
      <c r="B178" s="197" t="str">
        <f>IFERROR(VLOOKUP(Tableau1[Nom],Tableau5[],COLUMN(Tableau5[Nom de la société]),FALSE),"")</f>
        <v>Lattes</v>
      </c>
      <c r="C178" s="198" t="str">
        <f>IFERROR(VLOOKUP(Tableau1[Nom],Tableau5[],COLUMN(Tableau5[Nom du manager]),FALSE),"")</f>
        <v>VERNE</v>
      </c>
      <c r="D178" s="199">
        <f>IFERROR(VLOOKUP(Tableau1[Nom],Tableau5[],COLUMN(Tableau5[Matricule]),FALSE),"")</f>
        <v>69157</v>
      </c>
      <c r="E178" s="192" t="s">
        <v>332</v>
      </c>
      <c r="F178" s="199" t="str">
        <f>IFERROR(VLOOKUP(Tableau1[Nom],Tableau5[],COLUMN(Tableau5[Prénom]),FALSE),"")</f>
        <v>Ludovic</v>
      </c>
      <c r="G178" s="188" t="s">
        <v>9</v>
      </c>
      <c r="H178" s="188" t="s">
        <v>1323</v>
      </c>
      <c r="I178" s="201"/>
      <c r="J178" s="188" t="s">
        <v>1324</v>
      </c>
      <c r="K178" s="189">
        <v>7</v>
      </c>
      <c r="L178" s="190">
        <v>124</v>
      </c>
      <c r="M178" s="202" t="s">
        <v>5</v>
      </c>
      <c r="N178" s="203" t="s">
        <v>1444</v>
      </c>
      <c r="O178" s="202"/>
      <c r="P178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79" spans="1:16" x14ac:dyDescent="0.25">
      <c r="A179" s="197" t="str">
        <f>IFERROR(VLOOKUP(Tableau1[Nom],Tableau5[],COLUMN(Tableau5[Definition du costing : DVC ou non DVC]),FALSE),"")</f>
        <v>Non DVC</v>
      </c>
      <c r="B179" s="197" t="str">
        <f>IFERROR(VLOOKUP(Tableau1[Nom],Tableau5[],COLUMN(Tableau5[Nom de la société]),FALSE),"")</f>
        <v>Lattes</v>
      </c>
      <c r="C179" s="198" t="str">
        <f>IFERROR(VLOOKUP(Tableau1[Nom],Tableau5[],COLUMN(Tableau5[Nom du manager]),FALSE),"")</f>
        <v>VERNE</v>
      </c>
      <c r="D179" s="199">
        <f>IFERROR(VLOOKUP(Tableau1[Nom],Tableau5[],COLUMN(Tableau5[Matricule]),FALSE),"")</f>
        <v>69157</v>
      </c>
      <c r="E179" s="192" t="s">
        <v>332</v>
      </c>
      <c r="F179" s="199" t="str">
        <f>IFERROR(VLOOKUP(Tableau1[Nom],Tableau5[],COLUMN(Tableau5[Prénom]),FALSE),"")</f>
        <v>Ludovic</v>
      </c>
      <c r="G179" s="188" t="s">
        <v>9</v>
      </c>
      <c r="H179" s="188" t="s">
        <v>1342</v>
      </c>
      <c r="I179" s="201"/>
      <c r="J179" s="188" t="s">
        <v>1324</v>
      </c>
      <c r="K179" s="189">
        <v>3.5</v>
      </c>
      <c r="L179" s="190">
        <v>351</v>
      </c>
      <c r="M179" s="202" t="s">
        <v>5</v>
      </c>
      <c r="N179" s="203" t="s">
        <v>1444</v>
      </c>
      <c r="O179" s="202"/>
      <c r="P17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80" spans="1:16" x14ac:dyDescent="0.25">
      <c r="A180" s="197" t="str">
        <f>IFERROR(VLOOKUP(Tableau1[Nom],Tableau5[],COLUMN(Tableau5[Definition du costing : DVC ou non DVC]),FALSE),"")</f>
        <v>Non DVC</v>
      </c>
      <c r="B180" s="197" t="str">
        <f>IFERROR(VLOOKUP(Tableau1[Nom],Tableau5[],COLUMN(Tableau5[Nom de la société]),FALSE),"")</f>
        <v>Aub.</v>
      </c>
      <c r="C180" s="198" t="str">
        <f>IFERROR(VLOOKUP(Tableau1[Nom],Tableau5[],COLUMN(Tableau5[Nom du manager]),FALSE),"")</f>
        <v>PIFFAUT</v>
      </c>
      <c r="D180" s="199">
        <f>IFERROR(VLOOKUP(Tableau1[Nom],Tableau5[],COLUMN(Tableau5[Matricule]),FALSE),"")</f>
        <v>102910</v>
      </c>
      <c r="E180" s="200" t="s">
        <v>709</v>
      </c>
      <c r="F180" s="199" t="str">
        <f>IFERROR(VLOOKUP(Tableau1[Nom],Tableau5[],COLUMN(Tableau5[Prénom]),FALSE),"")</f>
        <v>Patrick</v>
      </c>
      <c r="G180" s="188" t="s">
        <v>9</v>
      </c>
      <c r="H180" s="188" t="s">
        <v>1340</v>
      </c>
      <c r="I180" s="201"/>
      <c r="J180" s="188" t="s">
        <v>1341</v>
      </c>
      <c r="K180" s="189">
        <v>7</v>
      </c>
      <c r="L180" s="190">
        <v>117</v>
      </c>
      <c r="M180" s="202" t="s">
        <v>5</v>
      </c>
      <c r="N180" s="203" t="s">
        <v>1444</v>
      </c>
      <c r="O180" s="202"/>
      <c r="P18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81" spans="1:16" x14ac:dyDescent="0.25">
      <c r="A181" s="197" t="str">
        <f>IFERROR(VLOOKUP(Tableau1[Nom],Tableau5[],COLUMN(Tableau5[Definition du costing : DVC ou non DVC]),FALSE),"")</f>
        <v>Non DVC</v>
      </c>
      <c r="B181" s="197" t="str">
        <f>IFERROR(VLOOKUP(Tableau1[Nom],Tableau5[],COLUMN(Tableau5[Nom de la société]),FALSE),"")</f>
        <v>Aub.</v>
      </c>
      <c r="C181" s="198" t="str">
        <f>IFERROR(VLOOKUP(Tableau1[Nom],Tableau5[],COLUMN(Tableau5[Nom du manager]),FALSE),"")</f>
        <v>PIFFAUT</v>
      </c>
      <c r="D181" s="199">
        <f>IFERROR(VLOOKUP(Tableau1[Nom],Tableau5[],COLUMN(Tableau5[Matricule]),FALSE),"")</f>
        <v>102910</v>
      </c>
      <c r="E181" s="200" t="s">
        <v>709</v>
      </c>
      <c r="F181" s="199" t="str">
        <f>IFERROR(VLOOKUP(Tableau1[Nom],Tableau5[],COLUMN(Tableau5[Prénom]),FALSE),"")</f>
        <v>Patrick</v>
      </c>
      <c r="G181" s="188" t="s">
        <v>9</v>
      </c>
      <c r="H181" s="188" t="s">
        <v>1346</v>
      </c>
      <c r="I181" s="201"/>
      <c r="J181" s="188" t="s">
        <v>1344</v>
      </c>
      <c r="K181" s="189">
        <v>10.5</v>
      </c>
      <c r="L181" s="190">
        <v>260</v>
      </c>
      <c r="M181" s="202" t="s">
        <v>5</v>
      </c>
      <c r="N181" s="203" t="s">
        <v>1444</v>
      </c>
      <c r="O181" s="202"/>
      <c r="P18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82" spans="1:16" x14ac:dyDescent="0.25">
      <c r="A182" s="197" t="str">
        <f>IFERROR(VLOOKUP(Tableau1[Nom],Tableau5[],COLUMN(Tableau5[Definition du costing : DVC ou non DVC]),FALSE),"")</f>
        <v>DVC</v>
      </c>
      <c r="B182" s="197" t="str">
        <f>IFERROR(VLOOKUP(Tableau1[Nom],Tableau5[],COLUMN(Tableau5[Nom de la société]),FALSE),"")</f>
        <v>Aub.</v>
      </c>
      <c r="C182" s="198" t="str">
        <f>IFERROR(VLOOKUP(Tableau1[Nom],Tableau5[],COLUMN(Tableau5[Nom du manager]),FALSE),"")</f>
        <v>ALIX</v>
      </c>
      <c r="D182" s="199">
        <f>IFERROR(VLOOKUP(Tableau1[Nom],Tableau5[],COLUMN(Tableau5[Matricule]),FALSE),"")</f>
        <v>103029</v>
      </c>
      <c r="E182" s="200" t="s">
        <v>715</v>
      </c>
      <c r="F182" s="199" t="str">
        <f>IFERROR(VLOOKUP(Tableau1[Nom],Tableau5[],COLUMN(Tableau5[Prénom]),FALSE),"")</f>
        <v>Jean-Claude</v>
      </c>
      <c r="G182" s="188" t="s">
        <v>9</v>
      </c>
      <c r="H182" s="188" t="s">
        <v>1326</v>
      </c>
      <c r="I182" s="201"/>
      <c r="J182" s="188" t="s">
        <v>1324</v>
      </c>
      <c r="K182" s="189">
        <v>1.5</v>
      </c>
      <c r="L182" s="190">
        <v>53</v>
      </c>
      <c r="M182" s="202" t="s">
        <v>5</v>
      </c>
      <c r="N182" s="203" t="s">
        <v>1444</v>
      </c>
      <c r="O182" s="202"/>
      <c r="P182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83" spans="1:16" x14ac:dyDescent="0.25">
      <c r="A183" s="197" t="str">
        <f>IFERROR(VLOOKUP(Tableau1[Nom],Tableau5[],COLUMN(Tableau5[Definition du costing : DVC ou non DVC]),FALSE),"")</f>
        <v>DVC</v>
      </c>
      <c r="B183" s="197" t="str">
        <f>IFERROR(VLOOKUP(Tableau1[Nom],Tableau5[],COLUMN(Tableau5[Nom de la société]),FALSE),"")</f>
        <v>Aub.</v>
      </c>
      <c r="C183" s="198" t="str">
        <f>IFERROR(VLOOKUP(Tableau1[Nom],Tableau5[],COLUMN(Tableau5[Nom du manager]),FALSE),"")</f>
        <v>ALIX</v>
      </c>
      <c r="D183" s="199">
        <f>IFERROR(VLOOKUP(Tableau1[Nom],Tableau5[],COLUMN(Tableau5[Matricule]),FALSE),"")</f>
        <v>103029</v>
      </c>
      <c r="E183" s="200" t="s">
        <v>715</v>
      </c>
      <c r="F183" s="199" t="str">
        <f>IFERROR(VLOOKUP(Tableau1[Nom],Tableau5[],COLUMN(Tableau5[Prénom]),FALSE),"")</f>
        <v>Jean-Claude</v>
      </c>
      <c r="G183" s="188" t="s">
        <v>9</v>
      </c>
      <c r="H183" s="188" t="s">
        <v>1340</v>
      </c>
      <c r="I183" s="201"/>
      <c r="J183" s="188" t="s">
        <v>1341</v>
      </c>
      <c r="K183" s="189">
        <v>7</v>
      </c>
      <c r="L183" s="190">
        <v>117</v>
      </c>
      <c r="M183" s="202" t="s">
        <v>5</v>
      </c>
      <c r="N183" s="203" t="s">
        <v>1444</v>
      </c>
      <c r="O183" s="202"/>
      <c r="P18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84" spans="1:16" x14ac:dyDescent="0.25">
      <c r="A184" s="197" t="str">
        <f>IFERROR(VLOOKUP(Tableau1[Nom],Tableau5[],COLUMN(Tableau5[Definition du costing : DVC ou non DVC]),FALSE),"")</f>
        <v>DVC</v>
      </c>
      <c r="B184" s="197" t="str">
        <f>IFERROR(VLOOKUP(Tableau1[Nom],Tableau5[],COLUMN(Tableau5[Nom de la société]),FALSE),"")</f>
        <v>Aub.</v>
      </c>
      <c r="C184" s="198" t="str">
        <f>IFERROR(VLOOKUP(Tableau1[Nom],Tableau5[],COLUMN(Tableau5[Nom du manager]),FALSE),"")</f>
        <v>SENEPART</v>
      </c>
      <c r="D184" s="199">
        <f>IFERROR(VLOOKUP(Tableau1[Nom],Tableau5[],COLUMN(Tableau5[Matricule]),FALSE),"")</f>
        <v>102899</v>
      </c>
      <c r="E184" s="200" t="s">
        <v>718</v>
      </c>
      <c r="F184" s="199" t="str">
        <f>IFERROR(VLOOKUP(Tableau1[Nom],Tableau5[],COLUMN(Tableau5[Prénom]),FALSE),"")</f>
        <v>Aurelie</v>
      </c>
      <c r="G184" s="188" t="s">
        <v>9</v>
      </c>
      <c r="H184" s="188" t="s">
        <v>1326</v>
      </c>
      <c r="I184" s="201"/>
      <c r="J184" s="188" t="s">
        <v>1324</v>
      </c>
      <c r="K184" s="189">
        <v>1.5</v>
      </c>
      <c r="L184" s="190">
        <v>53</v>
      </c>
      <c r="M184" s="202" t="s">
        <v>5</v>
      </c>
      <c r="N184" s="203" t="s">
        <v>1444</v>
      </c>
      <c r="O184" s="202"/>
      <c r="P18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85" spans="1:16" x14ac:dyDescent="0.25">
      <c r="A185" s="197" t="str">
        <f>IFERROR(VLOOKUP(Tableau1[Nom],Tableau5[],COLUMN(Tableau5[Definition du costing : DVC ou non DVC]),FALSE),"")</f>
        <v>DVC</v>
      </c>
      <c r="B185" s="197" t="str">
        <f>IFERROR(VLOOKUP(Tableau1[Nom],Tableau5[],COLUMN(Tableau5[Nom de la société]),FALSE),"")</f>
        <v>Aub.</v>
      </c>
      <c r="C185" s="198" t="str">
        <f>IFERROR(VLOOKUP(Tableau1[Nom],Tableau5[],COLUMN(Tableau5[Nom du manager]),FALSE),"")</f>
        <v>SENEPART</v>
      </c>
      <c r="D185" s="199">
        <f>IFERROR(VLOOKUP(Tableau1[Nom],Tableau5[],COLUMN(Tableau5[Matricule]),FALSE),"")</f>
        <v>103001</v>
      </c>
      <c r="E185" s="200" t="s">
        <v>722</v>
      </c>
      <c r="F185" s="199" t="str">
        <f>IFERROR(VLOOKUP(Tableau1[Nom],Tableau5[],COLUMN(Tableau5[Prénom]),FALSE),"")</f>
        <v>Thierry</v>
      </c>
      <c r="G185" s="188" t="s">
        <v>9</v>
      </c>
      <c r="H185" s="188" t="s">
        <v>1326</v>
      </c>
      <c r="I185" s="201"/>
      <c r="J185" s="188" t="s">
        <v>1324</v>
      </c>
      <c r="K185" s="189">
        <v>1.5</v>
      </c>
      <c r="L185" s="190">
        <v>53</v>
      </c>
      <c r="M185" s="202" t="s">
        <v>5</v>
      </c>
      <c r="N185" s="203" t="s">
        <v>1444</v>
      </c>
      <c r="O185" s="202"/>
      <c r="P185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86" spans="1:16" x14ac:dyDescent="0.25">
      <c r="A186" s="197" t="str">
        <f>IFERROR(VLOOKUP(Tableau1[Nom],Tableau5[],COLUMN(Tableau5[Definition du costing : DVC ou non DVC]),FALSE),"")</f>
        <v>DVC</v>
      </c>
      <c r="B186" s="197" t="str">
        <f>IFERROR(VLOOKUP(Tableau1[Nom],Tableau5[],COLUMN(Tableau5[Nom de la société]),FALSE),"")</f>
        <v>Aub.</v>
      </c>
      <c r="C186" s="198" t="str">
        <f>IFERROR(VLOOKUP(Tableau1[Nom],Tableau5[],COLUMN(Tableau5[Nom du manager]),FALSE),"")</f>
        <v>SAVY</v>
      </c>
      <c r="D186" s="199">
        <f>IFERROR(VLOOKUP(Tableau1[Nom],Tableau5[],COLUMN(Tableau5[Matricule]),FALSE),"")</f>
        <v>103101</v>
      </c>
      <c r="E186" s="192" t="s">
        <v>1335</v>
      </c>
      <c r="F186" s="199" t="str">
        <f>IFERROR(VLOOKUP(Tableau1[Nom],Tableau5[],COLUMN(Tableau5[Prénom]),FALSE),"")</f>
        <v>Bernard</v>
      </c>
      <c r="G186" s="188" t="s">
        <v>9</v>
      </c>
      <c r="H186" s="188" t="s">
        <v>1326</v>
      </c>
      <c r="I186" s="201"/>
      <c r="J186" s="188" t="s">
        <v>1324</v>
      </c>
      <c r="K186" s="189">
        <v>1.5</v>
      </c>
      <c r="L186" s="190">
        <v>53</v>
      </c>
      <c r="M186" s="202" t="s">
        <v>5</v>
      </c>
      <c r="N186" s="203" t="s">
        <v>1444</v>
      </c>
      <c r="O186" s="202"/>
      <c r="P18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87" spans="1:16" x14ac:dyDescent="0.25">
      <c r="A187" s="197" t="str">
        <f>IFERROR(VLOOKUP(Tableau1[Nom],Tableau5[],COLUMN(Tableau5[Definition du costing : DVC ou non DVC]),FALSE),"")</f>
        <v>DVC</v>
      </c>
      <c r="B187" s="197" t="str">
        <f>IFERROR(VLOOKUP(Tableau1[Nom],Tableau5[],COLUMN(Tableau5[Nom de la société]),FALSE),"")</f>
        <v>Aub.</v>
      </c>
      <c r="C187" s="198" t="str">
        <f>IFERROR(VLOOKUP(Tableau1[Nom],Tableau5[],COLUMN(Tableau5[Nom du manager]),FALSE),"")</f>
        <v>SAVY</v>
      </c>
      <c r="D187" s="199">
        <f>IFERROR(VLOOKUP(Tableau1[Nom],Tableau5[],COLUMN(Tableau5[Matricule]),FALSE),"")</f>
        <v>103101</v>
      </c>
      <c r="E187" s="192" t="s">
        <v>1335</v>
      </c>
      <c r="F187" s="199" t="str">
        <f>IFERROR(VLOOKUP(Tableau1[Nom],Tableau5[],COLUMN(Tableau5[Prénom]),FALSE),"")</f>
        <v>Bernard</v>
      </c>
      <c r="G187" s="188" t="s">
        <v>9</v>
      </c>
      <c r="H187" s="188" t="s">
        <v>1323</v>
      </c>
      <c r="I187" s="201"/>
      <c r="J187" s="188" t="s">
        <v>1324</v>
      </c>
      <c r="K187" s="189">
        <v>7</v>
      </c>
      <c r="L187" s="190">
        <v>124</v>
      </c>
      <c r="M187" s="202" t="s">
        <v>5</v>
      </c>
      <c r="N187" s="203" t="s">
        <v>1444</v>
      </c>
      <c r="O187" s="202"/>
      <c r="P187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88" spans="1:16" x14ac:dyDescent="0.25">
      <c r="A188" s="197" t="str">
        <f>IFERROR(VLOOKUP(Tableau1[Nom],Tableau5[],COLUMN(Tableau5[Definition du costing : DVC ou non DVC]),FALSE),"")</f>
        <v>DVC</v>
      </c>
      <c r="B188" s="197" t="str">
        <f>IFERROR(VLOOKUP(Tableau1[Nom],Tableau5[],COLUMN(Tableau5[Nom de la société]),FALSE),"")</f>
        <v>Aub.</v>
      </c>
      <c r="C188" s="198" t="str">
        <f>IFERROR(VLOOKUP(Tableau1[Nom],Tableau5[],COLUMN(Tableau5[Nom du manager]),FALSE),"")</f>
        <v>SAVY</v>
      </c>
      <c r="D188" s="199">
        <f>IFERROR(VLOOKUP(Tableau1[Nom],Tableau5[],COLUMN(Tableau5[Matricule]),FALSE),"")</f>
        <v>103101</v>
      </c>
      <c r="E188" s="200" t="s">
        <v>1335</v>
      </c>
      <c r="F188" s="199" t="str">
        <f>IFERROR(VLOOKUP(Tableau1[Nom],Tableau5[],COLUMN(Tableau5[Prénom]),FALSE),"")</f>
        <v>Bernard</v>
      </c>
      <c r="G188" s="188" t="s">
        <v>9</v>
      </c>
      <c r="H188" s="188" t="s">
        <v>1336</v>
      </c>
      <c r="I188" s="201"/>
      <c r="J188" s="188" t="s">
        <v>1324</v>
      </c>
      <c r="K188" s="189">
        <v>14</v>
      </c>
      <c r="L188" s="190">
        <v>297</v>
      </c>
      <c r="M188" s="202" t="s">
        <v>5</v>
      </c>
      <c r="N188" s="203" t="s">
        <v>1444</v>
      </c>
      <c r="O188" s="202"/>
      <c r="P188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189" spans="1:16" x14ac:dyDescent="0.25">
      <c r="A189" s="197" t="str">
        <f>IFERROR(VLOOKUP(Tableau1[Nom],Tableau5[],COLUMN(Tableau5[Definition du costing : DVC ou non DVC]),FALSE),"")</f>
        <v>Non DVC</v>
      </c>
      <c r="B189" s="197" t="str">
        <f>IFERROR(VLOOKUP(Tableau1[Nom],Tableau5[],COLUMN(Tableau5[Nom de la société]),FALSE),"")</f>
        <v>Aub.</v>
      </c>
      <c r="C189" s="198" t="str">
        <f>IFERROR(VLOOKUP(Tableau1[Nom],Tableau5[],COLUMN(Tableau5[Nom du manager]),FALSE),"")</f>
        <v>RICCARDI</v>
      </c>
      <c r="D189" s="199">
        <f>IFERROR(VLOOKUP(Tableau1[Nom],Tableau5[],COLUMN(Tableau5[Matricule]),FALSE),"")</f>
        <v>102992</v>
      </c>
      <c r="E189" s="192" t="s">
        <v>1334</v>
      </c>
      <c r="F189" s="199" t="str">
        <f>IFERROR(VLOOKUP(Tableau1[Nom],Tableau5[],COLUMN(Tableau5[Prénom]),FALSE),"")</f>
        <v>Raphael</v>
      </c>
      <c r="G189" s="188" t="s">
        <v>9</v>
      </c>
      <c r="H189" s="188" t="s">
        <v>1333</v>
      </c>
      <c r="I189" s="201"/>
      <c r="J189" s="188" t="s">
        <v>1324</v>
      </c>
      <c r="K189" s="189">
        <v>7</v>
      </c>
      <c r="L189" s="190">
        <v>162</v>
      </c>
      <c r="M189" s="202" t="s">
        <v>5</v>
      </c>
      <c r="N189" s="203" t="s">
        <v>1444</v>
      </c>
      <c r="O189" s="202"/>
      <c r="P18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90" spans="1:16" x14ac:dyDescent="0.25">
      <c r="A190" s="197" t="str">
        <f>IFERROR(VLOOKUP(Tableau1[Nom],Tableau5[],COLUMN(Tableau5[Definition du costing : DVC ou non DVC]),FALSE),"")</f>
        <v>Non DVC</v>
      </c>
      <c r="B190" s="197" t="str">
        <f>IFERROR(VLOOKUP(Tableau1[Nom],Tableau5[],COLUMN(Tableau5[Nom de la société]),FALSE),"")</f>
        <v>Aub.</v>
      </c>
      <c r="C190" s="198" t="str">
        <f>IFERROR(VLOOKUP(Tableau1[Nom],Tableau5[],COLUMN(Tableau5[Nom du manager]),FALSE),"")</f>
        <v>RICCARDI</v>
      </c>
      <c r="D190" s="199">
        <f>IFERROR(VLOOKUP(Tableau1[Nom],Tableau5[],COLUMN(Tableau5[Matricule]),FALSE),"")</f>
        <v>102992</v>
      </c>
      <c r="E190" s="200" t="s">
        <v>1334</v>
      </c>
      <c r="F190" s="199" t="str">
        <f>IFERROR(VLOOKUP(Tableau1[Nom],Tableau5[],COLUMN(Tableau5[Prénom]),FALSE),"")</f>
        <v>Raphael</v>
      </c>
      <c r="G190" s="188" t="s">
        <v>9</v>
      </c>
      <c r="H190" s="188" t="s">
        <v>1340</v>
      </c>
      <c r="I190" s="201"/>
      <c r="J190" s="188" t="s">
        <v>1341</v>
      </c>
      <c r="K190" s="189">
        <v>7</v>
      </c>
      <c r="L190" s="190">
        <v>117</v>
      </c>
      <c r="M190" s="202" t="s">
        <v>5</v>
      </c>
      <c r="N190" s="203" t="s">
        <v>1444</v>
      </c>
      <c r="O190" s="202"/>
      <c r="P19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91" spans="1:16" x14ac:dyDescent="0.25">
      <c r="A191" s="197" t="str">
        <f>IFERROR(VLOOKUP(Tableau1[Nom],Tableau5[],COLUMN(Tableau5[Definition du costing : DVC ou non DVC]),FALSE),"")</f>
        <v>DVC</v>
      </c>
      <c r="B191" s="197" t="str">
        <f>IFERROR(VLOOKUP(Tableau1[Nom],Tableau5[],COLUMN(Tableau5[Nom de la société]),FALSE),"")</f>
        <v>Aub.</v>
      </c>
      <c r="C191" s="198" t="str">
        <f>IFERROR(VLOOKUP(Tableau1[Nom],Tableau5[],COLUMN(Tableau5[Nom du manager]),FALSE),"")</f>
        <v>PIFFAUT</v>
      </c>
      <c r="D191" s="199">
        <f>IFERROR(VLOOKUP(Tableau1[Nom],Tableau5[],COLUMN(Tableau5[Matricule]),FALSE),"")</f>
        <v>102996</v>
      </c>
      <c r="E191" s="200" t="s">
        <v>733</v>
      </c>
      <c r="F191" s="199" t="str">
        <f>IFERROR(VLOOKUP(Tableau1[Nom],Tableau5[],COLUMN(Tableau5[Prénom]),FALSE),"")</f>
        <v>Bruno</v>
      </c>
      <c r="G191" s="188" t="s">
        <v>9</v>
      </c>
      <c r="H191" s="188" t="s">
        <v>1333</v>
      </c>
      <c r="I191" s="201"/>
      <c r="J191" s="188" t="s">
        <v>1324</v>
      </c>
      <c r="K191" s="189">
        <v>7</v>
      </c>
      <c r="L191" s="190">
        <v>162</v>
      </c>
      <c r="M191" s="202" t="s">
        <v>5</v>
      </c>
      <c r="N191" s="203" t="s">
        <v>1444</v>
      </c>
      <c r="O191" s="202"/>
      <c r="P191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92" spans="1:16" x14ac:dyDescent="0.25">
      <c r="A192" s="197" t="str">
        <f>IFERROR(VLOOKUP(Tableau1[Nom],Tableau5[],COLUMN(Tableau5[Definition du costing : DVC ou non DVC]),FALSE),"")</f>
        <v>DVC</v>
      </c>
      <c r="B192" s="197" t="str">
        <f>IFERROR(VLOOKUP(Tableau1[Nom],Tableau5[],COLUMN(Tableau5[Nom de la société]),FALSE),"")</f>
        <v>Aub.</v>
      </c>
      <c r="C192" s="198" t="str">
        <f>IFERROR(VLOOKUP(Tableau1[Nom],Tableau5[],COLUMN(Tableau5[Nom du manager]),FALSE),"")</f>
        <v>PIFFAUT</v>
      </c>
      <c r="D192" s="199">
        <f>IFERROR(VLOOKUP(Tableau1[Nom],Tableau5[],COLUMN(Tableau5[Matricule]),FALSE),"")</f>
        <v>102996</v>
      </c>
      <c r="E192" s="200" t="s">
        <v>733</v>
      </c>
      <c r="F192" s="199" t="str">
        <f>IFERROR(VLOOKUP(Tableau1[Nom],Tableau5[],COLUMN(Tableau5[Prénom]),FALSE),"")</f>
        <v>Bruno</v>
      </c>
      <c r="G192" s="188" t="s">
        <v>9</v>
      </c>
      <c r="H192" s="188" t="s">
        <v>1338</v>
      </c>
      <c r="I192" s="201"/>
      <c r="J192" s="188" t="s">
        <v>1324</v>
      </c>
      <c r="K192" s="189">
        <v>14</v>
      </c>
      <c r="L192" s="190">
        <v>297</v>
      </c>
      <c r="M192" s="202" t="s">
        <v>5</v>
      </c>
      <c r="N192" s="203" t="s">
        <v>1444</v>
      </c>
      <c r="O192" s="202"/>
      <c r="P192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193" spans="1:16" x14ac:dyDescent="0.25">
      <c r="A193" s="197" t="str">
        <f>IFERROR(VLOOKUP(Tableau1[Nom],Tableau5[],COLUMN(Tableau5[Definition du costing : DVC ou non DVC]),FALSE),"")</f>
        <v>DVC</v>
      </c>
      <c r="B193" s="197" t="str">
        <f>IFERROR(VLOOKUP(Tableau1[Nom],Tableau5[],COLUMN(Tableau5[Nom de la société]),FALSE),"")</f>
        <v>Aub.</v>
      </c>
      <c r="C193" s="198" t="str">
        <f>IFERROR(VLOOKUP(Tableau1[Nom],Tableau5[],COLUMN(Tableau5[Nom du manager]),FALSE),"")</f>
        <v>PIFFAUT</v>
      </c>
      <c r="D193" s="199">
        <f>IFERROR(VLOOKUP(Tableau1[Nom],Tableau5[],COLUMN(Tableau5[Matricule]),FALSE),"")</f>
        <v>102996</v>
      </c>
      <c r="E193" s="200" t="s">
        <v>733</v>
      </c>
      <c r="F193" s="199" t="str">
        <f>IFERROR(VLOOKUP(Tableau1[Nom],Tableau5[],COLUMN(Tableau5[Prénom]),FALSE),"")</f>
        <v>Bruno</v>
      </c>
      <c r="G193" s="188" t="s">
        <v>9</v>
      </c>
      <c r="H193" s="188" t="s">
        <v>1340</v>
      </c>
      <c r="I193" s="201"/>
      <c r="J193" s="188" t="s">
        <v>1341</v>
      </c>
      <c r="K193" s="189">
        <v>7</v>
      </c>
      <c r="L193" s="190">
        <v>117</v>
      </c>
      <c r="M193" s="202" t="s">
        <v>5</v>
      </c>
      <c r="N193" s="203" t="s">
        <v>1444</v>
      </c>
      <c r="O193" s="202"/>
      <c r="P19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94" spans="1:16" x14ac:dyDescent="0.25">
      <c r="A194" s="197" t="str">
        <f>IFERROR(VLOOKUP(Tableau1[Nom],Tableau5[],COLUMN(Tableau5[Definition du costing : DVC ou non DVC]),FALSE),"")</f>
        <v>Non DVC</v>
      </c>
      <c r="B194" s="197" t="str">
        <f>IFERROR(VLOOKUP(Tableau1[Nom],Tableau5[],COLUMN(Tableau5[Nom de la société]),FALSE),"")</f>
        <v>Aub.</v>
      </c>
      <c r="C194" s="198" t="str">
        <f>IFERROR(VLOOKUP(Tableau1[Nom],Tableau5[],COLUMN(Tableau5[Nom du manager]),FALSE),"")</f>
        <v>DARDARE</v>
      </c>
      <c r="D194" s="199">
        <f>IFERROR(VLOOKUP(Tableau1[Nom],Tableau5[],COLUMN(Tableau5[Matricule]),FALSE),"")</f>
        <v>103025</v>
      </c>
      <c r="E194" s="200" t="s">
        <v>737</v>
      </c>
      <c r="F194" s="199" t="str">
        <f>IFERROR(VLOOKUP(Tableau1[Nom],Tableau5[],COLUMN(Tableau5[Prénom]),FALSE),"")</f>
        <v>Fabienne</v>
      </c>
      <c r="G194" s="188" t="s">
        <v>9</v>
      </c>
      <c r="H194" s="188" t="s">
        <v>1326</v>
      </c>
      <c r="I194" s="201"/>
      <c r="J194" s="188" t="s">
        <v>1324</v>
      </c>
      <c r="K194" s="189">
        <v>1.5</v>
      </c>
      <c r="L194" s="190">
        <v>53</v>
      </c>
      <c r="M194" s="202" t="s">
        <v>5</v>
      </c>
      <c r="N194" s="203" t="s">
        <v>1444</v>
      </c>
      <c r="O194" s="202"/>
      <c r="P19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95" spans="1:16" x14ac:dyDescent="0.25">
      <c r="A195" s="197" t="str">
        <f>IFERROR(VLOOKUP(Tableau1[Nom],Tableau5[],COLUMN(Tableau5[Definition du costing : DVC ou non DVC]),FALSE),"")</f>
        <v>Non DVC</v>
      </c>
      <c r="B195" s="197" t="str">
        <f>IFERROR(VLOOKUP(Tableau1[Nom],Tableau5[],COLUMN(Tableau5[Nom de la société]),FALSE),"")</f>
        <v>Aub.</v>
      </c>
      <c r="C195" s="198" t="str">
        <f>IFERROR(VLOOKUP(Tableau1[Nom],Tableau5[],COLUMN(Tableau5[Nom du manager]),FALSE),"")</f>
        <v>DARDARE</v>
      </c>
      <c r="D195" s="199">
        <f>IFERROR(VLOOKUP(Tableau1[Nom],Tableau5[],COLUMN(Tableau5[Matricule]),FALSE),"")</f>
        <v>103025</v>
      </c>
      <c r="E195" s="200" t="s">
        <v>737</v>
      </c>
      <c r="F195" s="199" t="str">
        <f>IFERROR(VLOOKUP(Tableau1[Nom],Tableau5[],COLUMN(Tableau5[Prénom]),FALSE),"")</f>
        <v>Fabienne</v>
      </c>
      <c r="G195" s="188" t="s">
        <v>9</v>
      </c>
      <c r="H195" s="188" t="s">
        <v>1333</v>
      </c>
      <c r="I195" s="201"/>
      <c r="J195" s="188" t="s">
        <v>1324</v>
      </c>
      <c r="K195" s="189">
        <v>7</v>
      </c>
      <c r="L195" s="190">
        <v>162</v>
      </c>
      <c r="M195" s="202" t="s">
        <v>5</v>
      </c>
      <c r="N195" s="203" t="s">
        <v>1444</v>
      </c>
      <c r="O195" s="202"/>
      <c r="P195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196" spans="1:16" x14ac:dyDescent="0.25">
      <c r="A196" s="197" t="str">
        <f>IFERROR(VLOOKUP(Tableau1[Nom],Tableau5[],COLUMN(Tableau5[Definition du costing : DVC ou non DVC]),FALSE),"")</f>
        <v>Non DVC</v>
      </c>
      <c r="B196" s="197" t="str">
        <f>IFERROR(VLOOKUP(Tableau1[Nom],Tableau5[],COLUMN(Tableau5[Nom de la société]),FALSE),"")</f>
        <v>Aub.</v>
      </c>
      <c r="C196" s="198" t="str">
        <f>IFERROR(VLOOKUP(Tableau1[Nom],Tableau5[],COLUMN(Tableau5[Nom du manager]),FALSE),"")</f>
        <v>DARDARE</v>
      </c>
      <c r="D196" s="199">
        <f>IFERROR(VLOOKUP(Tableau1[Nom],Tableau5[],COLUMN(Tableau5[Matricule]),FALSE),"")</f>
        <v>103025</v>
      </c>
      <c r="E196" s="200" t="s">
        <v>737</v>
      </c>
      <c r="F196" s="199" t="str">
        <f>IFERROR(VLOOKUP(Tableau1[Nom],Tableau5[],COLUMN(Tableau5[Prénom]),FALSE),"")</f>
        <v>Fabienne</v>
      </c>
      <c r="G196" s="188" t="s">
        <v>9</v>
      </c>
      <c r="H196" s="188" t="s">
        <v>1340</v>
      </c>
      <c r="I196" s="201"/>
      <c r="J196" s="188" t="s">
        <v>1341</v>
      </c>
      <c r="K196" s="189">
        <v>7</v>
      </c>
      <c r="L196" s="190">
        <v>117</v>
      </c>
      <c r="M196" s="202" t="s">
        <v>5</v>
      </c>
      <c r="N196" s="203" t="s">
        <v>1444</v>
      </c>
      <c r="O196" s="202"/>
      <c r="P19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197" spans="1:16" x14ac:dyDescent="0.25">
      <c r="A197" s="197" t="str">
        <f>IFERROR(VLOOKUP(Tableau1[Nom],Tableau5[],COLUMN(Tableau5[Definition du costing : DVC ou non DVC]),FALSE),"")</f>
        <v>DVC</v>
      </c>
      <c r="B197" s="197" t="str">
        <f>IFERROR(VLOOKUP(Tableau1[Nom],Tableau5[],COLUMN(Tableau5[Nom de la société]),FALSE),"")</f>
        <v>Aub.</v>
      </c>
      <c r="C197" s="198" t="str">
        <f>IFERROR(VLOOKUP(Tableau1[Nom],Tableau5[],COLUMN(Tableau5[Nom du manager]),FALSE),"")</f>
        <v>SENEPART</v>
      </c>
      <c r="D197" s="199">
        <f>IFERROR(VLOOKUP(Tableau1[Nom],Tableau5[],COLUMN(Tableau5[Matricule]),FALSE),"")</f>
        <v>102986</v>
      </c>
      <c r="E197" s="200" t="s">
        <v>744</v>
      </c>
      <c r="F197" s="199" t="str">
        <f>IFERROR(VLOOKUP(Tableau1[Nom],Tableau5[],COLUMN(Tableau5[Prénom]),FALSE),"")</f>
        <v>Frederic</v>
      </c>
      <c r="G197" s="188" t="s">
        <v>9</v>
      </c>
      <c r="H197" s="188" t="s">
        <v>1323</v>
      </c>
      <c r="I197" s="201"/>
      <c r="J197" s="188" t="s">
        <v>1324</v>
      </c>
      <c r="K197" s="189">
        <v>7</v>
      </c>
      <c r="L197" s="190">
        <v>124</v>
      </c>
      <c r="M197" s="202" t="s">
        <v>5</v>
      </c>
      <c r="N197" s="203" t="s">
        <v>1444</v>
      </c>
      <c r="O197" s="202"/>
      <c r="P197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198" spans="1:16" x14ac:dyDescent="0.25">
      <c r="A198" s="197" t="str">
        <f>IFERROR(VLOOKUP(Tableau1[Nom],Tableau5[],COLUMN(Tableau5[Definition du costing : DVC ou non DVC]),FALSE),"")</f>
        <v>DVC</v>
      </c>
      <c r="B198" s="197" t="str">
        <f>IFERROR(VLOOKUP(Tableau1[Nom],Tableau5[],COLUMN(Tableau5[Nom de la société]),FALSE),"")</f>
        <v>Aub.</v>
      </c>
      <c r="C198" s="198" t="str">
        <f>IFERROR(VLOOKUP(Tableau1[Nom],Tableau5[],COLUMN(Tableau5[Nom du manager]),FALSE),"")</f>
        <v>SENEPART</v>
      </c>
      <c r="D198" s="199">
        <f>IFERROR(VLOOKUP(Tableau1[Nom],Tableau5[],COLUMN(Tableau5[Matricule]),FALSE),"")</f>
        <v>102986</v>
      </c>
      <c r="E198" s="200" t="s">
        <v>744</v>
      </c>
      <c r="F198" s="199" t="str">
        <f>IFERROR(VLOOKUP(Tableau1[Nom],Tableau5[],COLUMN(Tableau5[Prénom]),FALSE),"")</f>
        <v>Frederic</v>
      </c>
      <c r="G198" s="188" t="s">
        <v>9</v>
      </c>
      <c r="H198" s="188" t="s">
        <v>1326</v>
      </c>
      <c r="I198" s="201"/>
      <c r="J198" s="188" t="s">
        <v>1324</v>
      </c>
      <c r="K198" s="189">
        <v>1.5</v>
      </c>
      <c r="L198" s="190">
        <v>53</v>
      </c>
      <c r="M198" s="202" t="s">
        <v>5</v>
      </c>
      <c r="N198" s="203" t="s">
        <v>1444</v>
      </c>
      <c r="O198" s="202"/>
      <c r="P198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199" spans="1:16" x14ac:dyDescent="0.25">
      <c r="A199" s="197" t="str">
        <f>IFERROR(VLOOKUP(Tableau1[Nom],Tableau5[],COLUMN(Tableau5[Definition du costing : DVC ou non DVC]),FALSE),"")</f>
        <v>Non DVC</v>
      </c>
      <c r="B199" s="197" t="str">
        <f>IFERROR(VLOOKUP(Tableau1[Nom],Tableau5[],COLUMN(Tableau5[Nom de la société]),FALSE),"")</f>
        <v>STG</v>
      </c>
      <c r="C199" s="198" t="str">
        <f>IFERROR(VLOOKUP(Tableau1[Nom],Tableau5[],COLUMN(Tableau5[Nom du manager]),FALSE),"")</f>
        <v>FOUASSIER</v>
      </c>
      <c r="D199" s="199">
        <f>IFERROR(VLOOKUP(Tableau1[Nom],Tableau5[],COLUMN(Tableau5[Matricule]),FALSE),"")</f>
        <v>104417</v>
      </c>
      <c r="E199" s="200" t="s">
        <v>1180</v>
      </c>
      <c r="F199" s="199" t="str">
        <f>IFERROR(VLOOKUP(Tableau1[Nom],Tableau5[],COLUMN(Tableau5[Prénom]),FALSE),"")</f>
        <v>Xavier</v>
      </c>
      <c r="G199" s="188" t="s">
        <v>9</v>
      </c>
      <c r="H199" s="188" t="s">
        <v>1326</v>
      </c>
      <c r="I199" s="201"/>
      <c r="J199" s="188" t="s">
        <v>1324</v>
      </c>
      <c r="K199" s="189">
        <v>1.5</v>
      </c>
      <c r="L199" s="190">
        <v>53</v>
      </c>
      <c r="M199" s="202" t="s">
        <v>5</v>
      </c>
      <c r="N199" s="203" t="s">
        <v>1444</v>
      </c>
      <c r="O199" s="202"/>
      <c r="P199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200" spans="1:16" x14ac:dyDescent="0.25">
      <c r="A200" s="197" t="str">
        <f>IFERROR(VLOOKUP(Tableau1[Nom],Tableau5[],COLUMN(Tableau5[Definition du costing : DVC ou non DVC]),FALSE),"")</f>
        <v>DVC</v>
      </c>
      <c r="B200" s="197" t="str">
        <f>IFERROR(VLOOKUP(Tableau1[Nom],Tableau5[],COLUMN(Tableau5[Nom de la société]),FALSE),"")</f>
        <v>Lattes</v>
      </c>
      <c r="C200" s="198" t="str">
        <f>IFERROR(VLOOKUP(Tableau1[Nom],Tableau5[],COLUMN(Tableau5[Nom du manager]),FALSE),"")</f>
        <v>JACKEL</v>
      </c>
      <c r="D200" s="199">
        <f>IFERROR(VLOOKUP(Tableau1[Nom],Tableau5[],COLUMN(Tableau5[Matricule]),FALSE),"")</f>
        <v>104645</v>
      </c>
      <c r="E200" s="200" t="s">
        <v>122</v>
      </c>
      <c r="F200" s="199" t="str">
        <f>IFERROR(VLOOKUP(Tableau1[Nom],Tableau5[],COLUMN(Tableau5[Prénom]),FALSE),"")</f>
        <v>Jean-Pierre</v>
      </c>
      <c r="G200" s="188" t="s">
        <v>9</v>
      </c>
      <c r="H200" s="188" t="s">
        <v>1323</v>
      </c>
      <c r="I200" s="201"/>
      <c r="J200" s="188" t="s">
        <v>1324</v>
      </c>
      <c r="K200" s="189">
        <v>7</v>
      </c>
      <c r="L200" s="190">
        <v>124</v>
      </c>
      <c r="M200" s="202" t="s">
        <v>5</v>
      </c>
      <c r="N200" s="203" t="s">
        <v>1444</v>
      </c>
      <c r="O200" s="202"/>
      <c r="P200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01" spans="1:16" x14ac:dyDescent="0.25">
      <c r="A201" s="197" t="str">
        <f>IFERROR(VLOOKUP(Tableau1[Nom],Tableau5[],COLUMN(Tableau5[Definition du costing : DVC ou non DVC]),FALSE),"")</f>
        <v>DVC</v>
      </c>
      <c r="B201" s="197" t="str">
        <f>IFERROR(VLOOKUP(Tableau1[Nom],Tableau5[],COLUMN(Tableau5[Nom de la société]),FALSE),"")</f>
        <v>Lattes</v>
      </c>
      <c r="C201" s="198" t="str">
        <f>IFERROR(VLOOKUP(Tableau1[Nom],Tableau5[],COLUMN(Tableau5[Nom du manager]),FALSE),"")</f>
        <v>JACKEL</v>
      </c>
      <c r="D201" s="199">
        <f>IFERROR(VLOOKUP(Tableau1[Nom],Tableau5[],COLUMN(Tableau5[Matricule]),FALSE),"")</f>
        <v>104645</v>
      </c>
      <c r="E201" s="200" t="s">
        <v>122</v>
      </c>
      <c r="F201" s="199" t="str">
        <f>IFERROR(VLOOKUP(Tableau1[Nom],Tableau5[],COLUMN(Tableau5[Prénom]),FALSE),"")</f>
        <v>Jean-Pierre</v>
      </c>
      <c r="G201" s="188" t="s">
        <v>9</v>
      </c>
      <c r="H201" s="188" t="s">
        <v>1339</v>
      </c>
      <c r="I201" s="201"/>
      <c r="J201" s="188" t="s">
        <v>1324</v>
      </c>
      <c r="K201" s="189">
        <v>7</v>
      </c>
      <c r="L201" s="190">
        <v>165</v>
      </c>
      <c r="M201" s="202" t="s">
        <v>5</v>
      </c>
      <c r="N201" s="203" t="s">
        <v>1444</v>
      </c>
      <c r="O201" s="202"/>
      <c r="P20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02" spans="1:16" x14ac:dyDescent="0.25">
      <c r="A202" s="197" t="str">
        <f>IFERROR(VLOOKUP(Tableau1[Nom],Tableau5[],COLUMN(Tableau5[Definition du costing : DVC ou non DVC]),FALSE),"")</f>
        <v>DVC</v>
      </c>
      <c r="B202" s="197" t="str">
        <f>IFERROR(VLOOKUP(Tableau1[Nom],Tableau5[],COLUMN(Tableau5[Nom de la société]),FALSE),"")</f>
        <v>Lattes</v>
      </c>
      <c r="C202" s="198" t="str">
        <f>IFERROR(VLOOKUP(Tableau1[Nom],Tableau5[],COLUMN(Tableau5[Nom du manager]),FALSE),"")</f>
        <v>JACKEL</v>
      </c>
      <c r="D202" s="199">
        <f>IFERROR(VLOOKUP(Tableau1[Nom],Tableau5[],COLUMN(Tableau5[Matricule]),FALSE),"")</f>
        <v>104645</v>
      </c>
      <c r="E202" s="200" t="s">
        <v>122</v>
      </c>
      <c r="F202" s="199" t="str">
        <f>IFERROR(VLOOKUP(Tableau1[Nom],Tableau5[],COLUMN(Tableau5[Prénom]),FALSE),"")</f>
        <v>Jean-Pierre</v>
      </c>
      <c r="G202" s="188" t="s">
        <v>9</v>
      </c>
      <c r="H202" s="188" t="s">
        <v>1343</v>
      </c>
      <c r="I202" s="201"/>
      <c r="J202" s="188" t="s">
        <v>1344</v>
      </c>
      <c r="K202" s="189">
        <v>10.5</v>
      </c>
      <c r="L202" s="190">
        <v>260</v>
      </c>
      <c r="M202" s="202" t="s">
        <v>5</v>
      </c>
      <c r="N202" s="203" t="s">
        <v>1444</v>
      </c>
      <c r="O202" s="202"/>
      <c r="P202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03" spans="1:16" x14ac:dyDescent="0.25">
      <c r="A203" s="197" t="str">
        <f>IFERROR(VLOOKUP(Tableau1[Nom],Tableau5[],COLUMN(Tableau5[Definition du costing : DVC ou non DVC]),FALSE),"")</f>
        <v>DVC</v>
      </c>
      <c r="B203" s="197" t="str">
        <f>IFERROR(VLOOKUP(Tableau1[Nom],Tableau5[],COLUMN(Tableau5[Nom de la société]),FALSE),"")</f>
        <v>STG</v>
      </c>
      <c r="C203" s="198" t="str">
        <f>IFERROR(VLOOKUP(Tableau1[Nom],Tableau5[],COLUMN(Tableau5[Nom du manager]),FALSE),"")</f>
        <v>FOUASSIER</v>
      </c>
      <c r="D203" s="199">
        <f>IFERROR(VLOOKUP(Tableau1[Nom],Tableau5[],COLUMN(Tableau5[Matricule]),FALSE),"")</f>
        <v>32976</v>
      </c>
      <c r="E203" s="200" t="s">
        <v>1184</v>
      </c>
      <c r="F203" s="199" t="str">
        <f>IFERROR(VLOOKUP(Tableau1[Nom],Tableau5[],COLUMN(Tableau5[Prénom]),FALSE),"")</f>
        <v>Didier</v>
      </c>
      <c r="G203" s="188" t="s">
        <v>9</v>
      </c>
      <c r="H203" s="188" t="s">
        <v>1326</v>
      </c>
      <c r="I203" s="201"/>
      <c r="J203" s="188" t="s">
        <v>1324</v>
      </c>
      <c r="K203" s="189">
        <v>1.5</v>
      </c>
      <c r="L203" s="190">
        <v>53</v>
      </c>
      <c r="M203" s="202" t="s">
        <v>5</v>
      </c>
      <c r="N203" s="203" t="s">
        <v>1444</v>
      </c>
      <c r="O203" s="202"/>
      <c r="P203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04" spans="1:16" x14ac:dyDescent="0.25">
      <c r="A204" s="197" t="str">
        <f>IFERROR(VLOOKUP(Tableau1[Nom],Tableau5[],COLUMN(Tableau5[Definition du costing : DVC ou non DVC]),FALSE),"")</f>
        <v>DVC</v>
      </c>
      <c r="B204" s="197" t="str">
        <f>IFERROR(VLOOKUP(Tableau1[Nom],Tableau5[],COLUMN(Tableau5[Nom de la société]),FALSE),"")</f>
        <v>STG</v>
      </c>
      <c r="C204" s="198" t="str">
        <f>IFERROR(VLOOKUP(Tableau1[Nom],Tableau5[],COLUMN(Tableau5[Nom du manager]),FALSE),"")</f>
        <v>FOUASSIER</v>
      </c>
      <c r="D204" s="199">
        <f>IFERROR(VLOOKUP(Tableau1[Nom],Tableau5[],COLUMN(Tableau5[Matricule]),FALSE),"")</f>
        <v>32976</v>
      </c>
      <c r="E204" s="200" t="s">
        <v>1184</v>
      </c>
      <c r="F204" s="199" t="str">
        <f>IFERROR(VLOOKUP(Tableau1[Nom],Tableau5[],COLUMN(Tableau5[Prénom]),FALSE),"")</f>
        <v>Didier</v>
      </c>
      <c r="G204" s="188" t="s">
        <v>9</v>
      </c>
      <c r="H204" s="188" t="s">
        <v>1346</v>
      </c>
      <c r="I204" s="201"/>
      <c r="J204" s="188" t="s">
        <v>1344</v>
      </c>
      <c r="K204" s="189">
        <v>10.5</v>
      </c>
      <c r="L204" s="190">
        <v>260</v>
      </c>
      <c r="M204" s="202" t="s">
        <v>5</v>
      </c>
      <c r="N204" s="203" t="s">
        <v>1444</v>
      </c>
      <c r="O204" s="202"/>
      <c r="P20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05" spans="1:16" x14ac:dyDescent="0.25">
      <c r="A205" s="197" t="str">
        <f>IFERROR(VLOOKUP(Tableau1[Nom],Tableau5[],COLUMN(Tableau5[Definition du costing : DVC ou non DVC]),FALSE),"")</f>
        <v>DVC</v>
      </c>
      <c r="B205" s="197" t="str">
        <f>IFERROR(VLOOKUP(Tableau1[Nom],Tableau5[],COLUMN(Tableau5[Nom de la société]),FALSE),"")</f>
        <v>STG</v>
      </c>
      <c r="C205" s="198" t="str">
        <f>IFERROR(VLOOKUP(Tableau1[Nom],Tableau5[],COLUMN(Tableau5[Nom du manager]),FALSE),"")</f>
        <v>XUEREB</v>
      </c>
      <c r="D205" s="199">
        <f>IFERROR(VLOOKUP(Tableau1[Nom],Tableau5[],COLUMN(Tableau5[Matricule]),FALSE),"")</f>
        <v>332591</v>
      </c>
      <c r="E205" s="200" t="s">
        <v>1189</v>
      </c>
      <c r="F205" s="199" t="str">
        <f>IFERROR(VLOOKUP(Tableau1[Nom],Tableau5[],COLUMN(Tableau5[Prénom]),FALSE),"")</f>
        <v xml:space="preserve">Julie </v>
      </c>
      <c r="G205" s="188" t="s">
        <v>9</v>
      </c>
      <c r="H205" s="188" t="s">
        <v>1326</v>
      </c>
      <c r="I205" s="201"/>
      <c r="J205" s="188" t="s">
        <v>1324</v>
      </c>
      <c r="K205" s="189">
        <v>1.5</v>
      </c>
      <c r="L205" s="190">
        <v>53</v>
      </c>
      <c r="M205" s="202" t="s">
        <v>5</v>
      </c>
      <c r="N205" s="203" t="s">
        <v>1444</v>
      </c>
      <c r="O205" s="202"/>
      <c r="P205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06" spans="1:16" x14ac:dyDescent="0.25">
      <c r="A206" s="197" t="str">
        <f>IFERROR(VLOOKUP(Tableau1[Nom],Tableau5[],COLUMN(Tableau5[Definition du costing : DVC ou non DVC]),FALSE),"")</f>
        <v>Non DVC</v>
      </c>
      <c r="B206" s="197" t="str">
        <f>IFERROR(VLOOKUP(Tableau1[Nom],Tableau5[],COLUMN(Tableau5[Nom de la société]),FALSE),"")</f>
        <v>Aub.</v>
      </c>
      <c r="C206" s="198" t="str">
        <f>IFERROR(VLOOKUP(Tableau1[Nom],Tableau5[],COLUMN(Tableau5[Nom du manager]),FALSE),"")</f>
        <v>PIFFAUT</v>
      </c>
      <c r="D206" s="199">
        <f>IFERROR(VLOOKUP(Tableau1[Nom],Tableau5[],COLUMN(Tableau5[Matricule]),FALSE),"")</f>
        <v>103054</v>
      </c>
      <c r="E206" s="200" t="s">
        <v>747</v>
      </c>
      <c r="F206" s="199" t="str">
        <f>IFERROR(VLOOKUP(Tableau1[Nom],Tableau5[],COLUMN(Tableau5[Prénom]),FALSE),"")</f>
        <v>Roland</v>
      </c>
      <c r="G206" s="188" t="s">
        <v>9</v>
      </c>
      <c r="H206" s="188" t="s">
        <v>1346</v>
      </c>
      <c r="I206" s="201"/>
      <c r="J206" s="188" t="s">
        <v>1344</v>
      </c>
      <c r="K206" s="189">
        <v>10.5</v>
      </c>
      <c r="L206" s="190">
        <v>260</v>
      </c>
      <c r="M206" s="202" t="s">
        <v>5</v>
      </c>
      <c r="N206" s="203" t="s">
        <v>1444</v>
      </c>
      <c r="O206" s="202"/>
      <c r="P20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07" spans="1:16" x14ac:dyDescent="0.25">
      <c r="A207" s="191" t="str">
        <f>IFERROR(VLOOKUP(Tableau1[Nom],Tableau5[],COLUMN(Tableau5[Definition du costing : DVC ou non DVC]),FALSE),"")</f>
        <v>DVC</v>
      </c>
      <c r="B207" s="197" t="str">
        <f>IFERROR(VLOOKUP(Tableau1[Nom],Tableau5[],COLUMN(Tableau5[Nom de la société]),FALSE),"")</f>
        <v>STG</v>
      </c>
      <c r="C207" s="198" t="str">
        <f>IFERROR(VLOOKUP(Tableau1[Nom],Tableau5[],COLUMN(Tableau5[Nom du manager]),FALSE),"")</f>
        <v>XUEREB</v>
      </c>
      <c r="D207" s="199">
        <f>IFERROR(VLOOKUP(Tableau1[Nom],Tableau5[],COLUMN(Tableau5[Matricule]),FALSE),"")</f>
        <v>10555045</v>
      </c>
      <c r="E207" s="187" t="s">
        <v>1193</v>
      </c>
      <c r="F207" s="199" t="str">
        <f>IFERROR(VLOOKUP(Tableau1[Nom],Tableau5[],COLUMN(Tableau5[Prénom]),FALSE),"")</f>
        <v>Stephane</v>
      </c>
      <c r="G207" s="188" t="s">
        <v>9</v>
      </c>
      <c r="H207" s="188" t="s">
        <v>1323</v>
      </c>
      <c r="I207" s="189"/>
      <c r="J207" s="188" t="s">
        <v>1324</v>
      </c>
      <c r="K207" s="189">
        <v>7</v>
      </c>
      <c r="L207" s="190">
        <v>124</v>
      </c>
      <c r="M207" s="202" t="s">
        <v>5</v>
      </c>
      <c r="N207" s="203" t="s">
        <v>1444</v>
      </c>
      <c r="O207" s="195"/>
      <c r="P207" s="289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08" spans="1:16" x14ac:dyDescent="0.25">
      <c r="A208" s="197" t="str">
        <f>IFERROR(VLOOKUP(Tableau1[Nom],Tableau5[],COLUMN(Tableau5[Definition du costing : DVC ou non DVC]),FALSE),"")</f>
        <v>DVC</v>
      </c>
      <c r="B208" s="197" t="str">
        <f>IFERROR(VLOOKUP(Tableau1[Nom],Tableau5[],COLUMN(Tableau5[Nom de la société]),FALSE),"")</f>
        <v>Aub.</v>
      </c>
      <c r="C208" s="198" t="str">
        <f>IFERROR(VLOOKUP(Tableau1[Nom],Tableau5[],COLUMN(Tableau5[Nom du manager]),FALSE),"")</f>
        <v>SENEPART</v>
      </c>
      <c r="D208" s="199">
        <f>IFERROR(VLOOKUP(Tableau1[Nom],Tableau5[],COLUMN(Tableau5[Matricule]),FALSE),"")</f>
        <v>103094</v>
      </c>
      <c r="E208" s="200" t="s">
        <v>752</v>
      </c>
      <c r="F208" s="199" t="str">
        <f>IFERROR(VLOOKUP(Tableau1[Nom],Tableau5[],COLUMN(Tableau5[Prénom]),FALSE),"")</f>
        <v>Patricia</v>
      </c>
      <c r="G208" s="188" t="s">
        <v>9</v>
      </c>
      <c r="H208" s="188" t="s">
        <v>1326</v>
      </c>
      <c r="I208" s="201"/>
      <c r="J208" s="188" t="s">
        <v>1324</v>
      </c>
      <c r="K208" s="189">
        <v>1.5</v>
      </c>
      <c r="L208" s="190">
        <v>53</v>
      </c>
      <c r="M208" s="202" t="s">
        <v>5</v>
      </c>
      <c r="N208" s="203" t="s">
        <v>1444</v>
      </c>
      <c r="O208" s="202"/>
      <c r="P20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09" spans="1:16" x14ac:dyDescent="0.25">
      <c r="A209" s="197" t="str">
        <f>IFERROR(VLOOKUP(Tableau1[Nom],Tableau5[],COLUMN(Tableau5[Definition du costing : DVC ou non DVC]),FALSE),"")</f>
        <v>DVC</v>
      </c>
      <c r="B209" s="197" t="str">
        <f>IFERROR(VLOOKUP(Tableau1[Nom],Tableau5[],COLUMN(Tableau5[Nom de la société]),FALSE),"")</f>
        <v>Aub.</v>
      </c>
      <c r="C209" s="198" t="str">
        <f>IFERROR(VLOOKUP(Tableau1[Nom],Tableau5[],COLUMN(Tableau5[Nom du manager]),FALSE),"")</f>
        <v>SENEPART</v>
      </c>
      <c r="D209" s="199">
        <f>IFERROR(VLOOKUP(Tableau1[Nom],Tableau5[],COLUMN(Tableau5[Matricule]),FALSE),"")</f>
        <v>103013</v>
      </c>
      <c r="E209" s="200" t="s">
        <v>132</v>
      </c>
      <c r="F209" s="199" t="str">
        <f>IFERROR(VLOOKUP(Tableau1[Nom],Tableau5[],COLUMN(Tableau5[Prénom]),FALSE),"")</f>
        <v>Bastien</v>
      </c>
      <c r="G209" s="188" t="s">
        <v>9</v>
      </c>
      <c r="H209" s="188" t="s">
        <v>1326</v>
      </c>
      <c r="I209" s="201"/>
      <c r="J209" s="188" t="s">
        <v>1324</v>
      </c>
      <c r="K209" s="189">
        <v>1.5</v>
      </c>
      <c r="L209" s="190">
        <v>53</v>
      </c>
      <c r="M209" s="202" t="s">
        <v>5</v>
      </c>
      <c r="N209" s="203" t="s">
        <v>1444</v>
      </c>
      <c r="O209" s="202"/>
      <c r="P20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10" spans="1:16" x14ac:dyDescent="0.25">
      <c r="A210" s="197" t="str">
        <f>IFERROR(VLOOKUP(Tableau1[Nom],Tableau5[],COLUMN(Tableau5[Definition du costing : DVC ou non DVC]),FALSE),"")</f>
        <v>DVC</v>
      </c>
      <c r="B210" s="197" t="str">
        <f>IFERROR(VLOOKUP(Tableau1[Nom],Tableau5[],COLUMN(Tableau5[Nom de la société]),FALSE),"")</f>
        <v>Aub.</v>
      </c>
      <c r="C210" s="198" t="str">
        <f>IFERROR(VLOOKUP(Tableau1[Nom],Tableau5[],COLUMN(Tableau5[Nom du manager]),FALSE),"")</f>
        <v>SENEPART</v>
      </c>
      <c r="D210" s="199">
        <f>IFERROR(VLOOKUP(Tableau1[Nom],Tableau5[],COLUMN(Tableau5[Matricule]),FALSE),"")</f>
        <v>103013</v>
      </c>
      <c r="E210" s="200" t="s">
        <v>132</v>
      </c>
      <c r="F210" s="199" t="str">
        <f>IFERROR(VLOOKUP(Tableau1[Nom],Tableau5[],COLUMN(Tableau5[Prénom]),FALSE),"")</f>
        <v>Bastien</v>
      </c>
      <c r="G210" s="188" t="s">
        <v>9</v>
      </c>
      <c r="H210" s="188" t="s">
        <v>1340</v>
      </c>
      <c r="I210" s="201"/>
      <c r="J210" s="188" t="s">
        <v>1341</v>
      </c>
      <c r="K210" s="189">
        <v>7</v>
      </c>
      <c r="L210" s="190">
        <v>117</v>
      </c>
      <c r="M210" s="202" t="s">
        <v>5</v>
      </c>
      <c r="N210" s="203" t="s">
        <v>1444</v>
      </c>
      <c r="O210" s="202"/>
      <c r="P21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11" spans="1:16" x14ac:dyDescent="0.25">
      <c r="A211" s="197" t="str">
        <f>IFERROR(VLOOKUP(Tableau1[Nom],Tableau5[],COLUMN(Tableau5[Definition du costing : DVC ou non DVC]),FALSE),"")</f>
        <v>DVC</v>
      </c>
      <c r="B211" s="197" t="str">
        <f>IFERROR(VLOOKUP(Tableau1[Nom],Tableau5[],COLUMN(Tableau5[Nom de la société]),FALSE),"")</f>
        <v>Aub.</v>
      </c>
      <c r="C211" s="198" t="str">
        <f>IFERROR(VLOOKUP(Tableau1[Nom],Tableau5[],COLUMN(Tableau5[Nom du manager]),FALSE),"")</f>
        <v>FUENTES</v>
      </c>
      <c r="D211" s="199">
        <f>IFERROR(VLOOKUP(Tableau1[Nom],Tableau5[],COLUMN(Tableau5[Matricule]),FALSE),"")</f>
        <v>102963</v>
      </c>
      <c r="E211" s="200" t="s">
        <v>758</v>
      </c>
      <c r="F211" s="199" t="str">
        <f>IFERROR(VLOOKUP(Tableau1[Nom],Tableau5[],COLUMN(Tableau5[Prénom]),FALSE),"")</f>
        <v>Harold</v>
      </c>
      <c r="G211" s="188" t="s">
        <v>9</v>
      </c>
      <c r="H211" s="188" t="s">
        <v>1326</v>
      </c>
      <c r="I211" s="201"/>
      <c r="J211" s="188" t="s">
        <v>1324</v>
      </c>
      <c r="K211" s="189">
        <v>1.5</v>
      </c>
      <c r="L211" s="190">
        <v>53</v>
      </c>
      <c r="M211" s="202" t="s">
        <v>5</v>
      </c>
      <c r="N211" s="203" t="s">
        <v>1444</v>
      </c>
      <c r="O211" s="202"/>
      <c r="P211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12" spans="1:16" x14ac:dyDescent="0.25">
      <c r="A212" s="197" t="str">
        <f>IFERROR(VLOOKUP(Tableau1[Nom],Tableau5[],COLUMN(Tableau5[Definition du costing : DVC ou non DVC]),FALSE),"")</f>
        <v>DVC</v>
      </c>
      <c r="B212" s="197" t="str">
        <f>IFERROR(VLOOKUP(Tableau1[Nom],Tableau5[],COLUMN(Tableau5[Nom de la société]),FALSE),"")</f>
        <v>Aub.</v>
      </c>
      <c r="C212" s="198" t="str">
        <f>IFERROR(VLOOKUP(Tableau1[Nom],Tableau5[],COLUMN(Tableau5[Nom du manager]),FALSE),"")</f>
        <v>FUENTES</v>
      </c>
      <c r="D212" s="199">
        <f>IFERROR(VLOOKUP(Tableau1[Nom],Tableau5[],COLUMN(Tableau5[Matricule]),FALSE),"")</f>
        <v>102963</v>
      </c>
      <c r="E212" s="200" t="s">
        <v>758</v>
      </c>
      <c r="F212" s="199" t="str">
        <f>IFERROR(VLOOKUP(Tableau1[Nom],Tableau5[],COLUMN(Tableau5[Prénom]),FALSE),"")</f>
        <v>Harold</v>
      </c>
      <c r="G212" s="188" t="s">
        <v>9</v>
      </c>
      <c r="H212" s="188" t="s">
        <v>1340</v>
      </c>
      <c r="I212" s="201"/>
      <c r="J212" s="188" t="s">
        <v>1341</v>
      </c>
      <c r="K212" s="189">
        <v>7</v>
      </c>
      <c r="L212" s="190">
        <v>117</v>
      </c>
      <c r="M212" s="202" t="s">
        <v>5</v>
      </c>
      <c r="N212" s="203" t="s">
        <v>1444</v>
      </c>
      <c r="O212" s="202"/>
      <c r="P212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13" spans="1:16" x14ac:dyDescent="0.25">
      <c r="A213" s="197" t="str">
        <f>IFERROR(VLOOKUP(Tableau1[Nom],Tableau5[],COLUMN(Tableau5[Definition du costing : DVC ou non DVC]),FALSE),"")</f>
        <v>DVC</v>
      </c>
      <c r="B213" s="197" t="str">
        <f>IFERROR(VLOOKUP(Tableau1[Nom],Tableau5[],COLUMN(Tableau5[Nom de la société]),FALSE),"")</f>
        <v>Aub.</v>
      </c>
      <c r="C213" s="198" t="str">
        <f>IFERROR(VLOOKUP(Tableau1[Nom],Tableau5[],COLUMN(Tableau5[Nom du manager]),FALSE),"")</f>
        <v>FUENTES</v>
      </c>
      <c r="D213" s="199">
        <f>IFERROR(VLOOKUP(Tableau1[Nom],Tableau5[],COLUMN(Tableau5[Matricule]),FALSE),"")</f>
        <v>102963</v>
      </c>
      <c r="E213" s="200" t="s">
        <v>758</v>
      </c>
      <c r="F213" s="199" t="str">
        <f>IFERROR(VLOOKUP(Tableau1[Nom],Tableau5[],COLUMN(Tableau5[Prénom]),FALSE),"")</f>
        <v>Harold</v>
      </c>
      <c r="G213" s="188" t="s">
        <v>9</v>
      </c>
      <c r="H213" s="188" t="s">
        <v>1346</v>
      </c>
      <c r="I213" s="201"/>
      <c r="J213" s="188" t="s">
        <v>1344</v>
      </c>
      <c r="K213" s="189">
        <v>10.5</v>
      </c>
      <c r="L213" s="190">
        <v>260</v>
      </c>
      <c r="M213" s="202" t="s">
        <v>5</v>
      </c>
      <c r="N213" s="203" t="s">
        <v>1444</v>
      </c>
      <c r="O213" s="202"/>
      <c r="P21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14" spans="1:16" x14ac:dyDescent="0.25">
      <c r="A214" s="197" t="str">
        <f>IFERROR(VLOOKUP(Tableau1[Nom],Tableau5[],COLUMN(Tableau5[Definition du costing : DVC ou non DVC]),FALSE),"")</f>
        <v>DVC</v>
      </c>
      <c r="B214" s="197" t="str">
        <f>IFERROR(VLOOKUP(Tableau1[Nom],Tableau5[],COLUMN(Tableau5[Nom de la société]),FALSE),"")</f>
        <v>Lattes</v>
      </c>
      <c r="C214" s="198" t="str">
        <f>IFERROR(VLOOKUP(Tableau1[Nom],Tableau5[],COLUMN(Tableau5[Nom du manager]),FALSE),"")</f>
        <v>VERNE</v>
      </c>
      <c r="D214" s="199">
        <f>IFERROR(VLOOKUP(Tableau1[Nom],Tableau5[],COLUMN(Tableau5[Matricule]),FALSE),"")</f>
        <v>191733</v>
      </c>
      <c r="E214" s="200" t="s">
        <v>1131</v>
      </c>
      <c r="F214" s="199" t="str">
        <f>IFERROR(VLOOKUP(Tableau1[Nom],Tableau5[],COLUMN(Tableau5[Prénom]),FALSE),"")</f>
        <v>Roxane</v>
      </c>
      <c r="G214" s="188" t="s">
        <v>9</v>
      </c>
      <c r="H214" s="188" t="s">
        <v>1323</v>
      </c>
      <c r="I214" s="201"/>
      <c r="J214" s="188" t="s">
        <v>1324</v>
      </c>
      <c r="K214" s="189">
        <v>7</v>
      </c>
      <c r="L214" s="190">
        <v>124</v>
      </c>
      <c r="M214" s="202" t="s">
        <v>5</v>
      </c>
      <c r="N214" s="203" t="s">
        <v>1444</v>
      </c>
      <c r="O214" s="202"/>
      <c r="P214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15" spans="1:16" x14ac:dyDescent="0.25">
      <c r="A215" s="197" t="str">
        <f>IFERROR(VLOOKUP(Tableau1[Nom],Tableau5[],COLUMN(Tableau5[Definition du costing : DVC ou non DVC]),FALSE),"")</f>
        <v>Non DVC</v>
      </c>
      <c r="B215" s="197" t="str">
        <f>IFERROR(VLOOKUP(Tableau1[Nom],Tableau5[],COLUMN(Tableau5[Nom de la société]),FALSE),"")</f>
        <v>Aub.</v>
      </c>
      <c r="C215" s="198" t="str">
        <f>IFERROR(VLOOKUP(Tableau1[Nom],Tableau5[],COLUMN(Tableau5[Nom du manager]),FALSE),"")</f>
        <v>PIFFAUT</v>
      </c>
      <c r="D215" s="199">
        <f>IFERROR(VLOOKUP(Tableau1[Nom],Tableau5[],COLUMN(Tableau5[Matricule]),FALSE),"")</f>
        <v>102978</v>
      </c>
      <c r="E215" s="200" t="s">
        <v>762</v>
      </c>
      <c r="F215" s="199" t="str">
        <f>IFERROR(VLOOKUP(Tableau1[Nom],Tableau5[],COLUMN(Tableau5[Prénom]),FALSE),"")</f>
        <v>Jean-Yves</v>
      </c>
      <c r="G215" s="188" t="s">
        <v>9</v>
      </c>
      <c r="H215" s="188" t="s">
        <v>1346</v>
      </c>
      <c r="I215" s="201"/>
      <c r="J215" s="188" t="s">
        <v>1344</v>
      </c>
      <c r="K215" s="189">
        <v>10.5</v>
      </c>
      <c r="L215" s="190">
        <v>260</v>
      </c>
      <c r="M215" s="202" t="s">
        <v>5</v>
      </c>
      <c r="N215" s="203" t="s">
        <v>1444</v>
      </c>
      <c r="O215" s="202"/>
      <c r="P21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16" spans="1:16" x14ac:dyDescent="0.25">
      <c r="A216" s="197" t="str">
        <f>IFERROR(VLOOKUP(Tableau1[Nom],Tableau5[],COLUMN(Tableau5[Definition du costing : DVC ou non DVC]),FALSE),"")</f>
        <v>DVC</v>
      </c>
      <c r="B216" s="197" t="str">
        <f>IFERROR(VLOOKUP(Tableau1[Nom],Tableau5[],COLUMN(Tableau5[Nom de la société]),FALSE),"")</f>
        <v>Aub.</v>
      </c>
      <c r="C216" s="198" t="str">
        <f>IFERROR(VLOOKUP(Tableau1[Nom],Tableau5[],COLUMN(Tableau5[Nom du manager]),FALSE),"")</f>
        <v>SENEPART</v>
      </c>
      <c r="D216" s="199">
        <f>IFERROR(VLOOKUP(Tableau1[Nom],Tableau5[],COLUMN(Tableau5[Matricule]),FALSE),"")</f>
        <v>102997</v>
      </c>
      <c r="E216" s="200" t="s">
        <v>767</v>
      </c>
      <c r="F216" s="199" t="str">
        <f>IFERROR(VLOOKUP(Tableau1[Nom],Tableau5[],COLUMN(Tableau5[Prénom]),FALSE),"")</f>
        <v>Philippe</v>
      </c>
      <c r="G216" s="188" t="s">
        <v>9</v>
      </c>
      <c r="H216" s="188" t="s">
        <v>1326</v>
      </c>
      <c r="I216" s="201"/>
      <c r="J216" s="188" t="s">
        <v>1324</v>
      </c>
      <c r="K216" s="189">
        <v>1.5</v>
      </c>
      <c r="L216" s="190">
        <v>53</v>
      </c>
      <c r="M216" s="202" t="s">
        <v>5</v>
      </c>
      <c r="N216" s="203" t="s">
        <v>1444</v>
      </c>
      <c r="O216" s="202"/>
      <c r="P216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17" spans="1:16" x14ac:dyDescent="0.25">
      <c r="A217" s="197" t="str">
        <f>IFERROR(VLOOKUP(Tableau1[Nom],Tableau5[],COLUMN(Tableau5[Definition du costing : DVC ou non DVC]),FALSE),"")</f>
        <v>DVC</v>
      </c>
      <c r="B217" s="197" t="str">
        <f>IFERROR(VLOOKUP(Tableau1[Nom],Tableau5[],COLUMN(Tableau5[Nom de la société]),FALSE),"")</f>
        <v>Aub.</v>
      </c>
      <c r="C217" s="198" t="str">
        <f>IFERROR(VLOOKUP(Tableau1[Nom],Tableau5[],COLUMN(Tableau5[Nom du manager]),FALSE),"")</f>
        <v>SENEPART</v>
      </c>
      <c r="D217" s="199">
        <f>IFERROR(VLOOKUP(Tableau1[Nom],Tableau5[],COLUMN(Tableau5[Matricule]),FALSE),"")</f>
        <v>102997</v>
      </c>
      <c r="E217" s="200" t="s">
        <v>767</v>
      </c>
      <c r="F217" s="199" t="str">
        <f>IFERROR(VLOOKUP(Tableau1[Nom],Tableau5[],COLUMN(Tableau5[Prénom]),FALSE),"")</f>
        <v>Philippe</v>
      </c>
      <c r="G217" s="188" t="s">
        <v>9</v>
      </c>
      <c r="H217" s="188" t="s">
        <v>1346</v>
      </c>
      <c r="I217" s="201"/>
      <c r="J217" s="188" t="s">
        <v>1344</v>
      </c>
      <c r="K217" s="189">
        <v>10.5</v>
      </c>
      <c r="L217" s="190">
        <v>260</v>
      </c>
      <c r="M217" s="202" t="s">
        <v>5</v>
      </c>
      <c r="N217" s="203" t="s">
        <v>1444</v>
      </c>
      <c r="O217" s="202"/>
      <c r="P21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18" spans="1:16" x14ac:dyDescent="0.25">
      <c r="A218" s="197" t="str">
        <f>IFERROR(VLOOKUP(Tableau1[Nom],Tableau5[],COLUMN(Tableau5[Definition du costing : DVC ou non DVC]),FALSE),"")</f>
        <v>DVC</v>
      </c>
      <c r="B218" s="197" t="str">
        <f>IFERROR(VLOOKUP(Tableau1[Nom],Tableau5[],COLUMN(Tableau5[Nom de la société]),FALSE),"")</f>
        <v>Aub.</v>
      </c>
      <c r="C218" s="198" t="str">
        <f>IFERROR(VLOOKUP(Tableau1[Nom],Tableau5[],COLUMN(Tableau5[Nom du manager]),FALSE),"")</f>
        <v>SENEPART</v>
      </c>
      <c r="D218" s="199">
        <f>IFERROR(VLOOKUP(Tableau1[Nom],Tableau5[],COLUMN(Tableau5[Matricule]),FALSE),"")</f>
        <v>103090</v>
      </c>
      <c r="E218" s="200" t="s">
        <v>770</v>
      </c>
      <c r="F218" s="199" t="str">
        <f>IFERROR(VLOOKUP(Tableau1[Nom],Tableau5[],COLUMN(Tableau5[Prénom]),FALSE),"")</f>
        <v>Stephane</v>
      </c>
      <c r="G218" s="188" t="s">
        <v>9</v>
      </c>
      <c r="H218" s="188" t="s">
        <v>1323</v>
      </c>
      <c r="I218" s="201"/>
      <c r="J218" s="188" t="s">
        <v>1324</v>
      </c>
      <c r="K218" s="189">
        <v>7</v>
      </c>
      <c r="L218" s="190">
        <v>124</v>
      </c>
      <c r="M218" s="202" t="s">
        <v>5</v>
      </c>
      <c r="N218" s="203" t="s">
        <v>1444</v>
      </c>
      <c r="O218" s="202"/>
      <c r="P21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19" spans="1:16" x14ac:dyDescent="0.25">
      <c r="A219" s="197" t="str">
        <f>IFERROR(VLOOKUP(Tableau1[Nom],Tableau5[],COLUMN(Tableau5[Definition du costing : DVC ou non DVC]),FALSE),"")</f>
        <v>DVC</v>
      </c>
      <c r="B219" s="197" t="str">
        <f>IFERROR(VLOOKUP(Tableau1[Nom],Tableau5[],COLUMN(Tableau5[Nom de la société]),FALSE),"")</f>
        <v>Aub.</v>
      </c>
      <c r="C219" s="198" t="str">
        <f>IFERROR(VLOOKUP(Tableau1[Nom],Tableau5[],COLUMN(Tableau5[Nom du manager]),FALSE),"")</f>
        <v>SENEPART</v>
      </c>
      <c r="D219" s="199">
        <f>IFERROR(VLOOKUP(Tableau1[Nom],Tableau5[],COLUMN(Tableau5[Matricule]),FALSE),"")</f>
        <v>103090</v>
      </c>
      <c r="E219" s="200" t="s">
        <v>770</v>
      </c>
      <c r="F219" s="199" t="str">
        <f>IFERROR(VLOOKUP(Tableau1[Nom],Tableau5[],COLUMN(Tableau5[Prénom]),FALSE),"")</f>
        <v>Stephane</v>
      </c>
      <c r="G219" s="188" t="s">
        <v>9</v>
      </c>
      <c r="H219" s="188" t="s">
        <v>1326</v>
      </c>
      <c r="I219" s="201"/>
      <c r="J219" s="188" t="s">
        <v>1324</v>
      </c>
      <c r="K219" s="189">
        <v>1.5</v>
      </c>
      <c r="L219" s="190">
        <v>53</v>
      </c>
      <c r="M219" s="202" t="s">
        <v>5</v>
      </c>
      <c r="N219" s="203" t="s">
        <v>1444</v>
      </c>
      <c r="O219" s="202"/>
      <c r="P21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20" spans="1:16" x14ac:dyDescent="0.25">
      <c r="A220" s="197" t="str">
        <f>IFERROR(VLOOKUP(Tableau1[Nom],Tableau5[],COLUMN(Tableau5[Definition du costing : DVC ou non DVC]),FALSE),"")</f>
        <v>DVC</v>
      </c>
      <c r="B220" s="197" t="str">
        <f>IFERROR(VLOOKUP(Tableau1[Nom],Tableau5[],COLUMN(Tableau5[Nom de la société]),FALSE),"")</f>
        <v>Aub.</v>
      </c>
      <c r="C220" s="198" t="str">
        <f>IFERROR(VLOOKUP(Tableau1[Nom],Tableau5[],COLUMN(Tableau5[Nom du manager]),FALSE),"")</f>
        <v>SENEPART</v>
      </c>
      <c r="D220" s="199">
        <f>IFERROR(VLOOKUP(Tableau1[Nom],Tableau5[],COLUMN(Tableau5[Matricule]),FALSE),"")</f>
        <v>103090</v>
      </c>
      <c r="E220" s="200" t="s">
        <v>770</v>
      </c>
      <c r="F220" s="199" t="str">
        <f>IFERROR(VLOOKUP(Tableau1[Nom],Tableau5[],COLUMN(Tableau5[Prénom]),FALSE),"")</f>
        <v>Stephane</v>
      </c>
      <c r="G220" s="188" t="s">
        <v>9</v>
      </c>
      <c r="H220" s="188" t="s">
        <v>1340</v>
      </c>
      <c r="I220" s="201"/>
      <c r="J220" s="188" t="s">
        <v>1341</v>
      </c>
      <c r="K220" s="189">
        <v>7</v>
      </c>
      <c r="L220" s="190">
        <v>117</v>
      </c>
      <c r="M220" s="202" t="s">
        <v>5</v>
      </c>
      <c r="N220" s="203" t="s">
        <v>1444</v>
      </c>
      <c r="O220" s="202"/>
      <c r="P22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21" spans="1:16" x14ac:dyDescent="0.25">
      <c r="A221" s="197" t="str">
        <f>IFERROR(VLOOKUP(Tableau1[Nom],Tableau5[],COLUMN(Tableau5[Definition du costing : DVC ou non DVC]),FALSE),"")</f>
        <v>DVC</v>
      </c>
      <c r="B221" s="197" t="str">
        <f>IFERROR(VLOOKUP(Tableau1[Nom],Tableau5[],COLUMN(Tableau5[Nom de la société]),FALSE),"")</f>
        <v>Lattes</v>
      </c>
      <c r="C221" s="198" t="str">
        <f>IFERROR(VLOOKUP(Tableau1[Nom],Tableau5[],COLUMN(Tableau5[Nom du manager]),FALSE),"")</f>
        <v>VERNE</v>
      </c>
      <c r="D221" s="199">
        <f>IFERROR(VLOOKUP(Tableau1[Nom],Tableau5[],COLUMN(Tableau5[Matricule]),FALSE),"")</f>
        <v>191714</v>
      </c>
      <c r="E221" s="200" t="s">
        <v>1127</v>
      </c>
      <c r="F221" s="199" t="str">
        <f>IFERROR(VLOOKUP(Tableau1[Nom],Tableau5[],COLUMN(Tableau5[Prénom]),FALSE),"")</f>
        <v>Francis</v>
      </c>
      <c r="G221" s="188" t="s">
        <v>9</v>
      </c>
      <c r="H221" s="188" t="s">
        <v>1323</v>
      </c>
      <c r="I221" s="201"/>
      <c r="J221" s="188" t="s">
        <v>1324</v>
      </c>
      <c r="K221" s="189">
        <v>7</v>
      </c>
      <c r="L221" s="190">
        <v>124</v>
      </c>
      <c r="M221" s="202" t="s">
        <v>5</v>
      </c>
      <c r="N221" s="203" t="s">
        <v>1444</v>
      </c>
      <c r="O221" s="202"/>
      <c r="P221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222" spans="1:16" x14ac:dyDescent="0.25">
      <c r="A222" s="197" t="str">
        <f>IFERROR(VLOOKUP(Tableau1[Nom],Tableau5[],COLUMN(Tableau5[Definition du costing : DVC ou non DVC]),FALSE),"")</f>
        <v>DVC</v>
      </c>
      <c r="B222" s="197" t="str">
        <f>IFERROR(VLOOKUP(Tableau1[Nom],Tableau5[],COLUMN(Tableau5[Nom de la société]),FALSE),"")</f>
        <v>Lattes</v>
      </c>
      <c r="C222" s="198" t="str">
        <f>IFERROR(VLOOKUP(Tableau1[Nom],Tableau5[],COLUMN(Tableau5[Nom du manager]),FALSE),"")</f>
        <v>VERNE</v>
      </c>
      <c r="D222" s="199">
        <f>IFERROR(VLOOKUP(Tableau1[Nom],Tableau5[],COLUMN(Tableau5[Matricule]),FALSE),"")</f>
        <v>191714</v>
      </c>
      <c r="E222" s="192" t="s">
        <v>1127</v>
      </c>
      <c r="F222" s="199" t="str">
        <f>IFERROR(VLOOKUP(Tableau1[Nom],Tableau5[],COLUMN(Tableau5[Prénom]),FALSE),"")</f>
        <v>Francis</v>
      </c>
      <c r="G222" s="188" t="s">
        <v>9</v>
      </c>
      <c r="H222" s="188" t="s">
        <v>1323</v>
      </c>
      <c r="I222" s="201"/>
      <c r="J222" s="188" t="s">
        <v>1324</v>
      </c>
      <c r="K222" s="189">
        <v>7</v>
      </c>
      <c r="L222" s="190">
        <v>124</v>
      </c>
      <c r="M222" s="202" t="s">
        <v>5</v>
      </c>
      <c r="N222" s="203" t="s">
        <v>1444</v>
      </c>
      <c r="O222" s="202"/>
      <c r="P222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223" spans="1:16" x14ac:dyDescent="0.25">
      <c r="A223" s="197" t="str">
        <f>IFERROR(VLOOKUP(Tableau1[Nom],Tableau5[],COLUMN(Tableau5[Definition du costing : DVC ou non DVC]),FALSE),"")</f>
        <v>DVC</v>
      </c>
      <c r="B223" s="197" t="str">
        <f>IFERROR(VLOOKUP(Tableau1[Nom],Tableau5[],COLUMN(Tableau5[Nom de la société]),FALSE),"")</f>
        <v>Aub.</v>
      </c>
      <c r="C223" s="198" t="str">
        <f>IFERROR(VLOOKUP(Tableau1[Nom],Tableau5[],COLUMN(Tableau5[Nom du manager]),FALSE),"")</f>
        <v>ALIX</v>
      </c>
      <c r="D223" s="199">
        <f>IFERROR(VLOOKUP(Tableau1[Nom],Tableau5[],COLUMN(Tableau5[Matricule]),FALSE),"")</f>
        <v>102902</v>
      </c>
      <c r="E223" s="200" t="s">
        <v>776</v>
      </c>
      <c r="F223" s="199" t="str">
        <f>IFERROR(VLOOKUP(Tableau1[Nom],Tableau5[],COLUMN(Tableau5[Prénom]),FALSE),"")</f>
        <v>Dominique</v>
      </c>
      <c r="G223" s="188" t="s">
        <v>9</v>
      </c>
      <c r="H223" s="188" t="s">
        <v>1323</v>
      </c>
      <c r="I223" s="201"/>
      <c r="J223" s="188" t="s">
        <v>1324</v>
      </c>
      <c r="K223" s="189">
        <v>7</v>
      </c>
      <c r="L223" s="190">
        <v>124</v>
      </c>
      <c r="M223" s="202" t="s">
        <v>5</v>
      </c>
      <c r="N223" s="203" t="s">
        <v>1444</v>
      </c>
      <c r="O223" s="202"/>
      <c r="P223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24" spans="1:16" x14ac:dyDescent="0.25">
      <c r="A224" s="197" t="str">
        <f>IFERROR(VLOOKUP(Tableau1[Nom],Tableau5[],COLUMN(Tableau5[Definition du costing : DVC ou non DVC]),FALSE),"")</f>
        <v>DVC</v>
      </c>
      <c r="B224" s="197" t="str">
        <f>IFERROR(VLOOKUP(Tableau1[Nom],Tableau5[],COLUMN(Tableau5[Nom de la société]),FALSE),"")</f>
        <v>Aub.</v>
      </c>
      <c r="C224" s="198" t="str">
        <f>IFERROR(VLOOKUP(Tableau1[Nom],Tableau5[],COLUMN(Tableau5[Nom du manager]),FALSE),"")</f>
        <v>ALIX</v>
      </c>
      <c r="D224" s="199">
        <f>IFERROR(VLOOKUP(Tableau1[Nom],Tableau5[],COLUMN(Tableau5[Matricule]),FALSE),"")</f>
        <v>102902</v>
      </c>
      <c r="E224" s="200" t="s">
        <v>776</v>
      </c>
      <c r="F224" s="199" t="str">
        <f>IFERROR(VLOOKUP(Tableau1[Nom],Tableau5[],COLUMN(Tableau5[Prénom]),FALSE),"")</f>
        <v>Dominique</v>
      </c>
      <c r="G224" s="188" t="s">
        <v>9</v>
      </c>
      <c r="H224" s="188" t="s">
        <v>1326</v>
      </c>
      <c r="I224" s="201"/>
      <c r="J224" s="188" t="s">
        <v>1324</v>
      </c>
      <c r="K224" s="189">
        <v>1.5</v>
      </c>
      <c r="L224" s="190">
        <v>53</v>
      </c>
      <c r="M224" s="202" t="s">
        <v>5</v>
      </c>
      <c r="N224" s="203" t="s">
        <v>1444</v>
      </c>
      <c r="O224" s="202"/>
      <c r="P22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25" spans="1:16" x14ac:dyDescent="0.25">
      <c r="A225" s="197" t="str">
        <f>IFERROR(VLOOKUP(Tableau1[Nom],Tableau5[],COLUMN(Tableau5[Definition du costing : DVC ou non DVC]),FALSE),"")</f>
        <v>DVC</v>
      </c>
      <c r="B225" s="197" t="str">
        <f>IFERROR(VLOOKUP(Tableau1[Nom],Tableau5[],COLUMN(Tableau5[Nom de la société]),FALSE),"")</f>
        <v>Aub.</v>
      </c>
      <c r="C225" s="198" t="str">
        <f>IFERROR(VLOOKUP(Tableau1[Nom],Tableau5[],COLUMN(Tableau5[Nom du manager]),FALSE),"")</f>
        <v>ALIX</v>
      </c>
      <c r="D225" s="199">
        <f>IFERROR(VLOOKUP(Tableau1[Nom],Tableau5[],COLUMN(Tableau5[Matricule]),FALSE),"")</f>
        <v>102903</v>
      </c>
      <c r="E225" s="200" t="s">
        <v>784</v>
      </c>
      <c r="F225" s="199" t="str">
        <f>IFERROR(VLOOKUP(Tableau1[Nom],Tableau5[],COLUMN(Tableau5[Prénom]),FALSE),"")</f>
        <v>Jacky</v>
      </c>
      <c r="G225" s="188" t="s">
        <v>9</v>
      </c>
      <c r="H225" s="188" t="s">
        <v>1326</v>
      </c>
      <c r="I225" s="201"/>
      <c r="J225" s="188" t="s">
        <v>1324</v>
      </c>
      <c r="K225" s="189">
        <v>1.5</v>
      </c>
      <c r="L225" s="190">
        <v>53</v>
      </c>
      <c r="M225" s="202" t="s">
        <v>5</v>
      </c>
      <c r="N225" s="203" t="s">
        <v>1444</v>
      </c>
      <c r="O225" s="202"/>
      <c r="P225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26" spans="1:16" x14ac:dyDescent="0.25">
      <c r="A226" s="197" t="str">
        <f>IFERROR(VLOOKUP(Tableau1[Nom],Tableau5[],COLUMN(Tableau5[Definition du costing : DVC ou non DVC]),FALSE),"")</f>
        <v>DVC</v>
      </c>
      <c r="B226" s="197" t="str">
        <f>IFERROR(VLOOKUP(Tableau1[Nom],Tableau5[],COLUMN(Tableau5[Nom de la société]),FALSE),"")</f>
        <v>Aub.</v>
      </c>
      <c r="C226" s="198" t="str">
        <f>IFERROR(VLOOKUP(Tableau1[Nom],Tableau5[],COLUMN(Tableau5[Nom du manager]),FALSE),"")</f>
        <v>SENEPART</v>
      </c>
      <c r="D226" s="199">
        <f>IFERROR(VLOOKUP(Tableau1[Nom],Tableau5[],COLUMN(Tableau5[Matricule]),FALSE),"")</f>
        <v>102993</v>
      </c>
      <c r="E226" s="200" t="s">
        <v>788</v>
      </c>
      <c r="F226" s="199" t="str">
        <f>IFERROR(VLOOKUP(Tableau1[Nom],Tableau5[],COLUMN(Tableau5[Prénom]),FALSE),"")</f>
        <v>Christophe</v>
      </c>
      <c r="G226" s="188" t="s">
        <v>9</v>
      </c>
      <c r="H226" s="188" t="s">
        <v>1340</v>
      </c>
      <c r="I226" s="201"/>
      <c r="J226" s="188" t="s">
        <v>1341</v>
      </c>
      <c r="K226" s="189">
        <v>7</v>
      </c>
      <c r="L226" s="190">
        <v>117</v>
      </c>
      <c r="M226" s="202" t="s">
        <v>5</v>
      </c>
      <c r="N226" s="203" t="s">
        <v>1444</v>
      </c>
      <c r="O226" s="202"/>
      <c r="P22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27" spans="1:16" x14ac:dyDescent="0.25">
      <c r="A227" s="197" t="str">
        <f>IFERROR(VLOOKUP(Tableau1[Nom],Tableau5[],COLUMN(Tableau5[Definition du costing : DVC ou non DVC]),FALSE),"")</f>
        <v>Non DVC</v>
      </c>
      <c r="B227" s="197" t="str">
        <f>IFERROR(VLOOKUP(Tableau1[Nom],Tableau5[],COLUMN(Tableau5[Nom de la société]),FALSE),"")</f>
        <v>STG</v>
      </c>
      <c r="C227" s="198" t="str">
        <f>IFERROR(VLOOKUP(Tableau1[Nom],Tableau5[],COLUMN(Tableau5[Nom du manager]),FALSE),"")</f>
        <v>FOUASSIER</v>
      </c>
      <c r="D227" s="199">
        <f>IFERROR(VLOOKUP(Tableau1[Nom],Tableau5[],COLUMN(Tableau5[Matricule]),FALSE),"")</f>
        <v>10550783</v>
      </c>
      <c r="E227" s="200" t="s">
        <v>1200</v>
      </c>
      <c r="F227" s="199" t="str">
        <f>IFERROR(VLOOKUP(Tableau1[Nom],Tableau5[],COLUMN(Tableau5[Prénom]),FALSE),"")</f>
        <v>Romain</v>
      </c>
      <c r="G227" s="188" t="s">
        <v>9</v>
      </c>
      <c r="H227" s="188" t="s">
        <v>1326</v>
      </c>
      <c r="I227" s="201"/>
      <c r="J227" s="188" t="s">
        <v>1324</v>
      </c>
      <c r="K227" s="189">
        <v>1.5</v>
      </c>
      <c r="L227" s="190">
        <v>53</v>
      </c>
      <c r="M227" s="202" t="s">
        <v>5</v>
      </c>
      <c r="N227" s="203" t="s">
        <v>1444</v>
      </c>
      <c r="O227" s="202"/>
      <c r="P227" s="288">
        <f>IFERROR(INDEX(Tableau2[],MATCH(Tableau1[[#This Row],[Nom]]&amp;Tableau1[[#This Row],[Intitulé]],INDEX(Tableau2[],,COLUMN(Tableau2[Clé Recherche])),0),COLUMN(Tableau2[Calendrier de réalisation])),"")</f>
        <v>0</v>
      </c>
    </row>
    <row r="228" spans="1:16" x14ac:dyDescent="0.25">
      <c r="A228" s="197" t="str">
        <f>IFERROR(VLOOKUP(Tableau1[Nom],Tableau5[],COLUMN(Tableau5[Definition du costing : DVC ou non DVC]),FALSE),"")</f>
        <v>Non DVC</v>
      </c>
      <c r="B228" s="197" t="str">
        <f>IFERROR(VLOOKUP(Tableau1[Nom],Tableau5[],COLUMN(Tableau5[Nom de la société]),FALSE),"")</f>
        <v>STG</v>
      </c>
      <c r="C228" s="198" t="str">
        <f>IFERROR(VLOOKUP(Tableau1[Nom],Tableau5[],COLUMN(Tableau5[Nom du manager]),FALSE),"")</f>
        <v>FOUASSIER</v>
      </c>
      <c r="D228" s="199">
        <f>IFERROR(VLOOKUP(Tableau1[Nom],Tableau5[],COLUMN(Tableau5[Matricule]),FALSE),"")</f>
        <v>10515630</v>
      </c>
      <c r="E228" s="200" t="s">
        <v>103</v>
      </c>
      <c r="F228" s="199" t="str">
        <f>IFERROR(VLOOKUP(Tableau1[Nom],Tableau5[],COLUMN(Tableau5[Prénom]),FALSE),"")</f>
        <v>Clement</v>
      </c>
      <c r="G228" s="188" t="s">
        <v>9</v>
      </c>
      <c r="H228" s="188" t="s">
        <v>1326</v>
      </c>
      <c r="I228" s="201"/>
      <c r="J228" s="188" t="s">
        <v>1324</v>
      </c>
      <c r="K228" s="189">
        <v>1.5</v>
      </c>
      <c r="L228" s="190">
        <v>53</v>
      </c>
      <c r="M228" s="202" t="s">
        <v>5</v>
      </c>
      <c r="N228" s="203" t="s">
        <v>1444</v>
      </c>
      <c r="O228" s="202"/>
      <c r="P228" s="288">
        <f>IFERROR(INDEX(Tableau2[],MATCH(Tableau1[[#This Row],[Nom]]&amp;Tableau1[[#This Row],[Intitulé]],INDEX(Tableau2[],,COLUMN(Tableau2[Clé Recherche])),0),COLUMN(Tableau2[Calendrier de réalisation])),"")</f>
        <v>0</v>
      </c>
    </row>
    <row r="229" spans="1:16" x14ac:dyDescent="0.25">
      <c r="A229" s="197" t="str">
        <f>IFERROR(VLOOKUP(Tableau1[Nom],Tableau5[],COLUMN(Tableau5[Definition du costing : DVC ou non DVC]),FALSE),"")</f>
        <v>DVC</v>
      </c>
      <c r="B229" s="197" t="str">
        <f>IFERROR(VLOOKUP(Tableau1[Nom],Tableau5[],COLUMN(Tableau5[Nom de la société]),FALSE),"")</f>
        <v>STG</v>
      </c>
      <c r="C229" s="198" t="str">
        <f>IFERROR(VLOOKUP(Tableau1[Nom],Tableau5[],COLUMN(Tableau5[Nom du manager]),FALSE),"")</f>
        <v>XUEREB</v>
      </c>
      <c r="D229" s="199">
        <f>IFERROR(VLOOKUP(Tableau1[Nom],Tableau5[],COLUMN(Tableau5[Matricule]),FALSE),"")</f>
        <v>330997</v>
      </c>
      <c r="E229" s="200" t="s">
        <v>1210</v>
      </c>
      <c r="F229" s="199" t="str">
        <f>IFERROR(VLOOKUP(Tableau1[Nom],Tableau5[],COLUMN(Tableau5[Prénom]),FALSE),"")</f>
        <v>Jonathan</v>
      </c>
      <c r="G229" s="188" t="s">
        <v>9</v>
      </c>
      <c r="H229" s="188" t="s">
        <v>1326</v>
      </c>
      <c r="I229" s="201"/>
      <c r="J229" s="188" t="s">
        <v>1324</v>
      </c>
      <c r="K229" s="189">
        <v>1.5</v>
      </c>
      <c r="L229" s="190">
        <v>53</v>
      </c>
      <c r="M229" s="202" t="s">
        <v>5</v>
      </c>
      <c r="N229" s="203" t="s">
        <v>1444</v>
      </c>
      <c r="O229" s="202"/>
      <c r="P22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30" spans="1:16" x14ac:dyDescent="0.25">
      <c r="A230" s="197" t="str">
        <f>IFERROR(VLOOKUP(Tableau1[Nom],Tableau5[],COLUMN(Tableau5[Definition du costing : DVC ou non DVC]),FALSE),"")</f>
        <v>DVC</v>
      </c>
      <c r="B230" s="197" t="str">
        <f>IFERROR(VLOOKUP(Tableau1[Nom],Tableau5[],COLUMN(Tableau5[Nom de la société]),FALSE),"")</f>
        <v>STG</v>
      </c>
      <c r="C230" s="198" t="str">
        <f>IFERROR(VLOOKUP(Tableau1[Nom],Tableau5[],COLUMN(Tableau5[Nom du manager]),FALSE),"")</f>
        <v>XUEREB</v>
      </c>
      <c r="D230" s="199">
        <f>IFERROR(VLOOKUP(Tableau1[Nom],Tableau5[],COLUMN(Tableau5[Matricule]),FALSE),"")</f>
        <v>330997</v>
      </c>
      <c r="E230" s="200" t="s">
        <v>1210</v>
      </c>
      <c r="F230" s="199" t="str">
        <f>IFERROR(VLOOKUP(Tableau1[Nom],Tableau5[],COLUMN(Tableau5[Prénom]),FALSE),"")</f>
        <v>Jonathan</v>
      </c>
      <c r="G230" s="188" t="s">
        <v>9</v>
      </c>
      <c r="H230" s="188" t="s">
        <v>1340</v>
      </c>
      <c r="I230" s="201"/>
      <c r="J230" s="188" t="s">
        <v>1341</v>
      </c>
      <c r="K230" s="189">
        <v>7</v>
      </c>
      <c r="L230" s="190">
        <v>117</v>
      </c>
      <c r="M230" s="202" t="s">
        <v>5</v>
      </c>
      <c r="N230" s="203" t="s">
        <v>1444</v>
      </c>
      <c r="O230" s="202"/>
      <c r="P23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31" spans="1:16" x14ac:dyDescent="0.25">
      <c r="A231" s="197" t="str">
        <f>IFERROR(VLOOKUP(Tableau1[Nom],Tableau5[],COLUMN(Tableau5[Definition du costing : DVC ou non DVC]),FALSE),"")</f>
        <v>Non DVC</v>
      </c>
      <c r="B231" s="197" t="str">
        <f>IFERROR(VLOOKUP(Tableau1[Nom],Tableau5[],COLUMN(Tableau5[Nom de la société]),FALSE),"")</f>
        <v>Aub.</v>
      </c>
      <c r="C231" s="198" t="str">
        <f>IFERROR(VLOOKUP(Tableau1[Nom],Tableau5[],COLUMN(Tableau5[Nom du manager]),FALSE),"")</f>
        <v>RICCARDI</v>
      </c>
      <c r="D231" s="199">
        <f>IFERROR(VLOOKUP(Tableau1[Nom],Tableau5[],COLUMN(Tableau5[Matricule]),FALSE),"")</f>
        <v>103043</v>
      </c>
      <c r="E231" s="200" t="s">
        <v>800</v>
      </c>
      <c r="F231" s="199" t="str">
        <f>IFERROR(VLOOKUP(Tableau1[Nom],Tableau5[],COLUMN(Tableau5[Prénom]),FALSE),"")</f>
        <v>Christophe</v>
      </c>
      <c r="G231" s="188" t="s">
        <v>9</v>
      </c>
      <c r="H231" s="188" t="s">
        <v>1326</v>
      </c>
      <c r="I231" s="201"/>
      <c r="J231" s="188" t="s">
        <v>1324</v>
      </c>
      <c r="K231" s="189">
        <v>1.5</v>
      </c>
      <c r="L231" s="190">
        <v>53</v>
      </c>
      <c r="M231" s="202" t="s">
        <v>5</v>
      </c>
      <c r="N231" s="203" t="s">
        <v>1444</v>
      </c>
      <c r="O231" s="202"/>
      <c r="P231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32" spans="1:16" x14ac:dyDescent="0.25">
      <c r="A232" s="197" t="str">
        <f>IFERROR(VLOOKUP(Tableau1[Nom],Tableau5[],COLUMN(Tableau5[Definition du costing : DVC ou non DVC]),FALSE),"")</f>
        <v>DVC</v>
      </c>
      <c r="B232" s="197" t="str">
        <f>IFERROR(VLOOKUP(Tableau1[Nom],Tableau5[],COLUMN(Tableau5[Nom de la société]),FALSE),"")</f>
        <v>STG</v>
      </c>
      <c r="C232" s="198" t="str">
        <f>IFERROR(VLOOKUP(Tableau1[Nom],Tableau5[],COLUMN(Tableau5[Nom du manager]),FALSE),"")</f>
        <v>XUEREB</v>
      </c>
      <c r="D232" s="199">
        <f>IFERROR(VLOOKUP(Tableau1[Nom],Tableau5[],COLUMN(Tableau5[Matricule]),FALSE),"")</f>
        <v>228757</v>
      </c>
      <c r="E232" s="200" t="s">
        <v>1215</v>
      </c>
      <c r="F232" s="199" t="str">
        <f>IFERROR(VLOOKUP(Tableau1[Nom],Tableau5[],COLUMN(Tableau5[Prénom]),FALSE),"")</f>
        <v>Johnattan</v>
      </c>
      <c r="G232" s="188" t="s">
        <v>9</v>
      </c>
      <c r="H232" s="188" t="s">
        <v>1326</v>
      </c>
      <c r="I232" s="201"/>
      <c r="J232" s="188" t="s">
        <v>1324</v>
      </c>
      <c r="K232" s="189">
        <v>1.5</v>
      </c>
      <c r="L232" s="190">
        <v>53</v>
      </c>
      <c r="M232" s="202" t="s">
        <v>5</v>
      </c>
      <c r="N232" s="203" t="s">
        <v>1444</v>
      </c>
      <c r="O232" s="202"/>
      <c r="P232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33" spans="1:16" x14ac:dyDescent="0.25">
      <c r="A233" s="197" t="str">
        <f>IFERROR(VLOOKUP(Tableau1[Nom],Tableau5[],COLUMN(Tableau5[Definition du costing : DVC ou non DVC]),FALSE),"")</f>
        <v>DVC</v>
      </c>
      <c r="B233" s="197" t="str">
        <f>IFERROR(VLOOKUP(Tableau1[Nom],Tableau5[],COLUMN(Tableau5[Nom de la société]),FALSE),"")</f>
        <v>STG</v>
      </c>
      <c r="C233" s="198" t="str">
        <f>IFERROR(VLOOKUP(Tableau1[Nom],Tableau5[],COLUMN(Tableau5[Nom du manager]),FALSE),"")</f>
        <v>XUEREB</v>
      </c>
      <c r="D233" s="199">
        <f>IFERROR(VLOOKUP(Tableau1[Nom],Tableau5[],COLUMN(Tableau5[Matricule]),FALSE),"")</f>
        <v>228757</v>
      </c>
      <c r="E233" s="200" t="s">
        <v>1215</v>
      </c>
      <c r="F233" s="199" t="str">
        <f>IFERROR(VLOOKUP(Tableau1[Nom],Tableau5[],COLUMN(Tableau5[Prénom]),FALSE),"")</f>
        <v>Johnattan</v>
      </c>
      <c r="G233" s="188" t="s">
        <v>9</v>
      </c>
      <c r="H233" s="188" t="s">
        <v>1333</v>
      </c>
      <c r="I233" s="201"/>
      <c r="J233" s="188" t="s">
        <v>1324</v>
      </c>
      <c r="K233" s="189">
        <v>7</v>
      </c>
      <c r="L233" s="190">
        <v>162</v>
      </c>
      <c r="M233" s="202" t="s">
        <v>5</v>
      </c>
      <c r="N233" s="203" t="s">
        <v>1444</v>
      </c>
      <c r="O233" s="202"/>
      <c r="P23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34" spans="1:16" x14ac:dyDescent="0.25">
      <c r="A234" s="197" t="str">
        <f>IFERROR(VLOOKUP(Tableau1[Nom],Tableau5[],COLUMN(Tableau5[Definition du costing : DVC ou non DVC]),FALSE),"")</f>
        <v>Non DVC</v>
      </c>
      <c r="B234" s="197" t="str">
        <f>IFERROR(VLOOKUP(Tableau1[Nom],Tableau5[],COLUMN(Tableau5[Nom de la société]),FALSE),"")</f>
        <v>Aub.</v>
      </c>
      <c r="C234" s="198" t="str">
        <f>IFERROR(VLOOKUP(Tableau1[Nom],Tableau5[],COLUMN(Tableau5[Nom du manager]),FALSE),"")</f>
        <v>PIFFAUT</v>
      </c>
      <c r="D234" s="199">
        <f>IFERROR(VLOOKUP(Tableau1[Nom],Tableau5[],COLUMN(Tableau5[Matricule]),FALSE),"")</f>
        <v>10630739</v>
      </c>
      <c r="E234" s="200" t="s">
        <v>810</v>
      </c>
      <c r="F234" s="199" t="str">
        <f>IFERROR(VLOOKUP(Tableau1[Nom],Tableau5[],COLUMN(Tableau5[Prénom]),FALSE),"")</f>
        <v>Gregory</v>
      </c>
      <c r="G234" s="188" t="s">
        <v>9</v>
      </c>
      <c r="H234" s="188" t="s">
        <v>1323</v>
      </c>
      <c r="I234" s="201"/>
      <c r="J234" s="188" t="s">
        <v>1324</v>
      </c>
      <c r="K234" s="189">
        <v>7</v>
      </c>
      <c r="L234" s="190">
        <v>124</v>
      </c>
      <c r="M234" s="202" t="s">
        <v>5</v>
      </c>
      <c r="N234" s="203" t="s">
        <v>1444</v>
      </c>
      <c r="O234" s="202"/>
      <c r="P234" s="288">
        <f>IFERROR(INDEX(Tableau2[],MATCH(Tableau1[[#This Row],[Nom]]&amp;Tableau1[[#This Row],[Intitulé]],INDEX(Tableau2[],,COLUMN(Tableau2[Clé Recherche])),0),COLUMN(Tableau2[Calendrier de réalisation])),"")</f>
        <v>0</v>
      </c>
    </row>
    <row r="235" spans="1:16" x14ac:dyDescent="0.25">
      <c r="A235" s="197" t="str">
        <f>IFERROR(VLOOKUP(Tableau1[Nom],Tableau5[],COLUMN(Tableau5[Definition du costing : DVC ou non DVC]),FALSE),"")</f>
        <v>Non DVC</v>
      </c>
      <c r="B235" s="197" t="str">
        <f>IFERROR(VLOOKUP(Tableau1[Nom],Tableau5[],COLUMN(Tableau5[Nom de la société]),FALSE),"")</f>
        <v>Aub.</v>
      </c>
      <c r="C235" s="198" t="str">
        <f>IFERROR(VLOOKUP(Tableau1[Nom],Tableau5[],COLUMN(Tableau5[Nom du manager]),FALSE),"")</f>
        <v>PIFFAUT</v>
      </c>
      <c r="D235" s="199">
        <f>IFERROR(VLOOKUP(Tableau1[Nom],Tableau5[],COLUMN(Tableau5[Matricule]),FALSE),"")</f>
        <v>10630739</v>
      </c>
      <c r="E235" s="200" t="s">
        <v>810</v>
      </c>
      <c r="F235" s="199" t="str">
        <f>IFERROR(VLOOKUP(Tableau1[Nom],Tableau5[],COLUMN(Tableau5[Prénom]),FALSE),"")</f>
        <v>Gregory</v>
      </c>
      <c r="G235" s="188" t="s">
        <v>9</v>
      </c>
      <c r="H235" s="188" t="s">
        <v>1326</v>
      </c>
      <c r="I235" s="201"/>
      <c r="J235" s="188" t="s">
        <v>1324</v>
      </c>
      <c r="K235" s="189">
        <v>1.5</v>
      </c>
      <c r="L235" s="190">
        <v>53</v>
      </c>
      <c r="M235" s="202" t="s">
        <v>5</v>
      </c>
      <c r="N235" s="203" t="s">
        <v>1444</v>
      </c>
      <c r="O235" s="202"/>
      <c r="P235" s="288">
        <f>IFERROR(INDEX(Tableau2[],MATCH(Tableau1[[#This Row],[Nom]]&amp;Tableau1[[#This Row],[Intitulé]],INDEX(Tableau2[],,COLUMN(Tableau2[Clé Recherche])),0),COLUMN(Tableau2[Calendrier de réalisation])),"")</f>
        <v>0</v>
      </c>
    </row>
    <row r="236" spans="1:16" x14ac:dyDescent="0.25">
      <c r="A236" s="197" t="str">
        <f>IFERROR(VLOOKUP(Tableau1[Nom],Tableau5[],COLUMN(Tableau5[Definition du costing : DVC ou non DVC]),FALSE),"")</f>
        <v>DVC</v>
      </c>
      <c r="B236" s="197" t="str">
        <f>IFERROR(VLOOKUP(Tableau1[Nom],Tableau5[],COLUMN(Tableau5[Nom de la société]),FALSE),"")</f>
        <v>STG</v>
      </c>
      <c r="C236" s="198" t="str">
        <f>IFERROR(VLOOKUP(Tableau1[Nom],Tableau5[],COLUMN(Tableau5[Nom du manager]),FALSE),"")</f>
        <v>XUEREB</v>
      </c>
      <c r="D236" s="199">
        <f>IFERROR(VLOOKUP(Tableau1[Nom],Tableau5[],COLUMN(Tableau5[Matricule]),FALSE),"")</f>
        <v>331029</v>
      </c>
      <c r="E236" s="200" t="s">
        <v>100</v>
      </c>
      <c r="F236" s="199" t="str">
        <f>IFERROR(VLOOKUP(Tableau1[Nom],Tableau5[],COLUMN(Tableau5[Prénom]),FALSE),"")</f>
        <v>Gregory</v>
      </c>
      <c r="G236" s="188" t="s">
        <v>9</v>
      </c>
      <c r="H236" s="188" t="s">
        <v>1326</v>
      </c>
      <c r="I236" s="201"/>
      <c r="J236" s="188" t="s">
        <v>1324</v>
      </c>
      <c r="K236" s="189">
        <v>1.5</v>
      </c>
      <c r="L236" s="190">
        <v>53</v>
      </c>
      <c r="M236" s="202" t="s">
        <v>5</v>
      </c>
      <c r="N236" s="203" t="s">
        <v>1444</v>
      </c>
      <c r="O236" s="202"/>
      <c r="P236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37" spans="1:16" x14ac:dyDescent="0.25">
      <c r="A237" s="197" t="str">
        <f>IFERROR(VLOOKUP(Tableau1[Nom],Tableau5[],COLUMN(Tableau5[Definition du costing : DVC ou non DVC]),FALSE),"")</f>
        <v>DVC</v>
      </c>
      <c r="B237" s="197" t="str">
        <f>IFERROR(VLOOKUP(Tableau1[Nom],Tableau5[],COLUMN(Tableau5[Nom de la société]),FALSE),"")</f>
        <v>STG</v>
      </c>
      <c r="C237" s="198" t="str">
        <f>IFERROR(VLOOKUP(Tableau1[Nom],Tableau5[],COLUMN(Tableau5[Nom du manager]),FALSE),"")</f>
        <v>XUEREB</v>
      </c>
      <c r="D237" s="199">
        <f>IFERROR(VLOOKUP(Tableau1[Nom],Tableau5[],COLUMN(Tableau5[Matricule]),FALSE),"")</f>
        <v>331029</v>
      </c>
      <c r="E237" s="200" t="s">
        <v>100</v>
      </c>
      <c r="F237" s="199" t="str">
        <f>IFERROR(VLOOKUP(Tableau1[Nom],Tableau5[],COLUMN(Tableau5[Prénom]),FALSE),"")</f>
        <v>Gregory</v>
      </c>
      <c r="G237" s="188" t="s">
        <v>9</v>
      </c>
      <c r="H237" s="188" t="s">
        <v>1346</v>
      </c>
      <c r="I237" s="201"/>
      <c r="J237" s="188" t="s">
        <v>1344</v>
      </c>
      <c r="K237" s="189">
        <v>10.5</v>
      </c>
      <c r="L237" s="190">
        <v>260</v>
      </c>
      <c r="M237" s="202" t="s">
        <v>5</v>
      </c>
      <c r="N237" s="203" t="s">
        <v>1444</v>
      </c>
      <c r="O237" s="202"/>
      <c r="P23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38" spans="1:16" x14ac:dyDescent="0.25">
      <c r="A238" s="197" t="str">
        <f>IFERROR(VLOOKUP(Tableau1[Nom],Tableau5[],COLUMN(Tableau5[Definition du costing : DVC ou non DVC]),FALSE),"")</f>
        <v>Non DVC</v>
      </c>
      <c r="B238" s="197" t="str">
        <f>IFERROR(VLOOKUP(Tableau1[Nom],Tableau5[],COLUMN(Tableau5[Nom de la société]),FALSE),"")</f>
        <v>Aub.</v>
      </c>
      <c r="C238" s="198" t="str">
        <f>IFERROR(VLOOKUP(Tableau1[Nom],Tableau5[],COLUMN(Tableau5[Nom du manager]),FALSE),"")</f>
        <v>HAON</v>
      </c>
      <c r="D238" s="199">
        <f>IFERROR(VLOOKUP(Tableau1[Nom],Tableau5[],COLUMN(Tableau5[Matricule]),FALSE),"")</f>
        <v>103047</v>
      </c>
      <c r="E238" s="192" t="s">
        <v>819</v>
      </c>
      <c r="F238" s="324" t="str">
        <f>IFERROR(VLOOKUP(Tableau1[Nom],Tableau5[],COLUMN(Tableau5[Prénom]),FALSE),"")</f>
        <v>Christophe</v>
      </c>
      <c r="G238" s="188" t="s">
        <v>9</v>
      </c>
      <c r="H238" s="188" t="s">
        <v>1346</v>
      </c>
      <c r="I238" s="201"/>
      <c r="J238" s="188" t="s">
        <v>1344</v>
      </c>
      <c r="K238" s="189">
        <v>10.5</v>
      </c>
      <c r="L238" s="190">
        <v>260</v>
      </c>
      <c r="M238" s="202" t="s">
        <v>5</v>
      </c>
      <c r="N238" s="203" t="s">
        <v>1444</v>
      </c>
      <c r="O238" s="202"/>
      <c r="P238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39" spans="1:16" x14ac:dyDescent="0.25">
      <c r="A239" s="197" t="str">
        <f>IFERROR(VLOOKUP(Tableau1[Nom],Tableau5[],COLUMN(Tableau5[Definition du costing : DVC ou non DVC]),FALSE),"")</f>
        <v>DVC</v>
      </c>
      <c r="B239" s="197" t="str">
        <f>IFERROR(VLOOKUP(Tableau1[Nom],Tableau5[],COLUMN(Tableau5[Nom de la société]),FALSE),"")</f>
        <v>Aub.</v>
      </c>
      <c r="C239" s="198" t="str">
        <f>IFERROR(VLOOKUP(Tableau1[Nom],Tableau5[],COLUMN(Tableau5[Nom du manager]),FALSE),"")</f>
        <v>ALIX</v>
      </c>
      <c r="D239" s="199">
        <f>IFERROR(VLOOKUP(Tableau1[Nom],Tableau5[],COLUMN(Tableau5[Matricule]),FALSE),"")</f>
        <v>102932</v>
      </c>
      <c r="E239" s="200" t="s">
        <v>822</v>
      </c>
      <c r="F239" s="199" t="str">
        <f>IFERROR(VLOOKUP(Tableau1[Nom],Tableau5[],COLUMN(Tableau5[Prénom]),FALSE),"")</f>
        <v>Richard</v>
      </c>
      <c r="G239" s="188" t="s">
        <v>9</v>
      </c>
      <c r="H239" s="188" t="s">
        <v>1323</v>
      </c>
      <c r="I239" s="201"/>
      <c r="J239" s="188" t="s">
        <v>1324</v>
      </c>
      <c r="K239" s="189">
        <v>7</v>
      </c>
      <c r="L239" s="190">
        <v>124</v>
      </c>
      <c r="M239" s="202" t="s">
        <v>5</v>
      </c>
      <c r="N239" s="203" t="s">
        <v>1444</v>
      </c>
      <c r="O239" s="202"/>
      <c r="P239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40" spans="1:16" x14ac:dyDescent="0.25">
      <c r="A240" s="197" t="str">
        <f>IFERROR(VLOOKUP(Tableau1[Nom],Tableau5[],COLUMN(Tableau5[Definition du costing : DVC ou non DVC]),FALSE),"")</f>
        <v>Non DVC</v>
      </c>
      <c r="B240" s="197" t="str">
        <f>IFERROR(VLOOKUP(Tableau1[Nom],Tableau5[],COLUMN(Tableau5[Nom de la société]),FALSE),"")</f>
        <v>STG</v>
      </c>
      <c r="C240" s="198" t="str">
        <f>IFERROR(VLOOKUP(Tableau1[Nom],Tableau5[],COLUMN(Tableau5[Nom du manager]),FALSE),"")</f>
        <v>FOUASSIER</v>
      </c>
      <c r="D240" s="199">
        <f>IFERROR(VLOOKUP(Tableau1[Nom],Tableau5[],COLUMN(Tableau5[Matricule]),FALSE),"")</f>
        <v>104709</v>
      </c>
      <c r="E240" s="200" t="s">
        <v>1223</v>
      </c>
      <c r="F240" s="199" t="str">
        <f>IFERROR(VLOOKUP(Tableau1[Nom],Tableau5[],COLUMN(Tableau5[Prénom]),FALSE),"")</f>
        <v>Ghislaine</v>
      </c>
      <c r="G240" s="188" t="s">
        <v>9</v>
      </c>
      <c r="H240" s="188" t="s">
        <v>1326</v>
      </c>
      <c r="I240" s="201"/>
      <c r="J240" s="188" t="s">
        <v>1324</v>
      </c>
      <c r="K240" s="189">
        <v>1.5</v>
      </c>
      <c r="L240" s="190">
        <v>53</v>
      </c>
      <c r="M240" s="202" t="s">
        <v>5</v>
      </c>
      <c r="N240" s="203" t="s">
        <v>1444</v>
      </c>
      <c r="O240" s="202"/>
      <c r="P240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41" spans="1:16" x14ac:dyDescent="0.25">
      <c r="A241" s="197" t="str">
        <f>IFERROR(VLOOKUP(Tableau1[Nom],Tableau5[],COLUMN(Tableau5[Definition du costing : DVC ou non DVC]),FALSE),"")</f>
        <v>Non DVC</v>
      </c>
      <c r="B241" s="197" t="str">
        <f>IFERROR(VLOOKUP(Tableau1[Nom],Tableau5[],COLUMN(Tableau5[Nom de la société]),FALSE),"")</f>
        <v>STG</v>
      </c>
      <c r="C241" s="198" t="str">
        <f>IFERROR(VLOOKUP(Tableau1[Nom],Tableau5[],COLUMN(Tableau5[Nom du manager]),FALSE),"")</f>
        <v>FOUASSIER</v>
      </c>
      <c r="D241" s="199">
        <f>IFERROR(VLOOKUP(Tableau1[Nom],Tableau5[],COLUMN(Tableau5[Matricule]),FALSE),"")</f>
        <v>104709</v>
      </c>
      <c r="E241" s="200" t="s">
        <v>1223</v>
      </c>
      <c r="F241" s="199" t="str">
        <f>IFERROR(VLOOKUP(Tableau1[Nom],Tableau5[],COLUMN(Tableau5[Prénom]),FALSE),"")</f>
        <v>Ghislaine</v>
      </c>
      <c r="G241" s="188" t="s">
        <v>9</v>
      </c>
      <c r="H241" s="188" t="s">
        <v>1333</v>
      </c>
      <c r="I241" s="201"/>
      <c r="J241" s="188" t="s">
        <v>1324</v>
      </c>
      <c r="K241" s="189">
        <v>7</v>
      </c>
      <c r="L241" s="190">
        <v>162</v>
      </c>
      <c r="M241" s="202" t="s">
        <v>5</v>
      </c>
      <c r="N241" s="203" t="s">
        <v>1444</v>
      </c>
      <c r="O241" s="202"/>
      <c r="P241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42" spans="1:16" x14ac:dyDescent="0.25">
      <c r="A242" s="191" t="str">
        <f>IFERROR(VLOOKUP(Tableau1[Nom],Tableau5[],COLUMN(Tableau5[Definition du costing : DVC ou non DVC]),FALSE),"")</f>
        <v>DVC</v>
      </c>
      <c r="B242" s="197" t="str">
        <f>IFERROR(VLOOKUP(Tableau1[Nom],Tableau5[],COLUMN(Tableau5[Nom de la société]),FALSE),"")</f>
        <v>STG</v>
      </c>
      <c r="C242" s="198" t="str">
        <f>IFERROR(VLOOKUP(Tableau1[Nom],Tableau5[],COLUMN(Tableau5[Nom du manager]),FALSE),"")</f>
        <v>XUEREB</v>
      </c>
      <c r="D242" s="199">
        <f>IFERROR(VLOOKUP(Tableau1[Nom],Tableau5[],COLUMN(Tableau5[Matricule]),FALSE),"")</f>
        <v>10555327</v>
      </c>
      <c r="E242" s="187" t="s">
        <v>1230</v>
      </c>
      <c r="F242" s="199" t="str">
        <f>IFERROR(VLOOKUP(Tableau1[Nom],Tableau5[],COLUMN(Tableau5[Prénom]),FALSE),"")</f>
        <v>Thomas</v>
      </c>
      <c r="G242" s="188" t="s">
        <v>9</v>
      </c>
      <c r="H242" s="188" t="s">
        <v>1323</v>
      </c>
      <c r="I242" s="189"/>
      <c r="J242" s="188" t="s">
        <v>1324</v>
      </c>
      <c r="K242" s="189">
        <v>7</v>
      </c>
      <c r="L242" s="190">
        <v>124</v>
      </c>
      <c r="M242" s="202" t="s">
        <v>5</v>
      </c>
      <c r="N242" s="203" t="s">
        <v>1444</v>
      </c>
      <c r="O242" s="195"/>
      <c r="P242" s="289">
        <f>IFERROR(INDEX(Tableau2[],MATCH(Tableau1[[#This Row],[Nom]]&amp;Tableau1[[#This Row],[Intitulé]],INDEX(Tableau2[],,COLUMN(Tableau2[Clé Recherche])),0),COLUMN(Tableau2[Calendrier de réalisation])),"")</f>
        <v>0</v>
      </c>
    </row>
    <row r="243" spans="1:16" x14ac:dyDescent="0.25">
      <c r="A243" s="197" t="str">
        <f>IFERROR(VLOOKUP(Tableau1[Nom],Tableau5[],COLUMN(Tableau5[Definition du costing : DVC ou non DVC]),FALSE),"")</f>
        <v>DVC</v>
      </c>
      <c r="B243" s="197" t="str">
        <f>IFERROR(VLOOKUP(Tableau1[Nom],Tableau5[],COLUMN(Tableau5[Nom de la société]),FALSE),"")</f>
        <v>STG</v>
      </c>
      <c r="C243" s="198" t="str">
        <f>IFERROR(VLOOKUP(Tableau1[Nom],Tableau5[],COLUMN(Tableau5[Nom du manager]),FALSE),"")</f>
        <v>XUEREB</v>
      </c>
      <c r="D243" s="199">
        <f>IFERROR(VLOOKUP(Tableau1[Nom],Tableau5[],COLUMN(Tableau5[Matricule]),FALSE),"")</f>
        <v>288949</v>
      </c>
      <c r="E243" s="200" t="s">
        <v>1237</v>
      </c>
      <c r="F243" s="199" t="str">
        <f>IFERROR(VLOOKUP(Tableau1[Nom],Tableau5[],COLUMN(Tableau5[Prénom]),FALSE),"")</f>
        <v>Lionel</v>
      </c>
      <c r="G243" s="188" t="s">
        <v>9</v>
      </c>
      <c r="H243" s="188" t="s">
        <v>1326</v>
      </c>
      <c r="I243" s="201"/>
      <c r="J243" s="188" t="s">
        <v>1324</v>
      </c>
      <c r="K243" s="189">
        <v>1.5</v>
      </c>
      <c r="L243" s="190">
        <v>53</v>
      </c>
      <c r="M243" s="202" t="s">
        <v>5</v>
      </c>
      <c r="N243" s="203" t="s">
        <v>1444</v>
      </c>
      <c r="O243" s="202"/>
      <c r="P243" s="288">
        <f>IFERROR(INDEX(Tableau2[],MATCH(Tableau1[[#This Row],[Nom]]&amp;Tableau1[[#This Row],[Intitulé]],INDEX(Tableau2[],,COLUMN(Tableau2[Clé Recherche])),0),COLUMN(Tableau2[Calendrier de réalisation])),"")</f>
        <v>0</v>
      </c>
    </row>
    <row r="244" spans="1:16" x14ac:dyDescent="0.25">
      <c r="A244" s="197" t="str">
        <f>IFERROR(VLOOKUP(Tableau1[Nom],Tableau5[],COLUMN(Tableau5[Definition du costing : DVC ou non DVC]),FALSE),"")</f>
        <v>DVC</v>
      </c>
      <c r="B244" s="197" t="str">
        <f>IFERROR(VLOOKUP(Tableau1[Nom],Tableau5[],COLUMN(Tableau5[Nom de la société]),FALSE),"")</f>
        <v>STG</v>
      </c>
      <c r="C244" s="198" t="str">
        <f>IFERROR(VLOOKUP(Tableau1[Nom],Tableau5[],COLUMN(Tableau5[Nom du manager]),FALSE),"")</f>
        <v>XUEREB</v>
      </c>
      <c r="D244" s="199">
        <f>IFERROR(VLOOKUP(Tableau1[Nom],Tableau5[],COLUMN(Tableau5[Matricule]),FALSE),"")</f>
        <v>288949</v>
      </c>
      <c r="E244" s="200" t="s">
        <v>1237</v>
      </c>
      <c r="F244" s="199" t="str">
        <f>IFERROR(VLOOKUP(Tableau1[Nom],Tableau5[],COLUMN(Tableau5[Prénom]),FALSE),"")</f>
        <v>Lionel</v>
      </c>
      <c r="G244" s="188" t="s">
        <v>9</v>
      </c>
      <c r="H244" s="188" t="s">
        <v>1340</v>
      </c>
      <c r="I244" s="201"/>
      <c r="J244" s="188" t="s">
        <v>1341</v>
      </c>
      <c r="K244" s="189">
        <v>7</v>
      </c>
      <c r="L244" s="190">
        <v>117</v>
      </c>
      <c r="M244" s="202" t="s">
        <v>5</v>
      </c>
      <c r="N244" s="203" t="s">
        <v>1444</v>
      </c>
      <c r="O244" s="202"/>
      <c r="P24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45" spans="1:16" x14ac:dyDescent="0.25">
      <c r="A245" s="197" t="str">
        <f>IFERROR(VLOOKUP(Tableau1[Nom],Tableau5[],COLUMN(Tableau5[Definition du costing : DVC ou non DVC]),FALSE),"")</f>
        <v>DVC</v>
      </c>
      <c r="B245" s="197" t="str">
        <f>IFERROR(VLOOKUP(Tableau1[Nom],Tableau5[],COLUMN(Tableau5[Nom de la société]),FALSE),"")</f>
        <v>STG</v>
      </c>
      <c r="C245" s="198" t="str">
        <f>IFERROR(VLOOKUP(Tableau1[Nom],Tableau5[],COLUMN(Tableau5[Nom du manager]),FALSE),"")</f>
        <v>XUEREB</v>
      </c>
      <c r="D245" s="199">
        <f>IFERROR(VLOOKUP(Tableau1[Nom],Tableau5[],COLUMN(Tableau5[Matricule]),FALSE),"")</f>
        <v>288949</v>
      </c>
      <c r="E245" s="200" t="s">
        <v>1237</v>
      </c>
      <c r="F245" s="199" t="str">
        <f>IFERROR(VLOOKUP(Tableau1[Nom],Tableau5[],COLUMN(Tableau5[Prénom]),FALSE),"")</f>
        <v>Lionel</v>
      </c>
      <c r="G245" s="188" t="s">
        <v>9</v>
      </c>
      <c r="H245" s="188" t="s">
        <v>1346</v>
      </c>
      <c r="I245" s="201"/>
      <c r="J245" s="188" t="s">
        <v>1344</v>
      </c>
      <c r="K245" s="189">
        <v>10.5</v>
      </c>
      <c r="L245" s="190">
        <v>260</v>
      </c>
      <c r="M245" s="202" t="s">
        <v>5</v>
      </c>
      <c r="N245" s="203" t="s">
        <v>1444</v>
      </c>
      <c r="O245" s="202"/>
      <c r="P24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46" spans="1:16" x14ac:dyDescent="0.25">
      <c r="A246" s="197" t="str">
        <f>IFERROR(VLOOKUP(Tableau1[Nom],Tableau5[],COLUMN(Tableau5[Definition du costing : DVC ou non DVC]),FALSE),"")</f>
        <v>DVC</v>
      </c>
      <c r="B246" s="197" t="str">
        <f>IFERROR(VLOOKUP(Tableau1[Nom],Tableau5[],COLUMN(Tableau5[Nom de la société]),FALSE),"")</f>
        <v>Aub.</v>
      </c>
      <c r="C246" s="198" t="str">
        <f>IFERROR(VLOOKUP(Tableau1[Nom],Tableau5[],COLUMN(Tableau5[Nom du manager]),FALSE),"")</f>
        <v>ALIX</v>
      </c>
      <c r="D246" s="199">
        <f>IFERROR(VLOOKUP(Tableau1[Nom],Tableau5[],COLUMN(Tableau5[Matricule]),FALSE),"")</f>
        <v>102905</v>
      </c>
      <c r="E246" s="200" t="s">
        <v>829</v>
      </c>
      <c r="F246" s="199" t="str">
        <f>IFERROR(VLOOKUP(Tableau1[Nom],Tableau5[],COLUMN(Tableau5[Prénom]),FALSE),"")</f>
        <v>Eliseu</v>
      </c>
      <c r="G246" s="188" t="s">
        <v>9</v>
      </c>
      <c r="H246" s="188" t="s">
        <v>1326</v>
      </c>
      <c r="I246" s="201"/>
      <c r="J246" s="188" t="s">
        <v>1324</v>
      </c>
      <c r="K246" s="189">
        <v>1.5</v>
      </c>
      <c r="L246" s="190">
        <v>53</v>
      </c>
      <c r="M246" s="202" t="s">
        <v>5</v>
      </c>
      <c r="N246" s="203" t="s">
        <v>1444</v>
      </c>
      <c r="O246" s="202"/>
      <c r="P246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47" spans="1:16" x14ac:dyDescent="0.25">
      <c r="A247" s="197" t="str">
        <f>IFERROR(VLOOKUP(Tableau1[Nom],Tableau5[],COLUMN(Tableau5[Definition du costing : DVC ou non DVC]),FALSE),"")</f>
        <v>DVC</v>
      </c>
      <c r="B247" s="197" t="str">
        <f>IFERROR(VLOOKUP(Tableau1[Nom],Tableau5[],COLUMN(Tableau5[Nom de la société]),FALSE),"")</f>
        <v>Aub.</v>
      </c>
      <c r="C247" s="198" t="str">
        <f>IFERROR(VLOOKUP(Tableau1[Nom],Tableau5[],COLUMN(Tableau5[Nom du manager]),FALSE),"")</f>
        <v>SENEPART</v>
      </c>
      <c r="D247" s="199">
        <f>IFERROR(VLOOKUP(Tableau1[Nom],Tableau5[],COLUMN(Tableau5[Matricule]),FALSE),"")</f>
        <v>103111</v>
      </c>
      <c r="E247" s="200" t="s">
        <v>833</v>
      </c>
      <c r="F247" s="199" t="str">
        <f>IFERROR(VLOOKUP(Tableau1[Nom],Tableau5[],COLUMN(Tableau5[Prénom]),FALSE),"")</f>
        <v>Nicolas</v>
      </c>
      <c r="G247" s="188" t="s">
        <v>9</v>
      </c>
      <c r="H247" s="188" t="s">
        <v>1326</v>
      </c>
      <c r="I247" s="201"/>
      <c r="J247" s="188" t="s">
        <v>1324</v>
      </c>
      <c r="K247" s="189">
        <v>1.5</v>
      </c>
      <c r="L247" s="190">
        <v>53</v>
      </c>
      <c r="M247" s="202" t="s">
        <v>5</v>
      </c>
      <c r="N247" s="203" t="s">
        <v>1444</v>
      </c>
      <c r="O247" s="202"/>
      <c r="P247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48" spans="1:16" x14ac:dyDescent="0.25">
      <c r="A248" s="197" t="str">
        <f>IFERROR(VLOOKUP(Tableau1[Nom],Tableau5[],COLUMN(Tableau5[Definition du costing : DVC ou non DVC]),FALSE),"")</f>
        <v>DVC</v>
      </c>
      <c r="B248" s="197" t="str">
        <f>IFERROR(VLOOKUP(Tableau1[Nom],Tableau5[],COLUMN(Tableau5[Nom de la société]),FALSE),"")</f>
        <v>Aub.</v>
      </c>
      <c r="C248" s="198" t="str">
        <f>IFERROR(VLOOKUP(Tableau1[Nom],Tableau5[],COLUMN(Tableau5[Nom du manager]),FALSE),"")</f>
        <v>SENEPART</v>
      </c>
      <c r="D248" s="199">
        <f>IFERROR(VLOOKUP(Tableau1[Nom],Tableau5[],COLUMN(Tableau5[Matricule]),FALSE),"")</f>
        <v>103111</v>
      </c>
      <c r="E248" s="200" t="s">
        <v>833</v>
      </c>
      <c r="F248" s="199" t="str">
        <f>IFERROR(VLOOKUP(Tableau1[Nom],Tableau5[],COLUMN(Tableau5[Prénom]),FALSE),"")</f>
        <v>Nicolas</v>
      </c>
      <c r="G248" s="188" t="s">
        <v>9</v>
      </c>
      <c r="H248" s="188" t="s">
        <v>1333</v>
      </c>
      <c r="I248" s="201"/>
      <c r="J248" s="188" t="s">
        <v>1324</v>
      </c>
      <c r="K248" s="189">
        <v>7</v>
      </c>
      <c r="L248" s="190">
        <v>162</v>
      </c>
      <c r="M248" s="202" t="s">
        <v>5</v>
      </c>
      <c r="N248" s="203" t="s">
        <v>1444</v>
      </c>
      <c r="O248" s="202"/>
      <c r="P248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249" spans="1:16" x14ac:dyDescent="0.25">
      <c r="A249" s="197" t="str">
        <f>IFERROR(VLOOKUP(Tableau1[Nom],Tableau5[],COLUMN(Tableau5[Definition du costing : DVC ou non DVC]),FALSE),"")</f>
        <v>Non DVC</v>
      </c>
      <c r="B249" s="197" t="str">
        <f>IFERROR(VLOOKUP(Tableau1[Nom],Tableau5[],COLUMN(Tableau5[Nom de la société]),FALSE),"")</f>
        <v>Aub.</v>
      </c>
      <c r="C249" s="198" t="str">
        <f>IFERROR(VLOOKUP(Tableau1[Nom],Tableau5[],COLUMN(Tableau5[Nom du manager]),FALSE),"")</f>
        <v>DARDARE</v>
      </c>
      <c r="D249" s="199">
        <f>IFERROR(VLOOKUP(Tableau1[Nom],Tableau5[],COLUMN(Tableau5[Matricule]),FALSE),"")</f>
        <v>103076</v>
      </c>
      <c r="E249" s="200" t="s">
        <v>836</v>
      </c>
      <c r="F249" s="199" t="str">
        <f>IFERROR(VLOOKUP(Tableau1[Nom],Tableau5[],COLUMN(Tableau5[Prénom]),FALSE),"")</f>
        <v>Thierry</v>
      </c>
      <c r="G249" s="188" t="s">
        <v>9</v>
      </c>
      <c r="H249" s="188" t="s">
        <v>1326</v>
      </c>
      <c r="I249" s="201"/>
      <c r="J249" s="188" t="s">
        <v>1324</v>
      </c>
      <c r="K249" s="189">
        <v>1.5</v>
      </c>
      <c r="L249" s="190">
        <v>53</v>
      </c>
      <c r="M249" s="202" t="s">
        <v>5</v>
      </c>
      <c r="N249" s="203" t="s">
        <v>1444</v>
      </c>
      <c r="O249" s="202"/>
      <c r="P24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50" spans="1:16" x14ac:dyDescent="0.25">
      <c r="A250" s="197" t="str">
        <f>IFERROR(VLOOKUP(Tableau1[Nom],Tableau5[],COLUMN(Tableau5[Definition du costing : DVC ou non DVC]),FALSE),"")</f>
        <v>Non DVC</v>
      </c>
      <c r="B250" s="197" t="str">
        <f>IFERROR(VLOOKUP(Tableau1[Nom],Tableau5[],COLUMN(Tableau5[Nom de la société]),FALSE),"")</f>
        <v>Aub.</v>
      </c>
      <c r="C250" s="198" t="str">
        <f>IFERROR(VLOOKUP(Tableau1[Nom],Tableau5[],COLUMN(Tableau5[Nom du manager]),FALSE),"")</f>
        <v>DARDARE</v>
      </c>
      <c r="D250" s="199">
        <f>IFERROR(VLOOKUP(Tableau1[Nom],Tableau5[],COLUMN(Tableau5[Matricule]),FALSE),"")</f>
        <v>103076</v>
      </c>
      <c r="E250" s="200" t="s">
        <v>836</v>
      </c>
      <c r="F250" s="199" t="str">
        <f>IFERROR(VLOOKUP(Tableau1[Nom],Tableau5[],COLUMN(Tableau5[Prénom]),FALSE),"")</f>
        <v>Thierry</v>
      </c>
      <c r="G250" s="188" t="s">
        <v>9</v>
      </c>
      <c r="H250" s="188" t="s">
        <v>1333</v>
      </c>
      <c r="I250" s="201"/>
      <c r="J250" s="188" t="s">
        <v>1324</v>
      </c>
      <c r="K250" s="189">
        <v>7</v>
      </c>
      <c r="L250" s="190">
        <v>162</v>
      </c>
      <c r="M250" s="202" t="s">
        <v>5</v>
      </c>
      <c r="N250" s="203" t="s">
        <v>1444</v>
      </c>
      <c r="O250" s="202"/>
      <c r="P250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51" spans="1:16" x14ac:dyDescent="0.25">
      <c r="A251" s="197" t="str">
        <f>IFERROR(VLOOKUP(Tableau1[Nom],Tableau5[],COLUMN(Tableau5[Definition du costing : DVC ou non DVC]),FALSE),"")</f>
        <v>Non DVC</v>
      </c>
      <c r="B251" s="197" t="str">
        <f>IFERROR(VLOOKUP(Tableau1[Nom],Tableau5[],COLUMN(Tableau5[Nom de la société]),FALSE),"")</f>
        <v>Aub.</v>
      </c>
      <c r="C251" s="198" t="str">
        <f>IFERROR(VLOOKUP(Tableau1[Nom],Tableau5[],COLUMN(Tableau5[Nom du manager]),FALSE),"")</f>
        <v>DARDARE</v>
      </c>
      <c r="D251" s="199">
        <f>IFERROR(VLOOKUP(Tableau1[Nom],Tableau5[],COLUMN(Tableau5[Matricule]),FALSE),"")</f>
        <v>103076</v>
      </c>
      <c r="E251" s="200" t="s">
        <v>836</v>
      </c>
      <c r="F251" s="199" t="str">
        <f>IFERROR(VLOOKUP(Tableau1[Nom],Tableau5[],COLUMN(Tableau5[Prénom]),FALSE),"")</f>
        <v>Thierry</v>
      </c>
      <c r="G251" s="188" t="s">
        <v>9</v>
      </c>
      <c r="H251" s="188" t="s">
        <v>1340</v>
      </c>
      <c r="I251" s="201"/>
      <c r="J251" s="188" t="s">
        <v>1341</v>
      </c>
      <c r="K251" s="189">
        <v>7</v>
      </c>
      <c r="L251" s="190">
        <v>117</v>
      </c>
      <c r="M251" s="202" t="s">
        <v>5</v>
      </c>
      <c r="N251" s="203" t="s">
        <v>1444</v>
      </c>
      <c r="O251" s="202"/>
      <c r="P25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52" spans="1:16" x14ac:dyDescent="0.25">
      <c r="A252" s="197" t="str">
        <f>IFERROR(VLOOKUP(Tableau1[Nom],Tableau5[],COLUMN(Tableau5[Definition du costing : DVC ou non DVC]),FALSE),"")</f>
        <v>DVC</v>
      </c>
      <c r="B252" s="197" t="str">
        <f>IFERROR(VLOOKUP(Tableau1[Nom],Tableau5[],COLUMN(Tableau5[Nom de la société]),FALSE),"")</f>
        <v>Aub.</v>
      </c>
      <c r="C252" s="198" t="str">
        <f>IFERROR(VLOOKUP(Tableau1[Nom],Tableau5[],COLUMN(Tableau5[Nom du manager]),FALSE),"")</f>
        <v>ALIX</v>
      </c>
      <c r="D252" s="199">
        <f>IFERROR(VLOOKUP(Tableau1[Nom],Tableau5[],COLUMN(Tableau5[Matricule]),FALSE),"")</f>
        <v>103030</v>
      </c>
      <c r="E252" s="200" t="s">
        <v>849</v>
      </c>
      <c r="F252" s="199" t="str">
        <f>IFERROR(VLOOKUP(Tableau1[Nom],Tableau5[],COLUMN(Tableau5[Prénom]),FALSE),"")</f>
        <v>Stephane</v>
      </c>
      <c r="G252" s="188" t="s">
        <v>9</v>
      </c>
      <c r="H252" s="188" t="s">
        <v>1326</v>
      </c>
      <c r="I252" s="201"/>
      <c r="J252" s="188" t="s">
        <v>1324</v>
      </c>
      <c r="K252" s="189">
        <v>1.5</v>
      </c>
      <c r="L252" s="190">
        <v>53</v>
      </c>
      <c r="M252" s="202" t="s">
        <v>5</v>
      </c>
      <c r="N252" s="203" t="s">
        <v>1444</v>
      </c>
      <c r="O252" s="202"/>
      <c r="P252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53" spans="1:16" x14ac:dyDescent="0.25">
      <c r="A253" s="197" t="str">
        <f>IFERROR(VLOOKUP(Tableau1[Nom],Tableau5[],COLUMN(Tableau5[Definition du costing : DVC ou non DVC]),FALSE),"")</f>
        <v>DVC</v>
      </c>
      <c r="B253" s="197" t="str">
        <f>IFERROR(VLOOKUP(Tableau1[Nom],Tableau5[],COLUMN(Tableau5[Nom de la société]),FALSE),"")</f>
        <v>Lattes</v>
      </c>
      <c r="C253" s="198" t="str">
        <f>IFERROR(VLOOKUP(Tableau1[Nom],Tableau5[],COLUMN(Tableau5[Nom du manager]),FALSE),"")</f>
        <v>VERNE</v>
      </c>
      <c r="D253" s="199">
        <f>IFERROR(VLOOKUP(Tableau1[Nom],Tableau5[],COLUMN(Tableau5[Matricule]),FALSE),"")</f>
        <v>68323</v>
      </c>
      <c r="E253" s="192" t="s">
        <v>324</v>
      </c>
      <c r="F253" s="199" t="str">
        <f>IFERROR(VLOOKUP(Tableau1[Nom],Tableau5[],COLUMN(Tableau5[Prénom]),FALSE),"")</f>
        <v>Laurence</v>
      </c>
      <c r="G253" s="188" t="s">
        <v>9</v>
      </c>
      <c r="H253" s="188" t="s">
        <v>1323</v>
      </c>
      <c r="I253" s="201"/>
      <c r="J253" s="188" t="s">
        <v>1324</v>
      </c>
      <c r="K253" s="189">
        <v>7</v>
      </c>
      <c r="L253" s="190">
        <v>124</v>
      </c>
      <c r="M253" s="202" t="s">
        <v>5</v>
      </c>
      <c r="N253" s="203" t="s">
        <v>1444</v>
      </c>
      <c r="O253" s="202"/>
      <c r="P253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54" spans="1:16" x14ac:dyDescent="0.25">
      <c r="A254" s="197" t="str">
        <f>IFERROR(VLOOKUP(Tableau1[Nom],Tableau5[],COLUMN(Tableau5[Definition du costing : DVC ou non DVC]),FALSE),"")</f>
        <v>DVC</v>
      </c>
      <c r="B254" s="197" t="str">
        <f>IFERROR(VLOOKUP(Tableau1[Nom],Tableau5[],COLUMN(Tableau5[Nom de la société]),FALSE),"")</f>
        <v>Aub.</v>
      </c>
      <c r="C254" s="198" t="str">
        <f>IFERROR(VLOOKUP(Tableau1[Nom],Tableau5[],COLUMN(Tableau5[Nom du manager]),FALSE),"")</f>
        <v>HAON</v>
      </c>
      <c r="D254" s="199">
        <f>IFERROR(VLOOKUP(Tableau1[Nom],Tableau5[],COLUMN(Tableau5[Matricule]),FALSE),"")</f>
        <v>103116</v>
      </c>
      <c r="E254" s="200" t="s">
        <v>856</v>
      </c>
      <c r="F254" s="199" t="str">
        <f>IFERROR(VLOOKUP(Tableau1[Nom],Tableau5[],COLUMN(Tableau5[Prénom]),FALSE),"")</f>
        <v>Claude</v>
      </c>
      <c r="G254" s="188" t="s">
        <v>9</v>
      </c>
      <c r="H254" s="188" t="s">
        <v>1326</v>
      </c>
      <c r="I254" s="201"/>
      <c r="J254" s="188" t="s">
        <v>1324</v>
      </c>
      <c r="K254" s="189">
        <v>1.5</v>
      </c>
      <c r="L254" s="190">
        <v>53</v>
      </c>
      <c r="M254" s="202" t="s">
        <v>5</v>
      </c>
      <c r="N254" s="203" t="s">
        <v>1444</v>
      </c>
      <c r="O254" s="202"/>
      <c r="P25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55" spans="1:16" x14ac:dyDescent="0.25">
      <c r="A255" s="197" t="str">
        <f>IFERROR(VLOOKUP(Tableau1[Nom],Tableau5[],COLUMN(Tableau5[Definition du costing : DVC ou non DVC]),FALSE),"")</f>
        <v>DVC</v>
      </c>
      <c r="B255" s="197" t="str">
        <f>IFERROR(VLOOKUP(Tableau1[Nom],Tableau5[],COLUMN(Tableau5[Nom de la société]),FALSE),"")</f>
        <v>Aub.</v>
      </c>
      <c r="C255" s="198" t="str">
        <f>IFERROR(VLOOKUP(Tableau1[Nom],Tableau5[],COLUMN(Tableau5[Nom du manager]),FALSE),"")</f>
        <v>SENEPART</v>
      </c>
      <c r="D255" s="199">
        <f>IFERROR(VLOOKUP(Tableau1[Nom],Tableau5[],COLUMN(Tableau5[Matricule]),FALSE),"")</f>
        <v>102930</v>
      </c>
      <c r="E255" s="200" t="s">
        <v>859</v>
      </c>
      <c r="F255" s="199" t="str">
        <f>IFERROR(VLOOKUP(Tableau1[Nom],Tableau5[],COLUMN(Tableau5[Prénom]),FALSE),"")</f>
        <v>Laurent</v>
      </c>
      <c r="G255" s="188" t="s">
        <v>9</v>
      </c>
      <c r="H255" s="188" t="s">
        <v>1326</v>
      </c>
      <c r="I255" s="201"/>
      <c r="J255" s="188" t="s">
        <v>1324</v>
      </c>
      <c r="K255" s="189">
        <v>1.5</v>
      </c>
      <c r="L255" s="190">
        <v>53</v>
      </c>
      <c r="M255" s="202" t="s">
        <v>5</v>
      </c>
      <c r="N255" s="203" t="s">
        <v>1444</v>
      </c>
      <c r="O255" s="202"/>
      <c r="P255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56" spans="1:16" x14ac:dyDescent="0.25">
      <c r="A256" s="197" t="str">
        <f>IFERROR(VLOOKUP(Tableau1[Nom],Tableau5[],COLUMN(Tableau5[Definition du costing : DVC ou non DVC]),FALSE),"")</f>
        <v>DVC</v>
      </c>
      <c r="B256" s="197" t="str">
        <f>IFERROR(VLOOKUP(Tableau1[Nom],Tableau5[],COLUMN(Tableau5[Nom de la société]),FALSE),"")</f>
        <v>STG</v>
      </c>
      <c r="C256" s="198" t="str">
        <f>IFERROR(VLOOKUP(Tableau1[Nom],Tableau5[],COLUMN(Tableau5[Nom du manager]),FALSE),"")</f>
        <v>FOUASSIER</v>
      </c>
      <c r="D256" s="199">
        <f>IFERROR(VLOOKUP(Tableau1[Nom],Tableau5[],COLUMN(Tableau5[Matricule]),FALSE),"")</f>
        <v>104668</v>
      </c>
      <c r="E256" s="200" t="s">
        <v>1246</v>
      </c>
      <c r="F256" s="199" t="str">
        <f>IFERROR(VLOOKUP(Tableau1[Nom],Tableau5[],COLUMN(Tableau5[Prénom]),FALSE),"")</f>
        <v>Nicolas</v>
      </c>
      <c r="G256" s="188" t="s">
        <v>9</v>
      </c>
      <c r="H256" s="188" t="s">
        <v>1326</v>
      </c>
      <c r="I256" s="201"/>
      <c r="J256" s="188" t="s">
        <v>1324</v>
      </c>
      <c r="K256" s="189">
        <v>1.5</v>
      </c>
      <c r="L256" s="190">
        <v>53</v>
      </c>
      <c r="M256" s="202" t="s">
        <v>5</v>
      </c>
      <c r="N256" s="203" t="s">
        <v>1444</v>
      </c>
      <c r="O256" s="202"/>
      <c r="P256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57" spans="1:16" x14ac:dyDescent="0.25">
      <c r="A257" s="197" t="str">
        <f>IFERROR(VLOOKUP(Tableau1[Nom],Tableau5[],COLUMN(Tableau5[Definition du costing : DVC ou non DVC]),FALSE),"")</f>
        <v>DVC</v>
      </c>
      <c r="B257" s="197" t="str">
        <f>IFERROR(VLOOKUP(Tableau1[Nom],Tableau5[],COLUMN(Tableau5[Nom de la société]),FALSE),"")</f>
        <v>STG</v>
      </c>
      <c r="C257" s="198" t="str">
        <f>IFERROR(VLOOKUP(Tableau1[Nom],Tableau5[],COLUMN(Tableau5[Nom du manager]),FALSE),"")</f>
        <v>FOUASSIER</v>
      </c>
      <c r="D257" s="199">
        <f>IFERROR(VLOOKUP(Tableau1[Nom],Tableau5[],COLUMN(Tableau5[Matricule]),FALSE),"")</f>
        <v>104668</v>
      </c>
      <c r="E257" s="200" t="s">
        <v>1246</v>
      </c>
      <c r="F257" s="199" t="str">
        <f>IFERROR(VLOOKUP(Tableau1[Nom],Tableau5[],COLUMN(Tableau5[Prénom]),FALSE),"")</f>
        <v>Nicolas</v>
      </c>
      <c r="G257" s="188" t="s">
        <v>9</v>
      </c>
      <c r="H257" s="188" t="s">
        <v>1337</v>
      </c>
      <c r="I257" s="201"/>
      <c r="J257" s="188" t="s">
        <v>1324</v>
      </c>
      <c r="K257" s="189">
        <v>14</v>
      </c>
      <c r="L257" s="190">
        <v>297</v>
      </c>
      <c r="M257" s="202" t="s">
        <v>5</v>
      </c>
      <c r="N257" s="203" t="s">
        <v>1444</v>
      </c>
      <c r="O257" s="202"/>
      <c r="P257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258" spans="1:16" x14ac:dyDescent="0.25">
      <c r="A258" s="197" t="str">
        <f>IFERROR(VLOOKUP(Tableau1[Nom],Tableau5[],COLUMN(Tableau5[Definition du costing : DVC ou non DVC]),FALSE),"")</f>
        <v>DVC</v>
      </c>
      <c r="B258" s="197" t="str">
        <f>IFERROR(VLOOKUP(Tableau1[Nom],Tableau5[],COLUMN(Tableau5[Nom de la société]),FALSE),"")</f>
        <v>Lattes</v>
      </c>
      <c r="C258" s="198" t="str">
        <f>IFERROR(VLOOKUP(Tableau1[Nom],Tableau5[],COLUMN(Tableau5[Nom du manager]),FALSE),"")</f>
        <v>VERNE</v>
      </c>
      <c r="D258" s="199">
        <f>IFERROR(VLOOKUP(Tableau1[Nom],Tableau5[],COLUMN(Tableau5[Matricule]),FALSE),"")</f>
        <v>191549</v>
      </c>
      <c r="E258" s="200" t="s">
        <v>1099</v>
      </c>
      <c r="F258" s="199" t="str">
        <f>IFERROR(VLOOKUP(Tableau1[Nom],Tableau5[],COLUMN(Tableau5[Prénom]),FALSE),"")</f>
        <v>Jean-Marc</v>
      </c>
      <c r="G258" s="188" t="s">
        <v>9</v>
      </c>
      <c r="H258" s="188" t="s">
        <v>1323</v>
      </c>
      <c r="I258" s="201"/>
      <c r="J258" s="188" t="s">
        <v>1324</v>
      </c>
      <c r="K258" s="189">
        <v>7</v>
      </c>
      <c r="L258" s="190">
        <v>124</v>
      </c>
      <c r="M258" s="202" t="s">
        <v>5</v>
      </c>
      <c r="N258" s="203" t="s">
        <v>1444</v>
      </c>
      <c r="O258" s="202"/>
      <c r="P258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59" spans="1:16" x14ac:dyDescent="0.25">
      <c r="A259" s="197" t="str">
        <f>IFERROR(VLOOKUP(Tableau1[Nom],Tableau5[],COLUMN(Tableau5[Definition du costing : DVC ou non DVC]),FALSE),"")</f>
        <v>DVC</v>
      </c>
      <c r="B259" s="197" t="str">
        <f>IFERROR(VLOOKUP(Tableau1[Nom],Tableau5[],COLUMN(Tableau5[Nom de la société]),FALSE),"")</f>
        <v>Aub.</v>
      </c>
      <c r="C259" s="198" t="str">
        <f>IFERROR(VLOOKUP(Tableau1[Nom],Tableau5[],COLUMN(Tableau5[Nom du manager]),FALSE),"")</f>
        <v>SAVY</v>
      </c>
      <c r="D259" s="199">
        <f>IFERROR(VLOOKUP(Tableau1[Nom],Tableau5[],COLUMN(Tableau5[Matricule]),FALSE),"")</f>
        <v>103007</v>
      </c>
      <c r="E259" s="200" t="s">
        <v>862</v>
      </c>
      <c r="F259" s="199" t="str">
        <f>IFERROR(VLOOKUP(Tableau1[Nom],Tableau5[],COLUMN(Tableau5[Prénom]),FALSE),"")</f>
        <v>Stephane</v>
      </c>
      <c r="G259" s="188" t="s">
        <v>9</v>
      </c>
      <c r="H259" s="188" t="s">
        <v>1336</v>
      </c>
      <c r="I259" s="201"/>
      <c r="J259" s="188" t="s">
        <v>1324</v>
      </c>
      <c r="K259" s="189">
        <v>14</v>
      </c>
      <c r="L259" s="190">
        <v>297</v>
      </c>
      <c r="M259" s="202" t="s">
        <v>5</v>
      </c>
      <c r="N259" s="203" t="s">
        <v>1444</v>
      </c>
      <c r="O259" s="202"/>
      <c r="P259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60" spans="1:16" x14ac:dyDescent="0.25">
      <c r="A260" s="197" t="str">
        <f>IFERROR(VLOOKUP(Tableau1[Nom],Tableau5[],COLUMN(Tableau5[Definition du costing : DVC ou non DVC]),FALSE),"")</f>
        <v>DVC</v>
      </c>
      <c r="B260" s="197" t="str">
        <f>IFERROR(VLOOKUP(Tableau1[Nom],Tableau5[],COLUMN(Tableau5[Nom de la société]),FALSE),"")</f>
        <v>Aub.</v>
      </c>
      <c r="C260" s="198" t="str">
        <f>IFERROR(VLOOKUP(Tableau1[Nom],Tableau5[],COLUMN(Tableau5[Nom du manager]),FALSE),"")</f>
        <v>SAVY</v>
      </c>
      <c r="D260" s="199">
        <f>IFERROR(VLOOKUP(Tableau1[Nom],Tableau5[],COLUMN(Tableau5[Matricule]),FALSE),"")</f>
        <v>103007</v>
      </c>
      <c r="E260" s="200" t="s">
        <v>862</v>
      </c>
      <c r="F260" s="199" t="str">
        <f>IFERROR(VLOOKUP(Tableau1[Nom],Tableau5[],COLUMN(Tableau5[Prénom]),FALSE),"")</f>
        <v>Stephane</v>
      </c>
      <c r="G260" s="188" t="s">
        <v>9</v>
      </c>
      <c r="H260" s="188" t="s">
        <v>1340</v>
      </c>
      <c r="I260" s="201"/>
      <c r="J260" s="188" t="s">
        <v>1341</v>
      </c>
      <c r="K260" s="189">
        <v>7</v>
      </c>
      <c r="L260" s="190">
        <v>117</v>
      </c>
      <c r="M260" s="202" t="s">
        <v>5</v>
      </c>
      <c r="N260" s="203" t="s">
        <v>1444</v>
      </c>
      <c r="O260" s="202"/>
      <c r="P26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61" spans="1:16" x14ac:dyDescent="0.25">
      <c r="A261" s="197" t="str">
        <f>IFERROR(VLOOKUP(Tableau1[Nom],Tableau5[],COLUMN(Tableau5[Definition du costing : DVC ou non DVC]),FALSE),"")</f>
        <v>Non DVC</v>
      </c>
      <c r="B261" s="197" t="str">
        <f>IFERROR(VLOOKUP(Tableau1[Nom],Tableau5[],COLUMN(Tableau5[Nom de la société]),FALSE),"")</f>
        <v>Aub.</v>
      </c>
      <c r="C261" s="198" t="str">
        <f>IFERROR(VLOOKUP(Tableau1[Nom],Tableau5[],COLUMN(Tableau5[Nom du manager]),FALSE),"")</f>
        <v>RICCARDI</v>
      </c>
      <c r="D261" s="199">
        <f>IFERROR(VLOOKUP(Tableau1[Nom],Tableau5[],COLUMN(Tableau5[Matricule]),FALSE),"")</f>
        <v>103024</v>
      </c>
      <c r="E261" s="200" t="s">
        <v>865</v>
      </c>
      <c r="F261" s="199" t="str">
        <f>IFERROR(VLOOKUP(Tableau1[Nom],Tableau5[],COLUMN(Tableau5[Prénom]),FALSE),"")</f>
        <v>Beatrice</v>
      </c>
      <c r="G261" s="188" t="s">
        <v>9</v>
      </c>
      <c r="H261" s="188" t="s">
        <v>1340</v>
      </c>
      <c r="I261" s="201"/>
      <c r="J261" s="188" t="s">
        <v>1341</v>
      </c>
      <c r="K261" s="189">
        <v>7</v>
      </c>
      <c r="L261" s="190">
        <v>117</v>
      </c>
      <c r="M261" s="202" t="s">
        <v>5</v>
      </c>
      <c r="N261" s="203" t="s">
        <v>1444</v>
      </c>
      <c r="O261" s="202"/>
      <c r="P26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62" spans="1:16" x14ac:dyDescent="0.25">
      <c r="A262" s="197" t="str">
        <f>IFERROR(VLOOKUP(Tableau1[Nom],Tableau5[],COLUMN(Tableau5[Definition du costing : DVC ou non DVC]),FALSE),"")</f>
        <v>DVC</v>
      </c>
      <c r="B262" s="197" t="str">
        <f>IFERROR(VLOOKUP(Tableau1[Nom],Tableau5[],COLUMN(Tableau5[Nom de la société]),FALSE),"")</f>
        <v>Aub.</v>
      </c>
      <c r="C262" s="198" t="str">
        <f>IFERROR(VLOOKUP(Tableau1[Nom],Tableau5[],COLUMN(Tableau5[Nom du manager]),FALSE),"")</f>
        <v>FUENTES</v>
      </c>
      <c r="D262" s="199">
        <f>IFERROR(VLOOKUP(Tableau1[Nom],Tableau5[],COLUMN(Tableau5[Matricule]),FALSE),"")</f>
        <v>103044</v>
      </c>
      <c r="E262" s="200" t="s">
        <v>868</v>
      </c>
      <c r="F262" s="199" t="str">
        <f>IFERROR(VLOOKUP(Tableau1[Nom],Tableau5[],COLUMN(Tableau5[Prénom]),FALSE),"")</f>
        <v>Jean-Marie</v>
      </c>
      <c r="G262" s="188" t="s">
        <v>9</v>
      </c>
      <c r="H262" s="188" t="s">
        <v>1323</v>
      </c>
      <c r="I262" s="201"/>
      <c r="J262" s="188" t="s">
        <v>1324</v>
      </c>
      <c r="K262" s="189">
        <v>7</v>
      </c>
      <c r="L262" s="190">
        <v>124</v>
      </c>
      <c r="M262" s="202" t="s">
        <v>5</v>
      </c>
      <c r="N262" s="203" t="s">
        <v>1444</v>
      </c>
      <c r="O262" s="202"/>
      <c r="P262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63" spans="1:16" x14ac:dyDescent="0.25">
      <c r="A263" s="197" t="str">
        <f>IFERROR(VLOOKUP(Tableau1[Nom],Tableau5[],COLUMN(Tableau5[Definition du costing : DVC ou non DVC]),FALSE),"")</f>
        <v>DVC</v>
      </c>
      <c r="B263" s="197" t="str">
        <f>IFERROR(VLOOKUP(Tableau1[Nom],Tableau5[],COLUMN(Tableau5[Nom de la société]),FALSE),"")</f>
        <v>Aub.</v>
      </c>
      <c r="C263" s="198" t="str">
        <f>IFERROR(VLOOKUP(Tableau1[Nom],Tableau5[],COLUMN(Tableau5[Nom du manager]),FALSE),"")</f>
        <v>FUENTES</v>
      </c>
      <c r="D263" s="199">
        <f>IFERROR(VLOOKUP(Tableau1[Nom],Tableau5[],COLUMN(Tableau5[Matricule]),FALSE),"")</f>
        <v>103044</v>
      </c>
      <c r="E263" s="200" t="s">
        <v>868</v>
      </c>
      <c r="F263" s="199" t="str">
        <f>IFERROR(VLOOKUP(Tableau1[Nom],Tableau5[],COLUMN(Tableau5[Prénom]),FALSE),"")</f>
        <v>Jean-Marie</v>
      </c>
      <c r="G263" s="188" t="s">
        <v>9</v>
      </c>
      <c r="H263" s="188" t="s">
        <v>1326</v>
      </c>
      <c r="I263" s="201"/>
      <c r="J263" s="188" t="s">
        <v>1324</v>
      </c>
      <c r="K263" s="189">
        <v>1.5</v>
      </c>
      <c r="L263" s="190">
        <v>53</v>
      </c>
      <c r="M263" s="202" t="s">
        <v>5</v>
      </c>
      <c r="N263" s="203" t="s">
        <v>1444</v>
      </c>
      <c r="O263" s="202"/>
      <c r="P26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64" spans="1:16" x14ac:dyDescent="0.25">
      <c r="A264" s="197" t="str">
        <f>IFERROR(VLOOKUP(Tableau1[Nom],Tableau5[],COLUMN(Tableau5[Definition du costing : DVC ou non DVC]),FALSE),"")</f>
        <v>DVC</v>
      </c>
      <c r="B264" s="197" t="str">
        <f>IFERROR(VLOOKUP(Tableau1[Nom],Tableau5[],COLUMN(Tableau5[Nom de la société]),FALSE),"")</f>
        <v>Lattes</v>
      </c>
      <c r="C264" s="198" t="str">
        <f>IFERROR(VLOOKUP(Tableau1[Nom],Tableau5[],COLUMN(Tableau5[Nom du manager]),FALSE),"")</f>
        <v>VERNE</v>
      </c>
      <c r="D264" s="199">
        <f>IFERROR(VLOOKUP(Tableau1[Nom],Tableau5[],COLUMN(Tableau5[Matricule]),FALSE),"")</f>
        <v>191664</v>
      </c>
      <c r="E264" s="200" t="s">
        <v>1103</v>
      </c>
      <c r="F264" s="199" t="str">
        <f>IFERROR(VLOOKUP(Tableau1[Nom],Tableau5[],COLUMN(Tableau5[Prénom]),FALSE),"")</f>
        <v>Laurent</v>
      </c>
      <c r="G264" s="188" t="s">
        <v>9</v>
      </c>
      <c r="H264" s="188" t="s">
        <v>1323</v>
      </c>
      <c r="I264" s="201"/>
      <c r="J264" s="188" t="s">
        <v>1324</v>
      </c>
      <c r="K264" s="189">
        <v>7</v>
      </c>
      <c r="L264" s="190">
        <v>124</v>
      </c>
      <c r="M264" s="202" t="s">
        <v>5</v>
      </c>
      <c r="N264" s="203" t="s">
        <v>1444</v>
      </c>
      <c r="O264" s="202"/>
      <c r="P264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65" spans="1:16" x14ac:dyDescent="0.25">
      <c r="A265" s="197" t="str">
        <f>IFERROR(VLOOKUP(Tableau1[Nom],Tableau5[],COLUMN(Tableau5[Definition du costing : DVC ou non DVC]),FALSE),"")</f>
        <v>DVC</v>
      </c>
      <c r="B265" s="197" t="str">
        <f>IFERROR(VLOOKUP(Tableau1[Nom],Tableau5[],COLUMN(Tableau5[Nom de la société]),FALSE),"")</f>
        <v>Lattes</v>
      </c>
      <c r="C265" s="198" t="str">
        <f>IFERROR(VLOOKUP(Tableau1[Nom],Tableau5[],COLUMN(Tableau5[Nom du manager]),FALSE),"")</f>
        <v>VERNE</v>
      </c>
      <c r="D265" s="199">
        <f>IFERROR(VLOOKUP(Tableau1[Nom],Tableau5[],COLUMN(Tableau5[Matricule]),FALSE),"")</f>
        <v>191040</v>
      </c>
      <c r="E265" s="200" t="s">
        <v>1052</v>
      </c>
      <c r="F265" s="199" t="str">
        <f>IFERROR(VLOOKUP(Tableau1[Nom],Tableau5[],COLUMN(Tableau5[Prénom]),FALSE),"")</f>
        <v>Mohamed</v>
      </c>
      <c r="G265" s="188" t="s">
        <v>9</v>
      </c>
      <c r="H265" s="188" t="s">
        <v>1323</v>
      </c>
      <c r="I265" s="201"/>
      <c r="J265" s="188" t="s">
        <v>1324</v>
      </c>
      <c r="K265" s="189">
        <v>7</v>
      </c>
      <c r="L265" s="190">
        <v>124</v>
      </c>
      <c r="M265" s="202" t="s">
        <v>5</v>
      </c>
      <c r="N265" s="203" t="s">
        <v>1444</v>
      </c>
      <c r="O265" s="202"/>
      <c r="P265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66" spans="1:16" x14ac:dyDescent="0.25">
      <c r="A266" s="197" t="str">
        <f>IFERROR(VLOOKUP(Tableau1[Nom],Tableau5[],COLUMN(Tableau5[Definition du costing : DVC ou non DVC]),FALSE),"")</f>
        <v>DVC</v>
      </c>
      <c r="B266" s="197" t="str">
        <f>IFERROR(VLOOKUP(Tableau1[Nom],Tableau5[],COLUMN(Tableau5[Nom de la société]),FALSE),"")</f>
        <v>Lattes</v>
      </c>
      <c r="C266" s="198" t="str">
        <f>IFERROR(VLOOKUP(Tableau1[Nom],Tableau5[],COLUMN(Tableau5[Nom du manager]),FALSE),"")</f>
        <v>VERNE</v>
      </c>
      <c r="D266" s="199">
        <f>IFERROR(VLOOKUP(Tableau1[Nom],Tableau5[],COLUMN(Tableau5[Matricule]),FALSE),"")</f>
        <v>191040</v>
      </c>
      <c r="E266" s="200" t="s">
        <v>1052</v>
      </c>
      <c r="F266" s="199" t="str">
        <f>IFERROR(VLOOKUP(Tableau1[Nom],Tableau5[],COLUMN(Tableau5[Prénom]),FALSE),"")</f>
        <v>Mohamed</v>
      </c>
      <c r="G266" s="188" t="s">
        <v>9</v>
      </c>
      <c r="H266" s="188" t="s">
        <v>1333</v>
      </c>
      <c r="I266" s="201"/>
      <c r="J266" s="188" t="s">
        <v>1324</v>
      </c>
      <c r="K266" s="189">
        <v>7</v>
      </c>
      <c r="L266" s="190">
        <v>162</v>
      </c>
      <c r="M266" s="202" t="s">
        <v>5</v>
      </c>
      <c r="N266" s="203" t="s">
        <v>1444</v>
      </c>
      <c r="O266" s="202"/>
      <c r="P266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67" spans="1:16" x14ac:dyDescent="0.25">
      <c r="A267" s="197" t="str">
        <f>IFERROR(VLOOKUP(Tableau1[Nom],Tableau5[],COLUMN(Tableau5[Definition du costing : DVC ou non DVC]),FALSE),"")</f>
        <v>DVC</v>
      </c>
      <c r="B267" s="197" t="str">
        <f>IFERROR(VLOOKUP(Tableau1[Nom],Tableau5[],COLUMN(Tableau5[Nom de la société]),FALSE),"")</f>
        <v>Lattes</v>
      </c>
      <c r="C267" s="198" t="str">
        <f>IFERROR(VLOOKUP(Tableau1[Nom],Tableau5[],COLUMN(Tableau5[Nom du manager]),FALSE),"")</f>
        <v>VERNE</v>
      </c>
      <c r="D267" s="199">
        <f>IFERROR(VLOOKUP(Tableau1[Nom],Tableau5[],COLUMN(Tableau5[Matricule]),FALSE),"")</f>
        <v>191711</v>
      </c>
      <c r="E267" s="200" t="s">
        <v>1119</v>
      </c>
      <c r="F267" s="199" t="str">
        <f>IFERROR(VLOOKUP(Tableau1[Nom],Tableau5[],COLUMN(Tableau5[Prénom]),FALSE),"")</f>
        <v>Michel</v>
      </c>
      <c r="G267" s="188" t="s">
        <v>9</v>
      </c>
      <c r="H267" s="188" t="s">
        <v>1323</v>
      </c>
      <c r="I267" s="201"/>
      <c r="J267" s="188" t="s">
        <v>1324</v>
      </c>
      <c r="K267" s="189">
        <v>7</v>
      </c>
      <c r="L267" s="190">
        <v>124</v>
      </c>
      <c r="M267" s="202" t="s">
        <v>5</v>
      </c>
      <c r="N267" s="203" t="s">
        <v>1444</v>
      </c>
      <c r="O267" s="202"/>
      <c r="P267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268" spans="1:16" x14ac:dyDescent="0.25">
      <c r="A268" s="197" t="str">
        <f>IFERROR(VLOOKUP(Tableau1[Nom],Tableau5[],COLUMN(Tableau5[Definition du costing : DVC ou non DVC]),FALSE),"")</f>
        <v>DVC</v>
      </c>
      <c r="B268" s="197" t="str">
        <f>IFERROR(VLOOKUP(Tableau1[Nom],Tableau5[],COLUMN(Tableau5[Nom de la société]),FALSE),"")</f>
        <v>Aub.</v>
      </c>
      <c r="C268" s="198" t="str">
        <f>IFERROR(VLOOKUP(Tableau1[Nom],Tableau5[],COLUMN(Tableau5[Nom du manager]),FALSE),"")</f>
        <v>ALIX</v>
      </c>
      <c r="D268" s="199">
        <f>IFERROR(VLOOKUP(Tableau1[Nom],Tableau5[],COLUMN(Tableau5[Matricule]),FALSE),"")</f>
        <v>102907</v>
      </c>
      <c r="E268" s="200" t="s">
        <v>877</v>
      </c>
      <c r="F268" s="199" t="str">
        <f>IFERROR(VLOOKUP(Tableau1[Nom],Tableau5[],COLUMN(Tableau5[Prénom]),FALSE),"")</f>
        <v>Thierry</v>
      </c>
      <c r="G268" s="188" t="s">
        <v>9</v>
      </c>
      <c r="H268" s="188" t="s">
        <v>1326</v>
      </c>
      <c r="I268" s="201"/>
      <c r="J268" s="188" t="s">
        <v>1324</v>
      </c>
      <c r="K268" s="189">
        <v>1.5</v>
      </c>
      <c r="L268" s="190">
        <v>53</v>
      </c>
      <c r="M268" s="202" t="s">
        <v>5</v>
      </c>
      <c r="N268" s="203" t="s">
        <v>1444</v>
      </c>
      <c r="O268" s="202"/>
      <c r="P268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69" spans="1:16" x14ac:dyDescent="0.25">
      <c r="A269" s="197" t="str">
        <f>IFERROR(VLOOKUP(Tableau1[Nom],Tableau5[],COLUMN(Tableau5[Definition du costing : DVC ou non DVC]),FALSE),"")</f>
        <v>DVC</v>
      </c>
      <c r="B269" s="197" t="str">
        <f>IFERROR(VLOOKUP(Tableau1[Nom],Tableau5[],COLUMN(Tableau5[Nom de la société]),FALSE),"")</f>
        <v>Aub.</v>
      </c>
      <c r="C269" s="198" t="str">
        <f>IFERROR(VLOOKUP(Tableau1[Nom],Tableau5[],COLUMN(Tableau5[Nom du manager]),FALSE),"")</f>
        <v>ALIX</v>
      </c>
      <c r="D269" s="199">
        <f>IFERROR(VLOOKUP(Tableau1[Nom],Tableau5[],COLUMN(Tableau5[Matricule]),FALSE),"")</f>
        <v>102907</v>
      </c>
      <c r="E269" s="200" t="s">
        <v>877</v>
      </c>
      <c r="F269" s="199" t="str">
        <f>IFERROR(VLOOKUP(Tableau1[Nom],Tableau5[],COLUMN(Tableau5[Prénom]),FALSE),"")</f>
        <v>Thierry</v>
      </c>
      <c r="G269" s="188" t="s">
        <v>9</v>
      </c>
      <c r="H269" s="188" t="s">
        <v>1340</v>
      </c>
      <c r="I269" s="201"/>
      <c r="J269" s="188" t="s">
        <v>1341</v>
      </c>
      <c r="K269" s="189">
        <v>7</v>
      </c>
      <c r="L269" s="190">
        <v>117</v>
      </c>
      <c r="M269" s="202" t="s">
        <v>5</v>
      </c>
      <c r="N269" s="203" t="s">
        <v>1444</v>
      </c>
      <c r="O269" s="202"/>
      <c r="P26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70" spans="1:16" x14ac:dyDescent="0.25">
      <c r="A270" s="197" t="str">
        <f>IFERROR(VLOOKUP(Tableau1[Nom],Tableau5[],COLUMN(Tableau5[Definition du costing : DVC ou non DVC]),FALSE),"")</f>
        <v>DVC</v>
      </c>
      <c r="B270" s="197" t="str">
        <f>IFERROR(VLOOKUP(Tableau1[Nom],Tableau5[],COLUMN(Tableau5[Nom de la société]),FALSE),"")</f>
        <v>Aub.</v>
      </c>
      <c r="C270" s="198" t="str">
        <f>IFERROR(VLOOKUP(Tableau1[Nom],Tableau5[],COLUMN(Tableau5[Nom du manager]),FALSE),"")</f>
        <v>ALIX</v>
      </c>
      <c r="D270" s="199">
        <f>IFERROR(VLOOKUP(Tableau1[Nom],Tableau5[],COLUMN(Tableau5[Matricule]),FALSE),"")</f>
        <v>102907</v>
      </c>
      <c r="E270" s="200" t="s">
        <v>877</v>
      </c>
      <c r="F270" s="199" t="str">
        <f>IFERROR(VLOOKUP(Tableau1[Nom],Tableau5[],COLUMN(Tableau5[Prénom]),FALSE),"")</f>
        <v>Thierry</v>
      </c>
      <c r="G270" s="188" t="s">
        <v>9</v>
      </c>
      <c r="H270" s="188" t="s">
        <v>1346</v>
      </c>
      <c r="I270" s="201"/>
      <c r="J270" s="188" t="s">
        <v>1344</v>
      </c>
      <c r="K270" s="189">
        <v>10.5</v>
      </c>
      <c r="L270" s="190">
        <v>260</v>
      </c>
      <c r="M270" s="202" t="s">
        <v>5</v>
      </c>
      <c r="N270" s="203" t="s">
        <v>1444</v>
      </c>
      <c r="O270" s="202"/>
      <c r="P27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71" spans="1:16" x14ac:dyDescent="0.25">
      <c r="A271" s="197" t="str">
        <f>IFERROR(VLOOKUP(Tableau1[Nom],Tableau5[],COLUMN(Tableau5[Definition du costing : DVC ou non DVC]),FALSE),"")</f>
        <v>DVC</v>
      </c>
      <c r="B271" s="197" t="str">
        <f>IFERROR(VLOOKUP(Tableau1[Nom],Tableau5[],COLUMN(Tableau5[Nom de la société]),FALSE),"")</f>
        <v>Lattes</v>
      </c>
      <c r="C271" s="198" t="str">
        <f>IFERROR(VLOOKUP(Tableau1[Nom],Tableau5[],COLUMN(Tableau5[Nom du manager]),FALSE),"")</f>
        <v>VERNE</v>
      </c>
      <c r="D271" s="199">
        <f>IFERROR(VLOOKUP(Tableau1[Nom],Tableau5[],COLUMN(Tableau5[Matricule]),FALSE),"")</f>
        <v>191295</v>
      </c>
      <c r="E271" s="200" t="s">
        <v>1074</v>
      </c>
      <c r="F271" s="199" t="str">
        <f>IFERROR(VLOOKUP(Tableau1[Nom],Tableau5[],COLUMN(Tableau5[Prénom]),FALSE),"")</f>
        <v>Alain</v>
      </c>
      <c r="G271" s="188" t="s">
        <v>9</v>
      </c>
      <c r="H271" s="188" t="s">
        <v>1323</v>
      </c>
      <c r="I271" s="201"/>
      <c r="J271" s="188" t="s">
        <v>1324</v>
      </c>
      <c r="K271" s="189">
        <v>7</v>
      </c>
      <c r="L271" s="190">
        <v>124</v>
      </c>
      <c r="M271" s="202" t="s">
        <v>5</v>
      </c>
      <c r="N271" s="203" t="s">
        <v>1444</v>
      </c>
      <c r="O271" s="202"/>
      <c r="P271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272" spans="1:16" x14ac:dyDescent="0.25">
      <c r="A272" s="197" t="str">
        <f>IFERROR(VLOOKUP(Tableau1[Nom],Tableau5[],COLUMN(Tableau5[Definition du costing : DVC ou non DVC]),FALSE),"")</f>
        <v>DVC</v>
      </c>
      <c r="B272" s="197" t="str">
        <f>IFERROR(VLOOKUP(Tableau1[Nom],Tableau5[],COLUMN(Tableau5[Nom de la société]),FALSE),"")</f>
        <v>Aub.</v>
      </c>
      <c r="C272" s="198" t="str">
        <f>IFERROR(VLOOKUP(Tableau1[Nom],Tableau5[],COLUMN(Tableau5[Nom du manager]),FALSE),"")</f>
        <v>SENEPART</v>
      </c>
      <c r="D272" s="199">
        <f>IFERROR(VLOOKUP(Tableau1[Nom],Tableau5[],COLUMN(Tableau5[Matricule]),FALSE),"")</f>
        <v>102982</v>
      </c>
      <c r="E272" s="200" t="s">
        <v>884</v>
      </c>
      <c r="F272" s="199" t="str">
        <f>IFERROR(VLOOKUP(Tableau1[Nom],Tableau5[],COLUMN(Tableau5[Prénom]),FALSE),"")</f>
        <v>Richard</v>
      </c>
      <c r="G272" s="188" t="s">
        <v>9</v>
      </c>
      <c r="H272" s="188" t="s">
        <v>1340</v>
      </c>
      <c r="I272" s="201"/>
      <c r="J272" s="188" t="s">
        <v>1341</v>
      </c>
      <c r="K272" s="189">
        <v>7</v>
      </c>
      <c r="L272" s="190">
        <v>117</v>
      </c>
      <c r="M272" s="202" t="s">
        <v>5</v>
      </c>
      <c r="N272" s="203" t="s">
        <v>1444</v>
      </c>
      <c r="O272" s="202"/>
      <c r="P272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73" spans="1:16" x14ac:dyDescent="0.25">
      <c r="A273" s="197" t="str">
        <f>IFERROR(VLOOKUP(Tableau1[Nom],Tableau5[],COLUMN(Tableau5[Definition du costing : DVC ou non DVC]),FALSE),"")</f>
        <v>DVC</v>
      </c>
      <c r="B273" s="197" t="str">
        <f>IFERROR(VLOOKUP(Tableau1[Nom],Tableau5[],COLUMN(Tableau5[Nom de la société]),FALSE),"")</f>
        <v>Lattes</v>
      </c>
      <c r="C273" s="198" t="str">
        <f>IFERROR(VLOOKUP(Tableau1[Nom],Tableau5[],COLUMN(Tableau5[Nom du manager]),FALSE),"")</f>
        <v>JACKEL</v>
      </c>
      <c r="D273" s="199">
        <f>IFERROR(VLOOKUP(Tableau1[Nom],Tableau5[],COLUMN(Tableau5[Matricule]),FALSE),"")</f>
        <v>191202</v>
      </c>
      <c r="E273" s="200" t="s">
        <v>1061</v>
      </c>
      <c r="F273" s="199" t="str">
        <f>IFERROR(VLOOKUP(Tableau1[Nom],Tableau5[],COLUMN(Tableau5[Prénom]),FALSE),"")</f>
        <v>Christian</v>
      </c>
      <c r="G273" s="188" t="s">
        <v>9</v>
      </c>
      <c r="H273" s="188" t="s">
        <v>1339</v>
      </c>
      <c r="I273" s="201"/>
      <c r="J273" s="188" t="s">
        <v>1324</v>
      </c>
      <c r="K273" s="189">
        <v>7</v>
      </c>
      <c r="L273" s="190">
        <v>165</v>
      </c>
      <c r="M273" s="202" t="s">
        <v>5</v>
      </c>
      <c r="N273" s="203" t="s">
        <v>1444</v>
      </c>
      <c r="O273" s="202"/>
      <c r="P27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74" spans="1:16" x14ac:dyDescent="0.25">
      <c r="A274" s="197" t="str">
        <f>IFERROR(VLOOKUP(Tableau1[Nom],Tableau5[],COLUMN(Tableau5[Definition du costing : DVC ou non DVC]),FALSE),"")</f>
        <v>DVC</v>
      </c>
      <c r="B274" s="197" t="str">
        <f>IFERROR(VLOOKUP(Tableau1[Nom],Tableau5[],COLUMN(Tableau5[Nom de la société]),FALSE),"")</f>
        <v>Lattes</v>
      </c>
      <c r="C274" s="198" t="str">
        <f>IFERROR(VLOOKUP(Tableau1[Nom],Tableau5[],COLUMN(Tableau5[Nom du manager]),FALSE),"")</f>
        <v>JACKEL</v>
      </c>
      <c r="D274" s="199">
        <f>IFERROR(VLOOKUP(Tableau1[Nom],Tableau5[],COLUMN(Tableau5[Matricule]),FALSE),"")</f>
        <v>191202</v>
      </c>
      <c r="E274" s="200" t="s">
        <v>1061</v>
      </c>
      <c r="F274" s="199" t="str">
        <f>IFERROR(VLOOKUP(Tableau1[Nom],Tableau5[],COLUMN(Tableau5[Prénom]),FALSE),"")</f>
        <v>Christian</v>
      </c>
      <c r="G274" s="188" t="s">
        <v>9</v>
      </c>
      <c r="H274" s="188" t="s">
        <v>1343</v>
      </c>
      <c r="I274" s="201"/>
      <c r="J274" s="188" t="s">
        <v>1344</v>
      </c>
      <c r="K274" s="189">
        <v>10.5</v>
      </c>
      <c r="L274" s="190">
        <v>260</v>
      </c>
      <c r="M274" s="202" t="s">
        <v>5</v>
      </c>
      <c r="N274" s="203" t="s">
        <v>1444</v>
      </c>
      <c r="O274" s="202"/>
      <c r="P27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75" spans="1:16" x14ac:dyDescent="0.25">
      <c r="A275" s="197" t="str">
        <f>IFERROR(VLOOKUP(Tableau1[Nom],Tableau5[],COLUMN(Tableau5[Definition du costing : DVC ou non DVC]),FALSE),"")</f>
        <v>DVC</v>
      </c>
      <c r="B275" s="197" t="str">
        <f>IFERROR(VLOOKUP(Tableau1[Nom],Tableau5[],COLUMN(Tableau5[Nom de la société]),FALSE),"")</f>
        <v>Lattes</v>
      </c>
      <c r="C275" s="198" t="str">
        <f>IFERROR(VLOOKUP(Tableau1[Nom],Tableau5[],COLUMN(Tableau5[Nom du manager]),FALSE),"")</f>
        <v>VERNE</v>
      </c>
      <c r="D275" s="199">
        <f>IFERROR(VLOOKUP(Tableau1[Nom],Tableau5[],COLUMN(Tableau5[Matricule]),FALSE),"")</f>
        <v>191712</v>
      </c>
      <c r="E275" s="192" t="s">
        <v>1123</v>
      </c>
      <c r="F275" s="199" t="str">
        <f>IFERROR(VLOOKUP(Tableau1[Nom],Tableau5[],COLUMN(Tableau5[Prénom]),FALSE),"")</f>
        <v>Albert</v>
      </c>
      <c r="G275" s="188" t="s">
        <v>9</v>
      </c>
      <c r="H275" s="188" t="s">
        <v>1323</v>
      </c>
      <c r="I275" s="201"/>
      <c r="J275" s="188" t="s">
        <v>1324</v>
      </c>
      <c r="K275" s="189">
        <v>7</v>
      </c>
      <c r="L275" s="190">
        <v>124</v>
      </c>
      <c r="M275" s="202" t="s">
        <v>5</v>
      </c>
      <c r="N275" s="203" t="s">
        <v>1444</v>
      </c>
      <c r="O275" s="202"/>
      <c r="P275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76" spans="1:16" x14ac:dyDescent="0.25">
      <c r="A276" s="197" t="str">
        <f>IFERROR(VLOOKUP(Tableau1[Nom],Tableau5[],COLUMN(Tableau5[Definition du costing : DVC ou non DVC]),FALSE),"")</f>
        <v>Non DVC</v>
      </c>
      <c r="B276" s="197" t="str">
        <f>IFERROR(VLOOKUP(Tableau1[Nom],Tableau5[],COLUMN(Tableau5[Nom de la société]),FALSE),"")</f>
        <v>Aub.</v>
      </c>
      <c r="C276" s="198" t="str">
        <f>IFERROR(VLOOKUP(Tableau1[Nom],Tableau5[],COLUMN(Tableau5[Nom du manager]),FALSE),"")</f>
        <v>RICCARDI</v>
      </c>
      <c r="D276" s="199">
        <f>IFERROR(VLOOKUP(Tableau1[Nom],Tableau5[],COLUMN(Tableau5[Matricule]),FALSE),"")</f>
        <v>103036</v>
      </c>
      <c r="E276" s="200" t="s">
        <v>887</v>
      </c>
      <c r="F276" s="199" t="str">
        <f>IFERROR(VLOOKUP(Tableau1[Nom],Tableau5[],COLUMN(Tableau5[Prénom]),FALSE),"")</f>
        <v>Patricia</v>
      </c>
      <c r="G276" s="188" t="s">
        <v>9</v>
      </c>
      <c r="H276" s="188" t="s">
        <v>1340</v>
      </c>
      <c r="I276" s="201"/>
      <c r="J276" s="188" t="s">
        <v>1341</v>
      </c>
      <c r="K276" s="189">
        <v>7</v>
      </c>
      <c r="L276" s="190">
        <v>117</v>
      </c>
      <c r="M276" s="202" t="s">
        <v>5</v>
      </c>
      <c r="N276" s="203" t="s">
        <v>1444</v>
      </c>
      <c r="O276" s="202"/>
      <c r="P276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77" spans="1:16" x14ac:dyDescent="0.25">
      <c r="A277" s="191" t="str">
        <f>IFERROR(VLOOKUP(Tableau1[Nom],Tableau5[],COLUMN(Tableau5[Definition du costing : DVC ou non DVC]),FALSE),"")</f>
        <v>Non DVC</v>
      </c>
      <c r="B277" s="197" t="str">
        <f>IFERROR(VLOOKUP(Tableau1[Nom],Tableau5[],COLUMN(Tableau5[Nom de la société]),FALSE),"")</f>
        <v>STG</v>
      </c>
      <c r="C277" s="198" t="str">
        <f>IFERROR(VLOOKUP(Tableau1[Nom],Tableau5[],COLUMN(Tableau5[Nom du manager]),FALSE),"")</f>
        <v>FOUASSIER</v>
      </c>
      <c r="D277" s="199">
        <f>IFERROR(VLOOKUP(Tableau1[Nom],Tableau5[],COLUMN(Tableau5[Matricule]),FALSE),"")</f>
        <v>109499</v>
      </c>
      <c r="E277" s="187" t="s">
        <v>1249</v>
      </c>
      <c r="F277" s="199" t="str">
        <f>IFERROR(VLOOKUP(Tableau1[Nom],Tableau5[],COLUMN(Tableau5[Prénom]),FALSE),"")</f>
        <v>Jean-Christophe</v>
      </c>
      <c r="G277" s="188" t="s">
        <v>9</v>
      </c>
      <c r="H277" s="188" t="s">
        <v>1323</v>
      </c>
      <c r="I277" s="189"/>
      <c r="J277" s="188" t="s">
        <v>1324</v>
      </c>
      <c r="K277" s="189">
        <v>7</v>
      </c>
      <c r="L277" s="190">
        <v>124</v>
      </c>
      <c r="M277" s="202" t="s">
        <v>5</v>
      </c>
      <c r="N277" s="203" t="s">
        <v>1444</v>
      </c>
      <c r="O277" s="195"/>
      <c r="P277" s="289">
        <f>IFERROR(INDEX(Tableau2[],MATCH(Tableau1[[#This Row],[Nom]]&amp;Tableau1[[#This Row],[Intitulé]],INDEX(Tableau2[],,COLUMN(Tableau2[Clé Recherche])),0),COLUMN(Tableau2[Calendrier de réalisation])),"")</f>
        <v>0</v>
      </c>
    </row>
    <row r="278" spans="1:16" x14ac:dyDescent="0.25">
      <c r="A278" s="197" t="str">
        <f>IFERROR(VLOOKUP(Tableau1[Nom],Tableau5[],COLUMN(Tableau5[Definition du costing : DVC ou non DVC]),FALSE),"")</f>
        <v>Non DVC</v>
      </c>
      <c r="B278" s="197" t="str">
        <f>IFERROR(VLOOKUP(Tableau1[Nom],Tableau5[],COLUMN(Tableau5[Nom de la société]),FALSE),"")</f>
        <v>STG</v>
      </c>
      <c r="C278" s="198" t="str">
        <f>IFERROR(VLOOKUP(Tableau1[Nom],Tableau5[],COLUMN(Tableau5[Nom du manager]),FALSE),"")</f>
        <v>FOUASSIER</v>
      </c>
      <c r="D278" s="199">
        <f>IFERROR(VLOOKUP(Tableau1[Nom],Tableau5[],COLUMN(Tableau5[Matricule]),FALSE),"")</f>
        <v>109499</v>
      </c>
      <c r="E278" s="200" t="s">
        <v>1249</v>
      </c>
      <c r="F278" s="199" t="str">
        <f>IFERROR(VLOOKUP(Tableau1[Nom],Tableau5[],COLUMN(Tableau5[Prénom]),FALSE),"")</f>
        <v>Jean-Christophe</v>
      </c>
      <c r="G278" s="188" t="s">
        <v>9</v>
      </c>
      <c r="H278" s="188" t="s">
        <v>1326</v>
      </c>
      <c r="I278" s="201"/>
      <c r="J278" s="188" t="s">
        <v>1324</v>
      </c>
      <c r="K278" s="189">
        <v>1.5</v>
      </c>
      <c r="L278" s="190">
        <v>53</v>
      </c>
      <c r="M278" s="202" t="s">
        <v>5</v>
      </c>
      <c r="N278" s="203" t="s">
        <v>1444</v>
      </c>
      <c r="O278" s="202"/>
      <c r="P27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79" spans="1:16" x14ac:dyDescent="0.25">
      <c r="A279" s="197" t="str">
        <f>IFERROR(VLOOKUP(Tableau1[Nom],Tableau5[],COLUMN(Tableau5[Definition du costing : DVC ou non DVC]),FALSE),"")</f>
        <v>Non DVC</v>
      </c>
      <c r="B279" s="197" t="str">
        <f>IFERROR(VLOOKUP(Tableau1[Nom],Tableau5[],COLUMN(Tableau5[Nom de la société]),FALSE),"")</f>
        <v>Aub.</v>
      </c>
      <c r="C279" s="198" t="str">
        <f>IFERROR(VLOOKUP(Tableau1[Nom],Tableau5[],COLUMN(Tableau5[Nom du manager]),FALSE),"")</f>
        <v>DARDARE</v>
      </c>
      <c r="D279" s="199">
        <f>IFERROR(VLOOKUP(Tableau1[Nom],Tableau5[],COLUMN(Tableau5[Matricule]),FALSE),"")</f>
        <v>102909</v>
      </c>
      <c r="E279" s="200" t="s">
        <v>895</v>
      </c>
      <c r="F279" s="199" t="str">
        <f>IFERROR(VLOOKUP(Tableau1[Nom],Tableau5[],COLUMN(Tableau5[Prénom]),FALSE),"")</f>
        <v>Eric</v>
      </c>
      <c r="G279" s="188" t="s">
        <v>9</v>
      </c>
      <c r="H279" s="188" t="s">
        <v>1326</v>
      </c>
      <c r="I279" s="201"/>
      <c r="J279" s="188" t="s">
        <v>1324</v>
      </c>
      <c r="K279" s="189">
        <v>1.5</v>
      </c>
      <c r="L279" s="190">
        <v>53</v>
      </c>
      <c r="M279" s="202" t="s">
        <v>5</v>
      </c>
      <c r="N279" s="203" t="s">
        <v>1444</v>
      </c>
      <c r="O279" s="202"/>
      <c r="P27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80" spans="1:16" x14ac:dyDescent="0.25">
      <c r="A280" s="197" t="str">
        <f>IFERROR(VLOOKUP(Tableau1[Nom],Tableau5[],COLUMN(Tableau5[Definition du costing : DVC ou non DVC]),FALSE),"")</f>
        <v>DVC</v>
      </c>
      <c r="B280" s="197" t="str">
        <f>IFERROR(VLOOKUP(Tableau1[Nom],Tableau5[],COLUMN(Tableau5[Nom de la société]),FALSE),"")</f>
        <v>STG</v>
      </c>
      <c r="C280" s="198" t="str">
        <f>IFERROR(VLOOKUP(Tableau1[Nom],Tableau5[],COLUMN(Tableau5[Nom du manager]),FALSE),"")</f>
        <v>BUISSON</v>
      </c>
      <c r="D280" s="199">
        <f>IFERROR(VLOOKUP(Tableau1[Nom],Tableau5[],COLUMN(Tableau5[Matricule]),FALSE),"")</f>
        <v>244824</v>
      </c>
      <c r="E280" s="200" t="s">
        <v>1254</v>
      </c>
      <c r="F280" s="199" t="str">
        <f>IFERROR(VLOOKUP(Tableau1[Nom],Tableau5[],COLUMN(Tableau5[Prénom]),FALSE),"")</f>
        <v>Sylvain</v>
      </c>
      <c r="G280" s="188" t="s">
        <v>9</v>
      </c>
      <c r="H280" s="188" t="s">
        <v>1326</v>
      </c>
      <c r="I280" s="201"/>
      <c r="J280" s="188" t="s">
        <v>1324</v>
      </c>
      <c r="K280" s="189">
        <v>1.5</v>
      </c>
      <c r="L280" s="190">
        <v>53</v>
      </c>
      <c r="M280" s="202" t="s">
        <v>5</v>
      </c>
      <c r="N280" s="203" t="s">
        <v>1444</v>
      </c>
      <c r="O280" s="202"/>
      <c r="P280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81" spans="1:16" x14ac:dyDescent="0.25">
      <c r="A281" s="197" t="str">
        <f>IFERROR(VLOOKUP(Tableau1[Nom],Tableau5[],COLUMN(Tableau5[Definition du costing : DVC ou non DVC]),FALSE),"")</f>
        <v>DVC</v>
      </c>
      <c r="B281" s="197" t="str">
        <f>IFERROR(VLOOKUP(Tableau1[Nom],Tableau5[],COLUMN(Tableau5[Nom de la société]),FALSE),"")</f>
        <v>STG</v>
      </c>
      <c r="C281" s="198" t="str">
        <f>IFERROR(VLOOKUP(Tableau1[Nom],Tableau5[],COLUMN(Tableau5[Nom du manager]),FALSE),"")</f>
        <v>BUISSON</v>
      </c>
      <c r="D281" s="199">
        <f>IFERROR(VLOOKUP(Tableau1[Nom],Tableau5[],COLUMN(Tableau5[Matricule]),FALSE),"")</f>
        <v>244824</v>
      </c>
      <c r="E281" s="200" t="s">
        <v>1254</v>
      </c>
      <c r="F281" s="199" t="str">
        <f>IFERROR(VLOOKUP(Tableau1[Nom],Tableau5[],COLUMN(Tableau5[Prénom]),FALSE),"")</f>
        <v>Sylvain</v>
      </c>
      <c r="G281" s="188" t="s">
        <v>9</v>
      </c>
      <c r="H281" s="188" t="s">
        <v>1346</v>
      </c>
      <c r="I281" s="201"/>
      <c r="J281" s="188" t="s">
        <v>1344</v>
      </c>
      <c r="K281" s="189">
        <v>10.5</v>
      </c>
      <c r="L281" s="190">
        <v>260</v>
      </c>
      <c r="M281" s="202" t="s">
        <v>5</v>
      </c>
      <c r="N281" s="203" t="s">
        <v>1444</v>
      </c>
      <c r="O281" s="202"/>
      <c r="P28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82" spans="1:16" x14ac:dyDescent="0.25">
      <c r="A282" s="197" t="str">
        <f>IFERROR(VLOOKUP(Tableau1[Nom],Tableau5[],COLUMN(Tableau5[Definition du costing : DVC ou non DVC]),FALSE),"")</f>
        <v>Non DVC</v>
      </c>
      <c r="B282" s="197" t="str">
        <f>IFERROR(VLOOKUP(Tableau1[Nom],Tableau5[],COLUMN(Tableau5[Nom de la société]),FALSE),"")</f>
        <v>Aub.</v>
      </c>
      <c r="C282" s="198" t="str">
        <f>IFERROR(VLOOKUP(Tableau1[Nom],Tableau5[],COLUMN(Tableau5[Nom du manager]),FALSE),"")</f>
        <v>CHATAIGNER</v>
      </c>
      <c r="D282" s="199">
        <f>IFERROR(VLOOKUP(Tableau1[Nom],Tableau5[],COLUMN(Tableau5[Matricule]),FALSE),"")</f>
        <v>102954</v>
      </c>
      <c r="E282" s="200" t="s">
        <v>409</v>
      </c>
      <c r="F282" s="199" t="str">
        <f>IFERROR(VLOOKUP(Tableau1[Nom],Tableau5[],COLUMN(Tableau5[Prénom]),FALSE),"")</f>
        <v>Laurence</v>
      </c>
      <c r="G282" s="188" t="s">
        <v>9</v>
      </c>
      <c r="H282" s="188" t="s">
        <v>1326</v>
      </c>
      <c r="I282" s="201"/>
      <c r="J282" s="188" t="s">
        <v>1324</v>
      </c>
      <c r="K282" s="189">
        <v>1.5</v>
      </c>
      <c r="L282" s="190">
        <v>53</v>
      </c>
      <c r="M282" s="202" t="s">
        <v>5</v>
      </c>
      <c r="N282" s="203" t="s">
        <v>1444</v>
      </c>
      <c r="O282" s="202"/>
      <c r="P282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283" spans="1:16" x14ac:dyDescent="0.25">
      <c r="A283" s="197" t="str">
        <f>IFERROR(VLOOKUP(Tableau1[Nom],Tableau5[],COLUMN(Tableau5[Definition du costing : DVC ou non DVC]),FALSE),"")</f>
        <v>Non DVC</v>
      </c>
      <c r="B283" s="197" t="str">
        <f>IFERROR(VLOOKUP(Tableau1[Nom],Tableau5[],COLUMN(Tableau5[Nom de la société]),FALSE),"")</f>
        <v>Aub.</v>
      </c>
      <c r="C283" s="198" t="str">
        <f>IFERROR(VLOOKUP(Tableau1[Nom],Tableau5[],COLUMN(Tableau5[Nom du manager]),FALSE),"")</f>
        <v>CHATAIGNER</v>
      </c>
      <c r="D283" s="199">
        <f>IFERROR(VLOOKUP(Tableau1[Nom],Tableau5[],COLUMN(Tableau5[Matricule]),FALSE),"")</f>
        <v>102954</v>
      </c>
      <c r="E283" s="200" t="s">
        <v>409</v>
      </c>
      <c r="F283" s="199" t="str">
        <f>IFERROR(VLOOKUP(Tableau1[Nom],Tableau5[],COLUMN(Tableau5[Prénom]),FALSE),"")</f>
        <v>Laurence</v>
      </c>
      <c r="G283" s="188" t="s">
        <v>9</v>
      </c>
      <c r="H283" s="188" t="s">
        <v>1340</v>
      </c>
      <c r="I283" s="201"/>
      <c r="J283" s="188" t="s">
        <v>1341</v>
      </c>
      <c r="K283" s="189">
        <v>7</v>
      </c>
      <c r="L283" s="190">
        <v>117</v>
      </c>
      <c r="M283" s="202" t="s">
        <v>5</v>
      </c>
      <c r="N283" s="203" t="s">
        <v>1444</v>
      </c>
      <c r="O283" s="202"/>
      <c r="P283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84" spans="1:16" x14ac:dyDescent="0.25">
      <c r="A284" s="197" t="str">
        <f>IFERROR(VLOOKUP(Tableau1[Nom],Tableau5[],COLUMN(Tableau5[Definition du costing : DVC ou non DVC]),FALSE),"")</f>
        <v>DVC</v>
      </c>
      <c r="B284" s="197" t="str">
        <f>IFERROR(VLOOKUP(Tableau1[Nom],Tableau5[],COLUMN(Tableau5[Nom de la société]),FALSE),"")</f>
        <v>Aub.</v>
      </c>
      <c r="C284" s="198" t="str">
        <f>IFERROR(VLOOKUP(Tableau1[Nom],Tableau5[],COLUMN(Tableau5[Nom du manager]),FALSE),"")</f>
        <v>SAVY</v>
      </c>
      <c r="D284" s="199">
        <f>IFERROR(VLOOKUP(Tableau1[Nom],Tableau5[],COLUMN(Tableau5[Matricule]),FALSE),"")</f>
        <v>102911</v>
      </c>
      <c r="E284" s="200" t="s">
        <v>904</v>
      </c>
      <c r="F284" s="199" t="str">
        <f>IFERROR(VLOOKUP(Tableau1[Nom],Tableau5[],COLUMN(Tableau5[Prénom]),FALSE),"")</f>
        <v>Christian</v>
      </c>
      <c r="G284" s="188" t="s">
        <v>9</v>
      </c>
      <c r="H284" s="188" t="s">
        <v>1323</v>
      </c>
      <c r="I284" s="201"/>
      <c r="J284" s="188" t="s">
        <v>1324</v>
      </c>
      <c r="K284" s="189">
        <v>7</v>
      </c>
      <c r="L284" s="190">
        <v>124</v>
      </c>
      <c r="M284" s="202" t="s">
        <v>5</v>
      </c>
      <c r="N284" s="203" t="s">
        <v>1444</v>
      </c>
      <c r="O284" s="202"/>
      <c r="P284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85" spans="1:16" x14ac:dyDescent="0.25">
      <c r="A285" s="197" t="str">
        <f>IFERROR(VLOOKUP(Tableau1[Nom],Tableau5[],COLUMN(Tableau5[Definition du costing : DVC ou non DVC]),FALSE),"")</f>
        <v>DVC</v>
      </c>
      <c r="B285" s="197" t="str">
        <f>IFERROR(VLOOKUP(Tableau1[Nom],Tableau5[],COLUMN(Tableau5[Nom de la société]),FALSE),"")</f>
        <v>Aub.</v>
      </c>
      <c r="C285" s="198" t="str">
        <f>IFERROR(VLOOKUP(Tableau1[Nom],Tableau5[],COLUMN(Tableau5[Nom du manager]),FALSE),"")</f>
        <v>SAVY</v>
      </c>
      <c r="D285" s="199">
        <f>IFERROR(VLOOKUP(Tableau1[Nom],Tableau5[],COLUMN(Tableau5[Matricule]),FALSE),"")</f>
        <v>102911</v>
      </c>
      <c r="E285" s="200" t="s">
        <v>904</v>
      </c>
      <c r="F285" s="199" t="str">
        <f>IFERROR(VLOOKUP(Tableau1[Nom],Tableau5[],COLUMN(Tableau5[Prénom]),FALSE),"")</f>
        <v>Christian</v>
      </c>
      <c r="G285" s="188" t="s">
        <v>9</v>
      </c>
      <c r="H285" s="188" t="s">
        <v>1326</v>
      </c>
      <c r="I285" s="201"/>
      <c r="J285" s="188" t="s">
        <v>1324</v>
      </c>
      <c r="K285" s="189">
        <v>1.5</v>
      </c>
      <c r="L285" s="190">
        <v>53</v>
      </c>
      <c r="M285" s="202" t="s">
        <v>5</v>
      </c>
      <c r="N285" s="203" t="s">
        <v>1444</v>
      </c>
      <c r="O285" s="202"/>
      <c r="P285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86" spans="1:16" x14ac:dyDescent="0.25">
      <c r="A286" s="197" t="str">
        <f>IFERROR(VLOOKUP(Tableau1[Nom],Tableau5[],COLUMN(Tableau5[Definition du costing : DVC ou non DVC]),FALSE),"")</f>
        <v>DVC</v>
      </c>
      <c r="B286" s="197" t="str">
        <f>IFERROR(VLOOKUP(Tableau1[Nom],Tableau5[],COLUMN(Tableau5[Nom de la société]),FALSE),"")</f>
        <v>Aub.</v>
      </c>
      <c r="C286" s="198" t="str">
        <f>IFERROR(VLOOKUP(Tableau1[Nom],Tableau5[],COLUMN(Tableau5[Nom du manager]),FALSE),"")</f>
        <v>SAVY</v>
      </c>
      <c r="D286" s="199">
        <f>IFERROR(VLOOKUP(Tableau1[Nom],Tableau5[],COLUMN(Tableau5[Matricule]),FALSE),"")</f>
        <v>102911</v>
      </c>
      <c r="E286" s="200" t="s">
        <v>904</v>
      </c>
      <c r="F286" s="199" t="str">
        <f>IFERROR(VLOOKUP(Tableau1[Nom],Tableau5[],COLUMN(Tableau5[Prénom]),FALSE),"")</f>
        <v>Christian</v>
      </c>
      <c r="G286" s="188" t="s">
        <v>9</v>
      </c>
      <c r="H286" s="188" t="s">
        <v>1333</v>
      </c>
      <c r="I286" s="201"/>
      <c r="J286" s="188" t="s">
        <v>1324</v>
      </c>
      <c r="K286" s="189">
        <v>7</v>
      </c>
      <c r="L286" s="190">
        <v>162</v>
      </c>
      <c r="M286" s="202" t="s">
        <v>5</v>
      </c>
      <c r="N286" s="203" t="s">
        <v>1444</v>
      </c>
      <c r="O286" s="202"/>
      <c r="P286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87" spans="1:16" x14ac:dyDescent="0.25">
      <c r="A287" s="197" t="str">
        <f>IFERROR(VLOOKUP(Tableau1[Nom],Tableau5[],COLUMN(Tableau5[Definition du costing : DVC ou non DVC]),FALSE),"")</f>
        <v>DVC</v>
      </c>
      <c r="B287" s="197" t="str">
        <f>IFERROR(VLOOKUP(Tableau1[Nom],Tableau5[],COLUMN(Tableau5[Nom de la société]),FALSE),"")</f>
        <v>Aub.</v>
      </c>
      <c r="C287" s="198" t="str">
        <f>IFERROR(VLOOKUP(Tableau1[Nom],Tableau5[],COLUMN(Tableau5[Nom du manager]),FALSE),"")</f>
        <v>SAVY</v>
      </c>
      <c r="D287" s="199">
        <f>IFERROR(VLOOKUP(Tableau1[Nom],Tableau5[],COLUMN(Tableau5[Matricule]),FALSE),"")</f>
        <v>102911</v>
      </c>
      <c r="E287" s="200" t="s">
        <v>904</v>
      </c>
      <c r="F287" s="199" t="str">
        <f>IFERROR(VLOOKUP(Tableau1[Nom],Tableau5[],COLUMN(Tableau5[Prénom]),FALSE),"")</f>
        <v>Christian</v>
      </c>
      <c r="G287" s="188" t="s">
        <v>9</v>
      </c>
      <c r="H287" s="188" t="s">
        <v>1338</v>
      </c>
      <c r="I287" s="201"/>
      <c r="J287" s="188" t="s">
        <v>1324</v>
      </c>
      <c r="K287" s="189">
        <v>14</v>
      </c>
      <c r="L287" s="190">
        <v>297</v>
      </c>
      <c r="M287" s="202" t="s">
        <v>5</v>
      </c>
      <c r="N287" s="203" t="s">
        <v>1444</v>
      </c>
      <c r="O287" s="202"/>
      <c r="P287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88" spans="1:16" x14ac:dyDescent="0.25">
      <c r="A288" s="197" t="str">
        <f>IFERROR(VLOOKUP(Tableau1[Nom],Tableau5[],COLUMN(Tableau5[Definition du costing : DVC ou non DVC]),FALSE),"")</f>
        <v>DVC</v>
      </c>
      <c r="B288" s="197" t="str">
        <f>IFERROR(VLOOKUP(Tableau1[Nom],Tableau5[],COLUMN(Tableau5[Nom de la société]),FALSE),"")</f>
        <v>STG</v>
      </c>
      <c r="C288" s="198" t="str">
        <f>IFERROR(VLOOKUP(Tableau1[Nom],Tableau5[],COLUMN(Tableau5[Nom du manager]),FALSE),"")</f>
        <v>XUEREB</v>
      </c>
      <c r="D288" s="199">
        <f>IFERROR(VLOOKUP(Tableau1[Nom],Tableau5[],COLUMN(Tableau5[Matricule]),FALSE),"")</f>
        <v>109706</v>
      </c>
      <c r="E288" s="192" t="s">
        <v>1258</v>
      </c>
      <c r="F288" s="199" t="str">
        <f>IFERROR(VLOOKUP(Tableau1[Nom],Tableau5[],COLUMN(Tableau5[Prénom]),FALSE),"")</f>
        <v>Steeve</v>
      </c>
      <c r="G288" s="188" t="s">
        <v>9</v>
      </c>
      <c r="H288" s="188" t="s">
        <v>1326</v>
      </c>
      <c r="I288" s="201"/>
      <c r="J288" s="188" t="s">
        <v>1324</v>
      </c>
      <c r="K288" s="189">
        <v>1.5</v>
      </c>
      <c r="L288" s="190">
        <v>53</v>
      </c>
      <c r="M288" s="202" t="s">
        <v>5</v>
      </c>
      <c r="N288" s="203" t="s">
        <v>1444</v>
      </c>
      <c r="O288" s="202"/>
      <c r="P28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289" spans="1:16" x14ac:dyDescent="0.25">
      <c r="A289" s="197" t="str">
        <f>IFERROR(VLOOKUP(Tableau1[Nom],Tableau5[],COLUMN(Tableau5[Definition du costing : DVC ou non DVC]),FALSE),"")</f>
        <v>DVC</v>
      </c>
      <c r="B289" s="197" t="str">
        <f>IFERROR(VLOOKUP(Tableau1[Nom],Tableau5[],COLUMN(Tableau5[Nom de la société]),FALSE),"")</f>
        <v>STG</v>
      </c>
      <c r="C289" s="198" t="str">
        <f>IFERROR(VLOOKUP(Tableau1[Nom],Tableau5[],COLUMN(Tableau5[Nom du manager]),FALSE),"")</f>
        <v>XUEREB</v>
      </c>
      <c r="D289" s="199">
        <f>IFERROR(VLOOKUP(Tableau1[Nom],Tableau5[],COLUMN(Tableau5[Matricule]),FALSE),"")</f>
        <v>109706</v>
      </c>
      <c r="E289" s="192" t="s">
        <v>1258</v>
      </c>
      <c r="F289" s="199" t="str">
        <f>IFERROR(VLOOKUP(Tableau1[Nom],Tableau5[],COLUMN(Tableau5[Prénom]),FALSE),"")</f>
        <v>Steeve</v>
      </c>
      <c r="G289" s="188" t="s">
        <v>9</v>
      </c>
      <c r="H289" s="188" t="s">
        <v>1333</v>
      </c>
      <c r="I289" s="201"/>
      <c r="J289" s="188" t="s">
        <v>1324</v>
      </c>
      <c r="K289" s="189">
        <v>7</v>
      </c>
      <c r="L289" s="190">
        <v>162</v>
      </c>
      <c r="M289" s="202" t="s">
        <v>5</v>
      </c>
      <c r="N289" s="203" t="s">
        <v>1444</v>
      </c>
      <c r="O289" s="202"/>
      <c r="P28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90" spans="1:16" x14ac:dyDescent="0.25">
      <c r="A290" s="197" t="str">
        <f>IFERROR(VLOOKUP(Tableau1[Nom],Tableau5[],COLUMN(Tableau5[Definition du costing : DVC ou non DVC]),FALSE),"")</f>
        <v>DVC</v>
      </c>
      <c r="B290" s="197" t="str">
        <f>IFERROR(VLOOKUP(Tableau1[Nom],Tableau5[],COLUMN(Tableau5[Nom de la société]),FALSE),"")</f>
        <v>STG</v>
      </c>
      <c r="C290" s="198" t="str">
        <f>IFERROR(VLOOKUP(Tableau1[Nom],Tableau5[],COLUMN(Tableau5[Nom du manager]),FALSE),"")</f>
        <v>XUEREB</v>
      </c>
      <c r="D290" s="199">
        <f>IFERROR(VLOOKUP(Tableau1[Nom],Tableau5[],COLUMN(Tableau5[Matricule]),FALSE),"")</f>
        <v>109706</v>
      </c>
      <c r="E290" s="192" t="s">
        <v>1258</v>
      </c>
      <c r="F290" s="199" t="str">
        <f>IFERROR(VLOOKUP(Tableau1[Nom],Tableau5[],COLUMN(Tableau5[Prénom]),FALSE),"")</f>
        <v>Steeve</v>
      </c>
      <c r="G290" s="188" t="s">
        <v>9</v>
      </c>
      <c r="H290" s="188" t="s">
        <v>1339</v>
      </c>
      <c r="I290" s="201"/>
      <c r="J290" s="188" t="s">
        <v>1324</v>
      </c>
      <c r="K290" s="189">
        <v>7</v>
      </c>
      <c r="L290" s="190">
        <v>165</v>
      </c>
      <c r="M290" s="202" t="s">
        <v>5</v>
      </c>
      <c r="N290" s="203" t="s">
        <v>1444</v>
      </c>
      <c r="O290" s="202"/>
      <c r="P29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91" spans="1:16" x14ac:dyDescent="0.25">
      <c r="A291" s="197" t="str">
        <f>IFERROR(VLOOKUP(Tableau1[Nom],Tableau5[],COLUMN(Tableau5[Definition du costing : DVC ou non DVC]),FALSE),"")</f>
        <v>DVC</v>
      </c>
      <c r="B291" s="197" t="str">
        <f>IFERROR(VLOOKUP(Tableau1[Nom],Tableau5[],COLUMN(Tableau5[Nom de la société]),FALSE),"")</f>
        <v>STG</v>
      </c>
      <c r="C291" s="198" t="str">
        <f>IFERROR(VLOOKUP(Tableau1[Nom],Tableau5[],COLUMN(Tableau5[Nom du manager]),FALSE),"")</f>
        <v>XUEREB</v>
      </c>
      <c r="D291" s="199">
        <f>IFERROR(VLOOKUP(Tableau1[Nom],Tableau5[],COLUMN(Tableau5[Matricule]),FALSE),"")</f>
        <v>109706</v>
      </c>
      <c r="E291" s="192" t="s">
        <v>1258</v>
      </c>
      <c r="F291" s="199" t="str">
        <f>IFERROR(VLOOKUP(Tableau1[Nom],Tableau5[],COLUMN(Tableau5[Prénom]),FALSE),"")</f>
        <v>Steeve</v>
      </c>
      <c r="G291" s="188" t="s">
        <v>9</v>
      </c>
      <c r="H291" s="188" t="s">
        <v>1346</v>
      </c>
      <c r="I291" s="201"/>
      <c r="J291" s="188" t="s">
        <v>1344</v>
      </c>
      <c r="K291" s="189">
        <v>10.5</v>
      </c>
      <c r="L291" s="190">
        <v>260</v>
      </c>
      <c r="M291" s="202" t="s">
        <v>5</v>
      </c>
      <c r="N291" s="203" t="s">
        <v>1444</v>
      </c>
      <c r="O291" s="202"/>
      <c r="P29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92" spans="1:16" x14ac:dyDescent="0.25">
      <c r="A292" s="197" t="str">
        <f>IFERROR(VLOOKUP(Tableau1[Nom],Tableau5[],COLUMN(Tableau5[Definition du costing : DVC ou non DVC]),FALSE),"")</f>
        <v>Non DVC</v>
      </c>
      <c r="B292" s="197" t="str">
        <f>IFERROR(VLOOKUP(Tableau1[Nom],Tableau5[],COLUMN(Tableau5[Nom de la société]),FALSE),"")</f>
        <v>Aub.</v>
      </c>
      <c r="C292" s="198" t="str">
        <f>IFERROR(VLOOKUP(Tableau1[Nom],Tableau5[],COLUMN(Tableau5[Nom du manager]),FALSE),"")</f>
        <v>PIFFAUT</v>
      </c>
      <c r="D292" s="199">
        <f>IFERROR(VLOOKUP(Tableau1[Nom],Tableau5[],COLUMN(Tableau5[Matricule]),FALSE),"")</f>
        <v>103008</v>
      </c>
      <c r="E292" s="200" t="s">
        <v>907</v>
      </c>
      <c r="F292" s="199" t="str">
        <f>IFERROR(VLOOKUP(Tableau1[Nom],Tableau5[],COLUMN(Tableau5[Prénom]),FALSE),"")</f>
        <v>Gilles</v>
      </c>
      <c r="G292" s="188" t="s">
        <v>9</v>
      </c>
      <c r="H292" s="188" t="s">
        <v>1326</v>
      </c>
      <c r="I292" s="201"/>
      <c r="J292" s="188" t="s">
        <v>1324</v>
      </c>
      <c r="K292" s="189">
        <v>1.5</v>
      </c>
      <c r="L292" s="190">
        <v>53</v>
      </c>
      <c r="M292" s="202" t="s">
        <v>5</v>
      </c>
      <c r="N292" s="203" t="s">
        <v>1444</v>
      </c>
      <c r="O292" s="202"/>
      <c r="P292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93" spans="1:16" x14ac:dyDescent="0.25">
      <c r="A293" s="197" t="str">
        <f>IFERROR(VLOOKUP(Tableau1[Nom],Tableau5[],COLUMN(Tableau5[Definition du costing : DVC ou non DVC]),FALSE),"")</f>
        <v>DVC</v>
      </c>
      <c r="B293" s="197" t="str">
        <f>IFERROR(VLOOKUP(Tableau1[Nom],Tableau5[],COLUMN(Tableau5[Nom de la société]),FALSE),"")</f>
        <v>Aub.</v>
      </c>
      <c r="C293" s="198" t="str">
        <f>IFERROR(VLOOKUP(Tableau1[Nom],Tableau5[],COLUMN(Tableau5[Nom du manager]),FALSE),"")</f>
        <v>SENEPART</v>
      </c>
      <c r="D293" s="199">
        <f>IFERROR(VLOOKUP(Tableau1[Nom],Tableau5[],COLUMN(Tableau5[Matricule]),FALSE),"")</f>
        <v>103000</v>
      </c>
      <c r="E293" s="200" t="s">
        <v>911</v>
      </c>
      <c r="F293" s="199" t="str">
        <f>IFERROR(VLOOKUP(Tableau1[Nom],Tableau5[],COLUMN(Tableau5[Prénom]),FALSE),"")</f>
        <v>Stephane</v>
      </c>
      <c r="G293" s="188" t="s">
        <v>9</v>
      </c>
      <c r="H293" s="188" t="s">
        <v>1326</v>
      </c>
      <c r="I293" s="201"/>
      <c r="J293" s="188" t="s">
        <v>1324</v>
      </c>
      <c r="K293" s="189">
        <v>1.5</v>
      </c>
      <c r="L293" s="190">
        <v>53</v>
      </c>
      <c r="M293" s="202" t="s">
        <v>5</v>
      </c>
      <c r="N293" s="203" t="s">
        <v>1444</v>
      </c>
      <c r="O293" s="202"/>
      <c r="P29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294" spans="1:16" x14ac:dyDescent="0.25">
      <c r="A294" s="197" t="str">
        <f>IFERROR(VLOOKUP(Tableau1[Nom],Tableau5[],COLUMN(Tableau5[Definition du costing : DVC ou non DVC]),FALSE),"")</f>
        <v>DVC</v>
      </c>
      <c r="B294" s="197" t="str">
        <f>IFERROR(VLOOKUP(Tableau1[Nom],Tableau5[],COLUMN(Tableau5[Nom de la société]),FALSE),"")</f>
        <v>Aub.</v>
      </c>
      <c r="C294" s="198" t="str">
        <f>IFERROR(VLOOKUP(Tableau1[Nom],Tableau5[],COLUMN(Tableau5[Nom du manager]),FALSE),"")</f>
        <v>SENEPART</v>
      </c>
      <c r="D294" s="199">
        <f>IFERROR(VLOOKUP(Tableau1[Nom],Tableau5[],COLUMN(Tableau5[Matricule]),FALSE),"")</f>
        <v>103000</v>
      </c>
      <c r="E294" s="200" t="s">
        <v>911</v>
      </c>
      <c r="F294" s="199" t="str">
        <f>IFERROR(VLOOKUP(Tableau1[Nom],Tableau5[],COLUMN(Tableau5[Prénom]),FALSE),"")</f>
        <v>Stephane</v>
      </c>
      <c r="G294" s="188" t="s">
        <v>9</v>
      </c>
      <c r="H294" s="188" t="s">
        <v>1340</v>
      </c>
      <c r="I294" s="201"/>
      <c r="J294" s="188" t="s">
        <v>1341</v>
      </c>
      <c r="K294" s="189">
        <v>7</v>
      </c>
      <c r="L294" s="190">
        <v>117</v>
      </c>
      <c r="M294" s="202" t="s">
        <v>5</v>
      </c>
      <c r="N294" s="203" t="s">
        <v>1444</v>
      </c>
      <c r="O294" s="202"/>
      <c r="P29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95" spans="1:16" x14ac:dyDescent="0.25">
      <c r="A295" s="197" t="str">
        <f>IFERROR(VLOOKUP(Tableau1[Nom],Tableau5[],COLUMN(Tableau5[Definition du costing : DVC ou non DVC]),FALSE),"")</f>
        <v>Non DVC</v>
      </c>
      <c r="B295" s="197" t="str">
        <f>IFERROR(VLOOKUP(Tableau1[Nom],Tableau5[],COLUMN(Tableau5[Nom de la société]),FALSE),"")</f>
        <v>STG</v>
      </c>
      <c r="C295" s="198" t="str">
        <f>IFERROR(VLOOKUP(Tableau1[Nom],Tableau5[],COLUMN(Tableau5[Nom du manager]),FALSE),"")</f>
        <v>FOUASSIER</v>
      </c>
      <c r="D295" s="199">
        <f>IFERROR(VLOOKUP(Tableau1[Nom],Tableau5[],COLUMN(Tableau5[Matricule]),FALSE),"")</f>
        <v>10524265</v>
      </c>
      <c r="E295" s="200" t="s">
        <v>1267</v>
      </c>
      <c r="F295" s="199" t="str">
        <f>IFERROR(VLOOKUP(Tableau1[Nom],Tableau5[],COLUMN(Tableau5[Prénom]),FALSE),"")</f>
        <v>Vincent</v>
      </c>
      <c r="G295" s="188" t="s">
        <v>9</v>
      </c>
      <c r="H295" s="188" t="s">
        <v>1326</v>
      </c>
      <c r="I295" s="201"/>
      <c r="J295" s="188" t="s">
        <v>1324</v>
      </c>
      <c r="K295" s="189">
        <v>1.5</v>
      </c>
      <c r="L295" s="190">
        <v>53</v>
      </c>
      <c r="M295" s="202" t="s">
        <v>5</v>
      </c>
      <c r="N295" s="203" t="s">
        <v>1444</v>
      </c>
      <c r="O295" s="202"/>
      <c r="P295" s="288">
        <f>IFERROR(INDEX(Tableau2[],MATCH(Tableau1[[#This Row],[Nom]]&amp;Tableau1[[#This Row],[Intitulé]],INDEX(Tableau2[],,COLUMN(Tableau2[Clé Recherche])),0),COLUMN(Tableau2[Calendrier de réalisation])),"")</f>
        <v>0</v>
      </c>
    </row>
    <row r="296" spans="1:16" x14ac:dyDescent="0.25">
      <c r="A296" s="191" t="str">
        <f>IFERROR(VLOOKUP(Tableau1[Nom],Tableau5[],COLUMN(Tableau5[Definition du costing : DVC ou non DVC]),FALSE),"")</f>
        <v>DVC</v>
      </c>
      <c r="B296" s="197" t="str">
        <f>IFERROR(VLOOKUP(Tableau1[Nom],Tableau5[],COLUMN(Tableau5[Nom de la société]),FALSE),"")</f>
        <v>STG</v>
      </c>
      <c r="C296" s="198" t="str">
        <f>IFERROR(VLOOKUP(Tableau1[Nom],Tableau5[],COLUMN(Tableau5[Nom du manager]),FALSE),"")</f>
        <v>XUEREB</v>
      </c>
      <c r="D296" s="199">
        <f>IFERROR(VLOOKUP(Tableau1[Nom],Tableau5[],COLUMN(Tableau5[Matricule]),FALSE),"")</f>
        <v>10559265</v>
      </c>
      <c r="E296" s="192" t="s">
        <v>1273</v>
      </c>
      <c r="F296" s="199" t="str">
        <f>IFERROR(VLOOKUP(Tableau1[Nom],Tableau5[],COLUMN(Tableau5[Prénom]),FALSE),"")</f>
        <v>Jonathan</v>
      </c>
      <c r="G296" s="188" t="s">
        <v>9</v>
      </c>
      <c r="H296" s="188" t="s">
        <v>1323</v>
      </c>
      <c r="I296" s="193"/>
      <c r="J296" s="188" t="s">
        <v>1324</v>
      </c>
      <c r="K296" s="189">
        <v>7</v>
      </c>
      <c r="L296" s="190">
        <v>124</v>
      </c>
      <c r="M296" s="202" t="s">
        <v>5</v>
      </c>
      <c r="N296" s="203" t="s">
        <v>1444</v>
      </c>
      <c r="O296" s="196"/>
      <c r="P296" s="290">
        <f>IFERROR(INDEX(Tableau2[],MATCH(Tableau1[[#This Row],[Nom]]&amp;Tableau1[[#This Row],[Intitulé]],INDEX(Tableau2[],,COLUMN(Tableau2[Clé Recherche])),0),COLUMN(Tableau2[Calendrier de réalisation])),"")</f>
        <v>0</v>
      </c>
    </row>
    <row r="297" spans="1:16" x14ac:dyDescent="0.25">
      <c r="A297" s="197" t="str">
        <f>IFERROR(VLOOKUP(Tableau1[Nom],Tableau5[],COLUMN(Tableau5[Definition du costing : DVC ou non DVC]),FALSE),"")</f>
        <v>DVC</v>
      </c>
      <c r="B297" s="197" t="str">
        <f>IFERROR(VLOOKUP(Tableau1[Nom],Tableau5[],COLUMN(Tableau5[Nom de la société]),FALSE),"")</f>
        <v>STG</v>
      </c>
      <c r="C297" s="198" t="str">
        <f>IFERROR(VLOOKUP(Tableau1[Nom],Tableau5[],COLUMN(Tableau5[Nom du manager]),FALSE),"")</f>
        <v>XUEREB</v>
      </c>
      <c r="D297" s="199">
        <f>IFERROR(VLOOKUP(Tableau1[Nom],Tableau5[],COLUMN(Tableau5[Matricule]),FALSE),"")</f>
        <v>10559265</v>
      </c>
      <c r="E297" s="200" t="s">
        <v>1273</v>
      </c>
      <c r="F297" s="199" t="str">
        <f>IFERROR(VLOOKUP(Tableau1[Nom],Tableau5[],COLUMN(Tableau5[Prénom]),FALSE),"")</f>
        <v>Jonathan</v>
      </c>
      <c r="G297" s="188" t="s">
        <v>9</v>
      </c>
      <c r="H297" s="188" t="s">
        <v>1326</v>
      </c>
      <c r="I297" s="201"/>
      <c r="J297" s="188" t="s">
        <v>1324</v>
      </c>
      <c r="K297" s="189">
        <v>1.5</v>
      </c>
      <c r="L297" s="190">
        <v>53</v>
      </c>
      <c r="M297" s="202" t="s">
        <v>5</v>
      </c>
      <c r="N297" s="203" t="s">
        <v>1444</v>
      </c>
      <c r="O297" s="202"/>
      <c r="P297" s="288">
        <f>IFERROR(INDEX(Tableau2[],MATCH(Tableau1[[#This Row],[Nom]]&amp;Tableau1[[#This Row],[Intitulé]],INDEX(Tableau2[],,COLUMN(Tableau2[Clé Recherche])),0),COLUMN(Tableau2[Calendrier de réalisation])),"")</f>
        <v>0</v>
      </c>
    </row>
    <row r="298" spans="1:16" x14ac:dyDescent="0.25">
      <c r="A298" s="197" t="str">
        <f>IFERROR(VLOOKUP(Tableau1[Nom],Tableau5[],COLUMN(Tableau5[Definition du costing : DVC ou non DVC]),FALSE),"")</f>
        <v>Non DVC</v>
      </c>
      <c r="B298" s="197" t="str">
        <f>IFERROR(VLOOKUP(Tableau1[Nom],Tableau5[],COLUMN(Tableau5[Nom de la société]),FALSE),"")</f>
        <v>Aub.</v>
      </c>
      <c r="C298" s="198" t="str">
        <f>IFERROR(VLOOKUP(Tableau1[Nom],Tableau5[],COLUMN(Tableau5[Nom du manager]),FALSE),"")</f>
        <v>RICCARDI</v>
      </c>
      <c r="D298" s="199">
        <f>IFERROR(VLOOKUP(Tableau1[Nom],Tableau5[],COLUMN(Tableau5[Matricule]),FALSE),"")</f>
        <v>103065</v>
      </c>
      <c r="E298" s="192" t="s">
        <v>1328</v>
      </c>
      <c r="F298" s="199" t="str">
        <f>IFERROR(VLOOKUP(Tableau1[Nom],Tableau5[],COLUMN(Tableau5[Prénom]),FALSE),"")</f>
        <v>Sylvie</v>
      </c>
      <c r="G298" s="188" t="s">
        <v>9</v>
      </c>
      <c r="H298" s="188" t="s">
        <v>1323</v>
      </c>
      <c r="I298" s="201"/>
      <c r="J298" s="188" t="s">
        <v>1324</v>
      </c>
      <c r="K298" s="189">
        <v>7</v>
      </c>
      <c r="L298" s="190">
        <v>124</v>
      </c>
      <c r="M298" s="202" t="s">
        <v>5</v>
      </c>
      <c r="N298" s="203" t="s">
        <v>1444</v>
      </c>
      <c r="O298" s="202"/>
      <c r="P298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299" spans="1:16" x14ac:dyDescent="0.25">
      <c r="A299" s="197" t="str">
        <f>IFERROR(VLOOKUP(Tableau1[Nom],Tableau5[],COLUMN(Tableau5[Definition du costing : DVC ou non DVC]),FALSE),"")</f>
        <v>Non DVC</v>
      </c>
      <c r="B299" s="197" t="str">
        <f>IFERROR(VLOOKUP(Tableau1[Nom],Tableau5[],COLUMN(Tableau5[Nom de la société]),FALSE),"")</f>
        <v>Aub.</v>
      </c>
      <c r="C299" s="198" t="str">
        <f>IFERROR(VLOOKUP(Tableau1[Nom],Tableau5[],COLUMN(Tableau5[Nom du manager]),FALSE),"")</f>
        <v>RICCARDI</v>
      </c>
      <c r="D299" s="199">
        <f>IFERROR(VLOOKUP(Tableau1[Nom],Tableau5[],COLUMN(Tableau5[Matricule]),FALSE),"")</f>
        <v>103065</v>
      </c>
      <c r="E299" s="192" t="s">
        <v>1328</v>
      </c>
      <c r="F299" s="199" t="str">
        <f>IFERROR(VLOOKUP(Tableau1[Nom],Tableau5[],COLUMN(Tableau5[Prénom]),FALSE),"")</f>
        <v>Sylvie</v>
      </c>
      <c r="G299" s="188" t="s">
        <v>9</v>
      </c>
      <c r="H299" s="188" t="s">
        <v>1326</v>
      </c>
      <c r="I299" s="201"/>
      <c r="J299" s="188" t="s">
        <v>1324</v>
      </c>
      <c r="K299" s="189">
        <v>1.5</v>
      </c>
      <c r="L299" s="190">
        <v>53</v>
      </c>
      <c r="M299" s="202" t="s">
        <v>5</v>
      </c>
      <c r="N299" s="203" t="s">
        <v>1444</v>
      </c>
      <c r="O299" s="202"/>
      <c r="P299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300" spans="1:16" x14ac:dyDescent="0.25">
      <c r="A300" s="197" t="str">
        <f>IFERROR(VLOOKUP(Tableau1[Nom],Tableau5[],COLUMN(Tableau5[Definition du costing : DVC ou non DVC]),FALSE),"")</f>
        <v>Non DVC</v>
      </c>
      <c r="B300" s="197" t="str">
        <f>IFERROR(VLOOKUP(Tableau1[Nom],Tableau5[],COLUMN(Tableau5[Nom de la société]),FALSE),"")</f>
        <v>Aub.</v>
      </c>
      <c r="C300" s="198" t="str">
        <f>IFERROR(VLOOKUP(Tableau1[Nom],Tableau5[],COLUMN(Tableau5[Nom du manager]),FALSE),"")</f>
        <v>RICCARDI</v>
      </c>
      <c r="D300" s="199">
        <f>IFERROR(VLOOKUP(Tableau1[Nom],Tableau5[],COLUMN(Tableau5[Matricule]),FALSE),"")</f>
        <v>103065</v>
      </c>
      <c r="E300" s="200" t="s">
        <v>1328</v>
      </c>
      <c r="F300" s="199" t="str">
        <f>IFERROR(VLOOKUP(Tableau1[Nom],Tableau5[],COLUMN(Tableau5[Prénom]),FALSE),"")</f>
        <v>Sylvie</v>
      </c>
      <c r="G300" s="188" t="s">
        <v>9</v>
      </c>
      <c r="H300" s="188" t="s">
        <v>1340</v>
      </c>
      <c r="I300" s="201"/>
      <c r="J300" s="188" t="s">
        <v>1341</v>
      </c>
      <c r="K300" s="189">
        <v>7</v>
      </c>
      <c r="L300" s="190">
        <v>117</v>
      </c>
      <c r="M300" s="202" t="s">
        <v>5</v>
      </c>
      <c r="N300" s="203" t="s">
        <v>1444</v>
      </c>
      <c r="O300" s="202"/>
      <c r="P300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01" spans="1:16" x14ac:dyDescent="0.25">
      <c r="A301" s="197" t="str">
        <f>IFERROR(VLOOKUP(Tableau1[Nom],Tableau5[],COLUMN(Tableau5[Definition du costing : DVC ou non DVC]),FALSE),"")</f>
        <v>DVC</v>
      </c>
      <c r="B301" s="197" t="str">
        <f>IFERROR(VLOOKUP(Tableau1[Nom],Tableau5[],COLUMN(Tableau5[Nom de la société]),FALSE),"")</f>
        <v>Aub.</v>
      </c>
      <c r="C301" s="198" t="str">
        <f>IFERROR(VLOOKUP(Tableau1[Nom],Tableau5[],COLUMN(Tableau5[Nom du manager]),FALSE),"")</f>
        <v>ALIX</v>
      </c>
      <c r="D301" s="199">
        <f>IFERROR(VLOOKUP(Tableau1[Nom],Tableau5[],COLUMN(Tableau5[Matricule]),FALSE),"")</f>
        <v>102889</v>
      </c>
      <c r="E301" s="200" t="s">
        <v>1067</v>
      </c>
      <c r="F301" s="199" t="str">
        <f>IFERROR(VLOOKUP(Tableau1[Nom],Tableau5[],COLUMN(Tableau5[Prénom]),FALSE),"")</f>
        <v>Lydia</v>
      </c>
      <c r="G301" s="188" t="s">
        <v>9</v>
      </c>
      <c r="H301" s="188" t="s">
        <v>1340</v>
      </c>
      <c r="I301" s="201"/>
      <c r="J301" s="188" t="s">
        <v>1341</v>
      </c>
      <c r="K301" s="189">
        <v>7</v>
      </c>
      <c r="L301" s="190">
        <v>117</v>
      </c>
      <c r="M301" s="202" t="s">
        <v>5</v>
      </c>
      <c r="N301" s="203" t="s">
        <v>1444</v>
      </c>
      <c r="O301" s="202"/>
      <c r="P301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02" spans="1:16" x14ac:dyDescent="0.25">
      <c r="A302" s="197" t="str">
        <f>IFERROR(VLOOKUP(Tableau1[Nom],Tableau5[],COLUMN(Tableau5[Definition du costing : DVC ou non DVC]),FALSE),"")</f>
        <v>DVC</v>
      </c>
      <c r="B302" s="197" t="str">
        <f>IFERROR(VLOOKUP(Tableau1[Nom],Tableau5[],COLUMN(Tableau5[Nom de la société]),FALSE),"")</f>
        <v>STG</v>
      </c>
      <c r="C302" s="198" t="str">
        <f>IFERROR(VLOOKUP(Tableau1[Nom],Tableau5[],COLUMN(Tableau5[Nom du manager]),FALSE),"")</f>
        <v>FOUASSIER</v>
      </c>
      <c r="D302" s="199">
        <f>IFERROR(VLOOKUP(Tableau1[Nom],Tableau5[],COLUMN(Tableau5[Matricule]),FALSE),"")</f>
        <v>136680</v>
      </c>
      <c r="E302" s="200" t="s">
        <v>1276</v>
      </c>
      <c r="F302" s="199" t="str">
        <f>IFERROR(VLOOKUP(Tableau1[Nom],Tableau5[],COLUMN(Tableau5[Prénom]),FALSE),"")</f>
        <v>Patrick</v>
      </c>
      <c r="G302" s="188" t="s">
        <v>9</v>
      </c>
      <c r="H302" s="188" t="s">
        <v>1326</v>
      </c>
      <c r="I302" s="201"/>
      <c r="J302" s="188" t="s">
        <v>1324</v>
      </c>
      <c r="K302" s="189">
        <v>1.5</v>
      </c>
      <c r="L302" s="190">
        <v>53</v>
      </c>
      <c r="M302" s="202" t="s">
        <v>5</v>
      </c>
      <c r="N302" s="203" t="s">
        <v>1444</v>
      </c>
      <c r="O302" s="202"/>
      <c r="P302" s="288">
        <f>IFERROR(INDEX(Tableau2[],MATCH(Tableau1[[#This Row],[Nom]]&amp;Tableau1[[#This Row],[Intitulé]],INDEX(Tableau2[],,COLUMN(Tableau2[Clé Recherche])),0),COLUMN(Tableau2[Calendrier de réalisation])),"")</f>
        <v>0</v>
      </c>
    </row>
    <row r="303" spans="1:16" x14ac:dyDescent="0.25">
      <c r="A303" s="197" t="str">
        <f>IFERROR(VLOOKUP(Tableau1[Nom],Tableau5[],COLUMN(Tableau5[Definition du costing : DVC ou non DVC]),FALSE),"")</f>
        <v>DVC</v>
      </c>
      <c r="B303" s="197" t="str">
        <f>IFERROR(VLOOKUP(Tableau1[Nom],Tableau5[],COLUMN(Tableau5[Nom de la société]),FALSE),"")</f>
        <v>Aub.</v>
      </c>
      <c r="C303" s="198" t="str">
        <f>IFERROR(VLOOKUP(Tableau1[Nom],Tableau5[],COLUMN(Tableau5[Nom du manager]),FALSE),"")</f>
        <v>ALIX</v>
      </c>
      <c r="D303" s="199">
        <f>IFERROR(VLOOKUP(Tableau1[Nom],Tableau5[],COLUMN(Tableau5[Matricule]),FALSE),"")</f>
        <v>102964</v>
      </c>
      <c r="E303" s="200" t="s">
        <v>1227</v>
      </c>
      <c r="F303" s="199" t="str">
        <f>IFERROR(VLOOKUP(Tableau1[Nom],Tableau5[],COLUMN(Tableau5[Prénom]),FALSE),"")</f>
        <v>Bruno</v>
      </c>
      <c r="G303" s="188" t="s">
        <v>9</v>
      </c>
      <c r="H303" s="188" t="s">
        <v>1326</v>
      </c>
      <c r="I303" s="201"/>
      <c r="J303" s="188" t="s">
        <v>1324</v>
      </c>
      <c r="K303" s="189">
        <v>1.5</v>
      </c>
      <c r="L303" s="190">
        <v>53</v>
      </c>
      <c r="M303" s="202" t="s">
        <v>5</v>
      </c>
      <c r="N303" s="203" t="s">
        <v>1444</v>
      </c>
      <c r="O303" s="202"/>
      <c r="P303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304" spans="1:16" x14ac:dyDescent="0.25">
      <c r="A304" s="197" t="str">
        <f>IFERROR(VLOOKUP(Tableau1[Nom],Tableau5[],COLUMN(Tableau5[Definition du costing : DVC ou non DVC]),FALSE),"")</f>
        <v>DVC</v>
      </c>
      <c r="B304" s="197" t="str">
        <f>IFERROR(VLOOKUP(Tableau1[Nom],Tableau5[],COLUMN(Tableau5[Nom de la société]),FALSE),"")</f>
        <v>Aub.</v>
      </c>
      <c r="C304" s="198" t="str">
        <f>IFERROR(VLOOKUP(Tableau1[Nom],Tableau5[],COLUMN(Tableau5[Nom du manager]),FALSE),"")</f>
        <v>ALIX</v>
      </c>
      <c r="D304" s="199">
        <f>IFERROR(VLOOKUP(Tableau1[Nom],Tableau5[],COLUMN(Tableau5[Matricule]),FALSE),"")</f>
        <v>102964</v>
      </c>
      <c r="E304" s="200" t="s">
        <v>1227</v>
      </c>
      <c r="F304" s="199" t="str">
        <f>IFERROR(VLOOKUP(Tableau1[Nom],Tableau5[],COLUMN(Tableau5[Prénom]),FALSE),"")</f>
        <v>Bruno</v>
      </c>
      <c r="G304" s="188" t="s">
        <v>9</v>
      </c>
      <c r="H304" s="188" t="s">
        <v>1340</v>
      </c>
      <c r="I304" s="201"/>
      <c r="J304" s="188" t="s">
        <v>1341</v>
      </c>
      <c r="K304" s="189">
        <v>7</v>
      </c>
      <c r="L304" s="190">
        <v>117</v>
      </c>
      <c r="M304" s="202" t="s">
        <v>5</v>
      </c>
      <c r="N304" s="203" t="s">
        <v>1444</v>
      </c>
      <c r="O304" s="202"/>
      <c r="P304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05" spans="1:16" x14ac:dyDescent="0.25">
      <c r="A305" s="191" t="str">
        <f>IFERROR(VLOOKUP(Tableau1[Nom],Tableau5[],COLUMN(Tableau5[Definition du costing : DVC ou non DVC]),FALSE),"")</f>
        <v>DVC</v>
      </c>
      <c r="B305" s="197" t="str">
        <f>IFERROR(VLOOKUP(Tableau1[Nom],Tableau5[],COLUMN(Tableau5[Nom de la société]),FALSE),"")</f>
        <v>STG</v>
      </c>
      <c r="C305" s="198" t="str">
        <f>IFERROR(VLOOKUP(Tableau1[Nom],Tableau5[],COLUMN(Tableau5[Nom du manager]),FALSE),"")</f>
        <v>XUEREB</v>
      </c>
      <c r="D305" s="199">
        <f>IFERROR(VLOOKUP(Tableau1[Nom],Tableau5[],COLUMN(Tableau5[Matricule]),FALSE),"")</f>
        <v>10555320</v>
      </c>
      <c r="E305" s="187" t="s">
        <v>1280</v>
      </c>
      <c r="F305" s="199" t="str">
        <f>IFERROR(VLOOKUP(Tableau1[Nom],Tableau5[],COLUMN(Tableau5[Prénom]),FALSE),"")</f>
        <v>Michael</v>
      </c>
      <c r="G305" s="188" t="s">
        <v>9</v>
      </c>
      <c r="H305" s="188" t="s">
        <v>1323</v>
      </c>
      <c r="I305" s="189"/>
      <c r="J305" s="188" t="s">
        <v>1324</v>
      </c>
      <c r="K305" s="189">
        <v>7</v>
      </c>
      <c r="L305" s="190">
        <v>124</v>
      </c>
      <c r="M305" s="202" t="s">
        <v>5</v>
      </c>
      <c r="N305" s="203" t="s">
        <v>1444</v>
      </c>
      <c r="O305" s="195"/>
      <c r="P305" s="289">
        <f>IFERROR(INDEX(Tableau2[],MATCH(Tableau1[[#This Row],[Nom]]&amp;Tableau1[[#This Row],[Intitulé]],INDEX(Tableau2[],,COLUMN(Tableau2[Clé Recherche])),0),COLUMN(Tableau2[Calendrier de réalisation])),"")</f>
        <v>0</v>
      </c>
    </row>
    <row r="306" spans="1:16" x14ac:dyDescent="0.25">
      <c r="A306" s="197" t="str">
        <f>IFERROR(VLOOKUP(Tableau1[Nom],Tableau5[],COLUMN(Tableau5[Definition du costing : DVC ou non DVC]),FALSE),"")</f>
        <v>DVC</v>
      </c>
      <c r="B306" s="197" t="str">
        <f>IFERROR(VLOOKUP(Tableau1[Nom],Tableau5[],COLUMN(Tableau5[Nom de la société]),FALSE),"")</f>
        <v>Lattes</v>
      </c>
      <c r="C306" s="198" t="str">
        <f>IFERROR(VLOOKUP(Tableau1[Nom],Tableau5[],COLUMN(Tableau5[Nom du manager]),FALSE),"")</f>
        <v>VERNE</v>
      </c>
      <c r="D306" s="199">
        <f>IFERROR(VLOOKUP(Tableau1[Nom],Tableau5[],COLUMN(Tableau5[Matricule]),FALSE),"")</f>
        <v>191532</v>
      </c>
      <c r="E306" s="200" t="s">
        <v>1096</v>
      </c>
      <c r="F306" s="199" t="str">
        <f>IFERROR(VLOOKUP(Tableau1[Nom],Tableau5[],COLUMN(Tableau5[Prénom]),FALSE),"")</f>
        <v>Olivier</v>
      </c>
      <c r="G306" s="188" t="s">
        <v>9</v>
      </c>
      <c r="H306" s="188" t="s">
        <v>1323</v>
      </c>
      <c r="I306" s="201"/>
      <c r="J306" s="188" t="s">
        <v>1324</v>
      </c>
      <c r="K306" s="189">
        <v>7</v>
      </c>
      <c r="L306" s="190">
        <v>124</v>
      </c>
      <c r="M306" s="202" t="s">
        <v>5</v>
      </c>
      <c r="N306" s="203" t="s">
        <v>1444</v>
      </c>
      <c r="O306" s="202"/>
      <c r="P306" s="288" t="str">
        <f>IFERROR(INDEX(Tableau2[],MATCH(Tableau1[[#This Row],[Nom]]&amp;Tableau1[[#This Row],[Intitulé]],INDEX(Tableau2[],,COLUMN(Tableau2[Clé Recherche])),0),COLUMN(Tableau2[Calendrier de réalisation])),"")</f>
        <v>2019-Q3</v>
      </c>
    </row>
    <row r="307" spans="1:16" x14ac:dyDescent="0.25">
      <c r="A307" s="197" t="str">
        <f>IFERROR(VLOOKUP(Tableau1[Nom],Tableau5[],COLUMN(Tableau5[Definition du costing : DVC ou non DVC]),FALSE),"")</f>
        <v>Non DVC</v>
      </c>
      <c r="B307" s="197" t="str">
        <f>IFERROR(VLOOKUP(Tableau1[Nom],Tableau5[],COLUMN(Tableau5[Nom de la société]),FALSE),"")</f>
        <v>Lattes</v>
      </c>
      <c r="C307" s="198" t="str">
        <f>IFERROR(VLOOKUP(Tableau1[Nom],Tableau5[],COLUMN(Tableau5[Nom du manager]),FALSE),"")</f>
        <v>CHATAIGNER</v>
      </c>
      <c r="D307" s="199">
        <f>IFERROR(VLOOKUP(Tableau1[Nom],Tableau5[],COLUMN(Tableau5[Matricule]),FALSE),"")</f>
        <v>136713</v>
      </c>
      <c r="E307" s="192" t="s">
        <v>326</v>
      </c>
      <c r="F307" s="199" t="str">
        <f>IFERROR(VLOOKUP(Tableau1[Nom],Tableau5[],COLUMN(Tableau5[Prénom]),FALSE),"")</f>
        <v>Patrick</v>
      </c>
      <c r="G307" s="188" t="s">
        <v>9</v>
      </c>
      <c r="H307" s="188" t="s">
        <v>1342</v>
      </c>
      <c r="I307" s="201"/>
      <c r="J307" s="188" t="s">
        <v>1324</v>
      </c>
      <c r="K307" s="189">
        <v>3.5</v>
      </c>
      <c r="L307" s="190">
        <v>351</v>
      </c>
      <c r="M307" s="202" t="s">
        <v>5</v>
      </c>
      <c r="N307" s="203" t="s">
        <v>1444</v>
      </c>
      <c r="O307" s="202"/>
      <c r="P307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08" spans="1:16" x14ac:dyDescent="0.25">
      <c r="A308" s="197" t="str">
        <f>IFERROR(VLOOKUP(Tableau1[Nom],Tableau5[],COLUMN(Tableau5[Definition du costing : DVC ou non DVC]),FALSE),"")</f>
        <v>Non DVC</v>
      </c>
      <c r="B308" s="197" t="str">
        <f>IFERROR(VLOOKUP(Tableau1[Nom],Tableau5[],COLUMN(Tableau5[Nom de la société]),FALSE),"")</f>
        <v>Aub.</v>
      </c>
      <c r="C308" s="198" t="str">
        <f>IFERROR(VLOOKUP(Tableau1[Nom],Tableau5[],COLUMN(Tableau5[Nom du manager]),FALSE),"")</f>
        <v>RICCARDI</v>
      </c>
      <c r="D308" s="199">
        <f>IFERROR(VLOOKUP(Tableau1[Nom],Tableau5[],COLUMN(Tableau5[Matricule]),FALSE),"")</f>
        <v>103031</v>
      </c>
      <c r="E308" s="192" t="s">
        <v>1332</v>
      </c>
      <c r="F308" s="199" t="str">
        <f>IFERROR(VLOOKUP(Tableau1[Nom],Tableau5[],COLUMN(Tableau5[Prénom]),FALSE),"")</f>
        <v>David</v>
      </c>
      <c r="G308" s="188" t="s">
        <v>9</v>
      </c>
      <c r="H308" s="188" t="s">
        <v>1326</v>
      </c>
      <c r="I308" s="201"/>
      <c r="J308" s="188" t="s">
        <v>1324</v>
      </c>
      <c r="K308" s="189">
        <v>1.5</v>
      </c>
      <c r="L308" s="190">
        <v>53</v>
      </c>
      <c r="M308" s="202" t="s">
        <v>5</v>
      </c>
      <c r="N308" s="203" t="s">
        <v>1444</v>
      </c>
      <c r="O308" s="202"/>
      <c r="P308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09" spans="1:16" x14ac:dyDescent="0.25">
      <c r="A309" s="197" t="str">
        <f>IFERROR(VLOOKUP(Tableau1[Nom],Tableau5[],COLUMN(Tableau5[Definition du costing : DVC ou non DVC]),FALSE),"")</f>
        <v>DVC</v>
      </c>
      <c r="B309" s="197" t="str">
        <f>IFERROR(VLOOKUP(Tableau1[Nom],Tableau5[],COLUMN(Tableau5[Nom de la société]),FALSE),"")</f>
        <v>Aub.</v>
      </c>
      <c r="C309" s="198" t="str">
        <f>IFERROR(VLOOKUP(Tableau1[Nom],Tableau5[],COLUMN(Tableau5[Nom du manager]),FALSE),"")</f>
        <v>SAVY</v>
      </c>
      <c r="D309" s="199">
        <f>IFERROR(VLOOKUP(Tableau1[Nom],Tableau5[],COLUMN(Tableau5[Matricule]),FALSE),"")</f>
        <v>102890</v>
      </c>
      <c r="E309" s="200" t="s">
        <v>1331</v>
      </c>
      <c r="F309" s="199" t="str">
        <f>IFERROR(VLOOKUP(Tableau1[Nom],Tableau5[],COLUMN(Tableau5[Prénom]),FALSE),"")</f>
        <v>David</v>
      </c>
      <c r="G309" s="188" t="s">
        <v>9</v>
      </c>
      <c r="H309" s="188" t="s">
        <v>1340</v>
      </c>
      <c r="I309" s="201"/>
      <c r="J309" s="188" t="s">
        <v>1341</v>
      </c>
      <c r="K309" s="189">
        <v>7</v>
      </c>
      <c r="L309" s="190">
        <v>117</v>
      </c>
      <c r="M309" s="202" t="s">
        <v>5</v>
      </c>
      <c r="N309" s="203" t="s">
        <v>1444</v>
      </c>
      <c r="O309" s="202"/>
      <c r="P309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10" spans="1:16" x14ac:dyDescent="0.25">
      <c r="A310" s="197" t="str">
        <f>IFERROR(VLOOKUP(Tableau1[Nom],Tableau5[],COLUMN(Tableau5[Definition du costing : DVC ou non DVC]),FALSE),"")</f>
        <v>DVC</v>
      </c>
      <c r="B310" s="197" t="str">
        <f>IFERROR(VLOOKUP(Tableau1[Nom],Tableau5[],COLUMN(Tableau5[Nom de la société]),FALSE),"")</f>
        <v>STG</v>
      </c>
      <c r="C310" s="198" t="str">
        <f>IFERROR(VLOOKUP(Tableau1[Nom],Tableau5[],COLUMN(Tableau5[Nom du manager]),FALSE),"")</f>
        <v>XUEREB</v>
      </c>
      <c r="D310" s="199">
        <f>IFERROR(VLOOKUP(Tableau1[Nom],Tableau5[],COLUMN(Tableau5[Matricule]),FALSE),"")</f>
        <v>330483</v>
      </c>
      <c r="E310" s="200" t="s">
        <v>1284</v>
      </c>
      <c r="F310" s="199" t="str">
        <f>IFERROR(VLOOKUP(Tableau1[Nom],Tableau5[],COLUMN(Tableau5[Prénom]),FALSE),"")</f>
        <v>Frederic</v>
      </c>
      <c r="G310" s="188" t="s">
        <v>9</v>
      </c>
      <c r="H310" s="188" t="s">
        <v>1326</v>
      </c>
      <c r="I310" s="201"/>
      <c r="J310" s="188" t="s">
        <v>1324</v>
      </c>
      <c r="K310" s="189">
        <v>1.5</v>
      </c>
      <c r="L310" s="190">
        <v>53</v>
      </c>
      <c r="M310" s="202" t="s">
        <v>5</v>
      </c>
      <c r="N310" s="203" t="s">
        <v>1444</v>
      </c>
      <c r="O310" s="202"/>
      <c r="P310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311" spans="1:16" x14ac:dyDescent="0.25">
      <c r="A311" s="197" t="str">
        <f>IFERROR(VLOOKUP(Tableau1[Nom],Tableau5[],COLUMN(Tableau5[Definition du costing : DVC ou non DVC]),FALSE),"")</f>
        <v>DVC</v>
      </c>
      <c r="B311" s="197" t="str">
        <f>IFERROR(VLOOKUP(Tableau1[Nom],Tableau5[],COLUMN(Tableau5[Nom de la société]),FALSE),"")</f>
        <v>STG</v>
      </c>
      <c r="C311" s="198" t="str">
        <f>IFERROR(VLOOKUP(Tableau1[Nom],Tableau5[],COLUMN(Tableau5[Nom du manager]),FALSE),"")</f>
        <v>XUEREB</v>
      </c>
      <c r="D311" s="199">
        <f>IFERROR(VLOOKUP(Tableau1[Nom],Tableau5[],COLUMN(Tableau5[Matricule]),FALSE),"")</f>
        <v>330483</v>
      </c>
      <c r="E311" s="200" t="s">
        <v>1284</v>
      </c>
      <c r="F311" s="199" t="str">
        <f>IFERROR(VLOOKUP(Tableau1[Nom],Tableau5[],COLUMN(Tableau5[Prénom]),FALSE),"")</f>
        <v>Frederic</v>
      </c>
      <c r="G311" s="188" t="s">
        <v>9</v>
      </c>
      <c r="H311" s="188" t="s">
        <v>1333</v>
      </c>
      <c r="I311" s="201"/>
      <c r="J311" s="188" t="s">
        <v>1324</v>
      </c>
      <c r="K311" s="189">
        <v>7</v>
      </c>
      <c r="L311" s="190">
        <v>162</v>
      </c>
      <c r="M311" s="202" t="s">
        <v>5</v>
      </c>
      <c r="N311" s="203" t="s">
        <v>1444</v>
      </c>
      <c r="O311" s="202"/>
      <c r="P311" s="288">
        <f>IFERROR(INDEX(Tableau2[],MATCH(Tableau1[[#This Row],[Nom]]&amp;Tableau1[[#This Row],[Intitulé]],INDEX(Tableau2[],,COLUMN(Tableau2[Clé Recherche])),0),COLUMN(Tableau2[Calendrier de réalisation])),"")</f>
        <v>0</v>
      </c>
    </row>
    <row r="312" spans="1:16" x14ac:dyDescent="0.25">
      <c r="A312" s="197" t="str">
        <f>IFERROR(VLOOKUP(Tableau1[Nom],Tableau5[],COLUMN(Tableau5[Definition du costing : DVC ou non DVC]),FALSE),"")</f>
        <v>DVC</v>
      </c>
      <c r="B312" s="197" t="str">
        <f>IFERROR(VLOOKUP(Tableau1[Nom],Tableau5[],COLUMN(Tableau5[Nom de la société]),FALSE),"")</f>
        <v>Lattes</v>
      </c>
      <c r="C312" s="198" t="str">
        <f>IFERROR(VLOOKUP(Tableau1[Nom],Tableau5[],COLUMN(Tableau5[Nom du manager]),FALSE),"")</f>
        <v>VERNE</v>
      </c>
      <c r="D312" s="199">
        <f>IFERROR(VLOOKUP(Tableau1[Nom],Tableau5[],COLUMN(Tableau5[Matricule]),FALSE),"")</f>
        <v>190978</v>
      </c>
      <c r="E312" s="192" t="s">
        <v>1047</v>
      </c>
      <c r="F312" s="199" t="str">
        <f>IFERROR(VLOOKUP(Tableau1[Nom],Tableau5[],COLUMN(Tableau5[Prénom]),FALSE),"")</f>
        <v>Jean-Paul</v>
      </c>
      <c r="G312" s="188" t="s">
        <v>9</v>
      </c>
      <c r="H312" s="188" t="s">
        <v>1323</v>
      </c>
      <c r="I312" s="201"/>
      <c r="J312" s="188" t="s">
        <v>1324</v>
      </c>
      <c r="K312" s="189">
        <v>7</v>
      </c>
      <c r="L312" s="190">
        <v>124</v>
      </c>
      <c r="M312" s="202" t="s">
        <v>5</v>
      </c>
      <c r="N312" s="203" t="s">
        <v>1444</v>
      </c>
      <c r="O312" s="202"/>
      <c r="P312" s="288" t="str">
        <f>IFERROR(INDEX(Tableau2[],MATCH(Tableau1[[#This Row],[Nom]]&amp;Tableau1[[#This Row],[Intitulé]],INDEX(Tableau2[],,COLUMN(Tableau2[Clé Recherche])),0),COLUMN(Tableau2[Calendrier de réalisation])),"")</f>
        <v>2019-Q4</v>
      </c>
    </row>
    <row r="313" spans="1:16" x14ac:dyDescent="0.25">
      <c r="A313" s="197" t="str">
        <f>IFERROR(VLOOKUP(Tableau1[Nom],Tableau5[],COLUMN(Tableau5[Definition du costing : DVC ou non DVC]),FALSE),"")</f>
        <v>Non DVC</v>
      </c>
      <c r="B313" s="197" t="str">
        <f>IFERROR(VLOOKUP(Tableau1[Nom],Tableau5[],COLUMN(Tableau5[Nom de la société]),FALSE),"")</f>
        <v>STG</v>
      </c>
      <c r="C313" s="198" t="str">
        <f>IFERROR(VLOOKUP(Tableau1[Nom],Tableau5[],COLUMN(Tableau5[Nom du manager]),FALSE),"")</f>
        <v>FOUASSIER</v>
      </c>
      <c r="D313" s="199">
        <f>IFERROR(VLOOKUP(Tableau1[Nom],Tableau5[],COLUMN(Tableau5[Matricule]),FALSE),"")</f>
        <v>244104</v>
      </c>
      <c r="E313" s="200" t="s">
        <v>294</v>
      </c>
      <c r="F313" s="199" t="str">
        <f>IFERROR(VLOOKUP(Tableau1[Nom],Tableau5[],COLUMN(Tableau5[Prénom]),FALSE),"")</f>
        <v>Gregory</v>
      </c>
      <c r="G313" s="188" t="s">
        <v>9</v>
      </c>
      <c r="H313" s="188" t="s">
        <v>1326</v>
      </c>
      <c r="I313" s="201"/>
      <c r="J313" s="188" t="s">
        <v>1324</v>
      </c>
      <c r="K313" s="189">
        <v>1.5</v>
      </c>
      <c r="L313" s="190">
        <v>53</v>
      </c>
      <c r="M313" s="202" t="s">
        <v>5</v>
      </c>
      <c r="N313" s="203" t="s">
        <v>1444</v>
      </c>
      <c r="O313" s="202"/>
      <c r="P313" s="288">
        <f>IFERROR(INDEX(Tableau2[],MATCH(Tableau1[[#This Row],[Nom]]&amp;Tableau1[[#This Row],[Intitulé]],INDEX(Tableau2[],,COLUMN(Tableau2[Clé Recherche])),0),COLUMN(Tableau2[Calendrier de réalisation])),"")</f>
        <v>0</v>
      </c>
    </row>
    <row r="314" spans="1:16" x14ac:dyDescent="0.25">
      <c r="A314" s="197" t="str">
        <f>IFERROR(VLOOKUP(Tableau1[Nom],Tableau5[],COLUMN(Tableau5[Definition du costing : DVC ou non DVC]),FALSE),"")</f>
        <v>Non DVC</v>
      </c>
      <c r="B314" s="197" t="str">
        <f>IFERROR(VLOOKUP(Tableau1[Nom],Tableau5[],COLUMN(Tableau5[Nom de la société]),FALSE),"")</f>
        <v>Aub.</v>
      </c>
      <c r="C314" s="198" t="str">
        <f>IFERROR(VLOOKUP(Tableau1[Nom],Tableau5[],COLUMN(Tableau5[Nom du manager]),FALSE),"")</f>
        <v>CHATAIGNER</v>
      </c>
      <c r="D314" s="199">
        <f>IFERROR(VLOOKUP(Tableau1[Nom],Tableau5[],COLUMN(Tableau5[Matricule]),FALSE),"")</f>
        <v>102994</v>
      </c>
      <c r="E314" s="200" t="s">
        <v>1302</v>
      </c>
      <c r="F314" s="199" t="str">
        <f>IFERROR(VLOOKUP(Tableau1[Nom],Tableau5[],COLUMN(Tableau5[Prénom]),FALSE),"")</f>
        <v>Sabine</v>
      </c>
      <c r="G314" s="188" t="s">
        <v>9</v>
      </c>
      <c r="H314" s="188" t="s">
        <v>1326</v>
      </c>
      <c r="I314" s="201"/>
      <c r="J314" s="188" t="s">
        <v>1324</v>
      </c>
      <c r="K314" s="189">
        <v>1.5</v>
      </c>
      <c r="L314" s="190">
        <v>53</v>
      </c>
      <c r="M314" s="202" t="s">
        <v>5</v>
      </c>
      <c r="N314" s="203" t="s">
        <v>1444</v>
      </c>
      <c r="O314" s="202"/>
      <c r="P314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315" spans="1:16" x14ac:dyDescent="0.25">
      <c r="A315" s="197" t="str">
        <f>IFERROR(VLOOKUP(Tableau1[Nom],Tableau5[],COLUMN(Tableau5[Definition du costing : DVC ou non DVC]),FALSE),"")</f>
        <v>Non DVC</v>
      </c>
      <c r="B315" s="197" t="str">
        <f>IFERROR(VLOOKUP(Tableau1[Nom],Tableau5[],COLUMN(Tableau5[Nom de la société]),FALSE),"")</f>
        <v>Aub.</v>
      </c>
      <c r="C315" s="198" t="str">
        <f>IFERROR(VLOOKUP(Tableau1[Nom],Tableau5[],COLUMN(Tableau5[Nom du manager]),FALSE),"")</f>
        <v>CHATAIGNER</v>
      </c>
      <c r="D315" s="199">
        <f>IFERROR(VLOOKUP(Tableau1[Nom],Tableau5[],COLUMN(Tableau5[Matricule]),FALSE),"")</f>
        <v>102994</v>
      </c>
      <c r="E315" s="200" t="s">
        <v>1302</v>
      </c>
      <c r="F315" s="199" t="str">
        <f>IFERROR(VLOOKUP(Tableau1[Nom],Tableau5[],COLUMN(Tableau5[Prénom]),FALSE),"")</f>
        <v>Sabine</v>
      </c>
      <c r="G315" s="188" t="s">
        <v>9</v>
      </c>
      <c r="H315" s="188" t="s">
        <v>1340</v>
      </c>
      <c r="I315" s="201"/>
      <c r="J315" s="188" t="s">
        <v>1341</v>
      </c>
      <c r="K315" s="189">
        <v>7</v>
      </c>
      <c r="L315" s="190">
        <v>117</v>
      </c>
      <c r="M315" s="202" t="s">
        <v>5</v>
      </c>
      <c r="N315" s="203" t="s">
        <v>1444</v>
      </c>
      <c r="O315" s="202"/>
      <c r="P315" s="288" t="str">
        <f>IFERROR(INDEX(Tableau2[],MATCH(Tableau1[[#This Row],[Nom]]&amp;Tableau1[[#This Row],[Intitulé]],INDEX(Tableau2[],,COLUMN(Tableau2[Clé Recherche])),0),COLUMN(Tableau2[Calendrier de réalisation])),"")</f>
        <v/>
      </c>
    </row>
    <row r="316" spans="1:16" x14ac:dyDescent="0.25">
      <c r="A316" s="197" t="str">
        <f>IFERROR(VLOOKUP(Tableau1[Nom],Tableau5[],COLUMN(Tableau5[Definition du costing : DVC ou non DVC]),FALSE),"")</f>
        <v>DVC</v>
      </c>
      <c r="B316" s="197" t="str">
        <f>IFERROR(VLOOKUP(Tableau1[Nom],Tableau5[],COLUMN(Tableau5[Nom de la société]),FALSE),"")</f>
        <v>Aub.</v>
      </c>
      <c r="C316" s="198" t="str">
        <f>IFERROR(VLOOKUP(Tableau1[Nom],Tableau5[],COLUMN(Tableau5[Nom du manager]),FALSE),"")</f>
        <v>SENEPART</v>
      </c>
      <c r="D316" s="199">
        <f>IFERROR(VLOOKUP(Tableau1[Nom],Tableau5[],COLUMN(Tableau5[Matricule]),FALSE),"")</f>
        <v>102946</v>
      </c>
      <c r="E316" s="200" t="s">
        <v>1310</v>
      </c>
      <c r="F316" s="199" t="str">
        <f>IFERROR(VLOOKUP(Tableau1[Nom],Tableau5[],COLUMN(Tableau5[Prénom]),FALSE),"")</f>
        <v>Jean-Luc</v>
      </c>
      <c r="G316" s="188" t="s">
        <v>9</v>
      </c>
      <c r="H316" s="188" t="s">
        <v>1323</v>
      </c>
      <c r="I316" s="201"/>
      <c r="J316" s="188" t="s">
        <v>1324</v>
      </c>
      <c r="K316" s="189">
        <v>7</v>
      </c>
      <c r="L316" s="190">
        <v>124</v>
      </c>
      <c r="M316" s="202" t="s">
        <v>5</v>
      </c>
      <c r="N316" s="203" t="s">
        <v>1444</v>
      </c>
      <c r="O316" s="202"/>
      <c r="P316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317" spans="1:16" x14ac:dyDescent="0.25">
      <c r="A317" s="197" t="str">
        <f>IFERROR(VLOOKUP(Tableau1[Nom],Tableau5[],COLUMN(Tableau5[Definition du costing : DVC ou non DVC]),FALSE),"")</f>
        <v>DVC</v>
      </c>
      <c r="B317" s="197" t="str">
        <f>IFERROR(VLOOKUP(Tableau1[Nom],Tableau5[],COLUMN(Tableau5[Nom de la société]),FALSE),"")</f>
        <v>Aub.</v>
      </c>
      <c r="C317" s="198" t="str">
        <f>IFERROR(VLOOKUP(Tableau1[Nom],Tableau5[],COLUMN(Tableau5[Nom du manager]),FALSE),"")</f>
        <v>SENEPART</v>
      </c>
      <c r="D317" s="199">
        <f>IFERROR(VLOOKUP(Tableau1[Nom],Tableau5[],COLUMN(Tableau5[Matricule]),FALSE),"")</f>
        <v>102946</v>
      </c>
      <c r="E317" s="200" t="s">
        <v>1310</v>
      </c>
      <c r="F317" s="199" t="str">
        <f>IFERROR(VLOOKUP(Tableau1[Nom],Tableau5[],COLUMN(Tableau5[Prénom]),FALSE),"")</f>
        <v>Jean-Luc</v>
      </c>
      <c r="G317" s="188" t="s">
        <v>9</v>
      </c>
      <c r="H317" s="188" t="s">
        <v>1326</v>
      </c>
      <c r="I317" s="201"/>
      <c r="J317" s="188" t="s">
        <v>1324</v>
      </c>
      <c r="K317" s="189">
        <v>1.5</v>
      </c>
      <c r="L317" s="190">
        <v>53</v>
      </c>
      <c r="M317" s="202" t="s">
        <v>5</v>
      </c>
      <c r="N317" s="203" t="s">
        <v>1444</v>
      </c>
      <c r="O317" s="202"/>
      <c r="P317" s="288" t="str">
        <f>IFERROR(INDEX(Tableau2[],MATCH(Tableau1[[#This Row],[Nom]]&amp;Tableau1[[#This Row],[Intitulé]],INDEX(Tableau2[],,COLUMN(Tableau2[Clé Recherche])),0),COLUMN(Tableau2[Calendrier de réalisation])),"")</f>
        <v>2019-Q2</v>
      </c>
    </row>
    <row r="318" spans="1:16" x14ac:dyDescent="0.25">
      <c r="A318" s="197" t="str">
        <f>IFERROR(VLOOKUP(Tableau1[Nom],Tableau5[],COLUMN(Tableau5[Definition du costing : DVC ou non DVC]),FALSE),"")</f>
        <v>DVC</v>
      </c>
      <c r="B318" s="197" t="str">
        <f>IFERROR(VLOOKUP(Tableau1[Nom],Tableau5[],COLUMN(Tableau5[Nom de la société]),FALSE),"")</f>
        <v>STG</v>
      </c>
      <c r="C318" s="198" t="str">
        <f>IFERROR(VLOOKUP(Tableau1[Nom],Tableau5[],COLUMN(Tableau5[Nom du manager]),FALSE),"")</f>
        <v>XUEREB</v>
      </c>
      <c r="D318" s="199">
        <f>IFERROR(VLOOKUP(Tableau1[Nom],Tableau5[],COLUMN(Tableau5[Matricule]),FALSE),"")</f>
        <v>288570</v>
      </c>
      <c r="E318" s="200" t="s">
        <v>1313</v>
      </c>
      <c r="F318" s="199" t="str">
        <f>IFERROR(VLOOKUP(Tableau1[Nom],Tableau5[],COLUMN(Tableau5[Prénom]),FALSE),"")</f>
        <v>Larbi</v>
      </c>
      <c r="G318" s="188" t="s">
        <v>9</v>
      </c>
      <c r="H318" s="188" t="s">
        <v>1326</v>
      </c>
      <c r="I318" s="201"/>
      <c r="J318" s="188" t="s">
        <v>1324</v>
      </c>
      <c r="K318" s="189">
        <v>1.5</v>
      </c>
      <c r="L318" s="190">
        <v>53</v>
      </c>
      <c r="M318" s="202" t="s">
        <v>5</v>
      </c>
      <c r="N318" s="203" t="s">
        <v>1444</v>
      </c>
      <c r="O318" s="202"/>
      <c r="P318" s="288" t="str">
        <f>IFERROR(INDEX(Tableau2[],MATCH(Tableau1[[#This Row],[Nom]]&amp;Tableau1[[#This Row],[Intitulé]],INDEX(Tableau2[],,COLUMN(Tableau2[Clé Recherche])),0),COLUMN(Tableau2[Calendrier de réalisation])),"")</f>
        <v>2019-Q1</v>
      </c>
    </row>
    <row r="319" spans="1:16" x14ac:dyDescent="0.25">
      <c r="A319" s="197" t="str">
        <f>IFERROR(VLOOKUP(Tableau1[Nom],Tableau5[],COLUMN(Tableau5[Definition du costing : DVC ou non DVC]),FALSE),"")</f>
        <v>DVC</v>
      </c>
      <c r="B319" s="197" t="str">
        <f>IFERROR(VLOOKUP(Tableau1[Nom],Tableau5[],COLUMN(Tableau5[Nom de la société]),FALSE),"")</f>
        <v>STG</v>
      </c>
      <c r="C319" s="198" t="str">
        <f>IFERROR(VLOOKUP(Tableau1[Nom],Tableau5[],COLUMN(Tableau5[Nom du manager]),FALSE),"")</f>
        <v>XUEREB</v>
      </c>
      <c r="D319" s="199">
        <f>IFERROR(VLOOKUP(Tableau1[Nom],Tableau5[],COLUMN(Tableau5[Matricule]),FALSE),"")</f>
        <v>288570</v>
      </c>
      <c r="E319" s="200" t="s">
        <v>1313</v>
      </c>
      <c r="F319" s="199" t="str">
        <f>IFERROR(VLOOKUP(Tableau1[Nom],Tableau5[],COLUMN(Tableau5[Prénom]),FALSE),"")</f>
        <v>Larbi</v>
      </c>
      <c r="G319" s="188" t="s">
        <v>9</v>
      </c>
      <c r="H319" s="188" t="s">
        <v>1346</v>
      </c>
      <c r="I319" s="201"/>
      <c r="J319" s="188" t="s">
        <v>1344</v>
      </c>
      <c r="K319" s="189">
        <v>10.5</v>
      </c>
      <c r="L319" s="190">
        <v>260</v>
      </c>
      <c r="M319" s="202" t="s">
        <v>5</v>
      </c>
      <c r="N319" s="203" t="s">
        <v>1444</v>
      </c>
      <c r="O319" s="202"/>
      <c r="P319" s="288" t="str">
        <f>IFERROR(INDEX(Tableau2[],MATCH(Tableau1[[#This Row],[Nom]]&amp;Tableau1[[#This Row],[Intitulé]],INDEX(Tableau2[],,COLUMN(Tableau2[Clé Recherche])),0),COLUMN(Tableau2[Calendrier de réalisation])),"")</f>
        <v/>
      </c>
    </row>
  </sheetData>
  <mergeCells count="5">
    <mergeCell ref="M10:P10"/>
    <mergeCell ref="A10:C10"/>
    <mergeCell ref="D10:F10"/>
    <mergeCell ref="G10:L10"/>
    <mergeCell ref="F1:J1"/>
  </mergeCells>
  <dataValidations count="6">
    <dataValidation type="list" allowBlank="1" showInputMessage="1" showErrorMessage="1" sqref="M12:M319">
      <formula1>"Plan,DIF,PP"</formula1>
    </dataValidation>
    <dataValidation type="list" allowBlank="1" showInputMessage="1" showErrorMessage="1" sqref="O12:O58 O60:O319">
      <formula1>"Oui,Non"</formula1>
    </dataValidation>
    <dataValidation type="list" allowBlank="1" showInputMessage="1" showErrorMessage="1" sqref="G12:G319">
      <formula1>Axe_Filieres</formula1>
    </dataValidation>
    <dataValidation type="list" allowBlank="1" showInputMessage="1" showErrorMessage="1" sqref="I12:I319">
      <formula1>Priorité_mger</formula1>
    </dataValidation>
    <dataValidation type="list" allowBlank="1" showInputMessage="1" showErrorMessage="1" sqref="O59">
      <formula1>Avancement</formula1>
    </dataValidation>
    <dataValidation type="list" allowBlank="1" showInputMessage="1" showErrorMessage="1" sqref="H12:H319">
      <formula1>Intitulé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Tables!$X$2:$X$4</xm:f>
          </x14:formula1>
          <xm:sqref>N12:N319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48"/>
  <sheetViews>
    <sheetView topLeftCell="A10" workbookViewId="0">
      <selection activeCell="J17" sqref="J17"/>
    </sheetView>
  </sheetViews>
  <sheetFormatPr baseColWidth="10" defaultRowHeight="15" x14ac:dyDescent="0.25"/>
  <cols>
    <col min="1" max="1" width="24.5703125" customWidth="1"/>
    <col min="2" max="2" width="21.85546875" customWidth="1"/>
    <col min="3" max="3" width="16.42578125" customWidth="1"/>
    <col min="4" max="4" width="15" customWidth="1"/>
    <col min="5" max="5" width="15.85546875" customWidth="1"/>
    <col min="6" max="6" width="15.140625" customWidth="1"/>
    <col min="7" max="7" width="3" customWidth="1"/>
    <col min="8" max="8" width="11" customWidth="1"/>
    <col min="9" max="9" width="3" customWidth="1"/>
    <col min="10" max="10" width="25.140625" bestFit="1" customWidth="1"/>
    <col min="11" max="11" width="12.42578125" customWidth="1"/>
    <col min="12" max="12" width="25.5703125" bestFit="1" customWidth="1"/>
    <col min="13" max="13" width="32" bestFit="1" customWidth="1"/>
    <col min="14" max="14" width="10.85546875" customWidth="1"/>
    <col min="15" max="15" width="10.42578125" customWidth="1"/>
    <col min="16" max="16" width="49.42578125" bestFit="1" customWidth="1"/>
    <col min="17" max="17" width="14" customWidth="1"/>
    <col min="18" max="18" width="30.42578125" bestFit="1" customWidth="1"/>
    <col min="19" max="19" width="17.5703125" bestFit="1" customWidth="1"/>
    <col min="20" max="20" width="11.85546875" bestFit="1" customWidth="1"/>
    <col min="21" max="21" width="14.42578125" bestFit="1" customWidth="1"/>
    <col min="22" max="22" width="24.5703125" bestFit="1" customWidth="1"/>
    <col min="23" max="23" width="20.42578125" bestFit="1" customWidth="1"/>
    <col min="24" max="24" width="6.42578125" customWidth="1"/>
    <col min="25" max="25" width="12.42578125" bestFit="1" customWidth="1"/>
  </cols>
  <sheetData>
    <row r="1" spans="1:6" ht="20.25" thickBot="1" x14ac:dyDescent="0.3">
      <c r="C1" s="83" t="s">
        <v>164</v>
      </c>
      <c r="D1" s="83"/>
      <c r="E1" s="83"/>
      <c r="F1" s="83"/>
    </row>
    <row r="2" spans="1:6" ht="15.75" thickTop="1" x14ac:dyDescent="0.25"/>
    <row r="4" spans="1:6" ht="18" thickBot="1" x14ac:dyDescent="0.35">
      <c r="A4" s="120" t="s">
        <v>188</v>
      </c>
      <c r="B4" s="101"/>
      <c r="C4" s="102"/>
      <c r="D4" s="102"/>
    </row>
    <row r="5" spans="1:6" ht="15.75" thickTop="1" x14ac:dyDescent="0.25"/>
    <row r="6" spans="1:6" s="109" customFormat="1" ht="15" customHeight="1" thickBot="1" x14ac:dyDescent="0.3">
      <c r="A6" s="70" t="s">
        <v>143</v>
      </c>
      <c r="B6" t="s">
        <v>193</v>
      </c>
      <c r="C6" s="110"/>
      <c r="D6" s="110"/>
      <c r="E6" s="110"/>
      <c r="F6" s="110"/>
    </row>
    <row r="7" spans="1:6" s="7" customFormat="1" ht="46.5" thickTop="1" thickBot="1" x14ac:dyDescent="0.3">
      <c r="A7" s="124" t="s">
        <v>146</v>
      </c>
      <c r="B7" s="125" t="s">
        <v>163</v>
      </c>
      <c r="C7" s="125" t="s">
        <v>161</v>
      </c>
      <c r="D7" s="125" t="s">
        <v>159</v>
      </c>
      <c r="E7" s="125" t="s">
        <v>160</v>
      </c>
      <c r="F7" s="126" t="s">
        <v>185</v>
      </c>
    </row>
    <row r="8" spans="1:6" x14ac:dyDescent="0.25">
      <c r="A8" s="127"/>
      <c r="B8" s="128" t="s">
        <v>177</v>
      </c>
      <c r="C8" s="129"/>
      <c r="D8" s="129"/>
      <c r="E8" s="129"/>
      <c r="F8" s="130"/>
    </row>
    <row r="9" spans="1:6" x14ac:dyDescent="0.25">
      <c r="A9" s="131" t="s">
        <v>149</v>
      </c>
      <c r="B9" s="129" t="s">
        <v>176</v>
      </c>
      <c r="C9" s="129" t="s">
        <v>179</v>
      </c>
      <c r="D9" s="129" t="s">
        <v>180</v>
      </c>
      <c r="E9" s="129" t="s">
        <v>181</v>
      </c>
      <c r="F9" s="132"/>
    </row>
    <row r="10" spans="1:6" x14ac:dyDescent="0.25">
      <c r="A10" s="133" t="s">
        <v>147</v>
      </c>
      <c r="B10" s="134">
        <v>38</v>
      </c>
      <c r="C10" s="134">
        <v>456</v>
      </c>
      <c r="D10" s="134">
        <v>3332.25</v>
      </c>
      <c r="E10" s="134">
        <v>391.67999999999989</v>
      </c>
      <c r="F10" s="135">
        <f>D10+E10</f>
        <v>3723.93</v>
      </c>
    </row>
    <row r="11" spans="1:6" x14ac:dyDescent="0.25">
      <c r="A11" s="133" t="s">
        <v>148</v>
      </c>
      <c r="B11" s="134">
        <v>56</v>
      </c>
      <c r="C11" s="134">
        <v>1159</v>
      </c>
      <c r="D11" s="134">
        <v>25297</v>
      </c>
      <c r="E11" s="134">
        <v>587.51999999999987</v>
      </c>
      <c r="F11" s="135">
        <f t="shared" ref="F11:F13" si="0">D11+E11</f>
        <v>25884.52</v>
      </c>
    </row>
    <row r="12" spans="1:6" ht="15.75" thickBot="1" x14ac:dyDescent="0.3">
      <c r="A12" s="133" t="s">
        <v>150</v>
      </c>
      <c r="B12" s="134"/>
      <c r="C12" s="134"/>
      <c r="D12" s="134"/>
      <c r="E12" s="134">
        <v>0</v>
      </c>
      <c r="F12" s="135">
        <f t="shared" si="0"/>
        <v>0</v>
      </c>
    </row>
    <row r="13" spans="1:6" ht="16.5" thickTop="1" thickBot="1" x14ac:dyDescent="0.3">
      <c r="A13" s="122" t="s">
        <v>151</v>
      </c>
      <c r="B13" s="123">
        <v>94</v>
      </c>
      <c r="C13" s="123">
        <v>1615</v>
      </c>
      <c r="D13" s="123">
        <v>28629.25</v>
      </c>
      <c r="E13" s="123">
        <v>979.1999999999997</v>
      </c>
      <c r="F13" s="123">
        <f t="shared" si="0"/>
        <v>29608.45</v>
      </c>
    </row>
    <row r="14" spans="1:6" ht="15.75" thickTop="1" x14ac:dyDescent="0.25">
      <c r="F14" s="100"/>
    </row>
    <row r="17" spans="1:6" ht="18" thickBot="1" x14ac:dyDescent="0.35">
      <c r="A17" s="120" t="s">
        <v>186</v>
      </c>
      <c r="B17" s="84"/>
      <c r="C17" s="103"/>
      <c r="D17" s="103"/>
    </row>
    <row r="18" spans="1:6" ht="15.75" thickTop="1" x14ac:dyDescent="0.25">
      <c r="A18" s="108"/>
      <c r="B18" s="108"/>
      <c r="C18" s="108"/>
      <c r="D18" s="108"/>
      <c r="E18" s="108"/>
      <c r="F18" s="108"/>
    </row>
    <row r="19" spans="1:6" x14ac:dyDescent="0.25">
      <c r="A19" s="70" t="s">
        <v>143</v>
      </c>
      <c r="B19" t="s">
        <v>193</v>
      </c>
      <c r="C19" s="108"/>
      <c r="D19" s="108"/>
      <c r="E19" s="108"/>
      <c r="F19" s="108"/>
    </row>
    <row r="20" spans="1:6" s="7" customFormat="1" ht="45.75" thickBot="1" x14ac:dyDescent="0.3">
      <c r="A20" s="121" t="s">
        <v>162</v>
      </c>
      <c r="B20" s="121" t="s">
        <v>163</v>
      </c>
      <c r="C20" s="121" t="s">
        <v>161</v>
      </c>
      <c r="D20" s="121" t="s">
        <v>159</v>
      </c>
      <c r="E20" s="121" t="s">
        <v>160</v>
      </c>
      <c r="F20" s="121" t="s">
        <v>185</v>
      </c>
    </row>
    <row r="21" spans="1:6" x14ac:dyDescent="0.25">
      <c r="B21" s="70" t="s">
        <v>177</v>
      </c>
      <c r="F21" s="99"/>
    </row>
    <row r="22" spans="1:6" x14ac:dyDescent="0.25">
      <c r="A22" s="70" t="s">
        <v>149</v>
      </c>
      <c r="B22" t="s">
        <v>176</v>
      </c>
      <c r="C22" t="s">
        <v>179</v>
      </c>
      <c r="D22" t="s">
        <v>180</v>
      </c>
      <c r="E22" t="s">
        <v>181</v>
      </c>
      <c r="F22" s="97"/>
    </row>
    <row r="23" spans="1:6" x14ac:dyDescent="0.25">
      <c r="A23" s="133" t="s">
        <v>4</v>
      </c>
      <c r="B23" s="134">
        <v>40</v>
      </c>
      <c r="C23" s="134">
        <v>560</v>
      </c>
      <c r="D23" s="134"/>
      <c r="E23" s="134">
        <v>435.19999999999987</v>
      </c>
      <c r="F23" s="135">
        <f>D23+E23</f>
        <v>435.19999999999987</v>
      </c>
    </row>
    <row r="24" spans="1:6" x14ac:dyDescent="0.25">
      <c r="A24" s="133" t="s">
        <v>7</v>
      </c>
      <c r="B24" s="134">
        <v>1</v>
      </c>
      <c r="C24" s="134">
        <v>42</v>
      </c>
      <c r="D24" s="134">
        <v>1140</v>
      </c>
      <c r="E24" s="134">
        <v>10.88</v>
      </c>
      <c r="F24" s="135">
        <f t="shared" ref="F24:F30" si="1">D24+E24</f>
        <v>1150.8800000000001</v>
      </c>
    </row>
    <row r="25" spans="1:6" x14ac:dyDescent="0.25">
      <c r="A25" s="133" t="s">
        <v>18</v>
      </c>
      <c r="B25" s="134">
        <v>1</v>
      </c>
      <c r="C25" s="134">
        <v>18</v>
      </c>
      <c r="D25" s="134">
        <v>75.25</v>
      </c>
      <c r="E25" s="134">
        <v>0</v>
      </c>
      <c r="F25" s="135">
        <f t="shared" si="1"/>
        <v>75.25</v>
      </c>
    </row>
    <row r="26" spans="1:6" x14ac:dyDescent="0.25">
      <c r="A26" s="133" t="s">
        <v>17</v>
      </c>
      <c r="B26" s="134">
        <v>30</v>
      </c>
      <c r="C26" s="134">
        <v>372</v>
      </c>
      <c r="D26" s="134">
        <v>12345.000000000004</v>
      </c>
      <c r="E26" s="134">
        <v>304.63999999999993</v>
      </c>
      <c r="F26" s="135">
        <f t="shared" si="1"/>
        <v>12649.640000000003</v>
      </c>
    </row>
    <row r="27" spans="1:6" x14ac:dyDescent="0.25">
      <c r="A27" s="133" t="s">
        <v>9</v>
      </c>
      <c r="B27" s="134">
        <v>9</v>
      </c>
      <c r="C27" s="134">
        <v>154</v>
      </c>
      <c r="D27" s="134">
        <v>3509</v>
      </c>
      <c r="E27" s="134">
        <v>97.919999999999987</v>
      </c>
      <c r="F27" s="135">
        <f t="shared" si="1"/>
        <v>3606.92</v>
      </c>
    </row>
    <row r="28" spans="1:6" ht="15.75" thickBot="1" x14ac:dyDescent="0.3">
      <c r="A28" s="133" t="s">
        <v>11</v>
      </c>
      <c r="B28" s="134">
        <v>13</v>
      </c>
      <c r="C28" s="134">
        <v>469</v>
      </c>
      <c r="D28" s="134">
        <v>11560</v>
      </c>
      <c r="E28" s="134">
        <v>130.55999999999997</v>
      </c>
      <c r="F28" s="135">
        <f t="shared" si="1"/>
        <v>11690.56</v>
      </c>
    </row>
    <row r="29" spans="1:6" hidden="1" x14ac:dyDescent="0.25">
      <c r="A29" s="96" t="s">
        <v>150</v>
      </c>
      <c r="B29" s="95"/>
      <c r="C29" s="95"/>
      <c r="D29" s="95"/>
      <c r="E29" s="95">
        <v>0</v>
      </c>
      <c r="F29" s="98">
        <f t="shared" si="1"/>
        <v>0</v>
      </c>
    </row>
    <row r="30" spans="1:6" ht="16.5" thickTop="1" thickBot="1" x14ac:dyDescent="0.3">
      <c r="A30" s="122" t="s">
        <v>151</v>
      </c>
      <c r="B30" s="123">
        <v>94</v>
      </c>
      <c r="C30" s="123">
        <v>1615</v>
      </c>
      <c r="D30" s="123">
        <v>28629.250000000004</v>
      </c>
      <c r="E30" s="123">
        <v>979.1999999999997</v>
      </c>
      <c r="F30" s="123">
        <f t="shared" si="1"/>
        <v>29608.450000000004</v>
      </c>
    </row>
    <row r="31" spans="1:6" ht="15.75" thickTop="1" x14ac:dyDescent="0.25"/>
    <row r="34" spans="1:6" ht="18" thickBot="1" x14ac:dyDescent="0.35">
      <c r="A34" s="120" t="s">
        <v>187</v>
      </c>
      <c r="B34" s="84"/>
      <c r="C34" s="103"/>
      <c r="D34" s="103"/>
    </row>
    <row r="35" spans="1:6" ht="15.75" thickTop="1" x14ac:dyDescent="0.25"/>
    <row r="36" spans="1:6" s="109" customFormat="1" ht="15.75" thickBot="1" x14ac:dyDescent="0.3">
      <c r="A36" s="70" t="s">
        <v>143</v>
      </c>
      <c r="B36" t="s">
        <v>193</v>
      </c>
      <c r="C36" s="108"/>
      <c r="D36" s="108"/>
      <c r="E36" s="108"/>
      <c r="F36" s="108"/>
    </row>
    <row r="37" spans="1:6" s="7" customFormat="1" ht="46.5" thickTop="1" thickBot="1" x14ac:dyDescent="0.3">
      <c r="A37" s="124" t="s">
        <v>184</v>
      </c>
      <c r="B37" s="125" t="s">
        <v>163</v>
      </c>
      <c r="C37" s="125" t="s">
        <v>161</v>
      </c>
      <c r="D37" s="125" t="s">
        <v>159</v>
      </c>
      <c r="E37" s="125" t="s">
        <v>160</v>
      </c>
      <c r="F37" s="126" t="s">
        <v>185</v>
      </c>
    </row>
    <row r="38" spans="1:6" x14ac:dyDescent="0.25">
      <c r="A38" s="127"/>
      <c r="B38" s="128" t="s">
        <v>177</v>
      </c>
      <c r="C38" s="129"/>
      <c r="D38" s="129"/>
      <c r="E38" s="129"/>
      <c r="F38" s="130"/>
    </row>
    <row r="39" spans="1:6" x14ac:dyDescent="0.25">
      <c r="A39" s="131" t="s">
        <v>149</v>
      </c>
      <c r="B39" s="129" t="s">
        <v>176</v>
      </c>
      <c r="C39" s="129" t="s">
        <v>179</v>
      </c>
      <c r="D39" s="129" t="s">
        <v>180</v>
      </c>
      <c r="E39" s="129" t="s">
        <v>181</v>
      </c>
      <c r="F39" s="132"/>
    </row>
    <row r="40" spans="1:6" x14ac:dyDescent="0.25">
      <c r="A40" s="136" t="s">
        <v>182</v>
      </c>
      <c r="B40" s="137">
        <v>4</v>
      </c>
      <c r="C40" s="137">
        <v>58</v>
      </c>
      <c r="D40" s="137">
        <v>1058.1100000000001</v>
      </c>
      <c r="E40" s="137">
        <v>0</v>
      </c>
      <c r="F40" s="138">
        <f>D40+E40</f>
        <v>1058.1100000000001</v>
      </c>
    </row>
    <row r="41" spans="1:6" x14ac:dyDescent="0.25">
      <c r="A41" s="139" t="s">
        <v>182</v>
      </c>
      <c r="B41" s="137">
        <v>4</v>
      </c>
      <c r="C41" s="137">
        <v>58</v>
      </c>
      <c r="D41" s="137">
        <v>1058.1100000000001</v>
      </c>
      <c r="E41" s="137">
        <v>0</v>
      </c>
      <c r="F41" s="140">
        <f t="shared" ref="F41:F47" si="2">D41+E41</f>
        <v>1058.1100000000001</v>
      </c>
    </row>
    <row r="42" spans="1:6" x14ac:dyDescent="0.25">
      <c r="A42" s="136" t="s">
        <v>62</v>
      </c>
      <c r="B42" s="137">
        <v>72</v>
      </c>
      <c r="C42" s="137">
        <v>1216</v>
      </c>
      <c r="D42" s="137">
        <v>17572.14</v>
      </c>
      <c r="E42" s="137">
        <v>783.35999999999979</v>
      </c>
      <c r="F42" s="138">
        <f t="shared" si="2"/>
        <v>18355.5</v>
      </c>
    </row>
    <row r="43" spans="1:6" x14ac:dyDescent="0.25">
      <c r="A43" s="141" t="s">
        <v>63</v>
      </c>
      <c r="B43" s="137">
        <v>10</v>
      </c>
      <c r="C43" s="137">
        <v>255</v>
      </c>
      <c r="D43" s="137">
        <v>3892.86</v>
      </c>
      <c r="E43" s="137">
        <v>108.79999999999998</v>
      </c>
      <c r="F43" s="140">
        <f t="shared" si="2"/>
        <v>4001.6600000000003</v>
      </c>
    </row>
    <row r="44" spans="1:6" x14ac:dyDescent="0.25">
      <c r="A44" s="141" t="s">
        <v>61</v>
      </c>
      <c r="B44" s="137">
        <v>62</v>
      </c>
      <c r="C44" s="137">
        <v>961</v>
      </c>
      <c r="D44" s="137">
        <v>13679.280000000002</v>
      </c>
      <c r="E44" s="137">
        <v>674.55999999999983</v>
      </c>
      <c r="F44" s="140">
        <f t="shared" si="2"/>
        <v>14353.840000000002</v>
      </c>
    </row>
    <row r="45" spans="1:6" x14ac:dyDescent="0.25">
      <c r="A45" s="136" t="s">
        <v>98</v>
      </c>
      <c r="B45" s="137">
        <v>18</v>
      </c>
      <c r="C45" s="137">
        <v>341</v>
      </c>
      <c r="D45" s="137">
        <v>9999</v>
      </c>
      <c r="E45" s="137">
        <v>195.83999999999995</v>
      </c>
      <c r="F45" s="138">
        <f t="shared" si="2"/>
        <v>10194.84</v>
      </c>
    </row>
    <row r="46" spans="1:6" ht="15.75" thickBot="1" x14ac:dyDescent="0.3">
      <c r="A46" s="141" t="s">
        <v>61</v>
      </c>
      <c r="B46" s="137">
        <v>18</v>
      </c>
      <c r="C46" s="137">
        <v>341</v>
      </c>
      <c r="D46" s="137">
        <v>9999</v>
      </c>
      <c r="E46" s="137">
        <v>195.83999999999995</v>
      </c>
      <c r="F46" s="140">
        <f t="shared" si="2"/>
        <v>10194.84</v>
      </c>
    </row>
    <row r="47" spans="1:6" ht="16.5" thickTop="1" thickBot="1" x14ac:dyDescent="0.3">
      <c r="A47" s="122" t="s">
        <v>151</v>
      </c>
      <c r="B47" s="123">
        <v>94</v>
      </c>
      <c r="C47" s="123">
        <v>1615</v>
      </c>
      <c r="D47" s="123">
        <v>28629.25</v>
      </c>
      <c r="E47" s="123">
        <v>979.1999999999997</v>
      </c>
      <c r="F47" s="123">
        <f t="shared" si="2"/>
        <v>29608.45</v>
      </c>
    </row>
    <row r="48" spans="1:6" ht="15.75" thickTop="1" x14ac:dyDescent="0.25">
      <c r="F48" s="111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3"/>
  <sheetViews>
    <sheetView topLeftCell="A76" workbookViewId="0">
      <selection activeCell="G2" sqref="G2"/>
    </sheetView>
  </sheetViews>
  <sheetFormatPr baseColWidth="10" defaultRowHeight="15" x14ac:dyDescent="0.25"/>
  <cols>
    <col min="1" max="1" width="26.140625" customWidth="1"/>
    <col min="2" max="2" width="21.42578125" customWidth="1"/>
    <col min="3" max="3" width="16.42578125" customWidth="1"/>
    <col min="4" max="4" width="15.85546875" bestFit="1" customWidth="1"/>
  </cols>
  <sheetData>
    <row r="1" spans="1:2" ht="20.25" thickBot="1" x14ac:dyDescent="0.3">
      <c r="B1" s="83" t="s">
        <v>164</v>
      </c>
    </row>
    <row r="2" spans="1:2" ht="15.75" thickTop="1" x14ac:dyDescent="0.25"/>
    <row r="6" spans="1:2" ht="15.75" thickBot="1" x14ac:dyDescent="0.3">
      <c r="A6" s="84" t="s">
        <v>203</v>
      </c>
    </row>
    <row r="7" spans="1:2" x14ac:dyDescent="0.25">
      <c r="A7" s="70" t="s">
        <v>143</v>
      </c>
      <c r="B7" t="s">
        <v>193</v>
      </c>
    </row>
    <row r="8" spans="1:2" ht="15.75" thickBot="1" x14ac:dyDescent="0.3"/>
    <row r="9" spans="1:2" ht="15.75" thickTop="1" x14ac:dyDescent="0.25">
      <c r="A9" s="144" t="s">
        <v>149</v>
      </c>
      <c r="B9" s="145" t="s">
        <v>179</v>
      </c>
    </row>
    <row r="10" spans="1:2" x14ac:dyDescent="0.25">
      <c r="A10" s="146" t="s">
        <v>4</v>
      </c>
      <c r="B10" s="147">
        <v>560</v>
      </c>
    </row>
    <row r="11" spans="1:2" x14ac:dyDescent="0.25">
      <c r="A11" s="146" t="s">
        <v>7</v>
      </c>
      <c r="B11" s="147">
        <v>42</v>
      </c>
    </row>
    <row r="12" spans="1:2" x14ac:dyDescent="0.25">
      <c r="A12" s="146" t="s">
        <v>18</v>
      </c>
      <c r="B12" s="147">
        <v>18</v>
      </c>
    </row>
    <row r="13" spans="1:2" x14ac:dyDescent="0.25">
      <c r="A13" s="146" t="s">
        <v>17</v>
      </c>
      <c r="B13" s="147">
        <v>372</v>
      </c>
    </row>
    <row r="14" spans="1:2" x14ac:dyDescent="0.25">
      <c r="A14" s="146" t="s">
        <v>9</v>
      </c>
      <c r="B14" s="147">
        <v>154</v>
      </c>
    </row>
    <row r="15" spans="1:2" x14ac:dyDescent="0.25">
      <c r="A15" s="146" t="s">
        <v>11</v>
      </c>
      <c r="B15" s="147">
        <v>469</v>
      </c>
    </row>
    <row r="16" spans="1:2" ht="15.75" thickBot="1" x14ac:dyDescent="0.3">
      <c r="A16" s="142" t="s">
        <v>151</v>
      </c>
      <c r="B16" s="143">
        <v>1615</v>
      </c>
    </row>
    <row r="17" spans="1:2" ht="15.75" thickTop="1" x14ac:dyDescent="0.25"/>
    <row r="24" spans="1:2" ht="15.75" thickBot="1" x14ac:dyDescent="0.3">
      <c r="A24" s="84" t="s">
        <v>204</v>
      </c>
    </row>
    <row r="25" spans="1:2" x14ac:dyDescent="0.25">
      <c r="A25" s="70" t="s">
        <v>143</v>
      </c>
      <c r="B25" t="s">
        <v>193</v>
      </c>
    </row>
    <row r="27" spans="1:2" x14ac:dyDescent="0.25">
      <c r="A27" s="70" t="s">
        <v>149</v>
      </c>
      <c r="B27" t="s">
        <v>180</v>
      </c>
    </row>
    <row r="28" spans="1:2" x14ac:dyDescent="0.25">
      <c r="A28" s="146" t="s">
        <v>4</v>
      </c>
      <c r="B28" s="147"/>
    </row>
    <row r="29" spans="1:2" x14ac:dyDescent="0.25">
      <c r="A29" s="146" t="s">
        <v>7</v>
      </c>
      <c r="B29" s="147">
        <v>1140</v>
      </c>
    </row>
    <row r="30" spans="1:2" x14ac:dyDescent="0.25">
      <c r="A30" s="146" t="s">
        <v>18</v>
      </c>
      <c r="B30" s="147">
        <v>75.25</v>
      </c>
    </row>
    <row r="31" spans="1:2" x14ac:dyDescent="0.25">
      <c r="A31" s="146" t="s">
        <v>17</v>
      </c>
      <c r="B31" s="147">
        <v>12345.000000000004</v>
      </c>
    </row>
    <row r="32" spans="1:2" x14ac:dyDescent="0.25">
      <c r="A32" s="146" t="s">
        <v>9</v>
      </c>
      <c r="B32" s="147">
        <v>3509</v>
      </c>
    </row>
    <row r="33" spans="1:2" x14ac:dyDescent="0.25">
      <c r="A33" s="146" t="s">
        <v>11</v>
      </c>
      <c r="B33" s="147">
        <v>11560</v>
      </c>
    </row>
    <row r="34" spans="1:2" ht="15.75" thickBot="1" x14ac:dyDescent="0.3">
      <c r="A34" s="142" t="s">
        <v>151</v>
      </c>
      <c r="B34" s="143">
        <v>28629.250000000004</v>
      </c>
    </row>
    <row r="35" spans="1:2" ht="15.75" thickTop="1" x14ac:dyDescent="0.25"/>
    <row r="43" spans="1:2" ht="15.75" thickBot="1" x14ac:dyDescent="0.3">
      <c r="A43" s="84" t="s">
        <v>205</v>
      </c>
    </row>
    <row r="44" spans="1:2" x14ac:dyDescent="0.25">
      <c r="A44" s="70" t="s">
        <v>143</v>
      </c>
      <c r="B44" t="s">
        <v>193</v>
      </c>
    </row>
    <row r="46" spans="1:2" x14ac:dyDescent="0.25">
      <c r="A46" s="70" t="s">
        <v>149</v>
      </c>
      <c r="B46" t="s">
        <v>180</v>
      </c>
    </row>
    <row r="47" spans="1:2" x14ac:dyDescent="0.25">
      <c r="A47" s="146" t="s">
        <v>62</v>
      </c>
      <c r="B47" s="147">
        <v>17572.140000000003</v>
      </c>
    </row>
    <row r="48" spans="1:2" x14ac:dyDescent="0.25">
      <c r="A48" s="146" t="s">
        <v>98</v>
      </c>
      <c r="B48" s="147">
        <v>9999</v>
      </c>
    </row>
    <row r="49" spans="1:2" ht="15.75" thickBot="1" x14ac:dyDescent="0.3">
      <c r="A49" s="142" t="s">
        <v>151</v>
      </c>
      <c r="B49" s="143">
        <v>27571.140000000003</v>
      </c>
    </row>
    <row r="50" spans="1:2" ht="15.75" thickTop="1" x14ac:dyDescent="0.25"/>
    <row r="57" spans="1:2" ht="15.75" thickBot="1" x14ac:dyDescent="0.3">
      <c r="A57" s="84" t="s">
        <v>206</v>
      </c>
    </row>
    <row r="58" spans="1:2" x14ac:dyDescent="0.25">
      <c r="A58" s="70" t="s">
        <v>143</v>
      </c>
      <c r="B58" t="s">
        <v>193</v>
      </c>
    </row>
    <row r="60" spans="1:2" x14ac:dyDescent="0.25">
      <c r="A60" s="70" t="s">
        <v>149</v>
      </c>
      <c r="B60" t="s">
        <v>179</v>
      </c>
    </row>
    <row r="61" spans="1:2" x14ac:dyDescent="0.25">
      <c r="A61" s="146" t="s">
        <v>62</v>
      </c>
      <c r="B61" s="147">
        <v>1216</v>
      </c>
    </row>
    <row r="62" spans="1:2" x14ac:dyDescent="0.25">
      <c r="A62" s="146" t="s">
        <v>98</v>
      </c>
      <c r="B62" s="147">
        <v>341</v>
      </c>
    </row>
    <row r="63" spans="1:2" ht="15.75" thickBot="1" x14ac:dyDescent="0.3">
      <c r="A63" s="142" t="s">
        <v>151</v>
      </c>
      <c r="B63" s="143">
        <v>1557</v>
      </c>
    </row>
    <row r="64" spans="1:2" ht="15.75" thickTop="1" x14ac:dyDescent="0.25"/>
    <row r="72" spans="1:3" ht="15.75" thickBot="1" x14ac:dyDescent="0.3">
      <c r="A72" s="84" t="s">
        <v>207</v>
      </c>
    </row>
    <row r="73" spans="1:3" x14ac:dyDescent="0.25">
      <c r="A73" s="70" t="s">
        <v>143</v>
      </c>
      <c r="B73" t="s">
        <v>193</v>
      </c>
    </row>
    <row r="75" spans="1:3" x14ac:dyDescent="0.25">
      <c r="A75" s="70" t="s">
        <v>149</v>
      </c>
      <c r="B75" t="s">
        <v>180</v>
      </c>
    </row>
    <row r="76" spans="1:3" x14ac:dyDescent="0.25">
      <c r="A76" s="146" t="s">
        <v>63</v>
      </c>
      <c r="B76" s="147">
        <v>3892.86</v>
      </c>
    </row>
    <row r="77" spans="1:3" x14ac:dyDescent="0.25">
      <c r="A77" s="146" t="s">
        <v>61</v>
      </c>
      <c r="B77" s="147">
        <v>23678.280000000002</v>
      </c>
      <c r="C77" s="107"/>
    </row>
    <row r="78" spans="1:3" ht="15.75" thickBot="1" x14ac:dyDescent="0.3">
      <c r="A78" s="142" t="s">
        <v>151</v>
      </c>
      <c r="B78" s="143">
        <v>27571.140000000003</v>
      </c>
    </row>
    <row r="79" spans="1:3" ht="15.75" thickTop="1" x14ac:dyDescent="0.25"/>
    <row r="87" spans="1:2" ht="15.75" thickBot="1" x14ac:dyDescent="0.3">
      <c r="A87" s="84" t="s">
        <v>208</v>
      </c>
    </row>
    <row r="88" spans="1:2" x14ac:dyDescent="0.25">
      <c r="A88" s="70" t="s">
        <v>143</v>
      </c>
      <c r="B88" t="s">
        <v>193</v>
      </c>
    </row>
    <row r="90" spans="1:2" x14ac:dyDescent="0.25">
      <c r="A90" s="70" t="s">
        <v>149</v>
      </c>
      <c r="B90" t="s">
        <v>179</v>
      </c>
    </row>
    <row r="91" spans="1:2" x14ac:dyDescent="0.25">
      <c r="A91" s="146" t="s">
        <v>63</v>
      </c>
      <c r="B91" s="147">
        <v>255</v>
      </c>
    </row>
    <row r="92" spans="1:2" x14ac:dyDescent="0.25">
      <c r="A92" s="146" t="s">
        <v>61</v>
      </c>
      <c r="B92" s="147">
        <v>1302</v>
      </c>
    </row>
    <row r="93" spans="1:2" ht="15.75" thickBot="1" x14ac:dyDescent="0.3">
      <c r="A93" s="142" t="s">
        <v>151</v>
      </c>
      <c r="B93" s="143">
        <v>1557</v>
      </c>
    </row>
    <row r="94" spans="1:2" ht="15.75" thickTop="1" x14ac:dyDescent="0.25"/>
    <row r="106" spans="1:2" x14ac:dyDescent="0.25">
      <c r="A106" s="70" t="s">
        <v>143</v>
      </c>
      <c r="B106" t="s">
        <v>193</v>
      </c>
    </row>
    <row r="108" spans="1:2" x14ac:dyDescent="0.25">
      <c r="A108" s="70" t="s">
        <v>149</v>
      </c>
      <c r="B108" t="s">
        <v>179</v>
      </c>
    </row>
    <row r="109" spans="1:2" x14ac:dyDescent="0.25">
      <c r="A109" s="115" t="s">
        <v>144</v>
      </c>
      <c r="B109" s="114">
        <v>189</v>
      </c>
    </row>
    <row r="110" spans="1:2" x14ac:dyDescent="0.25">
      <c r="A110" s="115" t="s">
        <v>168</v>
      </c>
      <c r="B110" s="114">
        <v>7</v>
      </c>
    </row>
    <row r="111" spans="1:2" x14ac:dyDescent="0.25">
      <c r="A111" s="115" t="s">
        <v>172</v>
      </c>
      <c r="B111" s="114">
        <v>18</v>
      </c>
    </row>
    <row r="112" spans="1:2" x14ac:dyDescent="0.25">
      <c r="A112" s="115" t="s">
        <v>174</v>
      </c>
      <c r="B112" s="114">
        <v>98</v>
      </c>
    </row>
    <row r="113" spans="1:2" x14ac:dyDescent="0.25">
      <c r="A113" s="115" t="s">
        <v>166</v>
      </c>
      <c r="B113" s="114">
        <v>42</v>
      </c>
    </row>
    <row r="114" spans="1:2" x14ac:dyDescent="0.25">
      <c r="A114" s="115" t="s">
        <v>173</v>
      </c>
      <c r="B114" s="114">
        <v>14</v>
      </c>
    </row>
    <row r="115" spans="1:2" x14ac:dyDescent="0.25">
      <c r="A115" s="115" t="s">
        <v>167</v>
      </c>
      <c r="B115" s="114">
        <v>35</v>
      </c>
    </row>
    <row r="116" spans="1:2" x14ac:dyDescent="0.25">
      <c r="A116" s="115" t="s">
        <v>170</v>
      </c>
      <c r="B116" s="114">
        <v>42</v>
      </c>
    </row>
    <row r="117" spans="1:2" x14ac:dyDescent="0.25">
      <c r="A117" s="115" t="s">
        <v>13</v>
      </c>
      <c r="B117" s="114">
        <v>60</v>
      </c>
    </row>
    <row r="118" spans="1:2" x14ac:dyDescent="0.25">
      <c r="A118" s="115" t="s">
        <v>12</v>
      </c>
      <c r="B118" s="114">
        <v>630</v>
      </c>
    </row>
    <row r="119" spans="1:2" x14ac:dyDescent="0.25">
      <c r="A119" s="115" t="s">
        <v>171</v>
      </c>
      <c r="B119" s="114">
        <v>189</v>
      </c>
    </row>
    <row r="120" spans="1:2" x14ac:dyDescent="0.25">
      <c r="A120" s="115" t="s">
        <v>169</v>
      </c>
      <c r="B120" s="114">
        <v>56</v>
      </c>
    </row>
    <row r="121" spans="1:2" x14ac:dyDescent="0.25">
      <c r="A121" s="115" t="s">
        <v>165</v>
      </c>
      <c r="B121" s="114">
        <v>210</v>
      </c>
    </row>
    <row r="122" spans="1:2" x14ac:dyDescent="0.25">
      <c r="A122" s="115" t="s">
        <v>150</v>
      </c>
      <c r="B122" s="114">
        <v>25</v>
      </c>
    </row>
    <row r="123" spans="1:2" x14ac:dyDescent="0.25">
      <c r="A123" s="93" t="s">
        <v>151</v>
      </c>
      <c r="B123" s="94">
        <v>1615</v>
      </c>
    </row>
  </sheetData>
  <pageMargins left="0.7" right="0.7" top="0.75" bottom="0.75" header="0.3" footer="0.3"/>
  <drawing r:id="rId8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6"/>
  <sheetViews>
    <sheetView workbookViewId="0">
      <selection activeCell="B8" sqref="B8"/>
    </sheetView>
  </sheetViews>
  <sheetFormatPr baseColWidth="10" defaultRowHeight="15" x14ac:dyDescent="0.25"/>
  <cols>
    <col min="1" max="1" width="11.42578125" customWidth="1"/>
    <col min="2" max="2" width="10" customWidth="1"/>
    <col min="3" max="3" width="13.5703125" customWidth="1"/>
    <col min="4" max="4" width="13.42578125" customWidth="1"/>
    <col min="5" max="5" width="11.42578125" customWidth="1"/>
  </cols>
  <sheetData>
    <row r="1" spans="1:10" ht="40.5" customHeight="1" thickBot="1" x14ac:dyDescent="0.3">
      <c r="C1" s="320" t="s">
        <v>232</v>
      </c>
      <c r="D1" s="320"/>
      <c r="E1" s="320"/>
      <c r="F1" s="320"/>
      <c r="G1" s="320"/>
    </row>
    <row r="2" spans="1:10" ht="15.75" thickTop="1" x14ac:dyDescent="0.25"/>
    <row r="4" spans="1:10" ht="18" thickBot="1" x14ac:dyDescent="0.35">
      <c r="A4" s="120" t="s">
        <v>222</v>
      </c>
      <c r="B4" s="101"/>
      <c r="C4" s="102"/>
      <c r="D4" s="170" t="s">
        <v>221</v>
      </c>
      <c r="E4" s="171"/>
      <c r="F4" s="171"/>
      <c r="G4" s="171"/>
      <c r="H4" s="171"/>
      <c r="I4" s="171"/>
      <c r="J4" s="171"/>
    </row>
    <row r="5" spans="1:10" ht="18.75" thickTop="1" thickBot="1" x14ac:dyDescent="0.35">
      <c r="A5" s="172"/>
      <c r="B5" s="102"/>
      <c r="C5" s="102"/>
      <c r="D5" s="170"/>
      <c r="E5" s="171"/>
      <c r="F5" s="84" t="s">
        <v>217</v>
      </c>
      <c r="G5" s="84"/>
      <c r="H5" s="84"/>
      <c r="J5" s="171"/>
    </row>
    <row r="7" spans="1:10" ht="45" x14ac:dyDescent="0.25">
      <c r="A7" s="167" t="s">
        <v>21</v>
      </c>
      <c r="B7" s="167" t="s">
        <v>215</v>
      </c>
      <c r="C7" s="167" t="s">
        <v>213</v>
      </c>
      <c r="D7" s="167" t="s">
        <v>214</v>
      </c>
      <c r="F7" s="167" t="s">
        <v>21</v>
      </c>
      <c r="G7" s="167" t="s">
        <v>218</v>
      </c>
      <c r="H7" s="167" t="s">
        <v>219</v>
      </c>
      <c r="I7" s="167" t="s">
        <v>220</v>
      </c>
    </row>
    <row r="8" spans="1:10" x14ac:dyDescent="0.25">
      <c r="A8" s="129" t="s">
        <v>210</v>
      </c>
      <c r="B8" s="168"/>
      <c r="C8" s="168"/>
      <c r="D8" s="168" t="s">
        <v>216</v>
      </c>
      <c r="F8" s="129" t="s">
        <v>210</v>
      </c>
      <c r="G8" s="168"/>
      <c r="H8" s="168"/>
      <c r="I8" s="168" t="s">
        <v>216</v>
      </c>
    </row>
    <row r="9" spans="1:10" x14ac:dyDescent="0.25">
      <c r="A9" s="129" t="s">
        <v>211</v>
      </c>
      <c r="B9" s="168"/>
      <c r="C9" s="168"/>
      <c r="D9" s="168" t="s">
        <v>216</v>
      </c>
      <c r="F9" s="129" t="s">
        <v>211</v>
      </c>
      <c r="G9" s="168"/>
      <c r="H9" s="168"/>
      <c r="I9" s="168" t="s">
        <v>216</v>
      </c>
    </row>
    <row r="10" spans="1:10" x14ac:dyDescent="0.25">
      <c r="A10" s="129" t="s">
        <v>212</v>
      </c>
      <c r="B10" s="168"/>
      <c r="C10" s="168"/>
      <c r="D10" s="168" t="s">
        <v>216</v>
      </c>
      <c r="F10" s="129" t="s">
        <v>212</v>
      </c>
      <c r="G10" s="168"/>
      <c r="H10" s="168"/>
      <c r="I10" s="168" t="s">
        <v>216</v>
      </c>
    </row>
    <row r="11" spans="1:10" ht="15.75" thickBot="1" x14ac:dyDescent="0.3">
      <c r="A11" s="166" t="s">
        <v>142</v>
      </c>
      <c r="B11" s="166"/>
      <c r="C11" s="166"/>
      <c r="D11" s="169" t="s">
        <v>216</v>
      </c>
      <c r="F11" s="166" t="s">
        <v>142</v>
      </c>
      <c r="G11" s="166"/>
      <c r="H11" s="166"/>
      <c r="I11" s="169" t="s">
        <v>216</v>
      </c>
    </row>
    <row r="12" spans="1:10" ht="15.75" thickTop="1" x14ac:dyDescent="0.25"/>
    <row r="15" spans="1:10" ht="18" thickBot="1" x14ac:dyDescent="0.35">
      <c r="A15" s="120" t="s">
        <v>223</v>
      </c>
      <c r="B15" s="101"/>
      <c r="C15" s="102"/>
      <c r="D15" s="170" t="s">
        <v>224</v>
      </c>
    </row>
    <row r="16" spans="1:10" ht="15.75" thickTop="1" x14ac:dyDescent="0.25"/>
    <row r="17" spans="1:6" ht="30" x14ac:dyDescent="0.25">
      <c r="A17" s="167" t="s">
        <v>225</v>
      </c>
      <c r="B17" s="167" t="s">
        <v>21</v>
      </c>
      <c r="C17" s="167" t="s">
        <v>226</v>
      </c>
      <c r="D17" s="167" t="s">
        <v>227</v>
      </c>
    </row>
    <row r="18" spans="1:6" x14ac:dyDescent="0.25">
      <c r="A18" s="168"/>
      <c r="B18" s="168"/>
      <c r="C18" s="168"/>
      <c r="D18" s="168"/>
    </row>
    <row r="19" spans="1:6" x14ac:dyDescent="0.25">
      <c r="A19" s="168"/>
      <c r="B19" s="168"/>
      <c r="C19" s="168"/>
      <c r="D19" s="168"/>
    </row>
    <row r="20" spans="1:6" x14ac:dyDescent="0.25">
      <c r="A20" s="168"/>
      <c r="B20" s="168"/>
      <c r="C20" s="168"/>
      <c r="D20" s="168"/>
    </row>
    <row r="21" spans="1:6" ht="15.75" thickBot="1" x14ac:dyDescent="0.3">
      <c r="A21" s="169" t="s">
        <v>228</v>
      </c>
      <c r="B21" s="166" t="s">
        <v>229</v>
      </c>
      <c r="C21" s="166"/>
      <c r="D21" s="169"/>
    </row>
    <row r="22" spans="1:6" ht="15.75" thickTop="1" x14ac:dyDescent="0.25"/>
    <row r="25" spans="1:6" ht="18" thickBot="1" x14ac:dyDescent="0.35">
      <c r="A25" s="120" t="s">
        <v>230</v>
      </c>
      <c r="F25" s="170" t="s">
        <v>231</v>
      </c>
    </row>
    <row r="26" spans="1:6" ht="15.75" thickTop="1" x14ac:dyDescent="0.2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8:I41"/>
  <sheetViews>
    <sheetView topLeftCell="A7" workbookViewId="0">
      <selection activeCell="A12" sqref="A12"/>
    </sheetView>
  </sheetViews>
  <sheetFormatPr baseColWidth="10" defaultRowHeight="15" x14ac:dyDescent="0.25"/>
  <cols>
    <col min="1" max="1" width="31.42578125" customWidth="1"/>
    <col min="2" max="2" width="23.85546875" customWidth="1"/>
    <col min="3" max="3" width="4.5703125" customWidth="1"/>
    <col min="4" max="4" width="4.140625" customWidth="1"/>
    <col min="5" max="5" width="12.42578125" bestFit="1" customWidth="1"/>
    <col min="8" max="8" width="21" bestFit="1" customWidth="1"/>
    <col min="9" max="9" width="21.85546875" customWidth="1"/>
    <col min="10" max="10" width="3" customWidth="1"/>
    <col min="11" max="11" width="12.42578125" bestFit="1" customWidth="1"/>
  </cols>
  <sheetData>
    <row r="8" spans="1:9" ht="15.75" thickBot="1" x14ac:dyDescent="0.3">
      <c r="A8" s="84" t="s">
        <v>195</v>
      </c>
      <c r="B8" s="84"/>
      <c r="H8" s="84" t="s">
        <v>198</v>
      </c>
      <c r="I8" s="84"/>
    </row>
    <row r="10" spans="1:9" x14ac:dyDescent="0.25">
      <c r="H10" s="70" t="s">
        <v>22</v>
      </c>
      <c r="I10" t="s">
        <v>193</v>
      </c>
    </row>
    <row r="11" spans="1:9" x14ac:dyDescent="0.25">
      <c r="A11" s="70" t="s">
        <v>194</v>
      </c>
      <c r="B11" s="70" t="s">
        <v>175</v>
      </c>
    </row>
    <row r="12" spans="1:9" ht="75" x14ac:dyDescent="0.25">
      <c r="A12" s="70" t="s">
        <v>149</v>
      </c>
      <c r="B12" t="s">
        <v>63</v>
      </c>
      <c r="C12" t="s">
        <v>61</v>
      </c>
      <c r="D12" s="119" t="s">
        <v>151</v>
      </c>
      <c r="H12" s="70" t="s">
        <v>149</v>
      </c>
      <c r="I12" t="s">
        <v>194</v>
      </c>
    </row>
    <row r="13" spans="1:9" x14ac:dyDescent="0.25">
      <c r="A13" s="60" t="s">
        <v>62</v>
      </c>
      <c r="B13" s="62">
        <v>17</v>
      </c>
      <c r="C13" s="62">
        <v>74</v>
      </c>
      <c r="D13" s="62">
        <v>91</v>
      </c>
      <c r="H13" s="60" t="s">
        <v>62</v>
      </c>
      <c r="I13" s="62">
        <v>28</v>
      </c>
    </row>
    <row r="14" spans="1:9" x14ac:dyDescent="0.25">
      <c r="A14" s="60" t="s">
        <v>98</v>
      </c>
      <c r="B14" s="62">
        <v>16</v>
      </c>
      <c r="C14" s="62">
        <v>30</v>
      </c>
      <c r="D14" s="62">
        <v>46</v>
      </c>
      <c r="H14" s="60" t="s">
        <v>98</v>
      </c>
      <c r="I14" s="62">
        <v>12</v>
      </c>
    </row>
    <row r="15" spans="1:9" x14ac:dyDescent="0.25">
      <c r="A15" s="60" t="s">
        <v>101</v>
      </c>
      <c r="B15" s="62">
        <v>2</v>
      </c>
      <c r="C15" s="62">
        <v>1</v>
      </c>
      <c r="D15" s="62">
        <v>3</v>
      </c>
      <c r="H15" s="60" t="s">
        <v>151</v>
      </c>
      <c r="I15" s="62">
        <v>40</v>
      </c>
    </row>
    <row r="16" spans="1:9" x14ac:dyDescent="0.25">
      <c r="A16" s="60" t="s">
        <v>151</v>
      </c>
      <c r="B16" s="62">
        <v>35</v>
      </c>
      <c r="C16" s="62">
        <v>105</v>
      </c>
      <c r="D16" s="62">
        <v>140</v>
      </c>
    </row>
    <row r="20" spans="1:1" x14ac:dyDescent="0.25">
      <c r="A20" t="s">
        <v>199</v>
      </c>
    </row>
    <row r="23" spans="1:1" x14ac:dyDescent="0.25">
      <c r="A23" t="s">
        <v>196</v>
      </c>
    </row>
    <row r="26" spans="1:1" x14ac:dyDescent="0.25">
      <c r="A26" t="s">
        <v>197</v>
      </c>
    </row>
    <row r="29" spans="1:1" x14ac:dyDescent="0.25">
      <c r="A29" t="s">
        <v>200</v>
      </c>
    </row>
    <row r="33" spans="1:6" ht="15.75" thickBot="1" x14ac:dyDescent="0.3">
      <c r="A33" s="84" t="s">
        <v>202</v>
      </c>
      <c r="B33" s="84"/>
    </row>
    <row r="35" spans="1:6" x14ac:dyDescent="0.25">
      <c r="A35" s="70" t="s">
        <v>25</v>
      </c>
      <c r="B35" t="s">
        <v>178</v>
      </c>
    </row>
    <row r="37" spans="1:6" x14ac:dyDescent="0.25">
      <c r="A37" s="70" t="s">
        <v>201</v>
      </c>
      <c r="B37" s="70" t="s">
        <v>175</v>
      </c>
    </row>
    <row r="38" spans="1:6" x14ac:dyDescent="0.25">
      <c r="A38" s="70" t="s">
        <v>149</v>
      </c>
      <c r="B38" t="s">
        <v>29</v>
      </c>
      <c r="C38" t="s">
        <v>28</v>
      </c>
      <c r="D38" t="s">
        <v>6</v>
      </c>
      <c r="E38" t="s">
        <v>151</v>
      </c>
      <c r="F38" s="116"/>
    </row>
    <row r="39" spans="1:6" ht="20.25" thickBot="1" x14ac:dyDescent="0.35">
      <c r="A39" s="60" t="s">
        <v>6</v>
      </c>
      <c r="B39" s="62">
        <v>9</v>
      </c>
      <c r="C39" s="62">
        <v>30</v>
      </c>
      <c r="D39" s="62">
        <v>85</v>
      </c>
      <c r="E39" s="62">
        <v>124</v>
      </c>
      <c r="F39" s="118">
        <f>(B39+D39)/E39</f>
        <v>0.75806451612903225</v>
      </c>
    </row>
    <row r="40" spans="1:6" ht="15.75" thickTop="1" x14ac:dyDescent="0.25">
      <c r="A40" s="60" t="s">
        <v>28</v>
      </c>
      <c r="B40" s="62"/>
      <c r="C40" s="62">
        <v>7</v>
      </c>
      <c r="D40" s="62"/>
      <c r="E40" s="62">
        <v>7</v>
      </c>
      <c r="F40" s="62"/>
    </row>
    <row r="41" spans="1:6" x14ac:dyDescent="0.25">
      <c r="A41" s="60" t="s">
        <v>151</v>
      </c>
      <c r="B41" s="62">
        <v>9</v>
      </c>
      <c r="C41" s="62">
        <v>37</v>
      </c>
      <c r="D41" s="62">
        <v>85</v>
      </c>
      <c r="E41" s="62">
        <v>131</v>
      </c>
      <c r="F41" s="11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251"/>
  <sheetViews>
    <sheetView topLeftCell="P1" workbookViewId="0">
      <selection activeCell="P1" sqref="P1"/>
    </sheetView>
  </sheetViews>
  <sheetFormatPr baseColWidth="10" defaultRowHeight="15" x14ac:dyDescent="0.25"/>
  <cols>
    <col min="2" max="2" width="10.85546875" style="56"/>
    <col min="4" max="4" width="17.85546875" bestFit="1" customWidth="1"/>
    <col min="14" max="14" width="22.140625" bestFit="1" customWidth="1"/>
    <col min="18" max="18" width="14.5703125" customWidth="1"/>
    <col min="20" max="20" width="22.140625" bestFit="1" customWidth="1"/>
    <col min="21" max="21" width="14.5703125" customWidth="1"/>
    <col min="22" max="22" width="27.28515625" customWidth="1"/>
    <col min="23" max="23" width="7.5703125" bestFit="1" customWidth="1"/>
    <col min="24" max="24" width="26.140625" bestFit="1" customWidth="1"/>
    <col min="27" max="27" width="12.5703125" customWidth="1"/>
  </cols>
  <sheetData>
    <row r="1" spans="1:28" ht="45.75" thickBot="1" x14ac:dyDescent="0.4">
      <c r="A1" s="182"/>
      <c r="D1" s="32"/>
      <c r="I1" s="7"/>
      <c r="J1" s="7"/>
      <c r="L1" s="7"/>
      <c r="M1" s="7"/>
      <c r="O1" s="24" t="s">
        <v>58</v>
      </c>
      <c r="P1" s="24" t="s">
        <v>59</v>
      </c>
      <c r="Q1" s="321" t="s">
        <v>76</v>
      </c>
      <c r="R1" s="322"/>
      <c r="S1" s="323" t="s">
        <v>60</v>
      </c>
      <c r="T1" s="322"/>
      <c r="U1" s="24" t="s">
        <v>54</v>
      </c>
      <c r="V1" s="294" t="s">
        <v>41</v>
      </c>
      <c r="W1" s="23" t="s">
        <v>39</v>
      </c>
      <c r="X1" s="23" t="s">
        <v>139</v>
      </c>
      <c r="Y1" s="23" t="s">
        <v>25</v>
      </c>
      <c r="Z1" s="61" t="s">
        <v>146</v>
      </c>
      <c r="AA1" s="42" t="s">
        <v>27</v>
      </c>
      <c r="AB1" s="26"/>
    </row>
    <row r="2" spans="1:28" ht="15.75" thickTop="1" x14ac:dyDescent="0.25">
      <c r="A2" s="182"/>
      <c r="D2" s="29"/>
      <c r="I2" s="7"/>
      <c r="J2" s="7"/>
      <c r="L2" s="7"/>
      <c r="M2" s="7"/>
      <c r="O2" s="35">
        <v>151.66</v>
      </c>
      <c r="P2" s="46">
        <v>0.5</v>
      </c>
      <c r="Q2" s="47">
        <v>12</v>
      </c>
      <c r="R2" s="49" t="s">
        <v>2</v>
      </c>
      <c r="S2" s="47">
        <v>12</v>
      </c>
      <c r="T2" s="51" t="s">
        <v>235</v>
      </c>
      <c r="U2" s="35" t="s">
        <v>4</v>
      </c>
      <c r="V2" s="35" t="s">
        <v>1323</v>
      </c>
      <c r="W2" s="47">
        <v>1</v>
      </c>
      <c r="X2" s="38" t="s">
        <v>1444</v>
      </c>
      <c r="Y2" s="40" t="s">
        <v>257</v>
      </c>
      <c r="Z2" s="68" t="s">
        <v>147</v>
      </c>
      <c r="AA2" s="43" t="s">
        <v>6</v>
      </c>
      <c r="AB2" s="28"/>
    </row>
    <row r="3" spans="1:28" x14ac:dyDescent="0.25">
      <c r="A3" s="182"/>
      <c r="D3" s="33" t="s">
        <v>65</v>
      </c>
      <c r="E3" s="34">
        <v>43430</v>
      </c>
      <c r="I3" s="52"/>
      <c r="J3" s="7"/>
      <c r="L3" s="7"/>
      <c r="M3" s="7"/>
      <c r="N3" s="29"/>
      <c r="O3" s="29"/>
      <c r="P3" s="29"/>
      <c r="Q3" s="48">
        <v>13</v>
      </c>
      <c r="R3" s="50" t="s">
        <v>93</v>
      </c>
      <c r="S3" s="48">
        <v>13</v>
      </c>
      <c r="T3" s="50" t="s">
        <v>236</v>
      </c>
      <c r="U3" s="36" t="s">
        <v>11</v>
      </c>
      <c r="V3" s="36" t="s">
        <v>1346</v>
      </c>
      <c r="W3" s="48">
        <v>2</v>
      </c>
      <c r="X3" s="39" t="s">
        <v>1445</v>
      </c>
      <c r="Y3" s="41" t="s">
        <v>258</v>
      </c>
      <c r="Z3" s="69" t="s">
        <v>148</v>
      </c>
      <c r="AA3" s="44" t="s">
        <v>28</v>
      </c>
      <c r="AB3" s="28"/>
    </row>
    <row r="4" spans="1:28" x14ac:dyDescent="0.25">
      <c r="I4" s="7"/>
      <c r="J4" s="7"/>
      <c r="L4" s="7"/>
      <c r="M4" s="7"/>
      <c r="N4" s="29"/>
      <c r="O4" s="29"/>
      <c r="P4" s="29"/>
      <c r="Q4" s="47">
        <v>22</v>
      </c>
      <c r="R4" s="49" t="s">
        <v>64</v>
      </c>
      <c r="S4" s="47">
        <v>22</v>
      </c>
      <c r="T4" s="51" t="s">
        <v>237</v>
      </c>
      <c r="U4" s="35" t="s">
        <v>17</v>
      </c>
      <c r="V4" s="35" t="s">
        <v>1326</v>
      </c>
      <c r="W4" s="47">
        <v>3</v>
      </c>
      <c r="X4" s="38" t="s">
        <v>1446</v>
      </c>
      <c r="Y4" s="40" t="s">
        <v>259</v>
      </c>
      <c r="AA4" s="43" t="s">
        <v>29</v>
      </c>
    </row>
    <row r="5" spans="1:28" x14ac:dyDescent="0.25">
      <c r="I5" s="7"/>
      <c r="J5" s="7"/>
      <c r="L5" s="7"/>
      <c r="M5" s="7"/>
      <c r="N5" s="29"/>
      <c r="O5" s="29"/>
      <c r="P5" s="29"/>
      <c r="Q5" s="48">
        <v>23</v>
      </c>
      <c r="R5" s="50" t="s">
        <v>68</v>
      </c>
      <c r="S5" s="48">
        <v>23</v>
      </c>
      <c r="T5" s="50" t="s">
        <v>238</v>
      </c>
      <c r="U5" s="36" t="s">
        <v>9</v>
      </c>
      <c r="V5" s="35" t="s">
        <v>1336</v>
      </c>
      <c r="W5" s="29"/>
      <c r="Y5" s="41" t="s">
        <v>260</v>
      </c>
      <c r="AA5" s="44" t="s">
        <v>30</v>
      </c>
    </row>
    <row r="6" spans="1:28" x14ac:dyDescent="0.25">
      <c r="I6" s="7"/>
      <c r="J6" s="7"/>
      <c r="L6" s="7"/>
      <c r="M6" s="7"/>
      <c r="N6" s="29"/>
      <c r="O6" s="29"/>
      <c r="P6" s="29"/>
      <c r="Q6" s="47">
        <v>26</v>
      </c>
      <c r="R6" s="49" t="s">
        <v>67</v>
      </c>
      <c r="S6" s="47">
        <v>26</v>
      </c>
      <c r="T6" s="51" t="s">
        <v>235</v>
      </c>
      <c r="U6" s="35" t="s">
        <v>18</v>
      </c>
      <c r="V6" s="36" t="s">
        <v>1337</v>
      </c>
      <c r="W6" s="29"/>
      <c r="Y6" s="67"/>
      <c r="AA6" s="45" t="s">
        <v>31</v>
      </c>
    </row>
    <row r="7" spans="1:28" x14ac:dyDescent="0.25">
      <c r="I7" s="7"/>
      <c r="J7" s="7"/>
      <c r="L7" s="7"/>
      <c r="M7" s="7"/>
      <c r="N7" s="29"/>
      <c r="O7" s="29"/>
      <c r="P7" s="29"/>
      <c r="Q7" s="48">
        <v>100</v>
      </c>
      <c r="R7" s="50" t="s">
        <v>70</v>
      </c>
      <c r="S7" s="48">
        <v>100</v>
      </c>
      <c r="T7" s="50" t="s">
        <v>94</v>
      </c>
      <c r="U7" s="36" t="s">
        <v>19</v>
      </c>
      <c r="V7" s="36" t="s">
        <v>1338</v>
      </c>
      <c r="W7" s="29"/>
      <c r="Y7" s="55"/>
      <c r="AA7" s="55"/>
    </row>
    <row r="8" spans="1:28" x14ac:dyDescent="0.25">
      <c r="I8" s="7"/>
      <c r="J8" s="7"/>
      <c r="L8" s="7"/>
      <c r="M8" s="7"/>
      <c r="N8" s="29"/>
      <c r="O8" s="29"/>
      <c r="P8" s="29"/>
      <c r="Q8" s="47">
        <v>103</v>
      </c>
      <c r="R8" s="49" t="s">
        <v>70</v>
      </c>
      <c r="S8" s="47">
        <v>103</v>
      </c>
      <c r="T8" s="51" t="s">
        <v>94</v>
      </c>
      <c r="U8" s="37" t="s">
        <v>7</v>
      </c>
      <c r="V8" s="35" t="s">
        <v>1339</v>
      </c>
      <c r="W8" s="29"/>
      <c r="Y8" s="55"/>
      <c r="AA8" s="55"/>
    </row>
    <row r="9" spans="1:28" s="7" customFormat="1" x14ac:dyDescent="0.25">
      <c r="B9" s="57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1"/>
      <c r="O9" s="31"/>
      <c r="P9" s="31"/>
      <c r="Q9" s="48">
        <v>104</v>
      </c>
      <c r="R9" s="50" t="s">
        <v>70</v>
      </c>
      <c r="S9" s="48">
        <v>104</v>
      </c>
      <c r="T9" s="50" t="s">
        <v>94</v>
      </c>
      <c r="U9" s="27"/>
      <c r="V9" s="36" t="s">
        <v>1340</v>
      </c>
      <c r="W9" s="31"/>
      <c r="X9"/>
      <c r="Y9" s="31"/>
      <c r="Z9"/>
      <c r="AA9" s="31"/>
    </row>
    <row r="10" spans="1:28" x14ac:dyDescent="0.25">
      <c r="Q10" s="47" t="s">
        <v>3</v>
      </c>
      <c r="R10" s="49" t="s">
        <v>3</v>
      </c>
      <c r="S10" s="47" t="s">
        <v>3</v>
      </c>
      <c r="T10" s="51" t="s">
        <v>239</v>
      </c>
      <c r="V10" s="36" t="s">
        <v>1333</v>
      </c>
    </row>
    <row r="11" spans="1:28" x14ac:dyDescent="0.25">
      <c r="Q11" s="48" t="s">
        <v>66</v>
      </c>
      <c r="R11" s="50" t="s">
        <v>69</v>
      </c>
      <c r="S11" s="48" t="s">
        <v>66</v>
      </c>
      <c r="T11" s="50" t="s">
        <v>240</v>
      </c>
      <c r="V11" s="35" t="s">
        <v>1343</v>
      </c>
    </row>
    <row r="12" spans="1:28" x14ac:dyDescent="0.25">
      <c r="Q12" s="47" t="s">
        <v>77</v>
      </c>
      <c r="R12" s="49" t="s">
        <v>77</v>
      </c>
      <c r="S12" s="47" t="s">
        <v>77</v>
      </c>
      <c r="T12" s="51" t="s">
        <v>241</v>
      </c>
      <c r="V12" s="35" t="s">
        <v>1342</v>
      </c>
    </row>
    <row r="13" spans="1:28" x14ac:dyDescent="0.25">
      <c r="Q13" s="48" t="s">
        <v>78</v>
      </c>
      <c r="R13" s="50" t="s">
        <v>95</v>
      </c>
      <c r="S13" s="48" t="s">
        <v>78</v>
      </c>
      <c r="T13" s="50" t="s">
        <v>242</v>
      </c>
      <c r="V13" s="36" t="s">
        <v>1345</v>
      </c>
    </row>
    <row r="14" spans="1:28" x14ac:dyDescent="0.25">
      <c r="Q14" s="47" t="s">
        <v>79</v>
      </c>
      <c r="R14" s="49" t="s">
        <v>95</v>
      </c>
      <c r="S14" s="47" t="s">
        <v>79</v>
      </c>
      <c r="T14" s="51" t="s">
        <v>243</v>
      </c>
    </row>
    <row r="15" spans="1:28" x14ac:dyDescent="0.25">
      <c r="Q15" s="48" t="s">
        <v>80</v>
      </c>
      <c r="R15" s="50" t="s">
        <v>86</v>
      </c>
      <c r="S15" s="48" t="s">
        <v>80</v>
      </c>
      <c r="T15" s="50" t="s">
        <v>244</v>
      </c>
    </row>
    <row r="16" spans="1:28" ht="21" customHeight="1" thickBot="1" x14ac:dyDescent="0.3">
      <c r="A16" s="24" t="s">
        <v>56</v>
      </c>
      <c r="B16" s="58" t="s">
        <v>55</v>
      </c>
      <c r="C16" s="24" t="s">
        <v>53</v>
      </c>
      <c r="D16" s="24" t="s">
        <v>57</v>
      </c>
      <c r="E16" s="25" t="s">
        <v>20</v>
      </c>
      <c r="F16" s="25" t="s">
        <v>21</v>
      </c>
      <c r="G16" s="25" t="s">
        <v>22</v>
      </c>
      <c r="H16" s="25" t="s">
        <v>23</v>
      </c>
      <c r="I16" s="181" t="s">
        <v>72</v>
      </c>
      <c r="J16" s="181" t="s">
        <v>73</v>
      </c>
      <c r="K16" s="181" t="s">
        <v>74</v>
      </c>
      <c r="L16" s="181" t="s">
        <v>75</v>
      </c>
      <c r="M16" s="59" t="s">
        <v>1319</v>
      </c>
      <c r="N16" s="59" t="s">
        <v>0</v>
      </c>
      <c r="Q16" s="47" t="s">
        <v>81</v>
      </c>
      <c r="R16" s="49" t="s">
        <v>95</v>
      </c>
      <c r="S16" s="47" t="s">
        <v>81</v>
      </c>
      <c r="T16" s="51" t="s">
        <v>245</v>
      </c>
    </row>
    <row r="17" spans="1:20" ht="16.5" thickTop="1" x14ac:dyDescent="0.3">
      <c r="A17" s="174" t="s">
        <v>277</v>
      </c>
      <c r="B17" s="175" t="s">
        <v>1316</v>
      </c>
      <c r="C17" s="175" t="s">
        <v>278</v>
      </c>
      <c r="D17" s="175" t="s">
        <v>279</v>
      </c>
      <c r="E17" s="175" t="s">
        <v>61</v>
      </c>
      <c r="F17" s="175" t="s">
        <v>286</v>
      </c>
      <c r="G17" s="175">
        <v>47</v>
      </c>
      <c r="H17" s="175">
        <v>11</v>
      </c>
      <c r="I17" s="52"/>
      <c r="J17" s="52"/>
      <c r="K17">
        <f t="shared" ref="K17:K80" si="0">+ROUND((+$I17+$J17)/$O$2,2)</f>
        <v>0</v>
      </c>
      <c r="L17">
        <f t="shared" ref="L17:L79" si="1">+ROUND($K17*(1+$P$2),2)</f>
        <v>0</v>
      </c>
      <c r="M17" s="175" t="s">
        <v>281</v>
      </c>
      <c r="N17" s="175" t="s">
        <v>280</v>
      </c>
      <c r="Q17" s="47" t="s">
        <v>83</v>
      </c>
      <c r="R17" s="49" t="s">
        <v>95</v>
      </c>
      <c r="S17" s="47" t="s">
        <v>83</v>
      </c>
      <c r="T17" s="51" t="s">
        <v>246</v>
      </c>
    </row>
    <row r="18" spans="1:20" ht="15.75" x14ac:dyDescent="0.3">
      <c r="A18" s="174" t="s">
        <v>310</v>
      </c>
      <c r="B18" s="175" t="s">
        <v>1316</v>
      </c>
      <c r="C18" s="175" t="s">
        <v>311</v>
      </c>
      <c r="D18" s="175" t="s">
        <v>312</v>
      </c>
      <c r="E18" s="175" t="s">
        <v>61</v>
      </c>
      <c r="F18" s="175" t="s">
        <v>319</v>
      </c>
      <c r="G18" s="175">
        <v>24</v>
      </c>
      <c r="H18" s="175">
        <v>2</v>
      </c>
      <c r="I18" s="52"/>
      <c r="J18" s="52"/>
      <c r="K18">
        <f t="shared" si="0"/>
        <v>0</v>
      </c>
      <c r="L18">
        <f t="shared" si="1"/>
        <v>0</v>
      </c>
      <c r="M18" s="175" t="s">
        <v>315</v>
      </c>
      <c r="N18" s="175" t="s">
        <v>313</v>
      </c>
      <c r="Q18" s="48" t="s">
        <v>84</v>
      </c>
      <c r="R18" s="50" t="s">
        <v>71</v>
      </c>
      <c r="S18" s="48" t="s">
        <v>84</v>
      </c>
      <c r="T18" s="50" t="s">
        <v>247</v>
      </c>
    </row>
    <row r="19" spans="1:20" ht="15.75" x14ac:dyDescent="0.3">
      <c r="A19" s="174" t="s">
        <v>342</v>
      </c>
      <c r="B19" s="175" t="s">
        <v>1316</v>
      </c>
      <c r="C19" s="175" t="s">
        <v>280</v>
      </c>
      <c r="D19" s="175" t="s">
        <v>115</v>
      </c>
      <c r="E19" s="175" t="s">
        <v>61</v>
      </c>
      <c r="F19" s="175" t="s">
        <v>348</v>
      </c>
      <c r="G19" s="175">
        <v>51</v>
      </c>
      <c r="H19" s="175">
        <v>28</v>
      </c>
      <c r="I19" s="52"/>
      <c r="J19" s="52"/>
      <c r="K19">
        <f t="shared" si="0"/>
        <v>0</v>
      </c>
      <c r="L19">
        <f t="shared" si="1"/>
        <v>0</v>
      </c>
      <c r="M19" s="175" t="s">
        <v>315</v>
      </c>
      <c r="N19" s="175" t="s">
        <v>343</v>
      </c>
      <c r="Q19" s="47" t="s">
        <v>8</v>
      </c>
      <c r="R19" s="49" t="s">
        <v>3</v>
      </c>
      <c r="S19" s="47" t="s">
        <v>8</v>
      </c>
      <c r="T19" s="51" t="s">
        <v>239</v>
      </c>
    </row>
    <row r="20" spans="1:20" ht="15.75" x14ac:dyDescent="0.3">
      <c r="A20" s="174" t="s">
        <v>362</v>
      </c>
      <c r="B20" s="175" t="s">
        <v>1316</v>
      </c>
      <c r="C20" s="175" t="s">
        <v>1329</v>
      </c>
      <c r="D20" s="175" t="s">
        <v>363</v>
      </c>
      <c r="E20" s="175" t="s">
        <v>61</v>
      </c>
      <c r="F20" s="175" t="s">
        <v>366</v>
      </c>
      <c r="G20" s="175">
        <v>43</v>
      </c>
      <c r="H20" s="175">
        <v>12</v>
      </c>
      <c r="I20" s="52"/>
      <c r="J20" s="52"/>
      <c r="K20">
        <f t="shared" si="0"/>
        <v>0</v>
      </c>
      <c r="L20">
        <f t="shared" si="1"/>
        <v>0</v>
      </c>
      <c r="M20" s="175" t="s">
        <v>281</v>
      </c>
      <c r="N20" s="175" t="s">
        <v>364</v>
      </c>
      <c r="Q20" s="48" t="s">
        <v>85</v>
      </c>
      <c r="R20" s="50" t="s">
        <v>86</v>
      </c>
      <c r="S20" s="48" t="s">
        <v>85</v>
      </c>
      <c r="T20" s="50" t="s">
        <v>248</v>
      </c>
    </row>
    <row r="21" spans="1:20" ht="15.75" x14ac:dyDescent="0.3">
      <c r="A21" s="174" t="s">
        <v>368</v>
      </c>
      <c r="B21" s="175" t="s">
        <v>1316</v>
      </c>
      <c r="C21" s="175" t="s">
        <v>1330</v>
      </c>
      <c r="D21" s="175" t="s">
        <v>369</v>
      </c>
      <c r="E21" s="175" t="s">
        <v>61</v>
      </c>
      <c r="F21" s="175" t="s">
        <v>373</v>
      </c>
      <c r="G21" s="175">
        <v>52</v>
      </c>
      <c r="H21" s="175">
        <v>32</v>
      </c>
      <c r="I21" s="52"/>
      <c r="J21" s="52"/>
      <c r="K21">
        <f t="shared" si="0"/>
        <v>0</v>
      </c>
      <c r="L21">
        <f t="shared" si="1"/>
        <v>0</v>
      </c>
      <c r="M21" s="175" t="s">
        <v>281</v>
      </c>
      <c r="N21" s="175" t="s">
        <v>313</v>
      </c>
      <c r="Q21" s="47" t="s">
        <v>87</v>
      </c>
      <c r="R21" s="49" t="s">
        <v>86</v>
      </c>
      <c r="S21" s="47" t="s">
        <v>87</v>
      </c>
      <c r="T21" s="51" t="s">
        <v>249</v>
      </c>
    </row>
    <row r="22" spans="1:20" ht="15.75" x14ac:dyDescent="0.3">
      <c r="A22" s="174" t="s">
        <v>376</v>
      </c>
      <c r="B22" s="175" t="s">
        <v>1316</v>
      </c>
      <c r="C22" s="175" t="s">
        <v>377</v>
      </c>
      <c r="D22" s="175" t="s">
        <v>378</v>
      </c>
      <c r="E22" s="175" t="s">
        <v>61</v>
      </c>
      <c r="F22" s="175" t="s">
        <v>383</v>
      </c>
      <c r="G22" s="175">
        <v>56</v>
      </c>
      <c r="H22" s="175">
        <v>27</v>
      </c>
      <c r="I22" s="52"/>
      <c r="J22" s="52"/>
      <c r="K22">
        <f t="shared" si="0"/>
        <v>0</v>
      </c>
      <c r="L22">
        <f t="shared" si="1"/>
        <v>0</v>
      </c>
      <c r="M22" s="175" t="s">
        <v>315</v>
      </c>
      <c r="N22" s="175" t="s">
        <v>379</v>
      </c>
      <c r="Q22" s="48" t="s">
        <v>88</v>
      </c>
      <c r="R22" s="50" t="s">
        <v>86</v>
      </c>
      <c r="S22" s="48" t="s">
        <v>88</v>
      </c>
      <c r="T22" s="50" t="s">
        <v>250</v>
      </c>
    </row>
    <row r="23" spans="1:20" ht="15.75" x14ac:dyDescent="0.3">
      <c r="A23" s="174" t="s">
        <v>388</v>
      </c>
      <c r="B23" s="175" t="s">
        <v>1316</v>
      </c>
      <c r="C23" s="175" t="s">
        <v>389</v>
      </c>
      <c r="D23" s="175" t="s">
        <v>390</v>
      </c>
      <c r="E23" s="175" t="s">
        <v>61</v>
      </c>
      <c r="F23" s="175" t="s">
        <v>391</v>
      </c>
      <c r="G23" s="175">
        <v>55</v>
      </c>
      <c r="H23" s="175">
        <v>35</v>
      </c>
      <c r="I23" s="52"/>
      <c r="J23" s="52"/>
      <c r="K23">
        <f t="shared" si="0"/>
        <v>0</v>
      </c>
      <c r="L23">
        <f t="shared" si="1"/>
        <v>0</v>
      </c>
      <c r="M23" s="175" t="s">
        <v>281</v>
      </c>
      <c r="N23" s="175" t="s">
        <v>364</v>
      </c>
      <c r="Q23" s="47" t="s">
        <v>10</v>
      </c>
      <c r="R23" s="49" t="s">
        <v>86</v>
      </c>
      <c r="S23" s="47" t="s">
        <v>10</v>
      </c>
      <c r="T23" s="51" t="s">
        <v>251</v>
      </c>
    </row>
    <row r="24" spans="1:20" ht="15.75" x14ac:dyDescent="0.3">
      <c r="A24" s="174" t="s">
        <v>394</v>
      </c>
      <c r="B24" s="175" t="s">
        <v>1316</v>
      </c>
      <c r="C24" s="175" t="s">
        <v>395</v>
      </c>
      <c r="D24" s="175" t="s">
        <v>363</v>
      </c>
      <c r="E24" s="175" t="s">
        <v>61</v>
      </c>
      <c r="F24" s="175" t="s">
        <v>400</v>
      </c>
      <c r="G24" s="175">
        <v>47</v>
      </c>
      <c r="H24" s="175">
        <v>23</v>
      </c>
      <c r="I24" s="52"/>
      <c r="J24" s="52"/>
      <c r="K24">
        <f t="shared" si="0"/>
        <v>0</v>
      </c>
      <c r="L24">
        <f t="shared" si="1"/>
        <v>0</v>
      </c>
      <c r="M24" s="175" t="s">
        <v>315</v>
      </c>
      <c r="N24" s="175" t="s">
        <v>256</v>
      </c>
      <c r="Q24" s="48" t="s">
        <v>89</v>
      </c>
      <c r="R24" s="50" t="s">
        <v>82</v>
      </c>
      <c r="S24" s="48" t="s">
        <v>89</v>
      </c>
      <c r="T24" s="50" t="s">
        <v>252</v>
      </c>
    </row>
    <row r="25" spans="1:20" ht="15.75" x14ac:dyDescent="0.3">
      <c r="A25" s="174" t="s">
        <v>402</v>
      </c>
      <c r="B25" s="175" t="s">
        <v>1316</v>
      </c>
      <c r="C25" s="175" t="s">
        <v>403</v>
      </c>
      <c r="D25" s="175" t="s">
        <v>108</v>
      </c>
      <c r="E25" s="175" t="s">
        <v>61</v>
      </c>
      <c r="F25" s="175" t="s">
        <v>391</v>
      </c>
      <c r="G25" s="175">
        <v>51</v>
      </c>
      <c r="H25" s="175">
        <v>11</v>
      </c>
      <c r="I25" s="52"/>
      <c r="J25" s="52"/>
      <c r="K25">
        <f t="shared" si="0"/>
        <v>0</v>
      </c>
      <c r="L25">
        <f t="shared" si="1"/>
        <v>0</v>
      </c>
      <c r="M25" s="175" t="s">
        <v>281</v>
      </c>
      <c r="N25" s="175" t="s">
        <v>280</v>
      </c>
      <c r="Q25" s="47" t="s">
        <v>90</v>
      </c>
      <c r="R25" s="51" t="s">
        <v>138</v>
      </c>
      <c r="S25" s="47" t="s">
        <v>90</v>
      </c>
      <c r="T25" s="51" t="s">
        <v>253</v>
      </c>
    </row>
    <row r="26" spans="1:20" ht="15.75" x14ac:dyDescent="0.3">
      <c r="A26" s="174" t="s">
        <v>406</v>
      </c>
      <c r="B26" s="175" t="s">
        <v>1316</v>
      </c>
      <c r="C26" s="175" t="s">
        <v>407</v>
      </c>
      <c r="D26" s="175" t="s">
        <v>408</v>
      </c>
      <c r="E26" s="175" t="s">
        <v>61</v>
      </c>
      <c r="F26" s="175" t="s">
        <v>286</v>
      </c>
      <c r="G26" s="175">
        <v>37</v>
      </c>
      <c r="H26" s="175">
        <v>10</v>
      </c>
      <c r="I26" s="52"/>
      <c r="J26" s="52"/>
      <c r="K26">
        <f t="shared" si="0"/>
        <v>0</v>
      </c>
      <c r="L26">
        <f t="shared" si="1"/>
        <v>0</v>
      </c>
      <c r="M26" s="175" t="s">
        <v>281</v>
      </c>
      <c r="N26" s="175" t="s">
        <v>409</v>
      </c>
      <c r="Q26" s="48" t="s">
        <v>91</v>
      </c>
      <c r="R26" s="50" t="s">
        <v>137</v>
      </c>
      <c r="S26" s="48" t="s">
        <v>91</v>
      </c>
      <c r="T26" s="50" t="s">
        <v>254</v>
      </c>
    </row>
    <row r="27" spans="1:20" ht="15.75" x14ac:dyDescent="0.3">
      <c r="A27" s="174" t="s">
        <v>412</v>
      </c>
      <c r="B27" s="175" t="s">
        <v>1316</v>
      </c>
      <c r="C27" s="175" t="s">
        <v>413</v>
      </c>
      <c r="D27" s="175" t="s">
        <v>414</v>
      </c>
      <c r="E27" s="175" t="s">
        <v>61</v>
      </c>
      <c r="F27" s="175" t="s">
        <v>366</v>
      </c>
      <c r="G27" s="175">
        <v>49</v>
      </c>
      <c r="H27" s="175">
        <v>12</v>
      </c>
      <c r="I27" s="52"/>
      <c r="J27" s="52"/>
      <c r="K27">
        <f t="shared" si="0"/>
        <v>0</v>
      </c>
      <c r="L27">
        <f t="shared" si="1"/>
        <v>0</v>
      </c>
      <c r="M27" s="175" t="s">
        <v>281</v>
      </c>
      <c r="N27" s="175" t="s">
        <v>364</v>
      </c>
      <c r="Q27" s="47" t="s">
        <v>92</v>
      </c>
      <c r="R27" s="51" t="s">
        <v>136</v>
      </c>
      <c r="S27" s="47" t="s">
        <v>92</v>
      </c>
      <c r="T27" s="51" t="s">
        <v>255</v>
      </c>
    </row>
    <row r="28" spans="1:20" x14ac:dyDescent="0.25">
      <c r="A28" s="178" t="s">
        <v>419</v>
      </c>
      <c r="B28" s="173" t="s">
        <v>1316</v>
      </c>
      <c r="C28" s="173" t="s">
        <v>420</v>
      </c>
      <c r="D28" s="173" t="s">
        <v>421</v>
      </c>
      <c r="E28" s="173" t="s">
        <v>63</v>
      </c>
      <c r="F28" s="173" t="s">
        <v>427</v>
      </c>
      <c r="G28" s="173">
        <v>59</v>
      </c>
      <c r="H28" s="173">
        <v>35</v>
      </c>
      <c r="I28" s="52"/>
      <c r="J28" s="52"/>
      <c r="K28">
        <f t="shared" si="0"/>
        <v>0</v>
      </c>
      <c r="L28">
        <f t="shared" si="1"/>
        <v>0</v>
      </c>
      <c r="M28" s="173" t="s">
        <v>281</v>
      </c>
      <c r="N28" s="173" t="s">
        <v>422</v>
      </c>
      <c r="Q28" s="53"/>
      <c r="R28" s="54"/>
    </row>
    <row r="29" spans="1:20" ht="15.75" x14ac:dyDescent="0.3">
      <c r="A29" s="174" t="s">
        <v>429</v>
      </c>
      <c r="B29" s="175" t="s">
        <v>1316</v>
      </c>
      <c r="C29" s="175" t="s">
        <v>430</v>
      </c>
      <c r="D29" s="175" t="s">
        <v>431</v>
      </c>
      <c r="E29" s="175" t="s">
        <v>61</v>
      </c>
      <c r="F29" s="175" t="s">
        <v>432</v>
      </c>
      <c r="G29" s="175">
        <v>52</v>
      </c>
      <c r="H29" s="175">
        <v>12</v>
      </c>
      <c r="I29" s="52"/>
      <c r="J29" s="52"/>
      <c r="K29">
        <f t="shared" si="0"/>
        <v>0</v>
      </c>
      <c r="L29">
        <f t="shared" si="1"/>
        <v>0</v>
      </c>
      <c r="M29" s="175" t="s">
        <v>281</v>
      </c>
      <c r="N29" s="175" t="s">
        <v>409</v>
      </c>
    </row>
    <row r="30" spans="1:20" ht="15.75" x14ac:dyDescent="0.3">
      <c r="A30" s="174" t="s">
        <v>434</v>
      </c>
      <c r="B30" s="175" t="s">
        <v>1316</v>
      </c>
      <c r="C30" s="175" t="s">
        <v>435</v>
      </c>
      <c r="D30" s="175" t="s">
        <v>436</v>
      </c>
      <c r="E30" s="175" t="s">
        <v>61</v>
      </c>
      <c r="F30" s="175" t="s">
        <v>437</v>
      </c>
      <c r="G30" s="175">
        <v>52</v>
      </c>
      <c r="H30" s="175">
        <v>17</v>
      </c>
      <c r="I30" s="52"/>
      <c r="J30" s="52"/>
      <c r="K30">
        <f t="shared" si="0"/>
        <v>0</v>
      </c>
      <c r="L30">
        <f t="shared" si="1"/>
        <v>0</v>
      </c>
      <c r="M30" s="175" t="s">
        <v>281</v>
      </c>
      <c r="N30" s="175" t="s">
        <v>280</v>
      </c>
    </row>
    <row r="31" spans="1:20" x14ac:dyDescent="0.25">
      <c r="A31" s="178" t="s">
        <v>439</v>
      </c>
      <c r="B31" s="173" t="s">
        <v>1316</v>
      </c>
      <c r="C31" s="173" t="s">
        <v>440</v>
      </c>
      <c r="D31" s="173" t="s">
        <v>103</v>
      </c>
      <c r="E31" s="173" t="s">
        <v>61</v>
      </c>
      <c r="F31" s="173" t="s">
        <v>366</v>
      </c>
      <c r="G31" s="173">
        <v>57</v>
      </c>
      <c r="H31" s="173">
        <v>35</v>
      </c>
      <c r="I31" s="52"/>
      <c r="J31" s="52"/>
      <c r="K31">
        <f t="shared" si="0"/>
        <v>0</v>
      </c>
      <c r="L31">
        <f t="shared" si="1"/>
        <v>0</v>
      </c>
      <c r="M31" s="173" t="s">
        <v>281</v>
      </c>
      <c r="N31" s="173" t="s">
        <v>364</v>
      </c>
    </row>
    <row r="32" spans="1:20" ht="15.75" x14ac:dyDescent="0.3">
      <c r="A32" s="174" t="s">
        <v>442</v>
      </c>
      <c r="B32" s="175" t="s">
        <v>1316</v>
      </c>
      <c r="C32" s="175" t="s">
        <v>443</v>
      </c>
      <c r="D32" s="175" t="s">
        <v>108</v>
      </c>
      <c r="E32" s="175" t="s">
        <v>61</v>
      </c>
      <c r="F32" s="175" t="s">
        <v>300</v>
      </c>
      <c r="G32" s="175">
        <v>53</v>
      </c>
      <c r="H32" s="175">
        <v>13</v>
      </c>
      <c r="I32" s="52"/>
      <c r="J32" s="52"/>
      <c r="K32">
        <f t="shared" si="0"/>
        <v>0</v>
      </c>
      <c r="L32">
        <f t="shared" si="1"/>
        <v>0</v>
      </c>
      <c r="M32" s="175" t="s">
        <v>281</v>
      </c>
      <c r="N32" s="175" t="s">
        <v>280</v>
      </c>
    </row>
    <row r="33" spans="1:14" ht="15.75" x14ac:dyDescent="0.3">
      <c r="A33" s="174" t="s">
        <v>446</v>
      </c>
      <c r="B33" s="175" t="s">
        <v>1316</v>
      </c>
      <c r="C33" s="175" t="s">
        <v>447</v>
      </c>
      <c r="D33" s="175" t="s">
        <v>118</v>
      </c>
      <c r="E33" s="175" t="s">
        <v>61</v>
      </c>
      <c r="F33" s="175" t="s">
        <v>432</v>
      </c>
      <c r="G33" s="175">
        <v>52</v>
      </c>
      <c r="H33" s="175">
        <v>27</v>
      </c>
      <c r="I33" s="52"/>
      <c r="J33" s="52"/>
      <c r="K33">
        <f t="shared" si="0"/>
        <v>0</v>
      </c>
      <c r="L33">
        <f t="shared" si="1"/>
        <v>0</v>
      </c>
      <c r="M33" s="175" t="s">
        <v>281</v>
      </c>
      <c r="N33" s="175" t="s">
        <v>280</v>
      </c>
    </row>
    <row r="34" spans="1:14" ht="15.75" x14ac:dyDescent="0.3">
      <c r="A34" s="174" t="s">
        <v>449</v>
      </c>
      <c r="B34" s="175" t="s">
        <v>1316</v>
      </c>
      <c r="C34" s="175" t="s">
        <v>450</v>
      </c>
      <c r="D34" s="175" t="s">
        <v>451</v>
      </c>
      <c r="E34" s="175" t="s">
        <v>61</v>
      </c>
      <c r="F34" s="175" t="s">
        <v>455</v>
      </c>
      <c r="G34" s="175">
        <v>41</v>
      </c>
      <c r="H34" s="175">
        <v>0</v>
      </c>
      <c r="I34" s="52"/>
      <c r="J34" s="52"/>
      <c r="K34">
        <f t="shared" si="0"/>
        <v>0</v>
      </c>
      <c r="L34">
        <f t="shared" si="1"/>
        <v>0</v>
      </c>
      <c r="M34" s="175" t="s">
        <v>315</v>
      </c>
      <c r="N34" s="175" t="s">
        <v>343</v>
      </c>
    </row>
    <row r="35" spans="1:14" ht="15.75" x14ac:dyDescent="0.3">
      <c r="A35" s="174" t="s">
        <v>459</v>
      </c>
      <c r="B35" s="175" t="s">
        <v>1316</v>
      </c>
      <c r="C35" s="175" t="s">
        <v>460</v>
      </c>
      <c r="D35" s="175" t="s">
        <v>461</v>
      </c>
      <c r="E35" s="175" t="s">
        <v>61</v>
      </c>
      <c r="F35" s="175" t="s">
        <v>432</v>
      </c>
      <c r="G35" s="175">
        <v>42</v>
      </c>
      <c r="H35" s="175">
        <v>18</v>
      </c>
      <c r="I35" s="52"/>
      <c r="J35" s="52"/>
      <c r="K35">
        <f t="shared" si="0"/>
        <v>0</v>
      </c>
      <c r="L35">
        <f t="shared" si="1"/>
        <v>0</v>
      </c>
      <c r="M35" s="175" t="s">
        <v>281</v>
      </c>
      <c r="N35" s="175" t="s">
        <v>280</v>
      </c>
    </row>
    <row r="36" spans="1:14" ht="15.75" x14ac:dyDescent="0.3">
      <c r="A36" s="174" t="s">
        <v>463</v>
      </c>
      <c r="B36" s="175" t="s">
        <v>1316</v>
      </c>
      <c r="C36" s="175" t="s">
        <v>464</v>
      </c>
      <c r="D36" s="175" t="s">
        <v>465</v>
      </c>
      <c r="E36" s="175" t="s">
        <v>61</v>
      </c>
      <c r="F36" s="175" t="s">
        <v>373</v>
      </c>
      <c r="G36" s="175">
        <v>41</v>
      </c>
      <c r="H36" s="175">
        <v>10</v>
      </c>
      <c r="I36" s="52"/>
      <c r="J36" s="52"/>
      <c r="K36">
        <f t="shared" si="0"/>
        <v>0</v>
      </c>
      <c r="L36">
        <f t="shared" si="1"/>
        <v>0</v>
      </c>
      <c r="M36" s="175" t="s">
        <v>281</v>
      </c>
      <c r="N36" s="175" t="s">
        <v>313</v>
      </c>
    </row>
    <row r="37" spans="1:14" ht="15.75" x14ac:dyDescent="0.3">
      <c r="A37" s="174" t="s">
        <v>467</v>
      </c>
      <c r="B37" s="175" t="s">
        <v>1316</v>
      </c>
      <c r="C37" s="175" t="s">
        <v>468</v>
      </c>
      <c r="D37" s="175" t="s">
        <v>122</v>
      </c>
      <c r="E37" s="175" t="s">
        <v>61</v>
      </c>
      <c r="F37" s="175" t="s">
        <v>286</v>
      </c>
      <c r="G37" s="175">
        <v>49</v>
      </c>
      <c r="H37" s="175">
        <v>10</v>
      </c>
      <c r="I37" s="52"/>
      <c r="J37" s="52"/>
      <c r="K37">
        <f t="shared" si="0"/>
        <v>0</v>
      </c>
      <c r="L37">
        <f t="shared" si="1"/>
        <v>0</v>
      </c>
      <c r="M37" s="175" t="s">
        <v>281</v>
      </c>
      <c r="N37" s="175" t="s">
        <v>409</v>
      </c>
    </row>
    <row r="38" spans="1:14" ht="15.75" x14ac:dyDescent="0.3">
      <c r="A38" s="174" t="s">
        <v>470</v>
      </c>
      <c r="B38" s="175" t="s">
        <v>1316</v>
      </c>
      <c r="C38" s="175" t="s">
        <v>471</v>
      </c>
      <c r="D38" s="175" t="s">
        <v>107</v>
      </c>
      <c r="E38" s="175" t="s">
        <v>61</v>
      </c>
      <c r="F38" s="175" t="s">
        <v>432</v>
      </c>
      <c r="G38" s="175">
        <v>55</v>
      </c>
      <c r="H38" s="175">
        <v>32</v>
      </c>
      <c r="I38" s="52"/>
      <c r="J38" s="52"/>
      <c r="K38">
        <f t="shared" si="0"/>
        <v>0</v>
      </c>
      <c r="L38">
        <f t="shared" si="1"/>
        <v>0</v>
      </c>
      <c r="M38" s="175" t="s">
        <v>281</v>
      </c>
      <c r="N38" s="175" t="s">
        <v>409</v>
      </c>
    </row>
    <row r="39" spans="1:14" ht="15.75" x14ac:dyDescent="0.3">
      <c r="A39" s="174" t="s">
        <v>473</v>
      </c>
      <c r="B39" s="175" t="s">
        <v>1316</v>
      </c>
      <c r="C39" s="175" t="s">
        <v>474</v>
      </c>
      <c r="D39" s="175" t="s">
        <v>119</v>
      </c>
      <c r="E39" s="175" t="s">
        <v>61</v>
      </c>
      <c r="F39" s="175" t="s">
        <v>391</v>
      </c>
      <c r="G39" s="175">
        <v>39</v>
      </c>
      <c r="H39" s="175">
        <v>10</v>
      </c>
      <c r="I39" s="52"/>
      <c r="J39" s="52"/>
      <c r="K39">
        <f t="shared" si="0"/>
        <v>0</v>
      </c>
      <c r="L39">
        <f t="shared" si="1"/>
        <v>0</v>
      </c>
      <c r="M39" s="175" t="s">
        <v>281</v>
      </c>
      <c r="N39" s="175" t="s">
        <v>280</v>
      </c>
    </row>
    <row r="40" spans="1:14" ht="15.75" x14ac:dyDescent="0.3">
      <c r="A40" s="174" t="s">
        <v>476</v>
      </c>
      <c r="B40" s="175" t="s">
        <v>1316</v>
      </c>
      <c r="C40" s="175" t="s">
        <v>477</v>
      </c>
      <c r="D40" s="175" t="s">
        <v>478</v>
      </c>
      <c r="E40" s="175" t="s">
        <v>61</v>
      </c>
      <c r="F40" s="175" t="s">
        <v>366</v>
      </c>
      <c r="G40" s="175">
        <v>41</v>
      </c>
      <c r="H40" s="175">
        <v>17</v>
      </c>
      <c r="I40" s="52"/>
      <c r="J40" s="52"/>
      <c r="K40">
        <f t="shared" si="0"/>
        <v>0</v>
      </c>
      <c r="L40">
        <f t="shared" si="1"/>
        <v>0</v>
      </c>
      <c r="M40" s="175" t="s">
        <v>281</v>
      </c>
      <c r="N40" s="175" t="s">
        <v>364</v>
      </c>
    </row>
    <row r="41" spans="1:14" ht="15.75" x14ac:dyDescent="0.3">
      <c r="A41" s="174" t="s">
        <v>480</v>
      </c>
      <c r="B41" s="175" t="s">
        <v>1316</v>
      </c>
      <c r="C41" s="175" t="s">
        <v>481</v>
      </c>
      <c r="D41" s="175" t="s">
        <v>482</v>
      </c>
      <c r="E41" s="175" t="s">
        <v>61</v>
      </c>
      <c r="F41" s="175" t="s">
        <v>300</v>
      </c>
      <c r="G41" s="175">
        <v>50</v>
      </c>
      <c r="H41" s="175">
        <v>27</v>
      </c>
      <c r="I41" s="52"/>
      <c r="J41" s="52"/>
      <c r="K41">
        <f t="shared" si="0"/>
        <v>0</v>
      </c>
      <c r="L41">
        <f t="shared" si="1"/>
        <v>0</v>
      </c>
      <c r="M41" s="175" t="s">
        <v>281</v>
      </c>
      <c r="N41" s="175" t="s">
        <v>409</v>
      </c>
    </row>
    <row r="42" spans="1:14" ht="15.75" x14ac:dyDescent="0.3">
      <c r="A42" s="174" t="s">
        <v>484</v>
      </c>
      <c r="B42" s="175" t="s">
        <v>1316</v>
      </c>
      <c r="C42" s="175" t="s">
        <v>485</v>
      </c>
      <c r="D42" s="175" t="s">
        <v>486</v>
      </c>
      <c r="E42" s="175" t="s">
        <v>61</v>
      </c>
      <c r="F42" s="175" t="s">
        <v>391</v>
      </c>
      <c r="G42" s="175">
        <v>37</v>
      </c>
      <c r="H42" s="175">
        <v>10</v>
      </c>
      <c r="I42" s="52"/>
      <c r="J42" s="52"/>
      <c r="K42">
        <f t="shared" si="0"/>
        <v>0</v>
      </c>
      <c r="L42">
        <f t="shared" si="1"/>
        <v>0</v>
      </c>
      <c r="M42" s="175" t="s">
        <v>281</v>
      </c>
      <c r="N42" s="175" t="s">
        <v>280</v>
      </c>
    </row>
    <row r="43" spans="1:14" ht="15.75" x14ac:dyDescent="0.3">
      <c r="A43" s="174" t="s">
        <v>488</v>
      </c>
      <c r="B43" s="175" t="s">
        <v>1316</v>
      </c>
      <c r="C43" s="175" t="s">
        <v>489</v>
      </c>
      <c r="D43" s="175" t="s">
        <v>110</v>
      </c>
      <c r="E43" s="175" t="s">
        <v>61</v>
      </c>
      <c r="F43" s="175" t="s">
        <v>437</v>
      </c>
      <c r="G43" s="175">
        <v>53</v>
      </c>
      <c r="H43" s="175">
        <v>17</v>
      </c>
      <c r="I43" s="52"/>
      <c r="J43" s="52"/>
      <c r="K43">
        <f t="shared" si="0"/>
        <v>0</v>
      </c>
      <c r="L43">
        <f t="shared" si="1"/>
        <v>0</v>
      </c>
      <c r="M43" s="175" t="s">
        <v>281</v>
      </c>
      <c r="N43" s="175" t="s">
        <v>280</v>
      </c>
    </row>
    <row r="44" spans="1:14" ht="15.75" x14ac:dyDescent="0.3">
      <c r="A44" s="174" t="s">
        <v>491</v>
      </c>
      <c r="B44" s="175" t="s">
        <v>1316</v>
      </c>
      <c r="C44" s="175" t="s">
        <v>492</v>
      </c>
      <c r="D44" s="175" t="s">
        <v>120</v>
      </c>
      <c r="E44" s="175" t="s">
        <v>61</v>
      </c>
      <c r="F44" s="175" t="s">
        <v>497</v>
      </c>
      <c r="G44" s="175">
        <v>52</v>
      </c>
      <c r="H44" s="175">
        <v>27</v>
      </c>
      <c r="I44" s="52"/>
      <c r="J44" s="52"/>
      <c r="K44">
        <f t="shared" si="0"/>
        <v>0</v>
      </c>
      <c r="L44">
        <f t="shared" si="1"/>
        <v>0</v>
      </c>
      <c r="M44" s="175" t="s">
        <v>315</v>
      </c>
      <c r="N44" s="175" t="s">
        <v>493</v>
      </c>
    </row>
    <row r="45" spans="1:14" ht="15.75" x14ac:dyDescent="0.3">
      <c r="A45" s="174" t="s">
        <v>500</v>
      </c>
      <c r="B45" s="175" t="s">
        <v>1316</v>
      </c>
      <c r="C45" s="175" t="s">
        <v>501</v>
      </c>
      <c r="D45" s="175" t="s">
        <v>502</v>
      </c>
      <c r="E45" s="175" t="s">
        <v>61</v>
      </c>
      <c r="F45" s="175" t="s">
        <v>286</v>
      </c>
      <c r="G45" s="175">
        <v>55</v>
      </c>
      <c r="H45" s="175">
        <v>35</v>
      </c>
      <c r="I45" s="52"/>
      <c r="J45" s="52"/>
      <c r="K45">
        <f t="shared" si="0"/>
        <v>0</v>
      </c>
      <c r="L45">
        <f t="shared" si="1"/>
        <v>0</v>
      </c>
      <c r="M45" s="175" t="s">
        <v>281</v>
      </c>
      <c r="N45" s="175" t="s">
        <v>409</v>
      </c>
    </row>
    <row r="46" spans="1:14" ht="15.75" x14ac:dyDescent="0.3">
      <c r="A46" s="174" t="s">
        <v>504</v>
      </c>
      <c r="B46" s="175" t="s">
        <v>1316</v>
      </c>
      <c r="C46" s="175" t="s">
        <v>505</v>
      </c>
      <c r="D46" s="175" t="s">
        <v>117</v>
      </c>
      <c r="E46" s="175" t="s">
        <v>61</v>
      </c>
      <c r="F46" s="175" t="s">
        <v>427</v>
      </c>
      <c r="G46" s="175">
        <v>51</v>
      </c>
      <c r="H46" s="175">
        <v>27</v>
      </c>
      <c r="I46" s="52"/>
      <c r="J46" s="52"/>
      <c r="K46">
        <f t="shared" si="0"/>
        <v>0</v>
      </c>
      <c r="L46">
        <f t="shared" si="1"/>
        <v>0</v>
      </c>
      <c r="M46" s="175" t="s">
        <v>281</v>
      </c>
      <c r="N46" s="175" t="s">
        <v>422</v>
      </c>
    </row>
    <row r="47" spans="1:14" ht="15.75" x14ac:dyDescent="0.3">
      <c r="A47" s="174" t="s">
        <v>510</v>
      </c>
      <c r="B47" s="175" t="s">
        <v>1316</v>
      </c>
      <c r="C47" s="175" t="s">
        <v>511</v>
      </c>
      <c r="D47" s="175" t="s">
        <v>106</v>
      </c>
      <c r="E47" s="175" t="s">
        <v>61</v>
      </c>
      <c r="F47" s="175" t="s">
        <v>383</v>
      </c>
      <c r="G47" s="175">
        <v>52</v>
      </c>
      <c r="H47" s="175">
        <v>13</v>
      </c>
      <c r="I47" s="52"/>
      <c r="J47" s="52"/>
      <c r="K47">
        <f t="shared" si="0"/>
        <v>0</v>
      </c>
      <c r="L47">
        <f t="shared" si="1"/>
        <v>0</v>
      </c>
      <c r="M47" s="175" t="s">
        <v>315</v>
      </c>
      <c r="N47" s="175" t="s">
        <v>379</v>
      </c>
    </row>
    <row r="48" spans="1:14" ht="15.75" x14ac:dyDescent="0.3">
      <c r="A48" s="174" t="s">
        <v>513</v>
      </c>
      <c r="B48" s="175" t="s">
        <v>1316</v>
      </c>
      <c r="C48" s="175" t="s">
        <v>514</v>
      </c>
      <c r="D48" s="175" t="s">
        <v>515</v>
      </c>
      <c r="E48" s="175" t="s">
        <v>61</v>
      </c>
      <c r="F48" s="175" t="s">
        <v>521</v>
      </c>
      <c r="G48" s="175">
        <v>31</v>
      </c>
      <c r="H48" s="175">
        <v>0</v>
      </c>
      <c r="I48" s="52"/>
      <c r="J48" s="52"/>
      <c r="K48">
        <f t="shared" si="0"/>
        <v>0</v>
      </c>
      <c r="L48">
        <f t="shared" si="1"/>
        <v>0</v>
      </c>
      <c r="M48" s="175" t="s">
        <v>315</v>
      </c>
      <c r="N48" s="175" t="s">
        <v>516</v>
      </c>
    </row>
    <row r="49" spans="1:14" x14ac:dyDescent="0.25">
      <c r="A49" s="178" t="s">
        <v>523</v>
      </c>
      <c r="B49" s="173" t="s">
        <v>1316</v>
      </c>
      <c r="C49" s="173" t="s">
        <v>524</v>
      </c>
      <c r="D49" s="173" t="s">
        <v>525</v>
      </c>
      <c r="E49" s="173" t="s">
        <v>63</v>
      </c>
      <c r="F49" s="173" t="s">
        <v>391</v>
      </c>
      <c r="G49" s="173">
        <v>57</v>
      </c>
      <c r="H49" s="173">
        <v>35</v>
      </c>
      <c r="I49" s="52"/>
      <c r="J49" s="52"/>
      <c r="K49">
        <f t="shared" si="0"/>
        <v>0</v>
      </c>
      <c r="L49">
        <f t="shared" si="1"/>
        <v>0</v>
      </c>
      <c r="M49" s="173" t="s">
        <v>281</v>
      </c>
      <c r="N49" s="173" t="s">
        <v>409</v>
      </c>
    </row>
    <row r="50" spans="1:14" x14ac:dyDescent="0.25">
      <c r="A50" s="178" t="s">
        <v>527</v>
      </c>
      <c r="B50" s="173" t="s">
        <v>1316</v>
      </c>
      <c r="C50" s="173" t="s">
        <v>528</v>
      </c>
      <c r="D50" s="173" t="s">
        <v>529</v>
      </c>
      <c r="E50" s="173" t="s">
        <v>61</v>
      </c>
      <c r="F50" s="173" t="s">
        <v>391</v>
      </c>
      <c r="G50" s="173">
        <v>57</v>
      </c>
      <c r="H50" s="173">
        <v>17</v>
      </c>
      <c r="I50" s="52"/>
      <c r="J50" s="52"/>
      <c r="K50">
        <f t="shared" si="0"/>
        <v>0</v>
      </c>
      <c r="L50">
        <f t="shared" si="1"/>
        <v>0</v>
      </c>
      <c r="M50" s="173" t="s">
        <v>281</v>
      </c>
      <c r="N50" s="173" t="s">
        <v>280</v>
      </c>
    </row>
    <row r="51" spans="1:14" ht="15.75" x14ac:dyDescent="0.3">
      <c r="A51" s="174" t="s">
        <v>531</v>
      </c>
      <c r="B51" s="175" t="s">
        <v>1316</v>
      </c>
      <c r="C51" s="175" t="s">
        <v>532</v>
      </c>
      <c r="D51" s="175" t="s">
        <v>107</v>
      </c>
      <c r="E51" s="175" t="s">
        <v>61</v>
      </c>
      <c r="F51" s="175" t="s">
        <v>535</v>
      </c>
      <c r="G51" s="175">
        <v>53</v>
      </c>
      <c r="H51" s="175">
        <v>33</v>
      </c>
      <c r="I51" s="52"/>
      <c r="J51" s="52"/>
      <c r="K51">
        <f t="shared" si="0"/>
        <v>0</v>
      </c>
      <c r="L51">
        <f t="shared" si="1"/>
        <v>0</v>
      </c>
      <c r="M51" s="175" t="s">
        <v>315</v>
      </c>
      <c r="N51" s="175" t="s">
        <v>493</v>
      </c>
    </row>
    <row r="52" spans="1:14" ht="15.75" x14ac:dyDescent="0.3">
      <c r="A52" s="174" t="s">
        <v>538</v>
      </c>
      <c r="B52" s="175" t="s">
        <v>1316</v>
      </c>
      <c r="C52" s="175" t="s">
        <v>539</v>
      </c>
      <c r="D52" s="175" t="s">
        <v>540</v>
      </c>
      <c r="E52" s="175" t="s">
        <v>61</v>
      </c>
      <c r="F52" s="175" t="s">
        <v>391</v>
      </c>
      <c r="G52" s="175">
        <v>46</v>
      </c>
      <c r="H52" s="175">
        <v>10</v>
      </c>
      <c r="I52" s="52"/>
      <c r="J52" s="52"/>
      <c r="K52">
        <f t="shared" si="0"/>
        <v>0</v>
      </c>
      <c r="L52">
        <f t="shared" si="1"/>
        <v>0</v>
      </c>
      <c r="M52" s="175" t="s">
        <v>281</v>
      </c>
      <c r="N52" s="175" t="s">
        <v>280</v>
      </c>
    </row>
    <row r="53" spans="1:14" x14ac:dyDescent="0.25">
      <c r="A53" s="178" t="s">
        <v>542</v>
      </c>
      <c r="B53" s="173" t="s">
        <v>1316</v>
      </c>
      <c r="C53" s="173" t="s">
        <v>543</v>
      </c>
      <c r="D53" s="173" t="s">
        <v>544</v>
      </c>
      <c r="E53" s="173" t="s">
        <v>61</v>
      </c>
      <c r="F53" s="173" t="s">
        <v>548</v>
      </c>
      <c r="G53" s="173">
        <v>57</v>
      </c>
      <c r="H53" s="173">
        <v>34</v>
      </c>
      <c r="I53" s="52"/>
      <c r="J53" s="52"/>
      <c r="K53">
        <f t="shared" si="0"/>
        <v>0</v>
      </c>
      <c r="L53">
        <f t="shared" si="1"/>
        <v>0</v>
      </c>
      <c r="M53" s="173" t="s">
        <v>315</v>
      </c>
      <c r="N53" s="173" t="s">
        <v>256</v>
      </c>
    </row>
    <row r="54" spans="1:14" ht="15.75" x14ac:dyDescent="0.3">
      <c r="A54" s="174" t="s">
        <v>550</v>
      </c>
      <c r="B54" s="175" t="s">
        <v>1316</v>
      </c>
      <c r="C54" s="175" t="s">
        <v>551</v>
      </c>
      <c r="D54" s="175" t="s">
        <v>99</v>
      </c>
      <c r="E54" s="175" t="s">
        <v>61</v>
      </c>
      <c r="F54" s="175" t="s">
        <v>437</v>
      </c>
      <c r="G54" s="175">
        <v>55</v>
      </c>
      <c r="H54" s="175">
        <v>17</v>
      </c>
      <c r="I54" s="52"/>
      <c r="J54" s="52"/>
      <c r="K54">
        <f t="shared" si="0"/>
        <v>0</v>
      </c>
      <c r="L54">
        <f t="shared" si="1"/>
        <v>0</v>
      </c>
      <c r="M54" s="175" t="s">
        <v>281</v>
      </c>
      <c r="N54" s="175" t="s">
        <v>280</v>
      </c>
    </row>
    <row r="55" spans="1:14" x14ac:dyDescent="0.25">
      <c r="A55" s="178" t="s">
        <v>553</v>
      </c>
      <c r="B55" s="173" t="s">
        <v>1316</v>
      </c>
      <c r="C55" s="173" t="s">
        <v>493</v>
      </c>
      <c r="D55" s="173" t="s">
        <v>117</v>
      </c>
      <c r="E55" s="173" t="s">
        <v>61</v>
      </c>
      <c r="F55" s="173" t="s">
        <v>557</v>
      </c>
      <c r="G55" s="173">
        <v>57</v>
      </c>
      <c r="H55" s="180">
        <f>VLOOKUP(C55,DATA!A:S,6,FALSE)</f>
        <v>0</v>
      </c>
      <c r="I55" s="52"/>
      <c r="J55" s="52"/>
      <c r="K55">
        <f t="shared" si="0"/>
        <v>0</v>
      </c>
      <c r="L55">
        <f t="shared" si="1"/>
        <v>0</v>
      </c>
      <c r="M55" s="173" t="s">
        <v>315</v>
      </c>
      <c r="N55" s="173" t="s">
        <v>343</v>
      </c>
    </row>
    <row r="56" spans="1:14" x14ac:dyDescent="0.25">
      <c r="A56" s="178" t="s">
        <v>561</v>
      </c>
      <c r="B56" s="173" t="s">
        <v>1316</v>
      </c>
      <c r="C56" s="173" t="s">
        <v>562</v>
      </c>
      <c r="D56" s="173" t="s">
        <v>124</v>
      </c>
      <c r="E56" s="173" t="s">
        <v>61</v>
      </c>
      <c r="F56" s="173" t="s">
        <v>391</v>
      </c>
      <c r="G56" s="173">
        <v>56</v>
      </c>
      <c r="H56" s="180">
        <f>VLOOKUP(C56,DATA!A:S,6,FALSE)</f>
        <v>25</v>
      </c>
      <c r="I56" s="52"/>
      <c r="J56" s="52"/>
      <c r="K56">
        <f t="shared" si="0"/>
        <v>0</v>
      </c>
      <c r="L56">
        <f t="shared" si="1"/>
        <v>0</v>
      </c>
      <c r="M56" s="173" t="s">
        <v>281</v>
      </c>
      <c r="N56" s="173" t="s">
        <v>409</v>
      </c>
    </row>
    <row r="57" spans="1:14" ht="15.75" x14ac:dyDescent="0.3">
      <c r="A57" s="174" t="s">
        <v>564</v>
      </c>
      <c r="B57" s="175" t="s">
        <v>1316</v>
      </c>
      <c r="C57" s="175" t="s">
        <v>565</v>
      </c>
      <c r="D57" s="175" t="s">
        <v>122</v>
      </c>
      <c r="E57" s="175" t="s">
        <v>61</v>
      </c>
      <c r="F57" s="175" t="s">
        <v>391</v>
      </c>
      <c r="G57" s="175">
        <v>51</v>
      </c>
      <c r="H57" s="180">
        <f>VLOOKUP(C57,DATA!A:S,6,FALSE)</f>
        <v>17</v>
      </c>
      <c r="I57" s="52"/>
      <c r="J57" s="52"/>
      <c r="K57">
        <f t="shared" si="0"/>
        <v>0</v>
      </c>
      <c r="L57">
        <f t="shared" si="1"/>
        <v>0</v>
      </c>
      <c r="M57" s="175" t="s">
        <v>281</v>
      </c>
      <c r="N57" s="175" t="s">
        <v>409</v>
      </c>
    </row>
    <row r="58" spans="1:14" ht="15.75" x14ac:dyDescent="0.3">
      <c r="A58" s="174" t="s">
        <v>567</v>
      </c>
      <c r="B58" s="175" t="s">
        <v>1316</v>
      </c>
      <c r="C58" s="175" t="s">
        <v>568</v>
      </c>
      <c r="D58" s="175" t="s">
        <v>569</v>
      </c>
      <c r="E58" s="175" t="s">
        <v>61</v>
      </c>
      <c r="F58" s="175" t="s">
        <v>570</v>
      </c>
      <c r="G58" s="175">
        <v>33</v>
      </c>
      <c r="H58" s="180">
        <f>VLOOKUP(C58,DATA!A:S,6,FALSE)</f>
        <v>0</v>
      </c>
      <c r="I58" s="52"/>
      <c r="J58" s="52"/>
      <c r="K58">
        <f t="shared" si="0"/>
        <v>0</v>
      </c>
      <c r="L58">
        <f t="shared" si="1"/>
        <v>0</v>
      </c>
      <c r="M58" s="175" t="s">
        <v>315</v>
      </c>
      <c r="N58" s="175" t="s">
        <v>493</v>
      </c>
    </row>
    <row r="59" spans="1:14" ht="15.75" x14ac:dyDescent="0.3">
      <c r="A59" s="174" t="s">
        <v>574</v>
      </c>
      <c r="B59" s="175" t="s">
        <v>1316</v>
      </c>
      <c r="C59" s="175" t="s">
        <v>575</v>
      </c>
      <c r="D59" s="175" t="s">
        <v>576</v>
      </c>
      <c r="E59" s="175" t="s">
        <v>61</v>
      </c>
      <c r="F59" s="175" t="s">
        <v>366</v>
      </c>
      <c r="G59" s="175">
        <v>55</v>
      </c>
      <c r="H59" s="180">
        <f>VLOOKUP(C59,DATA!A:S,6,FALSE)</f>
        <v>20</v>
      </c>
      <c r="I59" s="52"/>
      <c r="J59" s="52"/>
      <c r="K59">
        <f t="shared" si="0"/>
        <v>0</v>
      </c>
      <c r="L59">
        <f t="shared" si="1"/>
        <v>0</v>
      </c>
      <c r="M59" s="175" t="s">
        <v>281</v>
      </c>
      <c r="N59" s="175" t="s">
        <v>364</v>
      </c>
    </row>
    <row r="60" spans="1:14" ht="15.75" x14ac:dyDescent="0.3">
      <c r="A60" s="174" t="s">
        <v>578</v>
      </c>
      <c r="B60" s="175" t="s">
        <v>1316</v>
      </c>
      <c r="C60" s="175" t="s">
        <v>579</v>
      </c>
      <c r="D60" s="175" t="s">
        <v>135</v>
      </c>
      <c r="E60" s="175" t="s">
        <v>61</v>
      </c>
      <c r="F60" s="175" t="s">
        <v>580</v>
      </c>
      <c r="G60" s="175">
        <v>56</v>
      </c>
      <c r="H60" s="180">
        <f>VLOOKUP(C60,DATA!A:S,6,FALSE)</f>
        <v>35</v>
      </c>
      <c r="I60" s="52"/>
      <c r="J60" s="52"/>
      <c r="K60">
        <f t="shared" si="0"/>
        <v>0</v>
      </c>
      <c r="L60">
        <f t="shared" si="1"/>
        <v>0</v>
      </c>
      <c r="M60" s="175" t="s">
        <v>315</v>
      </c>
      <c r="N60" s="175" t="s">
        <v>516</v>
      </c>
    </row>
    <row r="61" spans="1:14" ht="15.75" x14ac:dyDescent="0.3">
      <c r="A61" s="174" t="s">
        <v>582</v>
      </c>
      <c r="B61" s="175" t="s">
        <v>1316</v>
      </c>
      <c r="C61" s="175" t="s">
        <v>583</v>
      </c>
      <c r="D61" s="175" t="s">
        <v>584</v>
      </c>
      <c r="E61" s="175" t="s">
        <v>61</v>
      </c>
      <c r="F61" s="175" t="s">
        <v>286</v>
      </c>
      <c r="G61" s="175">
        <v>42</v>
      </c>
      <c r="H61" s="180">
        <f>VLOOKUP(C61,DATA!A:S,6,FALSE)</f>
        <v>19</v>
      </c>
      <c r="I61" s="52"/>
      <c r="J61" s="52"/>
      <c r="K61">
        <f t="shared" si="0"/>
        <v>0</v>
      </c>
      <c r="L61">
        <f t="shared" si="1"/>
        <v>0</v>
      </c>
      <c r="M61" s="175" t="s">
        <v>281</v>
      </c>
      <c r="N61" s="175" t="s">
        <v>409</v>
      </c>
    </row>
    <row r="62" spans="1:14" ht="15.75" x14ac:dyDescent="0.3">
      <c r="A62" s="174" t="s">
        <v>586</v>
      </c>
      <c r="B62" s="175" t="s">
        <v>1316</v>
      </c>
      <c r="C62" s="175" t="s">
        <v>587</v>
      </c>
      <c r="D62" s="175" t="s">
        <v>588</v>
      </c>
      <c r="E62" s="175" t="s">
        <v>61</v>
      </c>
      <c r="F62" s="175" t="s">
        <v>300</v>
      </c>
      <c r="G62" s="175">
        <v>51</v>
      </c>
      <c r="H62" s="180">
        <f>VLOOKUP(C62,DATA!A:S,6,FALSE)</f>
        <v>20</v>
      </c>
      <c r="I62" s="52"/>
      <c r="J62" s="52"/>
      <c r="K62">
        <f t="shared" si="0"/>
        <v>0</v>
      </c>
      <c r="L62">
        <f t="shared" si="1"/>
        <v>0</v>
      </c>
      <c r="M62" s="175" t="s">
        <v>281</v>
      </c>
      <c r="N62" s="175" t="s">
        <v>280</v>
      </c>
    </row>
    <row r="63" spans="1:14" ht="15.75" x14ac:dyDescent="0.3">
      <c r="A63" s="174" t="s">
        <v>590</v>
      </c>
      <c r="B63" s="175" t="s">
        <v>1316</v>
      </c>
      <c r="C63" s="175" t="s">
        <v>591</v>
      </c>
      <c r="D63" s="175" t="s">
        <v>103</v>
      </c>
      <c r="E63" s="175" t="s">
        <v>61</v>
      </c>
      <c r="F63" s="175" t="s">
        <v>535</v>
      </c>
      <c r="G63" s="175">
        <v>42</v>
      </c>
      <c r="H63" s="180">
        <f>VLOOKUP(C63,DATA!A:S,6,FALSE)</f>
        <v>18</v>
      </c>
      <c r="I63" s="52"/>
      <c r="J63" s="52"/>
      <c r="K63">
        <f t="shared" si="0"/>
        <v>0</v>
      </c>
      <c r="L63">
        <f t="shared" si="1"/>
        <v>0</v>
      </c>
      <c r="M63" s="175" t="s">
        <v>315</v>
      </c>
      <c r="N63" s="175" t="s">
        <v>493</v>
      </c>
    </row>
    <row r="64" spans="1:14" ht="15.75" x14ac:dyDescent="0.3">
      <c r="A64" s="174" t="s">
        <v>593</v>
      </c>
      <c r="B64" s="175" t="s">
        <v>1316</v>
      </c>
      <c r="C64" s="175" t="s">
        <v>594</v>
      </c>
      <c r="D64" s="175" t="s">
        <v>478</v>
      </c>
      <c r="E64" s="175" t="s">
        <v>61</v>
      </c>
      <c r="F64" s="175" t="s">
        <v>366</v>
      </c>
      <c r="G64" s="175">
        <v>55</v>
      </c>
      <c r="H64" s="180">
        <f>VLOOKUP(C64,DATA!A:S,6,FALSE)</f>
        <v>33</v>
      </c>
      <c r="I64" s="52"/>
      <c r="J64" s="52"/>
      <c r="K64">
        <f t="shared" si="0"/>
        <v>0</v>
      </c>
      <c r="L64">
        <f t="shared" si="1"/>
        <v>0</v>
      </c>
      <c r="M64" s="175" t="s">
        <v>281</v>
      </c>
      <c r="N64" s="175" t="s">
        <v>364</v>
      </c>
    </row>
    <row r="65" spans="1:14" ht="15.75" x14ac:dyDescent="0.3">
      <c r="A65" s="174" t="s">
        <v>598</v>
      </c>
      <c r="B65" s="175" t="s">
        <v>1316</v>
      </c>
      <c r="C65" s="175" t="s">
        <v>599</v>
      </c>
      <c r="D65" s="175" t="s">
        <v>600</v>
      </c>
      <c r="E65" s="175" t="s">
        <v>61</v>
      </c>
      <c r="F65" s="175" t="s">
        <v>286</v>
      </c>
      <c r="G65" s="175">
        <v>42</v>
      </c>
      <c r="H65" s="180">
        <f>VLOOKUP(C65,DATA!A:S,6,FALSE)</f>
        <v>18</v>
      </c>
      <c r="I65" s="52"/>
      <c r="J65" s="52"/>
      <c r="K65">
        <f t="shared" si="0"/>
        <v>0</v>
      </c>
      <c r="L65">
        <f t="shared" si="1"/>
        <v>0</v>
      </c>
      <c r="M65" s="175" t="s">
        <v>281</v>
      </c>
      <c r="N65" s="175" t="s">
        <v>280</v>
      </c>
    </row>
    <row r="66" spans="1:14" ht="15.75" x14ac:dyDescent="0.3">
      <c r="A66" s="174" t="s">
        <v>602</v>
      </c>
      <c r="B66" s="175" t="s">
        <v>1316</v>
      </c>
      <c r="C66" s="175" t="s">
        <v>127</v>
      </c>
      <c r="D66" s="175" t="s">
        <v>110</v>
      </c>
      <c r="E66" s="175" t="s">
        <v>61</v>
      </c>
      <c r="F66" s="175" t="s">
        <v>603</v>
      </c>
      <c r="G66" s="175">
        <v>53</v>
      </c>
      <c r="H66" s="180">
        <f>VLOOKUP(C66,DATA!A:S,6,FALSE)</f>
        <v>34</v>
      </c>
      <c r="I66" s="52"/>
      <c r="J66" s="52"/>
      <c r="K66">
        <f t="shared" si="0"/>
        <v>0</v>
      </c>
      <c r="L66">
        <f t="shared" si="1"/>
        <v>0</v>
      </c>
      <c r="M66" s="175" t="s">
        <v>281</v>
      </c>
      <c r="N66" s="175" t="s">
        <v>313</v>
      </c>
    </row>
    <row r="67" spans="1:14" ht="15.75" x14ac:dyDescent="0.3">
      <c r="A67" s="174" t="s">
        <v>605</v>
      </c>
      <c r="B67" s="175" t="s">
        <v>1316</v>
      </c>
      <c r="C67" s="175" t="s">
        <v>606</v>
      </c>
      <c r="D67" s="175" t="s">
        <v>607</v>
      </c>
      <c r="E67" s="175" t="s">
        <v>61</v>
      </c>
      <c r="F67" s="175" t="s">
        <v>432</v>
      </c>
      <c r="G67" s="175">
        <v>32</v>
      </c>
      <c r="H67" s="180">
        <f>VLOOKUP(C67,DATA!A:S,6,FALSE)</f>
        <v>10</v>
      </c>
      <c r="I67" s="52"/>
      <c r="J67" s="52"/>
      <c r="K67">
        <f t="shared" si="0"/>
        <v>0</v>
      </c>
      <c r="L67">
        <f t="shared" si="1"/>
        <v>0</v>
      </c>
      <c r="M67" s="175" t="s">
        <v>281</v>
      </c>
      <c r="N67" s="175" t="s">
        <v>280</v>
      </c>
    </row>
    <row r="68" spans="1:14" ht="15.75" x14ac:dyDescent="0.3">
      <c r="A68" s="174" t="s">
        <v>609</v>
      </c>
      <c r="B68" s="175" t="s">
        <v>1316</v>
      </c>
      <c r="C68" s="175" t="s">
        <v>516</v>
      </c>
      <c r="D68" s="175" t="s">
        <v>517</v>
      </c>
      <c r="E68" s="175" t="s">
        <v>61</v>
      </c>
      <c r="F68" s="175" t="s">
        <v>613</v>
      </c>
      <c r="G68" s="175">
        <v>53</v>
      </c>
      <c r="H68" s="180">
        <f>VLOOKUP(C68,DATA!A:S,6,FALSE)</f>
        <v>11</v>
      </c>
      <c r="I68" s="52"/>
      <c r="J68" s="52"/>
      <c r="K68">
        <f t="shared" si="0"/>
        <v>0</v>
      </c>
      <c r="L68">
        <f t="shared" si="1"/>
        <v>0</v>
      </c>
      <c r="M68" s="175" t="s">
        <v>315</v>
      </c>
      <c r="N68" s="175" t="s">
        <v>343</v>
      </c>
    </row>
    <row r="69" spans="1:14" ht="15.75" x14ac:dyDescent="0.3">
      <c r="A69" s="174" t="s">
        <v>615</v>
      </c>
      <c r="B69" s="175" t="s">
        <v>1316</v>
      </c>
      <c r="C69" s="175" t="s">
        <v>616</v>
      </c>
      <c r="D69" s="175" t="s">
        <v>99</v>
      </c>
      <c r="E69" s="175" t="s">
        <v>61</v>
      </c>
      <c r="F69" s="175" t="s">
        <v>366</v>
      </c>
      <c r="G69" s="175">
        <v>56</v>
      </c>
      <c r="H69" s="180">
        <f>VLOOKUP(C69,DATA!A:S,6,FALSE)</f>
        <v>36</v>
      </c>
      <c r="I69" s="52"/>
      <c r="J69" s="52"/>
      <c r="K69">
        <f t="shared" si="0"/>
        <v>0</v>
      </c>
      <c r="L69">
        <f t="shared" si="1"/>
        <v>0</v>
      </c>
      <c r="M69" s="175" t="s">
        <v>281</v>
      </c>
      <c r="N69" s="175" t="s">
        <v>364</v>
      </c>
    </row>
    <row r="70" spans="1:14" ht="15.75" x14ac:dyDescent="0.3">
      <c r="A70" s="174" t="s">
        <v>618</v>
      </c>
      <c r="B70" s="175" t="s">
        <v>1316</v>
      </c>
      <c r="C70" s="175" t="s">
        <v>619</v>
      </c>
      <c r="D70" s="175" t="s">
        <v>620</v>
      </c>
      <c r="E70" s="175" t="s">
        <v>61</v>
      </c>
      <c r="F70" s="175" t="s">
        <v>366</v>
      </c>
      <c r="G70" s="175">
        <v>44</v>
      </c>
      <c r="H70" s="180">
        <f>VLOOKUP(C70,DATA!A:S,6,FALSE)</f>
        <v>10</v>
      </c>
      <c r="I70" s="52"/>
      <c r="J70" s="52"/>
      <c r="K70">
        <f t="shared" si="0"/>
        <v>0</v>
      </c>
      <c r="L70">
        <f t="shared" si="1"/>
        <v>0</v>
      </c>
      <c r="M70" s="175" t="s">
        <v>281</v>
      </c>
      <c r="N70" s="175" t="s">
        <v>364</v>
      </c>
    </row>
    <row r="71" spans="1:14" ht="15.75" x14ac:dyDescent="0.3">
      <c r="A71" s="174" t="s">
        <v>622</v>
      </c>
      <c r="B71" s="175" t="s">
        <v>1316</v>
      </c>
      <c r="C71" s="175" t="s">
        <v>623</v>
      </c>
      <c r="D71" s="175" t="s">
        <v>624</v>
      </c>
      <c r="E71" s="175" t="s">
        <v>61</v>
      </c>
      <c r="F71" s="175" t="s">
        <v>432</v>
      </c>
      <c r="G71" s="175">
        <v>41</v>
      </c>
      <c r="H71" s="180">
        <f>VLOOKUP(C71,DATA!A:S,6,FALSE)</f>
        <v>10</v>
      </c>
      <c r="I71" s="52"/>
      <c r="J71" s="52"/>
      <c r="K71">
        <f t="shared" si="0"/>
        <v>0</v>
      </c>
      <c r="L71">
        <f t="shared" si="1"/>
        <v>0</v>
      </c>
      <c r="M71" s="175" t="s">
        <v>281</v>
      </c>
      <c r="N71" s="175" t="s">
        <v>280</v>
      </c>
    </row>
    <row r="72" spans="1:14" x14ac:dyDescent="0.25">
      <c r="A72" s="178" t="s">
        <v>626</v>
      </c>
      <c r="B72" s="173" t="s">
        <v>1316</v>
      </c>
      <c r="C72" s="173" t="s">
        <v>627</v>
      </c>
      <c r="D72" s="173" t="s">
        <v>628</v>
      </c>
      <c r="E72" s="173" t="s">
        <v>63</v>
      </c>
      <c r="F72" s="173" t="s">
        <v>391</v>
      </c>
      <c r="G72" s="173">
        <v>57</v>
      </c>
      <c r="H72" s="180">
        <f>VLOOKUP(C72,DATA!A:S,6,FALSE)</f>
        <v>35</v>
      </c>
      <c r="I72" s="52"/>
      <c r="J72" s="52"/>
      <c r="K72">
        <f t="shared" si="0"/>
        <v>0</v>
      </c>
      <c r="L72">
        <f t="shared" si="1"/>
        <v>0</v>
      </c>
      <c r="M72" s="173" t="s">
        <v>281</v>
      </c>
      <c r="N72" s="173" t="s">
        <v>409</v>
      </c>
    </row>
    <row r="73" spans="1:14" ht="15.75" x14ac:dyDescent="0.3">
      <c r="A73" s="174" t="s">
        <v>630</v>
      </c>
      <c r="B73" s="175" t="s">
        <v>1316</v>
      </c>
      <c r="C73" s="175" t="s">
        <v>631</v>
      </c>
      <c r="D73" s="175" t="s">
        <v>632</v>
      </c>
      <c r="E73" s="175" t="s">
        <v>63</v>
      </c>
      <c r="F73" s="175" t="s">
        <v>300</v>
      </c>
      <c r="G73" s="175">
        <v>54</v>
      </c>
      <c r="H73" s="180">
        <f>VLOOKUP(C73,DATA!A:S,6,FALSE)</f>
        <v>25</v>
      </c>
      <c r="I73" s="52"/>
      <c r="J73" s="52"/>
      <c r="K73">
        <f t="shared" si="0"/>
        <v>0</v>
      </c>
      <c r="L73">
        <f t="shared" si="1"/>
        <v>0</v>
      </c>
      <c r="M73" s="175" t="s">
        <v>281</v>
      </c>
      <c r="N73" s="175" t="s">
        <v>364</v>
      </c>
    </row>
    <row r="74" spans="1:14" ht="15.75" x14ac:dyDescent="0.3">
      <c r="A74" s="174" t="s">
        <v>636</v>
      </c>
      <c r="B74" s="175" t="s">
        <v>1316</v>
      </c>
      <c r="C74" s="175" t="s">
        <v>637</v>
      </c>
      <c r="D74" s="175" t="s">
        <v>638</v>
      </c>
      <c r="E74" s="175" t="s">
        <v>63</v>
      </c>
      <c r="F74" s="175" t="s">
        <v>641</v>
      </c>
      <c r="G74" s="175">
        <v>33</v>
      </c>
      <c r="H74" s="180">
        <f>VLOOKUP(C74,DATA!A:S,6,FALSE)</f>
        <v>0</v>
      </c>
      <c r="I74" s="52"/>
      <c r="J74" s="52"/>
      <c r="K74">
        <f t="shared" si="0"/>
        <v>0</v>
      </c>
      <c r="L74">
        <f t="shared" si="1"/>
        <v>0</v>
      </c>
      <c r="M74" s="175" t="s">
        <v>315</v>
      </c>
      <c r="N74" s="175" t="s">
        <v>343</v>
      </c>
    </row>
    <row r="75" spans="1:14" ht="15.75" x14ac:dyDescent="0.3">
      <c r="A75" s="174" t="s">
        <v>643</v>
      </c>
      <c r="B75" s="175" t="s">
        <v>1316</v>
      </c>
      <c r="C75" s="175" t="s">
        <v>422</v>
      </c>
      <c r="D75" s="175" t="s">
        <v>423</v>
      </c>
      <c r="E75" s="175" t="s">
        <v>61</v>
      </c>
      <c r="F75" s="175" t="s">
        <v>646</v>
      </c>
      <c r="G75" s="175">
        <v>53</v>
      </c>
      <c r="H75" s="180">
        <f>VLOOKUP(C75,DATA!A:S,6,FALSE)</f>
        <v>24</v>
      </c>
      <c r="I75" s="52"/>
      <c r="J75" s="52"/>
      <c r="K75">
        <f t="shared" si="0"/>
        <v>0</v>
      </c>
      <c r="L75">
        <f t="shared" si="1"/>
        <v>0</v>
      </c>
      <c r="M75" s="175" t="s">
        <v>315</v>
      </c>
      <c r="N75" s="175" t="s">
        <v>493</v>
      </c>
    </row>
    <row r="76" spans="1:14" ht="15.75" x14ac:dyDescent="0.3">
      <c r="A76" s="174" t="s">
        <v>648</v>
      </c>
      <c r="B76" s="175" t="s">
        <v>1316</v>
      </c>
      <c r="C76" s="175" t="s">
        <v>649</v>
      </c>
      <c r="D76" s="175" t="s">
        <v>113</v>
      </c>
      <c r="E76" s="175" t="s">
        <v>61</v>
      </c>
      <c r="F76" s="175" t="s">
        <v>653</v>
      </c>
      <c r="G76" s="175">
        <v>56</v>
      </c>
      <c r="H76" s="180">
        <f>VLOOKUP(C76,DATA!A:S,6,FALSE)</f>
        <v>34</v>
      </c>
      <c r="I76" s="52"/>
      <c r="J76" s="52"/>
      <c r="K76">
        <f t="shared" si="0"/>
        <v>0</v>
      </c>
      <c r="L76">
        <f t="shared" si="1"/>
        <v>0</v>
      </c>
      <c r="M76" s="175" t="s">
        <v>315</v>
      </c>
      <c r="N76" s="175" t="s">
        <v>256</v>
      </c>
    </row>
    <row r="77" spans="1:14" ht="15.75" x14ac:dyDescent="0.3">
      <c r="A77" s="174" t="s">
        <v>655</v>
      </c>
      <c r="B77" s="175" t="s">
        <v>1316</v>
      </c>
      <c r="C77" s="175" t="s">
        <v>656</v>
      </c>
      <c r="D77" s="175" t="s">
        <v>126</v>
      </c>
      <c r="E77" s="175" t="s">
        <v>61</v>
      </c>
      <c r="F77" s="175" t="s">
        <v>391</v>
      </c>
      <c r="G77" s="175">
        <v>45</v>
      </c>
      <c r="H77" s="180">
        <f>VLOOKUP(C77,DATA!A:S,6,FALSE)</f>
        <v>10</v>
      </c>
      <c r="I77" s="52"/>
      <c r="J77" s="52"/>
      <c r="K77">
        <f t="shared" si="0"/>
        <v>0</v>
      </c>
      <c r="L77">
        <f t="shared" si="1"/>
        <v>0</v>
      </c>
      <c r="M77" s="175" t="s">
        <v>281</v>
      </c>
      <c r="N77" s="175" t="s">
        <v>409</v>
      </c>
    </row>
    <row r="78" spans="1:14" ht="15.75" x14ac:dyDescent="0.3">
      <c r="A78" s="174" t="s">
        <v>658</v>
      </c>
      <c r="B78" s="175" t="s">
        <v>1316</v>
      </c>
      <c r="C78" s="175" t="s">
        <v>659</v>
      </c>
      <c r="D78" s="175" t="s">
        <v>122</v>
      </c>
      <c r="E78" s="175" t="s">
        <v>61</v>
      </c>
      <c r="F78" s="175" t="s">
        <v>300</v>
      </c>
      <c r="G78" s="175">
        <v>56</v>
      </c>
      <c r="H78" s="180">
        <f>VLOOKUP(C78,DATA!A:S,6,FALSE)</f>
        <v>35</v>
      </c>
      <c r="I78" s="52"/>
      <c r="J78" s="52"/>
      <c r="K78">
        <f t="shared" si="0"/>
        <v>0</v>
      </c>
      <c r="L78">
        <f t="shared" si="1"/>
        <v>0</v>
      </c>
      <c r="M78" s="175" t="s">
        <v>281</v>
      </c>
      <c r="N78" s="175" t="s">
        <v>409</v>
      </c>
    </row>
    <row r="79" spans="1:14" ht="15.75" x14ac:dyDescent="0.3">
      <c r="A79" s="174" t="s">
        <v>661</v>
      </c>
      <c r="B79" s="175" t="s">
        <v>1316</v>
      </c>
      <c r="C79" s="175" t="s">
        <v>662</v>
      </c>
      <c r="D79" s="175" t="s">
        <v>663</v>
      </c>
      <c r="E79" s="175" t="s">
        <v>61</v>
      </c>
      <c r="F79" s="175" t="s">
        <v>535</v>
      </c>
      <c r="G79" s="175">
        <v>50</v>
      </c>
      <c r="H79" s="180">
        <f>VLOOKUP(C79,DATA!A:S,6,FALSE)</f>
        <v>20</v>
      </c>
      <c r="I79" s="52"/>
      <c r="J79" s="52"/>
      <c r="K79">
        <f t="shared" si="0"/>
        <v>0</v>
      </c>
      <c r="L79">
        <f t="shared" si="1"/>
        <v>0</v>
      </c>
      <c r="M79" s="175" t="s">
        <v>315</v>
      </c>
      <c r="N79" s="175" t="s">
        <v>493</v>
      </c>
    </row>
    <row r="80" spans="1:14" ht="15.75" x14ac:dyDescent="0.3">
      <c r="A80" s="174" t="s">
        <v>665</v>
      </c>
      <c r="B80" s="175" t="s">
        <v>1316</v>
      </c>
      <c r="C80" s="175" t="s">
        <v>666</v>
      </c>
      <c r="D80" s="175" t="s">
        <v>124</v>
      </c>
      <c r="E80" s="175" t="s">
        <v>61</v>
      </c>
      <c r="F80" s="175" t="s">
        <v>373</v>
      </c>
      <c r="G80" s="175">
        <v>49</v>
      </c>
      <c r="H80" s="180">
        <f>VLOOKUP(C80,DATA!A:S,6,FALSE)</f>
        <v>28</v>
      </c>
      <c r="I80" s="52"/>
      <c r="J80" s="52"/>
      <c r="K80">
        <f t="shared" si="0"/>
        <v>0</v>
      </c>
      <c r="L80">
        <f t="shared" ref="L80:L143" si="2">+ROUND($K80*(1+$P$2),2)</f>
        <v>0</v>
      </c>
      <c r="M80" s="175" t="s">
        <v>281</v>
      </c>
      <c r="N80" s="175" t="s">
        <v>313</v>
      </c>
    </row>
    <row r="81" spans="1:14" ht="15.75" x14ac:dyDescent="0.3">
      <c r="A81" s="174" t="s">
        <v>668</v>
      </c>
      <c r="B81" s="175" t="s">
        <v>1316</v>
      </c>
      <c r="C81" s="175" t="s">
        <v>669</v>
      </c>
      <c r="D81" s="175" t="s">
        <v>478</v>
      </c>
      <c r="E81" s="175" t="s">
        <v>61</v>
      </c>
      <c r="F81" s="175" t="s">
        <v>286</v>
      </c>
      <c r="G81" s="175">
        <v>33</v>
      </c>
      <c r="H81" s="180">
        <f>VLOOKUP(C81,DATA!A:S,6,FALSE)</f>
        <v>12</v>
      </c>
      <c r="I81" s="52"/>
      <c r="J81" s="52"/>
      <c r="K81">
        <f t="shared" ref="K81:K144" si="3">+ROUND((+$I81+$J81)/$O$2,2)</f>
        <v>0</v>
      </c>
      <c r="L81">
        <f t="shared" si="2"/>
        <v>0</v>
      </c>
      <c r="M81" s="175" t="s">
        <v>281</v>
      </c>
      <c r="N81" s="175" t="s">
        <v>280</v>
      </c>
    </row>
    <row r="82" spans="1:14" ht="15.75" x14ac:dyDescent="0.3">
      <c r="A82" s="174" t="s">
        <v>671</v>
      </c>
      <c r="B82" s="175" t="s">
        <v>1316</v>
      </c>
      <c r="C82" s="175" t="s">
        <v>672</v>
      </c>
      <c r="D82" s="175" t="s">
        <v>102</v>
      </c>
      <c r="E82" s="175" t="s">
        <v>61</v>
      </c>
      <c r="F82" s="175" t="s">
        <v>673</v>
      </c>
      <c r="G82" s="175">
        <v>56</v>
      </c>
      <c r="H82" s="180">
        <f>VLOOKUP(C82,DATA!A:S,6,FALSE)</f>
        <v>36</v>
      </c>
      <c r="I82" s="52"/>
      <c r="J82" s="52"/>
      <c r="K82">
        <f t="shared" si="3"/>
        <v>0</v>
      </c>
      <c r="L82">
        <f t="shared" si="2"/>
        <v>0</v>
      </c>
      <c r="M82" s="175" t="s">
        <v>281</v>
      </c>
      <c r="N82" s="175" t="s">
        <v>364</v>
      </c>
    </row>
    <row r="83" spans="1:14" ht="15.75" x14ac:dyDescent="0.3">
      <c r="A83" s="174" t="s">
        <v>675</v>
      </c>
      <c r="B83" s="175" t="s">
        <v>1316</v>
      </c>
      <c r="C83" s="175" t="s">
        <v>676</v>
      </c>
      <c r="D83" s="175" t="s">
        <v>113</v>
      </c>
      <c r="E83" s="175" t="s">
        <v>61</v>
      </c>
      <c r="F83" s="175" t="s">
        <v>300</v>
      </c>
      <c r="G83" s="175">
        <v>55</v>
      </c>
      <c r="H83" s="180">
        <f>VLOOKUP(C83,DATA!A:S,6,FALSE)</f>
        <v>35</v>
      </c>
      <c r="I83" s="52"/>
      <c r="J83" s="52"/>
      <c r="K83">
        <f t="shared" si="3"/>
        <v>0</v>
      </c>
      <c r="L83">
        <f t="shared" si="2"/>
        <v>0</v>
      </c>
      <c r="M83" s="175" t="s">
        <v>281</v>
      </c>
      <c r="N83" s="175" t="s">
        <v>280</v>
      </c>
    </row>
    <row r="84" spans="1:14" ht="15.75" x14ac:dyDescent="0.3">
      <c r="A84" s="174" t="s">
        <v>678</v>
      </c>
      <c r="B84" s="175" t="s">
        <v>1316</v>
      </c>
      <c r="C84" s="175" t="s">
        <v>679</v>
      </c>
      <c r="D84" s="175" t="s">
        <v>130</v>
      </c>
      <c r="E84" s="175" t="s">
        <v>61</v>
      </c>
      <c r="F84" s="175" t="s">
        <v>286</v>
      </c>
      <c r="G84" s="175">
        <v>51</v>
      </c>
      <c r="H84" s="180">
        <f>VLOOKUP(C84,DATA!A:S,6,FALSE)</f>
        <v>19</v>
      </c>
      <c r="I84" s="52"/>
      <c r="J84" s="52"/>
      <c r="K84">
        <f t="shared" si="3"/>
        <v>0</v>
      </c>
      <c r="L84">
        <f t="shared" si="2"/>
        <v>0</v>
      </c>
      <c r="M84" s="175" t="s">
        <v>281</v>
      </c>
      <c r="N84" s="175" t="s">
        <v>280</v>
      </c>
    </row>
    <row r="85" spans="1:14" ht="15.75" x14ac:dyDescent="0.3">
      <c r="A85" s="174" t="s">
        <v>681</v>
      </c>
      <c r="B85" s="175" t="s">
        <v>1316</v>
      </c>
      <c r="C85" s="175" t="s">
        <v>682</v>
      </c>
      <c r="D85" s="175" t="s">
        <v>111</v>
      </c>
      <c r="E85" s="175" t="s">
        <v>61</v>
      </c>
      <c r="F85" s="175" t="s">
        <v>427</v>
      </c>
      <c r="G85" s="175">
        <v>54</v>
      </c>
      <c r="H85" s="180">
        <f>VLOOKUP(C85,DATA!A:S,6,FALSE)</f>
        <v>33</v>
      </c>
      <c r="I85" s="52"/>
      <c r="J85" s="52"/>
      <c r="K85">
        <f t="shared" si="3"/>
        <v>0</v>
      </c>
      <c r="L85">
        <f t="shared" si="2"/>
        <v>0</v>
      </c>
      <c r="M85" s="175" t="s">
        <v>281</v>
      </c>
      <c r="N85" s="175" t="s">
        <v>422</v>
      </c>
    </row>
    <row r="86" spans="1:14" x14ac:dyDescent="0.25">
      <c r="A86" s="178" t="s">
        <v>684</v>
      </c>
      <c r="B86" s="173" t="s">
        <v>1316</v>
      </c>
      <c r="C86" s="173" t="s">
        <v>379</v>
      </c>
      <c r="D86" s="173" t="s">
        <v>110</v>
      </c>
      <c r="E86" s="173" t="s">
        <v>61</v>
      </c>
      <c r="F86" s="173" t="s">
        <v>685</v>
      </c>
      <c r="G86" s="173">
        <v>57</v>
      </c>
      <c r="H86" s="180">
        <f>VLOOKUP(C86,DATA!A:S,6,FALSE)</f>
        <v>36</v>
      </c>
      <c r="I86" s="52"/>
      <c r="J86" s="52"/>
      <c r="K86">
        <f t="shared" si="3"/>
        <v>0</v>
      </c>
      <c r="L86">
        <f t="shared" si="2"/>
        <v>0</v>
      </c>
      <c r="M86" s="173" t="s">
        <v>315</v>
      </c>
      <c r="N86" s="173" t="s">
        <v>313</v>
      </c>
    </row>
    <row r="87" spans="1:14" ht="15.75" x14ac:dyDescent="0.3">
      <c r="A87" s="174" t="s">
        <v>687</v>
      </c>
      <c r="B87" s="175" t="s">
        <v>1316</v>
      </c>
      <c r="C87" s="175" t="s">
        <v>688</v>
      </c>
      <c r="D87" s="175" t="s">
        <v>689</v>
      </c>
      <c r="E87" s="175" t="s">
        <v>63</v>
      </c>
      <c r="F87" s="175" t="s">
        <v>432</v>
      </c>
      <c r="G87" s="175">
        <v>46</v>
      </c>
      <c r="H87" s="180">
        <f>VLOOKUP(C87,DATA!A:S,6,FALSE)</f>
        <v>12</v>
      </c>
      <c r="I87" s="52"/>
      <c r="J87" s="52"/>
      <c r="K87">
        <f t="shared" si="3"/>
        <v>0</v>
      </c>
      <c r="L87">
        <f t="shared" si="2"/>
        <v>0</v>
      </c>
      <c r="M87" s="175" t="s">
        <v>281</v>
      </c>
      <c r="N87" s="175" t="s">
        <v>280</v>
      </c>
    </row>
    <row r="88" spans="1:14" ht="15.75" x14ac:dyDescent="0.3">
      <c r="A88" s="174" t="s">
        <v>691</v>
      </c>
      <c r="B88" s="175" t="s">
        <v>1316</v>
      </c>
      <c r="C88" s="175" t="s">
        <v>692</v>
      </c>
      <c r="D88" s="175" t="s">
        <v>693</v>
      </c>
      <c r="E88" s="175" t="s">
        <v>63</v>
      </c>
      <c r="F88" s="175" t="s">
        <v>391</v>
      </c>
      <c r="G88" s="175">
        <v>56</v>
      </c>
      <c r="H88" s="180">
        <f>VLOOKUP(C88,DATA!A:S,6,FALSE)</f>
        <v>36</v>
      </c>
      <c r="I88" s="52"/>
      <c r="J88" s="52"/>
      <c r="K88">
        <f t="shared" si="3"/>
        <v>0</v>
      </c>
      <c r="L88">
        <f t="shared" si="2"/>
        <v>0</v>
      </c>
      <c r="M88" s="175" t="s">
        <v>281</v>
      </c>
      <c r="N88" s="175" t="s">
        <v>364</v>
      </c>
    </row>
    <row r="89" spans="1:14" ht="15.75" x14ac:dyDescent="0.3">
      <c r="A89" s="174" t="s">
        <v>697</v>
      </c>
      <c r="B89" s="175" t="s">
        <v>1316</v>
      </c>
      <c r="C89" s="175" t="s">
        <v>698</v>
      </c>
      <c r="D89" s="175" t="s">
        <v>699</v>
      </c>
      <c r="E89" s="175" t="s">
        <v>61</v>
      </c>
      <c r="F89" s="175" t="s">
        <v>702</v>
      </c>
      <c r="G89" s="175">
        <v>34</v>
      </c>
      <c r="H89" s="180">
        <f>VLOOKUP(C89,DATA!A:S,6,FALSE)</f>
        <v>10</v>
      </c>
      <c r="I89" s="52"/>
      <c r="J89" s="52"/>
      <c r="K89">
        <f t="shared" si="3"/>
        <v>0</v>
      </c>
      <c r="L89">
        <f t="shared" si="2"/>
        <v>0</v>
      </c>
      <c r="M89" s="175" t="s">
        <v>315</v>
      </c>
      <c r="N89" s="175" t="s">
        <v>313</v>
      </c>
    </row>
    <row r="90" spans="1:14" ht="15.75" x14ac:dyDescent="0.3">
      <c r="A90" s="174" t="s">
        <v>704</v>
      </c>
      <c r="B90" s="175" t="s">
        <v>1316</v>
      </c>
      <c r="C90" s="175" t="s">
        <v>705</v>
      </c>
      <c r="D90" s="175" t="s">
        <v>706</v>
      </c>
      <c r="E90" s="175" t="s">
        <v>63</v>
      </c>
      <c r="F90" s="175" t="s">
        <v>391</v>
      </c>
      <c r="G90" s="175">
        <v>50</v>
      </c>
      <c r="H90" s="180">
        <f>VLOOKUP(C90,DATA!A:S,6,FALSE)</f>
        <v>26</v>
      </c>
      <c r="I90" s="52"/>
      <c r="J90" s="52"/>
      <c r="K90">
        <f t="shared" si="3"/>
        <v>0</v>
      </c>
      <c r="L90">
        <f t="shared" si="2"/>
        <v>0</v>
      </c>
      <c r="M90" s="175" t="s">
        <v>281</v>
      </c>
      <c r="N90" s="175" t="s">
        <v>280</v>
      </c>
    </row>
    <row r="91" spans="1:14" ht="15.75" x14ac:dyDescent="0.3">
      <c r="A91" s="174" t="s">
        <v>708</v>
      </c>
      <c r="B91" s="175" t="s">
        <v>1316</v>
      </c>
      <c r="C91" s="175" t="s">
        <v>709</v>
      </c>
      <c r="D91" s="175" t="s">
        <v>110</v>
      </c>
      <c r="E91" s="175" t="s">
        <v>61</v>
      </c>
      <c r="F91" s="175" t="s">
        <v>712</v>
      </c>
      <c r="G91" s="175">
        <v>37</v>
      </c>
      <c r="H91" s="180">
        <f>VLOOKUP(C91,DATA!A:S,6,FALSE)</f>
        <v>11</v>
      </c>
      <c r="I91" s="52"/>
      <c r="J91" s="52"/>
      <c r="K91">
        <f t="shared" si="3"/>
        <v>0</v>
      </c>
      <c r="L91">
        <f t="shared" si="2"/>
        <v>0</v>
      </c>
      <c r="M91" s="175" t="s">
        <v>315</v>
      </c>
      <c r="N91" s="175" t="s">
        <v>313</v>
      </c>
    </row>
    <row r="92" spans="1:14" ht="15.75" x14ac:dyDescent="0.3">
      <c r="A92" s="174" t="s">
        <v>714</v>
      </c>
      <c r="B92" s="175" t="s">
        <v>1316</v>
      </c>
      <c r="C92" s="175" t="s">
        <v>715</v>
      </c>
      <c r="D92" s="175" t="s">
        <v>544</v>
      </c>
      <c r="E92" s="175" t="s">
        <v>61</v>
      </c>
      <c r="F92" s="175" t="s">
        <v>432</v>
      </c>
      <c r="G92" s="175">
        <v>51</v>
      </c>
      <c r="H92" s="180">
        <f>VLOOKUP(C92,DATA!A:S,6,FALSE)</f>
        <v>27</v>
      </c>
      <c r="I92" s="52"/>
      <c r="J92" s="52"/>
      <c r="K92">
        <f t="shared" si="3"/>
        <v>0</v>
      </c>
      <c r="L92">
        <f t="shared" si="2"/>
        <v>0</v>
      </c>
      <c r="M92" s="175" t="s">
        <v>281</v>
      </c>
      <c r="N92" s="175" t="s">
        <v>280</v>
      </c>
    </row>
    <row r="93" spans="1:14" ht="15.75" x14ac:dyDescent="0.3">
      <c r="A93" s="174" t="s">
        <v>717</v>
      </c>
      <c r="B93" s="175" t="s">
        <v>1316</v>
      </c>
      <c r="C93" s="175" t="s">
        <v>718</v>
      </c>
      <c r="D93" s="175" t="s">
        <v>719</v>
      </c>
      <c r="E93" s="175" t="s">
        <v>63</v>
      </c>
      <c r="F93" s="175" t="s">
        <v>432</v>
      </c>
      <c r="G93" s="175">
        <v>35</v>
      </c>
      <c r="H93" s="180">
        <f>VLOOKUP(C93,DATA!A:S,6,FALSE)</f>
        <v>10</v>
      </c>
      <c r="I93" s="52"/>
      <c r="J93" s="52"/>
      <c r="K93">
        <f t="shared" si="3"/>
        <v>0</v>
      </c>
      <c r="L93">
        <f t="shared" si="2"/>
        <v>0</v>
      </c>
      <c r="M93" s="175" t="s">
        <v>281</v>
      </c>
      <c r="N93" s="175" t="s">
        <v>409</v>
      </c>
    </row>
    <row r="94" spans="1:14" ht="15.75" x14ac:dyDescent="0.3">
      <c r="A94" s="174" t="s">
        <v>721</v>
      </c>
      <c r="B94" s="175" t="s">
        <v>1316</v>
      </c>
      <c r="C94" s="175" t="s">
        <v>722</v>
      </c>
      <c r="D94" s="175" t="s">
        <v>124</v>
      </c>
      <c r="E94" s="175" t="s">
        <v>61</v>
      </c>
      <c r="F94" s="175" t="s">
        <v>437</v>
      </c>
      <c r="G94" s="175">
        <v>50</v>
      </c>
      <c r="H94" s="180">
        <f>VLOOKUP(C94,DATA!A:S,6,FALSE)</f>
        <v>23</v>
      </c>
      <c r="I94" s="52"/>
      <c r="J94" s="52"/>
      <c r="K94">
        <f t="shared" si="3"/>
        <v>0</v>
      </c>
      <c r="L94">
        <f t="shared" si="2"/>
        <v>0</v>
      </c>
      <c r="M94" s="175" t="s">
        <v>281</v>
      </c>
      <c r="N94" s="175" t="s">
        <v>409</v>
      </c>
    </row>
    <row r="95" spans="1:14" ht="15.75" x14ac:dyDescent="0.3">
      <c r="A95" s="174" t="s">
        <v>724</v>
      </c>
      <c r="B95" s="175" t="s">
        <v>1316</v>
      </c>
      <c r="C95" s="175" t="s">
        <v>1334</v>
      </c>
      <c r="D95" s="175" t="s">
        <v>725</v>
      </c>
      <c r="E95" s="175" t="s">
        <v>61</v>
      </c>
      <c r="F95" s="175" t="s">
        <v>728</v>
      </c>
      <c r="G95" s="175">
        <v>47</v>
      </c>
      <c r="H95" s="180">
        <f>VLOOKUP(C95,DATA!A:S,6,FALSE)</f>
        <v>24</v>
      </c>
      <c r="I95" s="52"/>
      <c r="J95" s="52"/>
      <c r="K95">
        <f t="shared" si="3"/>
        <v>0</v>
      </c>
      <c r="L95">
        <f t="shared" si="2"/>
        <v>0</v>
      </c>
      <c r="M95" s="175" t="s">
        <v>315</v>
      </c>
      <c r="N95" s="175" t="s">
        <v>256</v>
      </c>
    </row>
    <row r="96" spans="1:14" x14ac:dyDescent="0.25">
      <c r="A96" s="178" t="s">
        <v>730</v>
      </c>
      <c r="B96" s="173" t="s">
        <v>1316</v>
      </c>
      <c r="C96" s="173" t="s">
        <v>1335</v>
      </c>
      <c r="D96" s="173" t="s">
        <v>111</v>
      </c>
      <c r="E96" s="173" t="s">
        <v>61</v>
      </c>
      <c r="F96" s="173" t="s">
        <v>366</v>
      </c>
      <c r="G96" s="173">
        <v>57</v>
      </c>
      <c r="H96" s="180">
        <f>VLOOKUP(C96,DATA!A:S,6,FALSE)</f>
        <v>36</v>
      </c>
      <c r="I96" s="52"/>
      <c r="J96" s="52"/>
      <c r="K96">
        <f t="shared" si="3"/>
        <v>0</v>
      </c>
      <c r="L96">
        <f t="shared" si="2"/>
        <v>0</v>
      </c>
      <c r="M96" s="173" t="s">
        <v>281</v>
      </c>
      <c r="N96" s="173" t="s">
        <v>364</v>
      </c>
    </row>
    <row r="97" spans="1:14" ht="15.75" x14ac:dyDescent="0.3">
      <c r="A97" s="174" t="s">
        <v>732</v>
      </c>
      <c r="B97" s="175" t="s">
        <v>1316</v>
      </c>
      <c r="C97" s="175" t="s">
        <v>733</v>
      </c>
      <c r="D97" s="175" t="s">
        <v>734</v>
      </c>
      <c r="E97" s="175" t="s">
        <v>61</v>
      </c>
      <c r="F97" s="175" t="s">
        <v>373</v>
      </c>
      <c r="G97" s="175">
        <v>45</v>
      </c>
      <c r="H97" s="180">
        <f>VLOOKUP(C97,DATA!A:S,6,FALSE)</f>
        <v>23</v>
      </c>
      <c r="I97" s="52"/>
      <c r="J97" s="52"/>
      <c r="K97">
        <f t="shared" si="3"/>
        <v>0</v>
      </c>
      <c r="L97">
        <f t="shared" si="2"/>
        <v>0</v>
      </c>
      <c r="M97" s="175" t="s">
        <v>281</v>
      </c>
      <c r="N97" s="175" t="s">
        <v>313</v>
      </c>
    </row>
    <row r="98" spans="1:14" ht="15.75" x14ac:dyDescent="0.3">
      <c r="A98" s="174" t="s">
        <v>736</v>
      </c>
      <c r="B98" s="175" t="s">
        <v>1316</v>
      </c>
      <c r="C98" s="175" t="s">
        <v>737</v>
      </c>
      <c r="D98" s="175" t="s">
        <v>632</v>
      </c>
      <c r="E98" s="175" t="s">
        <v>63</v>
      </c>
      <c r="F98" s="175" t="s">
        <v>741</v>
      </c>
      <c r="G98" s="175">
        <v>54</v>
      </c>
      <c r="H98" s="180">
        <f>VLOOKUP(C98,DATA!A:S,6,FALSE)</f>
        <v>27</v>
      </c>
      <c r="I98" s="52"/>
      <c r="J98" s="52"/>
      <c r="K98">
        <f t="shared" si="3"/>
        <v>0</v>
      </c>
      <c r="L98">
        <f t="shared" si="2"/>
        <v>0</v>
      </c>
      <c r="M98" s="175" t="s">
        <v>315</v>
      </c>
      <c r="N98" s="175" t="s">
        <v>493</v>
      </c>
    </row>
    <row r="99" spans="1:14" ht="15.75" x14ac:dyDescent="0.3">
      <c r="A99" s="174" t="s">
        <v>743</v>
      </c>
      <c r="B99" s="175" t="s">
        <v>1316</v>
      </c>
      <c r="C99" s="175" t="s">
        <v>744</v>
      </c>
      <c r="D99" s="175" t="s">
        <v>478</v>
      </c>
      <c r="E99" s="175" t="s">
        <v>61</v>
      </c>
      <c r="F99" s="175" t="s">
        <v>432</v>
      </c>
      <c r="G99" s="175">
        <v>52</v>
      </c>
      <c r="H99" s="180">
        <f>VLOOKUP(C99,DATA!A:S,6,FALSE)</f>
        <v>19</v>
      </c>
      <c r="I99" s="52"/>
      <c r="J99" s="52"/>
      <c r="K99">
        <f t="shared" si="3"/>
        <v>0</v>
      </c>
      <c r="L99">
        <f t="shared" si="2"/>
        <v>0</v>
      </c>
      <c r="M99" s="175" t="s">
        <v>281</v>
      </c>
      <c r="N99" s="175" t="s">
        <v>409</v>
      </c>
    </row>
    <row r="100" spans="1:14" x14ac:dyDescent="0.25">
      <c r="A100" s="178" t="s">
        <v>746</v>
      </c>
      <c r="B100" s="173" t="s">
        <v>1316</v>
      </c>
      <c r="C100" s="173" t="s">
        <v>747</v>
      </c>
      <c r="D100" s="173" t="s">
        <v>748</v>
      </c>
      <c r="E100" s="173" t="s">
        <v>61</v>
      </c>
      <c r="F100" s="173" t="s">
        <v>749</v>
      </c>
      <c r="G100" s="173">
        <v>57</v>
      </c>
      <c r="H100" s="180">
        <f>VLOOKUP(C100,DATA!A:S,6,FALSE)</f>
        <v>34</v>
      </c>
      <c r="I100" s="52"/>
      <c r="J100" s="52"/>
      <c r="K100">
        <f t="shared" si="3"/>
        <v>0</v>
      </c>
      <c r="L100">
        <f t="shared" si="2"/>
        <v>0</v>
      </c>
      <c r="M100" s="173" t="s">
        <v>315</v>
      </c>
      <c r="N100" s="173" t="s">
        <v>313</v>
      </c>
    </row>
    <row r="101" spans="1:14" ht="15.75" x14ac:dyDescent="0.3">
      <c r="A101" s="174" t="s">
        <v>751</v>
      </c>
      <c r="B101" s="175" t="s">
        <v>1316</v>
      </c>
      <c r="C101" s="175" t="s">
        <v>752</v>
      </c>
      <c r="D101" s="175" t="s">
        <v>123</v>
      </c>
      <c r="E101" s="175" t="s">
        <v>63</v>
      </c>
      <c r="F101" s="175" t="s">
        <v>391</v>
      </c>
      <c r="G101" s="175">
        <v>56</v>
      </c>
      <c r="H101" s="180">
        <f>VLOOKUP(C101,DATA!A:S,6,FALSE)</f>
        <v>36</v>
      </c>
      <c r="I101" s="52"/>
      <c r="J101" s="52"/>
      <c r="K101">
        <f t="shared" si="3"/>
        <v>0</v>
      </c>
      <c r="L101">
        <f t="shared" si="2"/>
        <v>0</v>
      </c>
      <c r="M101" s="175" t="s">
        <v>281</v>
      </c>
      <c r="N101" s="175" t="s">
        <v>409</v>
      </c>
    </row>
    <row r="102" spans="1:14" ht="15.75" x14ac:dyDescent="0.3">
      <c r="A102" s="174" t="s">
        <v>754</v>
      </c>
      <c r="B102" s="175" t="s">
        <v>1316</v>
      </c>
      <c r="C102" s="175" t="s">
        <v>132</v>
      </c>
      <c r="D102" s="175" t="s">
        <v>755</v>
      </c>
      <c r="E102" s="175" t="s">
        <v>61</v>
      </c>
      <c r="F102" s="175" t="s">
        <v>286</v>
      </c>
      <c r="G102" s="175">
        <v>47</v>
      </c>
      <c r="H102" s="180">
        <f>VLOOKUP(C102,DATA!A:S,6,FALSE)</f>
        <v>25</v>
      </c>
      <c r="I102" s="52"/>
      <c r="J102" s="52"/>
      <c r="K102">
        <f t="shared" si="3"/>
        <v>0</v>
      </c>
      <c r="L102">
        <f t="shared" si="2"/>
        <v>0</v>
      </c>
      <c r="M102" s="175" t="s">
        <v>281</v>
      </c>
      <c r="N102" s="175" t="s">
        <v>409</v>
      </c>
    </row>
    <row r="103" spans="1:14" ht="15.75" x14ac:dyDescent="0.3">
      <c r="A103" s="174" t="s">
        <v>757</v>
      </c>
      <c r="B103" s="175" t="s">
        <v>1316</v>
      </c>
      <c r="C103" s="175" t="s">
        <v>758</v>
      </c>
      <c r="D103" s="175" t="s">
        <v>759</v>
      </c>
      <c r="E103" s="175" t="s">
        <v>61</v>
      </c>
      <c r="F103" s="175" t="s">
        <v>427</v>
      </c>
      <c r="G103" s="175">
        <v>48</v>
      </c>
      <c r="H103" s="180">
        <f>VLOOKUP(C103,DATA!A:S,6,FALSE)</f>
        <v>12</v>
      </c>
      <c r="I103" s="52"/>
      <c r="J103" s="52"/>
      <c r="K103">
        <f t="shared" si="3"/>
        <v>0</v>
      </c>
      <c r="L103">
        <f t="shared" si="2"/>
        <v>0</v>
      </c>
      <c r="M103" s="175" t="s">
        <v>281</v>
      </c>
      <c r="N103" s="175" t="s">
        <v>422</v>
      </c>
    </row>
    <row r="104" spans="1:14" ht="15.75" x14ac:dyDescent="0.3">
      <c r="A104" s="174" t="s">
        <v>761</v>
      </c>
      <c r="B104" s="175" t="s">
        <v>1316</v>
      </c>
      <c r="C104" s="175" t="s">
        <v>762</v>
      </c>
      <c r="D104" s="175" t="s">
        <v>763</v>
      </c>
      <c r="E104" s="175" t="s">
        <v>61</v>
      </c>
      <c r="F104" s="175" t="s">
        <v>764</v>
      </c>
      <c r="G104" s="175">
        <v>46</v>
      </c>
      <c r="H104" s="180">
        <f>VLOOKUP(C104,DATA!A:S,6,FALSE)</f>
        <v>20</v>
      </c>
      <c r="I104" s="52"/>
      <c r="J104" s="52"/>
      <c r="K104">
        <f t="shared" si="3"/>
        <v>0</v>
      </c>
      <c r="L104">
        <f t="shared" si="2"/>
        <v>0</v>
      </c>
      <c r="M104" s="175" t="s">
        <v>315</v>
      </c>
      <c r="N104" s="175" t="s">
        <v>313</v>
      </c>
    </row>
    <row r="105" spans="1:14" ht="15.75" x14ac:dyDescent="0.3">
      <c r="A105" s="174" t="s">
        <v>766</v>
      </c>
      <c r="B105" s="175" t="s">
        <v>1316</v>
      </c>
      <c r="C105" s="175" t="s">
        <v>767</v>
      </c>
      <c r="D105" s="175" t="s">
        <v>96</v>
      </c>
      <c r="E105" s="175" t="s">
        <v>61</v>
      </c>
      <c r="F105" s="175" t="s">
        <v>391</v>
      </c>
      <c r="G105" s="175">
        <v>47</v>
      </c>
      <c r="H105" s="180">
        <f>VLOOKUP(C105,DATA!A:S,6,FALSE)</f>
        <v>23</v>
      </c>
      <c r="I105" s="52"/>
      <c r="J105" s="52"/>
      <c r="K105">
        <f t="shared" si="3"/>
        <v>0</v>
      </c>
      <c r="L105">
        <f t="shared" si="2"/>
        <v>0</v>
      </c>
      <c r="M105" s="175" t="s">
        <v>281</v>
      </c>
      <c r="N105" s="175" t="s">
        <v>409</v>
      </c>
    </row>
    <row r="106" spans="1:14" ht="15.75" x14ac:dyDescent="0.3">
      <c r="A106" s="174" t="s">
        <v>769</v>
      </c>
      <c r="B106" s="175" t="s">
        <v>1316</v>
      </c>
      <c r="C106" s="175" t="s">
        <v>770</v>
      </c>
      <c r="D106" s="175" t="s">
        <v>482</v>
      </c>
      <c r="E106" s="175" t="s">
        <v>61</v>
      </c>
      <c r="F106" s="175" t="s">
        <v>286</v>
      </c>
      <c r="G106" s="175">
        <v>56</v>
      </c>
      <c r="H106" s="180">
        <f>VLOOKUP(C106,DATA!A:S,6,FALSE)</f>
        <v>36</v>
      </c>
      <c r="I106" s="52"/>
      <c r="J106" s="52"/>
      <c r="K106">
        <f t="shared" si="3"/>
        <v>0</v>
      </c>
      <c r="L106">
        <f t="shared" si="2"/>
        <v>0</v>
      </c>
      <c r="M106" s="175" t="s">
        <v>281</v>
      </c>
      <c r="N106" s="175" t="s">
        <v>409</v>
      </c>
    </row>
    <row r="107" spans="1:14" ht="15.75" x14ac:dyDescent="0.3">
      <c r="A107" s="174" t="s">
        <v>772</v>
      </c>
      <c r="B107" s="175" t="s">
        <v>1316</v>
      </c>
      <c r="C107" s="175" t="s">
        <v>773</v>
      </c>
      <c r="D107" s="175" t="s">
        <v>116</v>
      </c>
      <c r="E107" s="175" t="s">
        <v>61</v>
      </c>
      <c r="F107" s="175" t="s">
        <v>391</v>
      </c>
      <c r="G107" s="175">
        <v>53</v>
      </c>
      <c r="H107" s="180">
        <f>VLOOKUP(C107,DATA!A:S,6,FALSE)</f>
        <v>10</v>
      </c>
      <c r="I107" s="52"/>
      <c r="J107" s="52"/>
      <c r="K107">
        <f t="shared" si="3"/>
        <v>0</v>
      </c>
      <c r="L107">
        <f t="shared" si="2"/>
        <v>0</v>
      </c>
      <c r="M107" s="175" t="s">
        <v>281</v>
      </c>
      <c r="N107" s="175" t="s">
        <v>280</v>
      </c>
    </row>
    <row r="108" spans="1:14" x14ac:dyDescent="0.25">
      <c r="A108" s="178" t="s">
        <v>775</v>
      </c>
      <c r="B108" s="173" t="s">
        <v>1316</v>
      </c>
      <c r="C108" s="173" t="s">
        <v>776</v>
      </c>
      <c r="D108" s="173" t="s">
        <v>108</v>
      </c>
      <c r="E108" s="173" t="s">
        <v>61</v>
      </c>
      <c r="F108" s="173" t="s">
        <v>391</v>
      </c>
      <c r="G108" s="173">
        <v>59</v>
      </c>
      <c r="H108" s="180">
        <f>VLOOKUP(C108,DATA!A:S,6,FALSE)</f>
        <v>10</v>
      </c>
      <c r="I108" s="52"/>
      <c r="J108" s="52"/>
      <c r="K108">
        <f t="shared" si="3"/>
        <v>0</v>
      </c>
      <c r="L108">
        <f t="shared" si="2"/>
        <v>0</v>
      </c>
      <c r="M108" s="173" t="s">
        <v>281</v>
      </c>
      <c r="N108" s="173" t="s">
        <v>280</v>
      </c>
    </row>
    <row r="109" spans="1:14" ht="15.75" x14ac:dyDescent="0.3">
      <c r="A109" s="174" t="s">
        <v>778</v>
      </c>
      <c r="B109" s="175" t="s">
        <v>1316</v>
      </c>
      <c r="C109" s="175" t="s">
        <v>776</v>
      </c>
      <c r="D109" s="175" t="s">
        <v>111</v>
      </c>
      <c r="E109" s="175" t="s">
        <v>61</v>
      </c>
      <c r="F109" s="175" t="s">
        <v>781</v>
      </c>
      <c r="G109" s="175">
        <v>50</v>
      </c>
      <c r="H109" s="180">
        <f>VLOOKUP(C109,DATA!A:S,6,FALSE)</f>
        <v>10</v>
      </c>
      <c r="I109" s="52"/>
      <c r="J109" s="52"/>
      <c r="K109">
        <f t="shared" si="3"/>
        <v>0</v>
      </c>
      <c r="L109">
        <f t="shared" si="2"/>
        <v>0</v>
      </c>
      <c r="M109" s="175" t="s">
        <v>315</v>
      </c>
      <c r="N109" s="175" t="s">
        <v>256</v>
      </c>
    </row>
    <row r="110" spans="1:14" x14ac:dyDescent="0.25">
      <c r="A110" s="178" t="s">
        <v>783</v>
      </c>
      <c r="B110" s="173" t="s">
        <v>1316</v>
      </c>
      <c r="C110" s="173" t="s">
        <v>784</v>
      </c>
      <c r="D110" s="173" t="s">
        <v>785</v>
      </c>
      <c r="E110" s="173" t="s">
        <v>61</v>
      </c>
      <c r="F110" s="173" t="s">
        <v>391</v>
      </c>
      <c r="G110" s="173">
        <v>59</v>
      </c>
      <c r="H110" s="180">
        <f>VLOOKUP(C110,DATA!A:S,6,FALSE)</f>
        <v>10</v>
      </c>
      <c r="I110" s="52"/>
      <c r="J110" s="52"/>
      <c r="K110">
        <f t="shared" si="3"/>
        <v>0</v>
      </c>
      <c r="L110">
        <f t="shared" si="2"/>
        <v>0</v>
      </c>
      <c r="M110" s="173" t="s">
        <v>281</v>
      </c>
      <c r="N110" s="173" t="s">
        <v>280</v>
      </c>
    </row>
    <row r="111" spans="1:14" ht="15.75" x14ac:dyDescent="0.3">
      <c r="A111" s="174" t="s">
        <v>787</v>
      </c>
      <c r="B111" s="175" t="s">
        <v>1316</v>
      </c>
      <c r="C111" s="175" t="s">
        <v>788</v>
      </c>
      <c r="D111" s="175" t="s">
        <v>789</v>
      </c>
      <c r="E111" s="175" t="s">
        <v>61</v>
      </c>
      <c r="F111" s="175" t="s">
        <v>300</v>
      </c>
      <c r="G111" s="175">
        <v>47</v>
      </c>
      <c r="H111" s="180">
        <f>VLOOKUP(C111,DATA!A:S,6,FALSE)</f>
        <v>24</v>
      </c>
      <c r="I111" s="52"/>
      <c r="J111" s="52"/>
      <c r="K111">
        <f t="shared" si="3"/>
        <v>0</v>
      </c>
      <c r="L111">
        <f t="shared" si="2"/>
        <v>0</v>
      </c>
      <c r="M111" s="175" t="s">
        <v>281</v>
      </c>
      <c r="N111" s="175" t="s">
        <v>409</v>
      </c>
    </row>
    <row r="112" spans="1:14" ht="15.75" x14ac:dyDescent="0.3">
      <c r="A112" s="174" t="s">
        <v>791</v>
      </c>
      <c r="B112" s="175" t="s">
        <v>1316</v>
      </c>
      <c r="C112" s="175" t="s">
        <v>792</v>
      </c>
      <c r="D112" s="175" t="s">
        <v>124</v>
      </c>
      <c r="E112" s="175" t="s">
        <v>61</v>
      </c>
      <c r="F112" s="175" t="s">
        <v>391</v>
      </c>
      <c r="G112" s="175">
        <v>49</v>
      </c>
      <c r="H112" s="180">
        <f>VLOOKUP(C112,DATA!A:S,6,FALSE)</f>
        <v>25</v>
      </c>
      <c r="I112" s="52"/>
      <c r="J112" s="52"/>
      <c r="K112">
        <f t="shared" si="3"/>
        <v>0</v>
      </c>
      <c r="L112">
        <f t="shared" si="2"/>
        <v>0</v>
      </c>
      <c r="M112" s="175" t="s">
        <v>281</v>
      </c>
      <c r="N112" s="175" t="s">
        <v>280</v>
      </c>
    </row>
    <row r="113" spans="1:14" x14ac:dyDescent="0.25">
      <c r="A113" s="178" t="s">
        <v>794</v>
      </c>
      <c r="B113" s="173" t="s">
        <v>1316</v>
      </c>
      <c r="C113" s="173" t="s">
        <v>795</v>
      </c>
      <c r="D113" s="173" t="s">
        <v>796</v>
      </c>
      <c r="E113" s="173" t="s">
        <v>63</v>
      </c>
      <c r="F113" s="173" t="s">
        <v>797</v>
      </c>
      <c r="G113" s="173">
        <v>59</v>
      </c>
      <c r="H113" s="180">
        <f>VLOOKUP(C113,DATA!A:S,6,FALSE)</f>
        <v>26</v>
      </c>
      <c r="I113" s="52"/>
      <c r="J113" s="52"/>
      <c r="K113">
        <f t="shared" si="3"/>
        <v>0</v>
      </c>
      <c r="L113">
        <f t="shared" si="2"/>
        <v>0</v>
      </c>
      <c r="M113" s="173" t="s">
        <v>315</v>
      </c>
      <c r="N113" s="173" t="s">
        <v>516</v>
      </c>
    </row>
    <row r="114" spans="1:14" ht="15.75" x14ac:dyDescent="0.3">
      <c r="A114" s="174" t="s">
        <v>799</v>
      </c>
      <c r="B114" s="175" t="s">
        <v>1316</v>
      </c>
      <c r="C114" s="175" t="s">
        <v>800</v>
      </c>
      <c r="D114" s="175" t="s">
        <v>789</v>
      </c>
      <c r="E114" s="175" t="s">
        <v>61</v>
      </c>
      <c r="F114" s="175" t="s">
        <v>653</v>
      </c>
      <c r="G114" s="175">
        <v>52</v>
      </c>
      <c r="H114" s="180">
        <f>VLOOKUP(C114,DATA!A:S,6,FALSE)</f>
        <v>28</v>
      </c>
      <c r="I114" s="52"/>
      <c r="J114" s="52"/>
      <c r="K114">
        <f t="shared" si="3"/>
        <v>0</v>
      </c>
      <c r="L114">
        <f t="shared" si="2"/>
        <v>0</v>
      </c>
      <c r="M114" s="175" t="s">
        <v>315</v>
      </c>
      <c r="N114" s="175" t="s">
        <v>256</v>
      </c>
    </row>
    <row r="115" spans="1:14" ht="15.75" x14ac:dyDescent="0.3">
      <c r="A115" s="174" t="s">
        <v>802</v>
      </c>
      <c r="B115" s="175" t="s">
        <v>1316</v>
      </c>
      <c r="C115" s="175" t="s">
        <v>803</v>
      </c>
      <c r="D115" s="175" t="s">
        <v>789</v>
      </c>
      <c r="E115" s="175" t="s">
        <v>61</v>
      </c>
      <c r="F115" s="175" t="s">
        <v>366</v>
      </c>
      <c r="G115" s="175">
        <v>37</v>
      </c>
      <c r="H115" s="180">
        <f>VLOOKUP(C115,DATA!A:S,6,FALSE)</f>
        <v>16</v>
      </c>
      <c r="I115" s="52"/>
      <c r="J115" s="52"/>
      <c r="K115">
        <f t="shared" si="3"/>
        <v>0</v>
      </c>
      <c r="L115">
        <f t="shared" si="2"/>
        <v>0</v>
      </c>
      <c r="M115" s="175" t="s">
        <v>281</v>
      </c>
      <c r="N115" s="175" t="s">
        <v>364</v>
      </c>
    </row>
    <row r="116" spans="1:14" ht="15.75" x14ac:dyDescent="0.3">
      <c r="A116" s="174" t="s">
        <v>805</v>
      </c>
      <c r="B116" s="175" t="s">
        <v>1316</v>
      </c>
      <c r="C116" s="175" t="s">
        <v>806</v>
      </c>
      <c r="D116" s="175" t="s">
        <v>807</v>
      </c>
      <c r="E116" s="175" t="s">
        <v>61</v>
      </c>
      <c r="F116" s="175" t="s">
        <v>391</v>
      </c>
      <c r="G116" s="175">
        <v>54</v>
      </c>
      <c r="H116" s="180">
        <f>VLOOKUP(C116,DATA!A:S,6,FALSE)</f>
        <v>33</v>
      </c>
      <c r="I116" s="52"/>
      <c r="J116" s="52"/>
      <c r="K116">
        <f t="shared" si="3"/>
        <v>0</v>
      </c>
      <c r="L116">
        <f t="shared" si="2"/>
        <v>0</v>
      </c>
      <c r="M116" s="175" t="s">
        <v>281</v>
      </c>
      <c r="N116" s="175" t="s">
        <v>280</v>
      </c>
    </row>
    <row r="117" spans="1:14" ht="15.75" x14ac:dyDescent="0.3">
      <c r="A117" s="174" t="s">
        <v>809</v>
      </c>
      <c r="B117" s="175" t="s">
        <v>1316</v>
      </c>
      <c r="C117" s="175" t="s">
        <v>810</v>
      </c>
      <c r="D117" s="175" t="s">
        <v>295</v>
      </c>
      <c r="E117" s="175" t="s">
        <v>61</v>
      </c>
      <c r="F117" s="175" t="s">
        <v>811</v>
      </c>
      <c r="G117" s="175">
        <v>36</v>
      </c>
      <c r="H117" s="180">
        <f>VLOOKUP(C117,DATA!A:S,6,FALSE)</f>
        <v>0</v>
      </c>
      <c r="I117" s="52"/>
      <c r="J117" s="52"/>
      <c r="K117">
        <f t="shared" si="3"/>
        <v>0</v>
      </c>
      <c r="L117">
        <f t="shared" si="2"/>
        <v>0</v>
      </c>
      <c r="M117" s="175" t="s">
        <v>315</v>
      </c>
      <c r="N117" s="175" t="s">
        <v>313</v>
      </c>
    </row>
    <row r="118" spans="1:14" ht="15.75" x14ac:dyDescent="0.3">
      <c r="A118" s="174" t="s">
        <v>815</v>
      </c>
      <c r="B118" s="175" t="s">
        <v>1316</v>
      </c>
      <c r="C118" s="175" t="s">
        <v>816</v>
      </c>
      <c r="D118" s="175" t="s">
        <v>117</v>
      </c>
      <c r="E118" s="175" t="s">
        <v>61</v>
      </c>
      <c r="F118" s="175" t="s">
        <v>286</v>
      </c>
      <c r="G118" s="175">
        <v>51</v>
      </c>
      <c r="H118" s="180">
        <f>VLOOKUP(C118,DATA!A:S,6,FALSE)</f>
        <v>12</v>
      </c>
      <c r="I118" s="52"/>
      <c r="J118" s="52"/>
      <c r="K118">
        <f t="shared" si="3"/>
        <v>0</v>
      </c>
      <c r="L118">
        <f t="shared" si="2"/>
        <v>0</v>
      </c>
      <c r="M118" s="175" t="s">
        <v>281</v>
      </c>
      <c r="N118" s="175" t="s">
        <v>409</v>
      </c>
    </row>
    <row r="119" spans="1:14" ht="15.75" x14ac:dyDescent="0.3">
      <c r="A119" s="174" t="s">
        <v>818</v>
      </c>
      <c r="B119" s="175" t="s">
        <v>1316</v>
      </c>
      <c r="C119" s="175" t="s">
        <v>819</v>
      </c>
      <c r="D119" s="175" t="s">
        <v>789</v>
      </c>
      <c r="E119" s="175" t="s">
        <v>61</v>
      </c>
      <c r="F119" s="175" t="s">
        <v>383</v>
      </c>
      <c r="G119" s="175">
        <v>51</v>
      </c>
      <c r="H119" s="180">
        <f>VLOOKUP(C119,DATA!A:S,6,FALSE)</f>
        <v>27</v>
      </c>
      <c r="I119" s="52"/>
      <c r="J119" s="52"/>
      <c r="K119">
        <f t="shared" si="3"/>
        <v>0</v>
      </c>
      <c r="L119">
        <f t="shared" si="2"/>
        <v>0</v>
      </c>
      <c r="M119" s="175" t="s">
        <v>315</v>
      </c>
      <c r="N119" s="175" t="s">
        <v>379</v>
      </c>
    </row>
    <row r="120" spans="1:14" ht="15.75" x14ac:dyDescent="0.3">
      <c r="A120" s="174" t="s">
        <v>821</v>
      </c>
      <c r="B120" s="175" t="s">
        <v>1316</v>
      </c>
      <c r="C120" s="175" t="s">
        <v>822</v>
      </c>
      <c r="D120" s="175" t="s">
        <v>823</v>
      </c>
      <c r="E120" s="175" t="s">
        <v>61</v>
      </c>
      <c r="F120" s="175" t="s">
        <v>391</v>
      </c>
      <c r="G120" s="175">
        <v>36</v>
      </c>
      <c r="H120" s="180">
        <f>VLOOKUP(C120,DATA!A:S,6,FALSE)</f>
        <v>12</v>
      </c>
      <c r="I120" s="52"/>
      <c r="J120" s="52"/>
      <c r="K120">
        <f t="shared" si="3"/>
        <v>0</v>
      </c>
      <c r="L120">
        <f t="shared" si="2"/>
        <v>0</v>
      </c>
      <c r="M120" s="175" t="s">
        <v>281</v>
      </c>
      <c r="N120" s="175" t="s">
        <v>280</v>
      </c>
    </row>
    <row r="121" spans="1:14" ht="15.75" x14ac:dyDescent="0.3">
      <c r="A121" s="174" t="s">
        <v>825</v>
      </c>
      <c r="B121" s="175" t="s">
        <v>1316</v>
      </c>
      <c r="C121" s="175" t="s">
        <v>826</v>
      </c>
      <c r="D121" s="175" t="s">
        <v>789</v>
      </c>
      <c r="E121" s="175" t="s">
        <v>61</v>
      </c>
      <c r="F121" s="175" t="s">
        <v>432</v>
      </c>
      <c r="G121" s="175">
        <v>45</v>
      </c>
      <c r="H121" s="180">
        <f>VLOOKUP(C121,DATA!A:S,6,FALSE)</f>
        <v>18</v>
      </c>
      <c r="I121" s="52"/>
      <c r="J121" s="52"/>
      <c r="K121">
        <f t="shared" si="3"/>
        <v>0</v>
      </c>
      <c r="L121">
        <f t="shared" si="2"/>
        <v>0</v>
      </c>
      <c r="M121" s="175" t="s">
        <v>281</v>
      </c>
      <c r="N121" s="175" t="s">
        <v>422</v>
      </c>
    </row>
    <row r="122" spans="1:14" ht="15.75" x14ac:dyDescent="0.3">
      <c r="A122" s="174" t="s">
        <v>828</v>
      </c>
      <c r="B122" s="175" t="s">
        <v>1316</v>
      </c>
      <c r="C122" s="175" t="s">
        <v>829</v>
      </c>
      <c r="D122" s="175" t="s">
        <v>830</v>
      </c>
      <c r="E122" s="175" t="s">
        <v>61</v>
      </c>
      <c r="F122" s="175" t="s">
        <v>432</v>
      </c>
      <c r="G122" s="175">
        <v>51</v>
      </c>
      <c r="H122" s="180">
        <f>VLOOKUP(C122,DATA!A:S,6,FALSE)</f>
        <v>10</v>
      </c>
      <c r="I122" s="52"/>
      <c r="J122" s="52"/>
      <c r="K122">
        <f t="shared" si="3"/>
        <v>0</v>
      </c>
      <c r="L122">
        <f t="shared" si="2"/>
        <v>0</v>
      </c>
      <c r="M122" s="175" t="s">
        <v>281</v>
      </c>
      <c r="N122" s="175" t="s">
        <v>280</v>
      </c>
    </row>
    <row r="123" spans="1:14" x14ac:dyDescent="0.25">
      <c r="A123" s="178" t="s">
        <v>832</v>
      </c>
      <c r="B123" s="173" t="s">
        <v>1316</v>
      </c>
      <c r="C123" s="173" t="s">
        <v>833</v>
      </c>
      <c r="D123" s="173" t="s">
        <v>100</v>
      </c>
      <c r="E123" s="173" t="s">
        <v>61</v>
      </c>
      <c r="F123" s="173" t="s">
        <v>286</v>
      </c>
      <c r="G123" s="173">
        <v>57</v>
      </c>
      <c r="H123" s="180">
        <f>VLOOKUP(C123,DATA!A:S,6,FALSE)</f>
        <v>36</v>
      </c>
      <c r="I123" s="52"/>
      <c r="J123" s="52"/>
      <c r="K123">
        <f t="shared" si="3"/>
        <v>0</v>
      </c>
      <c r="L123">
        <f t="shared" si="2"/>
        <v>0</v>
      </c>
      <c r="M123" s="173" t="s">
        <v>281</v>
      </c>
      <c r="N123" s="173" t="s">
        <v>409</v>
      </c>
    </row>
    <row r="124" spans="1:14" ht="15.75" x14ac:dyDescent="0.3">
      <c r="A124" s="174" t="s">
        <v>835</v>
      </c>
      <c r="B124" s="175" t="s">
        <v>1316</v>
      </c>
      <c r="C124" s="175" t="s">
        <v>836</v>
      </c>
      <c r="D124" s="175" t="s">
        <v>124</v>
      </c>
      <c r="E124" s="175" t="s">
        <v>61</v>
      </c>
      <c r="F124" s="175" t="s">
        <v>840</v>
      </c>
      <c r="G124" s="175">
        <v>56</v>
      </c>
      <c r="H124" s="180">
        <f>VLOOKUP(C124,DATA!A:S,6,FALSE)</f>
        <v>36</v>
      </c>
      <c r="I124" s="52"/>
      <c r="J124" s="52"/>
      <c r="K124">
        <f t="shared" si="3"/>
        <v>0</v>
      </c>
      <c r="L124">
        <f t="shared" si="2"/>
        <v>0</v>
      </c>
      <c r="M124" s="175" t="s">
        <v>315</v>
      </c>
      <c r="N124" s="175" t="s">
        <v>493</v>
      </c>
    </row>
    <row r="125" spans="1:14" ht="15.75" x14ac:dyDescent="0.3">
      <c r="A125" s="174" t="s">
        <v>842</v>
      </c>
      <c r="B125" s="175" t="s">
        <v>1316</v>
      </c>
      <c r="C125" s="175" t="s">
        <v>313</v>
      </c>
      <c r="D125" s="175" t="s">
        <v>314</v>
      </c>
      <c r="E125" s="175" t="s">
        <v>61</v>
      </c>
      <c r="F125" s="175" t="s">
        <v>846</v>
      </c>
      <c r="G125" s="175">
        <v>28</v>
      </c>
      <c r="H125" s="180">
        <f>VLOOKUP(C125,DATA!A:S,6,FALSE)</f>
        <v>0</v>
      </c>
      <c r="I125" s="52"/>
      <c r="J125" s="52"/>
      <c r="K125">
        <f t="shared" si="3"/>
        <v>0</v>
      </c>
      <c r="L125">
        <f t="shared" si="2"/>
        <v>0</v>
      </c>
      <c r="M125" s="175" t="s">
        <v>315</v>
      </c>
      <c r="N125" s="175" t="s">
        <v>343</v>
      </c>
    </row>
    <row r="126" spans="1:14" ht="15.75" x14ac:dyDescent="0.3">
      <c r="A126" s="174" t="s">
        <v>848</v>
      </c>
      <c r="B126" s="175" t="s">
        <v>1316</v>
      </c>
      <c r="C126" s="175" t="s">
        <v>849</v>
      </c>
      <c r="D126" s="175" t="s">
        <v>482</v>
      </c>
      <c r="E126" s="175" t="s">
        <v>61</v>
      </c>
      <c r="F126" s="175" t="s">
        <v>286</v>
      </c>
      <c r="G126" s="175">
        <v>49</v>
      </c>
      <c r="H126" s="180">
        <f>VLOOKUP(C126,DATA!A:S,6,FALSE)</f>
        <v>27</v>
      </c>
      <c r="I126" s="52"/>
      <c r="J126" s="52"/>
      <c r="K126">
        <f t="shared" si="3"/>
        <v>0</v>
      </c>
      <c r="L126">
        <f t="shared" si="2"/>
        <v>0</v>
      </c>
      <c r="M126" s="175" t="s">
        <v>281</v>
      </c>
      <c r="N126" s="175" t="s">
        <v>280</v>
      </c>
    </row>
    <row r="127" spans="1:14" ht="15.75" x14ac:dyDescent="0.3">
      <c r="A127" s="174" t="s">
        <v>851</v>
      </c>
      <c r="B127" s="175" t="s">
        <v>1316</v>
      </c>
      <c r="C127" s="175" t="s">
        <v>852</v>
      </c>
      <c r="D127" s="175" t="s">
        <v>853</v>
      </c>
      <c r="E127" s="175" t="s">
        <v>63</v>
      </c>
      <c r="F127" s="175" t="s">
        <v>432</v>
      </c>
      <c r="G127" s="175">
        <v>55</v>
      </c>
      <c r="H127" s="180">
        <f>VLOOKUP(C127,DATA!A:S,6,FALSE)</f>
        <v>10</v>
      </c>
      <c r="I127" s="52"/>
      <c r="J127" s="52"/>
      <c r="K127">
        <f t="shared" si="3"/>
        <v>0</v>
      </c>
      <c r="L127">
        <f t="shared" si="2"/>
        <v>0</v>
      </c>
      <c r="M127" s="175" t="s">
        <v>281</v>
      </c>
      <c r="N127" s="175" t="s">
        <v>280</v>
      </c>
    </row>
    <row r="128" spans="1:14" x14ac:dyDescent="0.25">
      <c r="A128" s="178" t="s">
        <v>855</v>
      </c>
      <c r="B128" s="173" t="s">
        <v>1316</v>
      </c>
      <c r="C128" s="173" t="s">
        <v>856</v>
      </c>
      <c r="D128" s="173" t="s">
        <v>115</v>
      </c>
      <c r="E128" s="173" t="s">
        <v>61</v>
      </c>
      <c r="F128" s="173" t="s">
        <v>427</v>
      </c>
      <c r="G128" s="173">
        <v>58</v>
      </c>
      <c r="H128" s="180">
        <f>VLOOKUP(C128,DATA!A:S,6,FALSE)</f>
        <v>36</v>
      </c>
      <c r="I128" s="52"/>
      <c r="J128" s="52"/>
      <c r="K128">
        <f t="shared" si="3"/>
        <v>0</v>
      </c>
      <c r="L128">
        <f t="shared" si="2"/>
        <v>0</v>
      </c>
      <c r="M128" s="173" t="s">
        <v>281</v>
      </c>
      <c r="N128" s="173" t="s">
        <v>379</v>
      </c>
    </row>
    <row r="129" spans="1:14" ht="15.75" x14ac:dyDescent="0.3">
      <c r="A129" s="174" t="s">
        <v>858</v>
      </c>
      <c r="B129" s="175" t="s">
        <v>1316</v>
      </c>
      <c r="C129" s="175" t="s">
        <v>859</v>
      </c>
      <c r="D129" s="175" t="s">
        <v>122</v>
      </c>
      <c r="E129" s="175" t="s">
        <v>61</v>
      </c>
      <c r="F129" s="175" t="s">
        <v>391</v>
      </c>
      <c r="G129" s="175">
        <v>53</v>
      </c>
      <c r="H129" s="180">
        <f>VLOOKUP(C129,DATA!A:S,6,FALSE)</f>
        <v>12</v>
      </c>
      <c r="I129" s="52"/>
      <c r="J129" s="52"/>
      <c r="K129">
        <f t="shared" si="3"/>
        <v>0</v>
      </c>
      <c r="L129">
        <f t="shared" si="2"/>
        <v>0</v>
      </c>
      <c r="M129" s="175" t="s">
        <v>281</v>
      </c>
      <c r="N129" s="175" t="s">
        <v>409</v>
      </c>
    </row>
    <row r="130" spans="1:14" ht="15.75" x14ac:dyDescent="0.3">
      <c r="A130" s="174" t="s">
        <v>861</v>
      </c>
      <c r="B130" s="175" t="s">
        <v>1316</v>
      </c>
      <c r="C130" s="175" t="s">
        <v>862</v>
      </c>
      <c r="D130" s="175" t="s">
        <v>482</v>
      </c>
      <c r="E130" s="175" t="s">
        <v>61</v>
      </c>
      <c r="F130" s="175" t="s">
        <v>300</v>
      </c>
      <c r="G130" s="175">
        <v>52</v>
      </c>
      <c r="H130" s="180">
        <f>VLOOKUP(C130,DATA!A:S,6,FALSE)</f>
        <v>26</v>
      </c>
      <c r="I130" s="52"/>
      <c r="J130" s="52"/>
      <c r="K130">
        <f t="shared" si="3"/>
        <v>0</v>
      </c>
      <c r="L130">
        <f t="shared" si="2"/>
        <v>0</v>
      </c>
      <c r="M130" s="175" t="s">
        <v>281</v>
      </c>
      <c r="N130" s="175" t="s">
        <v>364</v>
      </c>
    </row>
    <row r="131" spans="1:14" ht="15.75" x14ac:dyDescent="0.3">
      <c r="A131" s="174" t="s">
        <v>864</v>
      </c>
      <c r="B131" s="175" t="s">
        <v>1316</v>
      </c>
      <c r="C131" s="175" t="s">
        <v>865</v>
      </c>
      <c r="D131" s="175" t="s">
        <v>131</v>
      </c>
      <c r="E131" s="175" t="s">
        <v>63</v>
      </c>
      <c r="F131" s="175" t="s">
        <v>653</v>
      </c>
      <c r="G131" s="175">
        <v>53</v>
      </c>
      <c r="H131" s="180">
        <f>VLOOKUP(C131,DATA!A:S,6,FALSE)</f>
        <v>27</v>
      </c>
      <c r="I131" s="52"/>
      <c r="J131" s="52"/>
      <c r="K131">
        <f t="shared" si="3"/>
        <v>0</v>
      </c>
      <c r="L131">
        <f t="shared" si="2"/>
        <v>0</v>
      </c>
      <c r="M131" s="175" t="s">
        <v>315</v>
      </c>
      <c r="N131" s="175" t="s">
        <v>256</v>
      </c>
    </row>
    <row r="132" spans="1:14" ht="15.75" x14ac:dyDescent="0.3">
      <c r="A132" s="174" t="s">
        <v>867</v>
      </c>
      <c r="B132" s="175" t="s">
        <v>1316</v>
      </c>
      <c r="C132" s="175" t="s">
        <v>868</v>
      </c>
      <c r="D132" s="175" t="s">
        <v>869</v>
      </c>
      <c r="E132" s="175" t="s">
        <v>61</v>
      </c>
      <c r="F132" s="175" t="s">
        <v>427</v>
      </c>
      <c r="G132" s="175">
        <v>56</v>
      </c>
      <c r="H132" s="180">
        <f>VLOOKUP(C132,DATA!A:S,6,FALSE)</f>
        <v>28</v>
      </c>
      <c r="I132" s="52"/>
      <c r="J132" s="52"/>
      <c r="K132">
        <f t="shared" si="3"/>
        <v>0</v>
      </c>
      <c r="L132">
        <f t="shared" si="2"/>
        <v>0</v>
      </c>
      <c r="M132" s="175" t="s">
        <v>281</v>
      </c>
      <c r="N132" s="175" t="s">
        <v>422</v>
      </c>
    </row>
    <row r="133" spans="1:14" ht="15.75" x14ac:dyDescent="0.3">
      <c r="A133" s="174" t="s">
        <v>871</v>
      </c>
      <c r="B133" s="175" t="s">
        <v>1316</v>
      </c>
      <c r="C133" s="175" t="s">
        <v>256</v>
      </c>
      <c r="D133" s="175" t="s">
        <v>396</v>
      </c>
      <c r="E133" s="175" t="s">
        <v>61</v>
      </c>
      <c r="F133" s="175" t="s">
        <v>874</v>
      </c>
      <c r="G133" s="175">
        <v>45</v>
      </c>
      <c r="H133" s="180">
        <f>VLOOKUP(C133,DATA!A:S,6,FALSE)</f>
        <v>10</v>
      </c>
      <c r="I133" s="52"/>
      <c r="J133" s="52"/>
      <c r="K133">
        <f t="shared" si="3"/>
        <v>0</v>
      </c>
      <c r="L133">
        <f t="shared" si="2"/>
        <v>0</v>
      </c>
      <c r="M133" s="175" t="s">
        <v>315</v>
      </c>
      <c r="N133" s="175" t="s">
        <v>343</v>
      </c>
    </row>
    <row r="134" spans="1:14" ht="15.75" x14ac:dyDescent="0.3">
      <c r="A134" s="174" t="s">
        <v>876</v>
      </c>
      <c r="B134" s="175" t="s">
        <v>1316</v>
      </c>
      <c r="C134" s="175" t="s">
        <v>877</v>
      </c>
      <c r="D134" s="175" t="s">
        <v>124</v>
      </c>
      <c r="E134" s="175" t="s">
        <v>61</v>
      </c>
      <c r="F134" s="175" t="s">
        <v>286</v>
      </c>
      <c r="G134" s="175">
        <v>32</v>
      </c>
      <c r="H134" s="180">
        <f>VLOOKUP(C134,DATA!A:S,6,FALSE)</f>
        <v>10</v>
      </c>
      <c r="I134" s="52"/>
      <c r="J134" s="52"/>
      <c r="K134">
        <f t="shared" si="3"/>
        <v>0</v>
      </c>
      <c r="L134">
        <f t="shared" si="2"/>
        <v>0</v>
      </c>
      <c r="M134" s="175" t="s">
        <v>281</v>
      </c>
      <c r="N134" s="175" t="s">
        <v>280</v>
      </c>
    </row>
    <row r="135" spans="1:14" ht="15.75" x14ac:dyDescent="0.3">
      <c r="A135" s="174" t="s">
        <v>879</v>
      </c>
      <c r="B135" s="175" t="s">
        <v>1316</v>
      </c>
      <c r="C135" s="175" t="s">
        <v>880</v>
      </c>
      <c r="D135" s="175" t="s">
        <v>881</v>
      </c>
      <c r="E135" s="175" t="s">
        <v>63</v>
      </c>
      <c r="F135" s="175" t="s">
        <v>391</v>
      </c>
      <c r="G135" s="175">
        <v>54</v>
      </c>
      <c r="H135" s="180">
        <f>VLOOKUP(C135,DATA!A:S,6,FALSE)</f>
        <v>25</v>
      </c>
      <c r="I135" s="52"/>
      <c r="J135" s="52"/>
      <c r="K135">
        <f t="shared" si="3"/>
        <v>0</v>
      </c>
      <c r="L135">
        <f t="shared" si="2"/>
        <v>0</v>
      </c>
      <c r="M135" s="175" t="s">
        <v>281</v>
      </c>
      <c r="N135" s="175" t="s">
        <v>280</v>
      </c>
    </row>
    <row r="136" spans="1:14" ht="15.75" x14ac:dyDescent="0.3">
      <c r="A136" s="174" t="s">
        <v>883</v>
      </c>
      <c r="B136" s="175" t="s">
        <v>1316</v>
      </c>
      <c r="C136" s="175" t="s">
        <v>884</v>
      </c>
      <c r="D136" s="175" t="s">
        <v>823</v>
      </c>
      <c r="E136" s="175" t="s">
        <v>61</v>
      </c>
      <c r="F136" s="175" t="s">
        <v>300</v>
      </c>
      <c r="G136" s="175">
        <v>47</v>
      </c>
      <c r="H136" s="180">
        <f>VLOOKUP(C136,DATA!A:S,6,FALSE)</f>
        <v>20</v>
      </c>
      <c r="I136" s="52"/>
      <c r="J136" s="52"/>
      <c r="K136">
        <f t="shared" si="3"/>
        <v>0</v>
      </c>
      <c r="L136">
        <f t="shared" si="2"/>
        <v>0</v>
      </c>
      <c r="M136" s="175" t="s">
        <v>281</v>
      </c>
      <c r="N136" s="175" t="s">
        <v>409</v>
      </c>
    </row>
    <row r="137" spans="1:14" ht="15.75" x14ac:dyDescent="0.3">
      <c r="A137" s="174" t="s">
        <v>886</v>
      </c>
      <c r="B137" s="175" t="s">
        <v>1316</v>
      </c>
      <c r="C137" s="175" t="s">
        <v>887</v>
      </c>
      <c r="D137" s="175" t="s">
        <v>123</v>
      </c>
      <c r="E137" s="175" t="s">
        <v>63</v>
      </c>
      <c r="F137" s="175" t="s">
        <v>653</v>
      </c>
      <c r="G137" s="175">
        <v>54</v>
      </c>
      <c r="H137" s="180">
        <f>VLOOKUP(C137,DATA!A:S,6,FALSE)</f>
        <v>33</v>
      </c>
      <c r="I137" s="52"/>
      <c r="J137" s="52"/>
      <c r="K137">
        <f t="shared" si="3"/>
        <v>0</v>
      </c>
      <c r="L137">
        <f t="shared" si="2"/>
        <v>0</v>
      </c>
      <c r="M137" s="175" t="s">
        <v>315</v>
      </c>
      <c r="N137" s="175" t="s">
        <v>256</v>
      </c>
    </row>
    <row r="138" spans="1:14" ht="15.75" x14ac:dyDescent="0.3">
      <c r="A138" s="174" t="s">
        <v>889</v>
      </c>
      <c r="B138" s="175" t="s">
        <v>1316</v>
      </c>
      <c r="C138" s="175" t="s">
        <v>364</v>
      </c>
      <c r="D138" s="175" t="s">
        <v>365</v>
      </c>
      <c r="E138" s="175" t="s">
        <v>63</v>
      </c>
      <c r="F138" s="175" t="s">
        <v>892</v>
      </c>
      <c r="G138" s="175">
        <v>34</v>
      </c>
      <c r="H138" s="180">
        <f>VLOOKUP(C138,DATA!A:S,6,FALSE)</f>
        <v>11</v>
      </c>
      <c r="I138" s="52"/>
      <c r="J138" s="52"/>
      <c r="K138">
        <f t="shared" si="3"/>
        <v>0</v>
      </c>
      <c r="L138">
        <f t="shared" si="2"/>
        <v>0</v>
      </c>
      <c r="M138" s="175" t="s">
        <v>315</v>
      </c>
      <c r="N138" s="175" t="s">
        <v>256</v>
      </c>
    </row>
    <row r="139" spans="1:14" ht="15.75" x14ac:dyDescent="0.3">
      <c r="A139" s="174" t="s">
        <v>894</v>
      </c>
      <c r="B139" s="175" t="s">
        <v>1316</v>
      </c>
      <c r="C139" s="175" t="s">
        <v>895</v>
      </c>
      <c r="D139" s="175" t="s">
        <v>130</v>
      </c>
      <c r="E139" s="175" t="s">
        <v>61</v>
      </c>
      <c r="F139" s="175" t="s">
        <v>898</v>
      </c>
      <c r="G139" s="175">
        <v>48</v>
      </c>
      <c r="H139" s="180">
        <f>VLOOKUP(C139,DATA!A:S,6,FALSE)</f>
        <v>11</v>
      </c>
      <c r="I139" s="52"/>
      <c r="J139" s="52"/>
      <c r="K139">
        <f t="shared" si="3"/>
        <v>0</v>
      </c>
      <c r="L139">
        <f t="shared" si="2"/>
        <v>0</v>
      </c>
      <c r="M139" s="175" t="s">
        <v>315</v>
      </c>
      <c r="N139" s="175" t="s">
        <v>493</v>
      </c>
    </row>
    <row r="140" spans="1:14" ht="15.75" x14ac:dyDescent="0.3">
      <c r="A140" s="174" t="s">
        <v>900</v>
      </c>
      <c r="B140" s="175" t="s">
        <v>1316</v>
      </c>
      <c r="C140" s="175" t="s">
        <v>409</v>
      </c>
      <c r="D140" s="175" t="s">
        <v>410</v>
      </c>
      <c r="E140" s="175" t="s">
        <v>63</v>
      </c>
      <c r="F140" s="175" t="s">
        <v>901</v>
      </c>
      <c r="G140" s="175">
        <v>51</v>
      </c>
      <c r="H140" s="180">
        <f>VLOOKUP(C140,DATA!A:S,6,FALSE)</f>
        <v>14</v>
      </c>
      <c r="I140" s="52"/>
      <c r="J140" s="52"/>
      <c r="K140">
        <f t="shared" si="3"/>
        <v>0</v>
      </c>
      <c r="L140">
        <f t="shared" si="2"/>
        <v>0</v>
      </c>
      <c r="M140" s="175" t="s">
        <v>315</v>
      </c>
      <c r="N140" s="175" t="s">
        <v>343</v>
      </c>
    </row>
    <row r="141" spans="1:14" ht="15.75" x14ac:dyDescent="0.3">
      <c r="A141" s="174" t="s">
        <v>903</v>
      </c>
      <c r="B141" s="175" t="s">
        <v>1316</v>
      </c>
      <c r="C141" s="175" t="s">
        <v>904</v>
      </c>
      <c r="D141" s="175" t="s">
        <v>99</v>
      </c>
      <c r="E141" s="175" t="s">
        <v>61</v>
      </c>
      <c r="F141" s="175" t="s">
        <v>366</v>
      </c>
      <c r="G141" s="175">
        <v>55</v>
      </c>
      <c r="H141" s="180">
        <f>VLOOKUP(C141,DATA!A:S,6,FALSE)</f>
        <v>11</v>
      </c>
      <c r="I141" s="52"/>
      <c r="J141" s="52"/>
      <c r="K141">
        <f t="shared" si="3"/>
        <v>0</v>
      </c>
      <c r="L141">
        <f t="shared" si="2"/>
        <v>0</v>
      </c>
      <c r="M141" s="175" t="s">
        <v>281</v>
      </c>
      <c r="N141" s="175" t="s">
        <v>364</v>
      </c>
    </row>
    <row r="142" spans="1:14" ht="15.75" x14ac:dyDescent="0.3">
      <c r="A142" s="174" t="s">
        <v>906</v>
      </c>
      <c r="B142" s="175" t="s">
        <v>1316</v>
      </c>
      <c r="C142" s="175" t="s">
        <v>907</v>
      </c>
      <c r="D142" s="175" t="s">
        <v>135</v>
      </c>
      <c r="E142" s="175" t="s">
        <v>61</v>
      </c>
      <c r="F142" s="175" t="s">
        <v>908</v>
      </c>
      <c r="G142" s="175">
        <v>49</v>
      </c>
      <c r="H142" s="180">
        <f>VLOOKUP(C142,DATA!A:S,6,FALSE)</f>
        <v>26</v>
      </c>
      <c r="I142" s="52"/>
      <c r="J142" s="52"/>
      <c r="K142">
        <f t="shared" si="3"/>
        <v>0</v>
      </c>
      <c r="L142">
        <f t="shared" si="2"/>
        <v>0</v>
      </c>
      <c r="M142" s="175" t="s">
        <v>315</v>
      </c>
      <c r="N142" s="175" t="s">
        <v>313</v>
      </c>
    </row>
    <row r="143" spans="1:14" ht="15.75" x14ac:dyDescent="0.3">
      <c r="A143" s="174" t="s">
        <v>910</v>
      </c>
      <c r="B143" s="175" t="s">
        <v>1316</v>
      </c>
      <c r="C143" s="175" t="s">
        <v>911</v>
      </c>
      <c r="D143" s="175" t="s">
        <v>482</v>
      </c>
      <c r="E143" s="175" t="s">
        <v>61</v>
      </c>
      <c r="F143" s="175" t="s">
        <v>432</v>
      </c>
      <c r="G143" s="175">
        <v>46</v>
      </c>
      <c r="H143" s="180">
        <f>VLOOKUP(C143,DATA!A:S,6,FALSE)</f>
        <v>23</v>
      </c>
      <c r="I143" s="52"/>
      <c r="J143" s="52"/>
      <c r="K143">
        <f t="shared" si="3"/>
        <v>0</v>
      </c>
      <c r="L143">
        <f t="shared" si="2"/>
        <v>0</v>
      </c>
      <c r="M143" s="175" t="s">
        <v>281</v>
      </c>
      <c r="N143" s="175" t="s">
        <v>409</v>
      </c>
    </row>
    <row r="144" spans="1:14" x14ac:dyDescent="0.25">
      <c r="A144" s="178" t="s">
        <v>913</v>
      </c>
      <c r="B144" s="173" t="s">
        <v>1316</v>
      </c>
      <c r="C144" s="173" t="s">
        <v>914</v>
      </c>
      <c r="D144" s="173" t="s">
        <v>369</v>
      </c>
      <c r="E144" s="173" t="s">
        <v>61</v>
      </c>
      <c r="F144" s="173" t="s">
        <v>300</v>
      </c>
      <c r="G144" s="173">
        <v>58</v>
      </c>
      <c r="H144" s="180">
        <f>VLOOKUP(C144,DATA!A:S,6,FALSE)</f>
        <v>35</v>
      </c>
      <c r="I144" s="52"/>
      <c r="J144" s="52"/>
      <c r="K144">
        <f t="shared" si="3"/>
        <v>0</v>
      </c>
      <c r="L144">
        <f t="shared" ref="L144:L154" si="4">+ROUND($K144*(1+$P$2),2)</f>
        <v>0</v>
      </c>
      <c r="M144" s="173" t="s">
        <v>281</v>
      </c>
      <c r="N144" s="173" t="s">
        <v>280</v>
      </c>
    </row>
    <row r="145" spans="1:14" x14ac:dyDescent="0.25">
      <c r="A145" s="178" t="s">
        <v>919</v>
      </c>
      <c r="B145" s="173" t="s">
        <v>1316</v>
      </c>
      <c r="C145" s="173" t="s">
        <v>1327</v>
      </c>
      <c r="D145" s="173" t="s">
        <v>920</v>
      </c>
      <c r="E145" s="173" t="s">
        <v>61</v>
      </c>
      <c r="F145" s="173" t="s">
        <v>286</v>
      </c>
      <c r="G145" s="173">
        <v>62</v>
      </c>
      <c r="H145" s="180">
        <f>VLOOKUP(C145,DATA!A:S,6,FALSE)</f>
        <v>20</v>
      </c>
      <c r="I145" s="52"/>
      <c r="J145" s="52"/>
      <c r="K145">
        <f t="shared" ref="K145:K154" si="5">+ROUND((+$I145+$J145)/$O$2,2)</f>
        <v>0</v>
      </c>
      <c r="L145">
        <f t="shared" si="4"/>
        <v>0</v>
      </c>
      <c r="M145" s="173" t="s">
        <v>281</v>
      </c>
      <c r="N145" s="173" t="s">
        <v>409</v>
      </c>
    </row>
    <row r="146" spans="1:14" ht="15.75" x14ac:dyDescent="0.3">
      <c r="A146" s="174" t="s">
        <v>1013</v>
      </c>
      <c r="B146" s="175" t="s">
        <v>1316</v>
      </c>
      <c r="C146" s="175" t="s">
        <v>1328</v>
      </c>
      <c r="D146" s="175" t="s">
        <v>114</v>
      </c>
      <c r="E146" s="175" t="s">
        <v>63</v>
      </c>
      <c r="F146" s="175" t="s">
        <v>1014</v>
      </c>
      <c r="G146" s="175">
        <v>53</v>
      </c>
      <c r="H146" s="180">
        <f>VLOOKUP(C146,DATA!A:S,6,FALSE)</f>
        <v>35</v>
      </c>
      <c r="I146" s="52"/>
      <c r="J146" s="52"/>
      <c r="K146">
        <f t="shared" si="5"/>
        <v>0</v>
      </c>
      <c r="L146">
        <f t="shared" si="4"/>
        <v>0</v>
      </c>
      <c r="M146" s="175" t="s">
        <v>315</v>
      </c>
      <c r="N146" s="175" t="s">
        <v>256</v>
      </c>
    </row>
    <row r="147" spans="1:14" x14ac:dyDescent="0.25">
      <c r="A147" s="178" t="s">
        <v>1016</v>
      </c>
      <c r="B147" s="173" t="s">
        <v>1316</v>
      </c>
      <c r="C147" s="173" t="s">
        <v>1017</v>
      </c>
      <c r="D147" s="173" t="s">
        <v>1018</v>
      </c>
      <c r="E147" s="173" t="s">
        <v>63</v>
      </c>
      <c r="F147" s="173" t="s">
        <v>1019</v>
      </c>
      <c r="G147" s="173">
        <v>59</v>
      </c>
      <c r="H147" s="180">
        <f>VLOOKUP(C147,DATA!A:S,6,FALSE)</f>
        <v>35</v>
      </c>
      <c r="I147" s="52"/>
      <c r="J147" s="52"/>
      <c r="K147">
        <f t="shared" si="5"/>
        <v>0</v>
      </c>
      <c r="L147">
        <f t="shared" si="4"/>
        <v>0</v>
      </c>
      <c r="M147" s="173" t="s">
        <v>281</v>
      </c>
      <c r="N147" s="173" t="s">
        <v>280</v>
      </c>
    </row>
    <row r="148" spans="1:14" ht="15.75" x14ac:dyDescent="0.3">
      <c r="A148" s="174" t="s">
        <v>1021</v>
      </c>
      <c r="B148" s="175" t="s">
        <v>1316</v>
      </c>
      <c r="C148" s="175" t="s">
        <v>1022</v>
      </c>
      <c r="D148" s="175" t="s">
        <v>134</v>
      </c>
      <c r="E148" s="175" t="s">
        <v>63</v>
      </c>
      <c r="F148" s="175" t="s">
        <v>1026</v>
      </c>
      <c r="G148" s="175">
        <v>23</v>
      </c>
      <c r="H148" s="180">
        <f>VLOOKUP(C148,DATA!A:S,6,FALSE)</f>
        <v>0</v>
      </c>
      <c r="I148" s="52"/>
      <c r="J148" s="52"/>
      <c r="K148">
        <f t="shared" si="5"/>
        <v>0</v>
      </c>
      <c r="L148">
        <f t="shared" si="4"/>
        <v>0</v>
      </c>
      <c r="M148" s="175" t="s">
        <v>315</v>
      </c>
      <c r="N148" s="175" t="s">
        <v>1023</v>
      </c>
    </row>
    <row r="149" spans="1:14" ht="15.75" x14ac:dyDescent="0.3">
      <c r="A149" s="174" t="s">
        <v>1066</v>
      </c>
      <c r="B149" s="175" t="s">
        <v>1316</v>
      </c>
      <c r="C149" s="175" t="s">
        <v>1067</v>
      </c>
      <c r="D149" s="175" t="s">
        <v>1068</v>
      </c>
      <c r="E149" s="175" t="s">
        <v>63</v>
      </c>
      <c r="F149" s="175" t="s">
        <v>391</v>
      </c>
      <c r="G149" s="175">
        <v>55</v>
      </c>
      <c r="H149" s="180">
        <f>VLOOKUP(C149,DATA!A:S,6,FALSE)</f>
        <v>10</v>
      </c>
      <c r="I149" s="52"/>
      <c r="J149" s="52"/>
      <c r="K149">
        <f t="shared" si="5"/>
        <v>0</v>
      </c>
      <c r="L149">
        <f t="shared" si="4"/>
        <v>0</v>
      </c>
      <c r="M149" s="175" t="s">
        <v>281</v>
      </c>
      <c r="N149" s="175" t="s">
        <v>280</v>
      </c>
    </row>
    <row r="150" spans="1:14" ht="15.75" x14ac:dyDescent="0.3">
      <c r="A150" s="174" t="s">
        <v>1168</v>
      </c>
      <c r="B150" s="175" t="s">
        <v>1316</v>
      </c>
      <c r="C150" s="175" t="s">
        <v>1169</v>
      </c>
      <c r="D150" s="175" t="s">
        <v>107</v>
      </c>
      <c r="E150" s="175" t="s">
        <v>61</v>
      </c>
      <c r="F150" s="175" t="s">
        <v>286</v>
      </c>
      <c r="G150" s="175">
        <v>50</v>
      </c>
      <c r="H150" s="180">
        <f>VLOOKUP(C150,DATA!A:S,6,FALSE)</f>
        <v>28</v>
      </c>
      <c r="I150" s="52"/>
      <c r="J150" s="52"/>
      <c r="K150">
        <f t="shared" si="5"/>
        <v>0</v>
      </c>
      <c r="L150">
        <f t="shared" si="4"/>
        <v>0</v>
      </c>
      <c r="M150" s="175" t="s">
        <v>281</v>
      </c>
      <c r="N150" s="175" t="s">
        <v>280</v>
      </c>
    </row>
    <row r="151" spans="1:14" ht="15.75" x14ac:dyDescent="0.3">
      <c r="A151" s="174" t="s">
        <v>1226</v>
      </c>
      <c r="B151" s="175" t="s">
        <v>1316</v>
      </c>
      <c r="C151" s="175" t="s">
        <v>1227</v>
      </c>
      <c r="D151" s="175" t="s">
        <v>734</v>
      </c>
      <c r="E151" s="175" t="s">
        <v>61</v>
      </c>
      <c r="F151" s="175" t="s">
        <v>391</v>
      </c>
      <c r="G151" s="175">
        <v>46</v>
      </c>
      <c r="H151" s="180">
        <f>VLOOKUP(C151,DATA!A:S,6,FALSE)</f>
        <v>18</v>
      </c>
      <c r="I151" s="52"/>
      <c r="J151" s="52"/>
      <c r="K151">
        <f t="shared" si="5"/>
        <v>0</v>
      </c>
      <c r="L151">
        <f t="shared" si="4"/>
        <v>0</v>
      </c>
      <c r="M151" s="175" t="s">
        <v>281</v>
      </c>
      <c r="N151" s="175" t="s">
        <v>280</v>
      </c>
    </row>
    <row r="152" spans="1:14" ht="15.75" x14ac:dyDescent="0.3">
      <c r="A152" s="174" t="s">
        <v>1233</v>
      </c>
      <c r="B152" s="175" t="s">
        <v>1316</v>
      </c>
      <c r="C152" s="175" t="s">
        <v>1331</v>
      </c>
      <c r="D152" s="175" t="s">
        <v>934</v>
      </c>
      <c r="E152" s="175" t="s">
        <v>61</v>
      </c>
      <c r="F152" s="175" t="s">
        <v>1234</v>
      </c>
      <c r="G152" s="175">
        <v>48</v>
      </c>
      <c r="H152" s="180">
        <f>VLOOKUP(C152,DATA!A:S,6,FALSE)</f>
        <v>10</v>
      </c>
      <c r="I152" s="52"/>
      <c r="J152" s="52"/>
      <c r="K152">
        <f t="shared" si="5"/>
        <v>0</v>
      </c>
      <c r="L152">
        <f t="shared" si="4"/>
        <v>0</v>
      </c>
      <c r="M152" s="175" t="s">
        <v>281</v>
      </c>
      <c r="N152" s="175" t="s">
        <v>364</v>
      </c>
    </row>
    <row r="153" spans="1:14" ht="15.75" x14ac:dyDescent="0.3">
      <c r="A153" s="174" t="s">
        <v>1294</v>
      </c>
      <c r="B153" s="175" t="s">
        <v>1316</v>
      </c>
      <c r="C153" s="175" t="s">
        <v>1332</v>
      </c>
      <c r="D153" s="175" t="s">
        <v>934</v>
      </c>
      <c r="E153" s="175" t="s">
        <v>61</v>
      </c>
      <c r="F153" s="175" t="s">
        <v>653</v>
      </c>
      <c r="G153" s="175">
        <v>50</v>
      </c>
      <c r="H153" s="180">
        <f>VLOOKUP(C153,DATA!A:S,6,FALSE)</f>
        <v>27</v>
      </c>
      <c r="I153" s="52"/>
      <c r="J153" s="52"/>
      <c r="K153">
        <f t="shared" si="5"/>
        <v>0</v>
      </c>
      <c r="L153">
        <f t="shared" si="4"/>
        <v>0</v>
      </c>
      <c r="M153" s="175" t="s">
        <v>315</v>
      </c>
      <c r="N153" s="175" t="s">
        <v>256</v>
      </c>
    </row>
    <row r="154" spans="1:14" ht="15.75" x14ac:dyDescent="0.3">
      <c r="A154" s="174" t="s">
        <v>1301</v>
      </c>
      <c r="B154" s="175" t="s">
        <v>1316</v>
      </c>
      <c r="C154" s="175" t="s">
        <v>1302</v>
      </c>
      <c r="D154" s="175" t="s">
        <v>1303</v>
      </c>
      <c r="E154" s="175" t="s">
        <v>63</v>
      </c>
      <c r="F154" s="175" t="s">
        <v>1307</v>
      </c>
      <c r="G154" s="175">
        <v>47</v>
      </c>
      <c r="H154" s="180">
        <f>VLOOKUP(C154,DATA!A:S,6,FALSE)</f>
        <v>24</v>
      </c>
      <c r="I154" s="52"/>
      <c r="J154" s="52"/>
      <c r="K154">
        <f t="shared" si="5"/>
        <v>0</v>
      </c>
      <c r="L154">
        <f t="shared" si="4"/>
        <v>0</v>
      </c>
      <c r="M154" s="175" t="s">
        <v>315</v>
      </c>
      <c r="N154" s="175" t="s">
        <v>343</v>
      </c>
    </row>
    <row r="155" spans="1:14" x14ac:dyDescent="0.25">
      <c r="A155" s="178" t="s">
        <v>1309</v>
      </c>
      <c r="B155" s="173" t="s">
        <v>1316</v>
      </c>
      <c r="C155" s="173" t="s">
        <v>1310</v>
      </c>
      <c r="D155" s="173" t="s">
        <v>369</v>
      </c>
      <c r="E155" s="173" t="s">
        <v>61</v>
      </c>
      <c r="F155" s="173" t="s">
        <v>432</v>
      </c>
      <c r="G155" s="173">
        <v>60</v>
      </c>
      <c r="H155" s="52"/>
      <c r="I155" s="52"/>
      <c r="J155" s="52"/>
      <c r="M155" s="173" t="s">
        <v>281</v>
      </c>
      <c r="N155" s="173" t="s">
        <v>409</v>
      </c>
    </row>
    <row r="156" spans="1:14" ht="15.75" x14ac:dyDescent="0.3">
      <c r="A156" s="174" t="s">
        <v>323</v>
      </c>
      <c r="B156" s="175" t="s">
        <v>1317</v>
      </c>
      <c r="C156" s="175" t="s">
        <v>324</v>
      </c>
      <c r="D156" s="175" t="s">
        <v>325</v>
      </c>
      <c r="E156" s="175" t="s">
        <v>63</v>
      </c>
      <c r="F156" s="175" t="s">
        <v>328</v>
      </c>
      <c r="G156" s="175">
        <v>37</v>
      </c>
      <c r="M156" s="175" t="s">
        <v>281</v>
      </c>
      <c r="N156" s="175" t="s">
        <v>326</v>
      </c>
    </row>
    <row r="157" spans="1:14" ht="15.75" x14ac:dyDescent="0.3">
      <c r="A157" s="174" t="s">
        <v>331</v>
      </c>
      <c r="B157" s="175" t="s">
        <v>1317</v>
      </c>
      <c r="C157" s="175" t="s">
        <v>332</v>
      </c>
      <c r="D157" s="175" t="s">
        <v>333</v>
      </c>
      <c r="E157" s="175" t="s">
        <v>61</v>
      </c>
      <c r="F157" s="175" t="s">
        <v>337</v>
      </c>
      <c r="G157" s="175">
        <v>36</v>
      </c>
      <c r="M157" s="175" t="s">
        <v>315</v>
      </c>
      <c r="N157" s="175" t="s">
        <v>326</v>
      </c>
    </row>
    <row r="158" spans="1:14" ht="15.75" x14ac:dyDescent="0.3">
      <c r="A158" s="174" t="s">
        <v>944</v>
      </c>
      <c r="B158" s="175" t="s">
        <v>1317</v>
      </c>
      <c r="C158" s="175" t="s">
        <v>122</v>
      </c>
      <c r="D158" s="175" t="s">
        <v>234</v>
      </c>
      <c r="E158" s="175" t="s">
        <v>61</v>
      </c>
      <c r="F158" s="175" t="s">
        <v>945</v>
      </c>
      <c r="G158" s="175">
        <v>57</v>
      </c>
      <c r="M158" s="175" t="s">
        <v>281</v>
      </c>
      <c r="N158" s="175" t="s">
        <v>332</v>
      </c>
    </row>
    <row r="159" spans="1:14" ht="15.75" x14ac:dyDescent="0.3">
      <c r="A159" s="174" t="s">
        <v>1035</v>
      </c>
      <c r="B159" s="175" t="s">
        <v>1317</v>
      </c>
      <c r="C159" s="175" t="s">
        <v>326</v>
      </c>
      <c r="D159" s="175" t="s">
        <v>110</v>
      </c>
      <c r="E159" s="175" t="s">
        <v>61</v>
      </c>
      <c r="F159" s="175" t="s">
        <v>1036</v>
      </c>
      <c r="G159" s="175">
        <v>55</v>
      </c>
      <c r="M159" s="175" t="s">
        <v>315</v>
      </c>
      <c r="N159" s="175" t="s">
        <v>343</v>
      </c>
    </row>
    <row r="160" spans="1:14" ht="15.75" x14ac:dyDescent="0.3">
      <c r="A160" s="174" t="s">
        <v>1041</v>
      </c>
      <c r="B160" s="175" t="s">
        <v>1317</v>
      </c>
      <c r="C160" s="175" t="s">
        <v>1042</v>
      </c>
      <c r="D160" s="175" t="s">
        <v>1043</v>
      </c>
      <c r="E160" s="175" t="s">
        <v>61</v>
      </c>
      <c r="F160" s="175" t="s">
        <v>1044</v>
      </c>
      <c r="G160" s="175">
        <v>46</v>
      </c>
      <c r="M160" s="175" t="s">
        <v>315</v>
      </c>
      <c r="N160" s="175" t="s">
        <v>326</v>
      </c>
    </row>
    <row r="161" spans="1:14" ht="15.75" x14ac:dyDescent="0.3">
      <c r="A161" s="174" t="s">
        <v>1046</v>
      </c>
      <c r="B161" s="175" t="s">
        <v>1317</v>
      </c>
      <c r="C161" s="175" t="s">
        <v>1047</v>
      </c>
      <c r="D161" s="175" t="s">
        <v>1048</v>
      </c>
      <c r="E161" s="175" t="s">
        <v>61</v>
      </c>
      <c r="F161" s="175" t="s">
        <v>1049</v>
      </c>
      <c r="G161" s="175">
        <v>53</v>
      </c>
      <c r="M161" s="175" t="s">
        <v>281</v>
      </c>
      <c r="N161" s="175" t="s">
        <v>326</v>
      </c>
    </row>
    <row r="162" spans="1:14" ht="15.75" x14ac:dyDescent="0.3">
      <c r="A162" s="174" t="s">
        <v>1051</v>
      </c>
      <c r="B162" s="175" t="s">
        <v>1317</v>
      </c>
      <c r="C162" s="175" t="s">
        <v>1052</v>
      </c>
      <c r="D162" s="175" t="s">
        <v>1053</v>
      </c>
      <c r="E162" s="175" t="s">
        <v>61</v>
      </c>
      <c r="F162" s="175" t="s">
        <v>1054</v>
      </c>
      <c r="G162" s="175">
        <v>46</v>
      </c>
      <c r="M162" s="175" t="s">
        <v>281</v>
      </c>
      <c r="N162" s="175" t="s">
        <v>326</v>
      </c>
    </row>
    <row r="163" spans="1:14" ht="15.75" x14ac:dyDescent="0.3">
      <c r="A163" s="174" t="s">
        <v>1056</v>
      </c>
      <c r="B163" s="175" t="s">
        <v>1317</v>
      </c>
      <c r="C163" s="175" t="s">
        <v>1057</v>
      </c>
      <c r="D163" s="175" t="s">
        <v>233</v>
      </c>
      <c r="E163" s="175" t="s">
        <v>63</v>
      </c>
      <c r="F163" s="175" t="s">
        <v>1058</v>
      </c>
      <c r="G163" s="175">
        <v>34</v>
      </c>
      <c r="M163" s="175" t="s">
        <v>315</v>
      </c>
      <c r="N163" s="175" t="s">
        <v>326</v>
      </c>
    </row>
    <row r="164" spans="1:14" ht="15.75" x14ac:dyDescent="0.3">
      <c r="A164" s="174" t="s">
        <v>1060</v>
      </c>
      <c r="B164" s="175" t="s">
        <v>1317</v>
      </c>
      <c r="C164" s="175" t="s">
        <v>1061</v>
      </c>
      <c r="D164" s="175" t="s">
        <v>924</v>
      </c>
      <c r="E164" s="175" t="s">
        <v>61</v>
      </c>
      <c r="F164" s="175" t="s">
        <v>373</v>
      </c>
      <c r="G164" s="175">
        <v>55</v>
      </c>
      <c r="M164" s="175" t="s">
        <v>281</v>
      </c>
      <c r="N164" s="175" t="s">
        <v>332</v>
      </c>
    </row>
    <row r="165" spans="1:14" ht="15.75" x14ac:dyDescent="0.3">
      <c r="A165" s="174" t="s">
        <v>1063</v>
      </c>
      <c r="B165" s="175" t="s">
        <v>1317</v>
      </c>
      <c r="C165" s="175" t="s">
        <v>1064</v>
      </c>
      <c r="D165" s="175" t="s">
        <v>333</v>
      </c>
      <c r="E165" s="175" t="s">
        <v>61</v>
      </c>
      <c r="F165" s="175" t="s">
        <v>300</v>
      </c>
      <c r="G165" s="175">
        <v>47</v>
      </c>
      <c r="M165" s="175" t="s">
        <v>281</v>
      </c>
      <c r="N165" s="175" t="s">
        <v>326</v>
      </c>
    </row>
    <row r="166" spans="1:14" ht="15.75" x14ac:dyDescent="0.3">
      <c r="A166" s="174" t="s">
        <v>1070</v>
      </c>
      <c r="B166" s="175" t="s">
        <v>1317</v>
      </c>
      <c r="C166" s="175" t="s">
        <v>1071</v>
      </c>
      <c r="D166" s="175" t="s">
        <v>1043</v>
      </c>
      <c r="E166" s="175" t="s">
        <v>61</v>
      </c>
      <c r="F166" s="175" t="s">
        <v>328</v>
      </c>
      <c r="G166" s="175">
        <v>52</v>
      </c>
      <c r="M166" s="175" t="s">
        <v>281</v>
      </c>
      <c r="N166" s="175" t="s">
        <v>326</v>
      </c>
    </row>
    <row r="167" spans="1:14" ht="15.75" x14ac:dyDescent="0.3">
      <c r="A167" s="174" t="s">
        <v>1073</v>
      </c>
      <c r="B167" s="175" t="s">
        <v>1317</v>
      </c>
      <c r="C167" s="175" t="s">
        <v>1074</v>
      </c>
      <c r="D167" s="175" t="s">
        <v>1075</v>
      </c>
      <c r="E167" s="175" t="s">
        <v>61</v>
      </c>
      <c r="F167" s="175" t="s">
        <v>328</v>
      </c>
      <c r="G167" s="175">
        <v>53</v>
      </c>
      <c r="M167" s="175" t="s">
        <v>281</v>
      </c>
      <c r="N167" s="175" t="s">
        <v>326</v>
      </c>
    </row>
    <row r="168" spans="1:14" ht="15.75" x14ac:dyDescent="0.3">
      <c r="A168" s="174" t="s">
        <v>1077</v>
      </c>
      <c r="B168" s="175" t="s">
        <v>1317</v>
      </c>
      <c r="C168" s="175" t="s">
        <v>800</v>
      </c>
      <c r="D168" s="175" t="s">
        <v>1005</v>
      </c>
      <c r="E168" s="175" t="s">
        <v>61</v>
      </c>
      <c r="F168" s="175" t="s">
        <v>328</v>
      </c>
      <c r="G168" s="175">
        <v>50</v>
      </c>
      <c r="M168" s="175" t="s">
        <v>281</v>
      </c>
      <c r="N168" s="175" t="s">
        <v>326</v>
      </c>
    </row>
    <row r="169" spans="1:14" ht="15.75" x14ac:dyDescent="0.3">
      <c r="A169" s="174" t="s">
        <v>1079</v>
      </c>
      <c r="B169" s="175" t="s">
        <v>1317</v>
      </c>
      <c r="C169" s="175" t="s">
        <v>619</v>
      </c>
      <c r="D169" s="175" t="s">
        <v>924</v>
      </c>
      <c r="E169" s="175" t="s">
        <v>61</v>
      </c>
      <c r="F169" s="175" t="s">
        <v>328</v>
      </c>
      <c r="G169" s="175">
        <v>56</v>
      </c>
      <c r="M169" s="175" t="s">
        <v>281</v>
      </c>
      <c r="N169" s="175" t="s">
        <v>326</v>
      </c>
    </row>
    <row r="170" spans="1:14" ht="15.75" x14ac:dyDescent="0.3">
      <c r="A170" s="174" t="s">
        <v>1081</v>
      </c>
      <c r="B170" s="175" t="s">
        <v>1317</v>
      </c>
      <c r="C170" s="175" t="s">
        <v>1082</v>
      </c>
      <c r="D170" s="175" t="s">
        <v>1083</v>
      </c>
      <c r="E170" s="175" t="s">
        <v>61</v>
      </c>
      <c r="F170" s="175" t="s">
        <v>1086</v>
      </c>
      <c r="G170" s="175">
        <v>49</v>
      </c>
      <c r="M170" s="175" t="s">
        <v>315</v>
      </c>
      <c r="N170" s="175" t="s">
        <v>326</v>
      </c>
    </row>
    <row r="171" spans="1:14" ht="15.75" x14ac:dyDescent="0.3">
      <c r="A171" s="174" t="s">
        <v>1088</v>
      </c>
      <c r="B171" s="175" t="s">
        <v>1317</v>
      </c>
      <c r="C171" s="175" t="s">
        <v>1089</v>
      </c>
      <c r="D171" s="175" t="s">
        <v>1053</v>
      </c>
      <c r="E171" s="175" t="s">
        <v>61</v>
      </c>
      <c r="F171" s="175" t="s">
        <v>328</v>
      </c>
      <c r="G171" s="175">
        <v>56</v>
      </c>
      <c r="M171" s="175" t="s">
        <v>281</v>
      </c>
      <c r="N171" s="175" t="s">
        <v>326</v>
      </c>
    </row>
    <row r="172" spans="1:14" ht="15.75" x14ac:dyDescent="0.3">
      <c r="A172" s="174" t="s">
        <v>1091</v>
      </c>
      <c r="B172" s="175" t="s">
        <v>1317</v>
      </c>
      <c r="C172" s="175" t="s">
        <v>1092</v>
      </c>
      <c r="D172" s="175" t="s">
        <v>1093</v>
      </c>
      <c r="E172" s="175" t="s">
        <v>61</v>
      </c>
      <c r="F172" s="175" t="s">
        <v>328</v>
      </c>
      <c r="G172" s="175">
        <v>57</v>
      </c>
      <c r="M172" s="175" t="s">
        <v>281</v>
      </c>
      <c r="N172" s="175" t="s">
        <v>326</v>
      </c>
    </row>
    <row r="173" spans="1:14" ht="15.75" x14ac:dyDescent="0.3">
      <c r="A173" s="174" t="s">
        <v>1095</v>
      </c>
      <c r="B173" s="175" t="s">
        <v>1317</v>
      </c>
      <c r="C173" s="175" t="s">
        <v>1096</v>
      </c>
      <c r="D173" s="175" t="s">
        <v>1043</v>
      </c>
      <c r="E173" s="175" t="s">
        <v>61</v>
      </c>
      <c r="F173" s="175" t="s">
        <v>328</v>
      </c>
      <c r="G173" s="175">
        <v>55</v>
      </c>
      <c r="M173" s="175" t="s">
        <v>281</v>
      </c>
      <c r="N173" s="175" t="s">
        <v>326</v>
      </c>
    </row>
    <row r="174" spans="1:14" ht="15.75" x14ac:dyDescent="0.3">
      <c r="A174" s="174" t="s">
        <v>1098</v>
      </c>
      <c r="B174" s="175" t="s">
        <v>1317</v>
      </c>
      <c r="C174" s="175" t="s">
        <v>1099</v>
      </c>
      <c r="D174" s="175" t="s">
        <v>1100</v>
      </c>
      <c r="E174" s="175" t="s">
        <v>61</v>
      </c>
      <c r="F174" s="175" t="s">
        <v>328</v>
      </c>
      <c r="G174" s="175">
        <v>56</v>
      </c>
      <c r="M174" s="175" t="s">
        <v>281</v>
      </c>
      <c r="N174" s="175" t="s">
        <v>326</v>
      </c>
    </row>
    <row r="175" spans="1:14" ht="15.75" x14ac:dyDescent="0.3">
      <c r="A175" s="174" t="s">
        <v>1102</v>
      </c>
      <c r="B175" s="175" t="s">
        <v>1317</v>
      </c>
      <c r="C175" s="175" t="s">
        <v>1103</v>
      </c>
      <c r="D175" s="175" t="s">
        <v>1104</v>
      </c>
      <c r="E175" s="175" t="s">
        <v>61</v>
      </c>
      <c r="F175" s="175" t="s">
        <v>328</v>
      </c>
      <c r="G175" s="175">
        <v>47</v>
      </c>
      <c r="M175" s="175" t="s">
        <v>281</v>
      </c>
      <c r="N175" s="175" t="s">
        <v>326</v>
      </c>
    </row>
    <row r="176" spans="1:14" ht="15.75" x14ac:dyDescent="0.3">
      <c r="A176" s="174" t="s">
        <v>1106</v>
      </c>
      <c r="B176" s="175" t="s">
        <v>1317</v>
      </c>
      <c r="C176" s="175" t="s">
        <v>1107</v>
      </c>
      <c r="D176" s="175" t="s">
        <v>1053</v>
      </c>
      <c r="E176" s="175" t="s">
        <v>61</v>
      </c>
      <c r="F176" s="175" t="s">
        <v>1049</v>
      </c>
      <c r="G176" s="175">
        <v>50</v>
      </c>
      <c r="M176" s="175" t="s">
        <v>281</v>
      </c>
      <c r="N176" s="175" t="s">
        <v>326</v>
      </c>
    </row>
    <row r="177" spans="1:14" ht="15.75" x14ac:dyDescent="0.3">
      <c r="A177" s="174" t="s">
        <v>1109</v>
      </c>
      <c r="B177" s="175" t="s">
        <v>1317</v>
      </c>
      <c r="C177" s="175" t="s">
        <v>129</v>
      </c>
      <c r="D177" s="175" t="s">
        <v>1043</v>
      </c>
      <c r="E177" s="175" t="s">
        <v>61</v>
      </c>
      <c r="F177" s="175" t="s">
        <v>1110</v>
      </c>
      <c r="G177" s="175">
        <v>47</v>
      </c>
      <c r="M177" s="175" t="s">
        <v>281</v>
      </c>
      <c r="N177" s="175" t="s">
        <v>326</v>
      </c>
    </row>
    <row r="178" spans="1:14" ht="15.75" x14ac:dyDescent="0.3">
      <c r="A178" s="174" t="s">
        <v>1112</v>
      </c>
      <c r="B178" s="175" t="s">
        <v>1317</v>
      </c>
      <c r="C178" s="175" t="s">
        <v>1113</v>
      </c>
      <c r="D178" s="175" t="s">
        <v>344</v>
      </c>
      <c r="E178" s="175" t="s">
        <v>61</v>
      </c>
      <c r="F178" s="175" t="s">
        <v>300</v>
      </c>
      <c r="G178" s="175">
        <v>52</v>
      </c>
      <c r="M178" s="175" t="s">
        <v>281</v>
      </c>
      <c r="N178" s="175" t="s">
        <v>326</v>
      </c>
    </row>
    <row r="179" spans="1:14" ht="15.75" x14ac:dyDescent="0.3">
      <c r="A179" s="174" t="s">
        <v>1115</v>
      </c>
      <c r="B179" s="175" t="s">
        <v>1317</v>
      </c>
      <c r="C179" s="175" t="s">
        <v>1116</v>
      </c>
      <c r="D179" s="175" t="s">
        <v>584</v>
      </c>
      <c r="E179" s="175" t="s">
        <v>61</v>
      </c>
      <c r="F179" s="175" t="s">
        <v>328</v>
      </c>
      <c r="G179" s="175">
        <v>44</v>
      </c>
      <c r="M179" s="175" t="s">
        <v>281</v>
      </c>
      <c r="N179" s="175" t="s">
        <v>326</v>
      </c>
    </row>
    <row r="180" spans="1:14" ht="15.75" x14ac:dyDescent="0.3">
      <c r="A180" s="174" t="s">
        <v>1118</v>
      </c>
      <c r="B180" s="175" t="s">
        <v>1317</v>
      </c>
      <c r="C180" s="175" t="s">
        <v>1119</v>
      </c>
      <c r="D180" s="175" t="s">
        <v>1120</v>
      </c>
      <c r="E180" s="175" t="s">
        <v>61</v>
      </c>
      <c r="F180" s="175" t="s">
        <v>328</v>
      </c>
      <c r="G180" s="175">
        <v>56</v>
      </c>
      <c r="M180" s="175" t="s">
        <v>281</v>
      </c>
      <c r="N180" s="175" t="s">
        <v>326</v>
      </c>
    </row>
    <row r="181" spans="1:14" ht="15.75" x14ac:dyDescent="0.3">
      <c r="A181" s="174" t="s">
        <v>1122</v>
      </c>
      <c r="B181" s="175" t="s">
        <v>1317</v>
      </c>
      <c r="C181" s="175" t="s">
        <v>1123</v>
      </c>
      <c r="D181" s="175" t="s">
        <v>1124</v>
      </c>
      <c r="E181" s="175" t="s">
        <v>61</v>
      </c>
      <c r="F181" s="175" t="s">
        <v>328</v>
      </c>
      <c r="G181" s="175">
        <v>49</v>
      </c>
      <c r="M181" s="175" t="s">
        <v>281</v>
      </c>
      <c r="N181" s="175" t="s">
        <v>326</v>
      </c>
    </row>
    <row r="182" spans="1:14" ht="15.75" x14ac:dyDescent="0.3">
      <c r="A182" s="174" t="s">
        <v>1126</v>
      </c>
      <c r="B182" s="175" t="s">
        <v>1317</v>
      </c>
      <c r="C182" s="175" t="s">
        <v>1127</v>
      </c>
      <c r="D182" s="175" t="s">
        <v>1128</v>
      </c>
      <c r="E182" s="175" t="s">
        <v>61</v>
      </c>
      <c r="F182" s="175" t="s">
        <v>328</v>
      </c>
      <c r="G182" s="175">
        <v>56</v>
      </c>
      <c r="M182" s="175" t="s">
        <v>281</v>
      </c>
      <c r="N182" s="175" t="s">
        <v>326</v>
      </c>
    </row>
    <row r="183" spans="1:14" ht="15.75" x14ac:dyDescent="0.3">
      <c r="A183" s="174" t="s">
        <v>1130</v>
      </c>
      <c r="B183" s="175" t="s">
        <v>1317</v>
      </c>
      <c r="C183" s="175" t="s">
        <v>1131</v>
      </c>
      <c r="D183" s="175" t="s">
        <v>1132</v>
      </c>
      <c r="E183" s="175" t="s">
        <v>63</v>
      </c>
      <c r="F183" s="175" t="s">
        <v>328</v>
      </c>
      <c r="G183" s="175">
        <v>59</v>
      </c>
      <c r="M183" s="175" t="s">
        <v>281</v>
      </c>
      <c r="N183" s="175" t="s">
        <v>326</v>
      </c>
    </row>
    <row r="184" spans="1:14" ht="15.75" x14ac:dyDescent="0.3">
      <c r="A184" s="174" t="s">
        <v>1134</v>
      </c>
      <c r="B184" s="175" t="s">
        <v>1317</v>
      </c>
      <c r="C184" s="175" t="s">
        <v>1135</v>
      </c>
      <c r="D184" s="175" t="s">
        <v>1136</v>
      </c>
      <c r="E184" s="175" t="s">
        <v>63</v>
      </c>
      <c r="F184" s="175" t="s">
        <v>1137</v>
      </c>
      <c r="G184" s="175">
        <v>43</v>
      </c>
      <c r="M184" s="175" t="s">
        <v>315</v>
      </c>
      <c r="N184" s="175" t="s">
        <v>326</v>
      </c>
    </row>
    <row r="185" spans="1:14" ht="15.75" x14ac:dyDescent="0.3">
      <c r="A185" s="174" t="s">
        <v>1139</v>
      </c>
      <c r="B185" s="175" t="s">
        <v>1317</v>
      </c>
      <c r="C185" s="175" t="s">
        <v>1140</v>
      </c>
      <c r="D185" s="175" t="s">
        <v>1053</v>
      </c>
      <c r="E185" s="175" t="s">
        <v>61</v>
      </c>
      <c r="F185" s="175" t="s">
        <v>300</v>
      </c>
      <c r="G185" s="175">
        <v>37</v>
      </c>
      <c r="M185" s="175" t="s">
        <v>281</v>
      </c>
      <c r="N185" s="175" t="s">
        <v>326</v>
      </c>
    </row>
    <row r="186" spans="1:14" ht="15.75" x14ac:dyDescent="0.3">
      <c r="A186" s="174" t="s">
        <v>1142</v>
      </c>
      <c r="B186" s="175" t="s">
        <v>1317</v>
      </c>
      <c r="C186" s="175" t="s">
        <v>1143</v>
      </c>
      <c r="D186" s="175" t="s">
        <v>584</v>
      </c>
      <c r="E186" s="175" t="s">
        <v>61</v>
      </c>
      <c r="F186" s="175" t="s">
        <v>328</v>
      </c>
      <c r="G186" s="175">
        <v>45</v>
      </c>
      <c r="M186" s="175" t="s">
        <v>281</v>
      </c>
      <c r="N186" s="175" t="s">
        <v>326</v>
      </c>
    </row>
    <row r="187" spans="1:14" ht="15.75" x14ac:dyDescent="0.3">
      <c r="A187" s="174" t="s">
        <v>1145</v>
      </c>
      <c r="B187" s="175" t="s">
        <v>1317</v>
      </c>
      <c r="C187" s="175" t="s">
        <v>1146</v>
      </c>
      <c r="D187" s="175" t="s">
        <v>982</v>
      </c>
      <c r="E187" s="175" t="s">
        <v>63</v>
      </c>
      <c r="F187" s="175" t="s">
        <v>328</v>
      </c>
      <c r="G187" s="175">
        <v>53</v>
      </c>
      <c r="M187" s="175" t="s">
        <v>281</v>
      </c>
      <c r="N187" s="175" t="s">
        <v>326</v>
      </c>
    </row>
    <row r="188" spans="1:14" ht="15.75" x14ac:dyDescent="0.3">
      <c r="A188" s="174" t="s">
        <v>1148</v>
      </c>
      <c r="B188" s="175" t="s">
        <v>1317</v>
      </c>
      <c r="C188" s="175" t="s">
        <v>1149</v>
      </c>
      <c r="D188" s="175" t="s">
        <v>1150</v>
      </c>
      <c r="E188" s="175" t="s">
        <v>61</v>
      </c>
      <c r="F188" s="175" t="s">
        <v>328</v>
      </c>
      <c r="G188" s="175">
        <v>60</v>
      </c>
      <c r="M188" s="175" t="s">
        <v>281</v>
      </c>
      <c r="N188" s="175" t="s">
        <v>326</v>
      </c>
    </row>
    <row r="189" spans="1:14" ht="15.75" x14ac:dyDescent="0.3">
      <c r="A189" s="174" t="s">
        <v>1152</v>
      </c>
      <c r="B189" s="175" t="s">
        <v>1317</v>
      </c>
      <c r="C189" s="175" t="s">
        <v>1153</v>
      </c>
      <c r="D189" s="175" t="s">
        <v>1154</v>
      </c>
      <c r="E189" s="175" t="s">
        <v>63</v>
      </c>
      <c r="F189" s="175" t="s">
        <v>328</v>
      </c>
      <c r="G189" s="175">
        <v>56</v>
      </c>
      <c r="M189" s="175" t="s">
        <v>281</v>
      </c>
      <c r="N189" s="175" t="s">
        <v>326</v>
      </c>
    </row>
    <row r="190" spans="1:14" ht="15.75" x14ac:dyDescent="0.3">
      <c r="A190" s="174" t="s">
        <v>1156</v>
      </c>
      <c r="B190" s="175" t="s">
        <v>1317</v>
      </c>
      <c r="C190" s="175" t="s">
        <v>1157</v>
      </c>
      <c r="D190" s="175" t="s">
        <v>1158</v>
      </c>
      <c r="E190" s="175" t="s">
        <v>63</v>
      </c>
      <c r="F190" s="175" t="s">
        <v>328</v>
      </c>
      <c r="G190" s="175">
        <v>59</v>
      </c>
      <c r="M190" s="175" t="s">
        <v>281</v>
      </c>
      <c r="N190" s="175" t="s">
        <v>326</v>
      </c>
    </row>
    <row r="191" spans="1:14" ht="15.75" x14ac:dyDescent="0.3">
      <c r="A191" s="174" t="s">
        <v>1160</v>
      </c>
      <c r="B191" s="175" t="s">
        <v>1317</v>
      </c>
      <c r="C191" s="175" t="s">
        <v>1161</v>
      </c>
      <c r="D191" s="175" t="s">
        <v>1162</v>
      </c>
      <c r="E191" s="175" t="s">
        <v>61</v>
      </c>
      <c r="F191" s="175" t="s">
        <v>328</v>
      </c>
      <c r="G191" s="175">
        <v>58</v>
      </c>
      <c r="M191" s="175" t="s">
        <v>281</v>
      </c>
      <c r="N191" s="175" t="s">
        <v>326</v>
      </c>
    </row>
    <row r="192" spans="1:14" ht="15.75" x14ac:dyDescent="0.3">
      <c r="A192" s="174" t="s">
        <v>1171</v>
      </c>
      <c r="B192" s="175" t="s">
        <v>1317</v>
      </c>
      <c r="C192" s="175" t="s">
        <v>1172</v>
      </c>
      <c r="D192" s="175" t="s">
        <v>1173</v>
      </c>
      <c r="E192" s="175" t="s">
        <v>61</v>
      </c>
      <c r="F192" s="175" t="s">
        <v>373</v>
      </c>
      <c r="G192" s="175">
        <v>53</v>
      </c>
      <c r="M192" s="175" t="s">
        <v>281</v>
      </c>
      <c r="N192" s="175" t="s">
        <v>332</v>
      </c>
    </row>
    <row r="193" spans="1:14" ht="15.75" x14ac:dyDescent="0.3">
      <c r="A193" s="174" t="s">
        <v>1287</v>
      </c>
      <c r="B193" s="175" t="s">
        <v>1317</v>
      </c>
      <c r="C193" s="175" t="s">
        <v>1288</v>
      </c>
      <c r="D193" s="175" t="s">
        <v>1289</v>
      </c>
      <c r="E193" s="175" t="s">
        <v>61</v>
      </c>
      <c r="F193" s="175" t="s">
        <v>1290</v>
      </c>
      <c r="G193" s="175">
        <v>22</v>
      </c>
      <c r="M193" s="175" t="s">
        <v>315</v>
      </c>
      <c r="N193" s="175" t="s">
        <v>332</v>
      </c>
    </row>
    <row r="194" spans="1:14" ht="15.75" x14ac:dyDescent="0.3">
      <c r="A194" s="174" t="s">
        <v>1296</v>
      </c>
      <c r="B194" s="175" t="s">
        <v>1317</v>
      </c>
      <c r="C194" s="175" t="s">
        <v>1297</v>
      </c>
      <c r="D194" s="175" t="s">
        <v>1298</v>
      </c>
      <c r="E194" s="175" t="s">
        <v>63</v>
      </c>
      <c r="F194" s="175" t="s">
        <v>1299</v>
      </c>
      <c r="G194" s="175">
        <v>23</v>
      </c>
      <c r="M194" s="175" t="s">
        <v>315</v>
      </c>
      <c r="N194" s="175" t="s">
        <v>1057</v>
      </c>
    </row>
    <row r="195" spans="1:14" ht="15.75" x14ac:dyDescent="0.3">
      <c r="A195" s="174" t="s">
        <v>291</v>
      </c>
      <c r="B195" s="175" t="s">
        <v>1318</v>
      </c>
      <c r="C195" s="175" t="s">
        <v>292</v>
      </c>
      <c r="D195" s="175" t="s">
        <v>293</v>
      </c>
      <c r="E195" s="175" t="s">
        <v>61</v>
      </c>
      <c r="F195" s="175" t="s">
        <v>300</v>
      </c>
      <c r="G195" s="175">
        <v>41</v>
      </c>
      <c r="M195" s="175" t="s">
        <v>281</v>
      </c>
      <c r="N195" s="175" t="s">
        <v>294</v>
      </c>
    </row>
    <row r="196" spans="1:14" ht="15.75" x14ac:dyDescent="0.3">
      <c r="A196" s="174" t="s">
        <v>304</v>
      </c>
      <c r="B196" s="175" t="s">
        <v>1318</v>
      </c>
      <c r="C196" s="175" t="s">
        <v>305</v>
      </c>
      <c r="D196" s="175" t="s">
        <v>306</v>
      </c>
      <c r="E196" s="175" t="s">
        <v>61</v>
      </c>
      <c r="F196" s="175" t="s">
        <v>307</v>
      </c>
      <c r="G196" s="177">
        <v>57</v>
      </c>
      <c r="M196" s="175" t="s">
        <v>281</v>
      </c>
      <c r="N196" s="175" t="s">
        <v>294</v>
      </c>
    </row>
    <row r="197" spans="1:14" ht="15.75" x14ac:dyDescent="0.3">
      <c r="A197" s="174" t="s">
        <v>353</v>
      </c>
      <c r="B197" s="175" t="s">
        <v>1318</v>
      </c>
      <c r="C197" s="175" t="s">
        <v>354</v>
      </c>
      <c r="D197" s="175" t="s">
        <v>97</v>
      </c>
      <c r="E197" s="175" t="s">
        <v>61</v>
      </c>
      <c r="F197" s="175" t="s">
        <v>359</v>
      </c>
      <c r="G197" s="177">
        <v>57</v>
      </c>
      <c r="M197" s="175" t="s">
        <v>281</v>
      </c>
      <c r="N197" s="175" t="s">
        <v>355</v>
      </c>
    </row>
    <row r="198" spans="1:14" ht="15.75" x14ac:dyDescent="0.3">
      <c r="A198" s="174" t="s">
        <v>916</v>
      </c>
      <c r="B198" s="175" t="s">
        <v>1318</v>
      </c>
      <c r="C198" s="175" t="s">
        <v>917</v>
      </c>
      <c r="D198" s="175" t="s">
        <v>109</v>
      </c>
      <c r="E198" s="175" t="s">
        <v>61</v>
      </c>
      <c r="F198" s="175" t="s">
        <v>300</v>
      </c>
      <c r="G198" s="175">
        <v>45</v>
      </c>
      <c r="M198" s="175" t="s">
        <v>281</v>
      </c>
      <c r="N198" s="175" t="s">
        <v>294</v>
      </c>
    </row>
    <row r="199" spans="1:14" ht="15.75" x14ac:dyDescent="0.3">
      <c r="A199" s="174" t="s">
        <v>922</v>
      </c>
      <c r="B199" s="175" t="s">
        <v>1318</v>
      </c>
      <c r="C199" s="175" t="s">
        <v>923</v>
      </c>
      <c r="D199" s="175" t="s">
        <v>924</v>
      </c>
      <c r="E199" s="175" t="s">
        <v>61</v>
      </c>
      <c r="F199" s="175" t="s">
        <v>925</v>
      </c>
      <c r="G199" s="175">
        <v>48</v>
      </c>
      <c r="M199" s="175" t="s">
        <v>281</v>
      </c>
      <c r="N199" s="175" t="s">
        <v>294</v>
      </c>
    </row>
    <row r="200" spans="1:14" ht="15.75" x14ac:dyDescent="0.3">
      <c r="A200" s="174" t="s">
        <v>927</v>
      </c>
      <c r="B200" s="175" t="s">
        <v>1318</v>
      </c>
      <c r="C200" s="175" t="s">
        <v>928</v>
      </c>
      <c r="D200" s="175" t="s">
        <v>929</v>
      </c>
      <c r="E200" s="175" t="s">
        <v>61</v>
      </c>
      <c r="F200" s="175" t="s">
        <v>930</v>
      </c>
      <c r="G200" s="175">
        <v>35</v>
      </c>
      <c r="M200" s="175" t="s">
        <v>281</v>
      </c>
      <c r="N200" s="175" t="s">
        <v>294</v>
      </c>
    </row>
    <row r="201" spans="1:14" ht="15.75" x14ac:dyDescent="0.3">
      <c r="A201" s="174" t="s">
        <v>932</v>
      </c>
      <c r="B201" s="175" t="s">
        <v>1318</v>
      </c>
      <c r="C201" s="175" t="s">
        <v>933</v>
      </c>
      <c r="D201" s="175" t="s">
        <v>934</v>
      </c>
      <c r="E201" s="175" t="s">
        <v>61</v>
      </c>
      <c r="F201" s="175" t="s">
        <v>300</v>
      </c>
      <c r="G201" s="175">
        <v>47</v>
      </c>
      <c r="M201" s="175" t="s">
        <v>281</v>
      </c>
      <c r="N201" s="175" t="s">
        <v>294</v>
      </c>
    </row>
    <row r="202" spans="1:14" ht="15.75" x14ac:dyDescent="0.3">
      <c r="A202" s="174" t="s">
        <v>936</v>
      </c>
      <c r="B202" s="175" t="s">
        <v>1318</v>
      </c>
      <c r="C202" s="175" t="s">
        <v>937</v>
      </c>
      <c r="D202" s="175" t="s">
        <v>938</v>
      </c>
      <c r="E202" s="175" t="s">
        <v>61</v>
      </c>
      <c r="F202" s="175" t="s">
        <v>939</v>
      </c>
      <c r="G202" s="175">
        <v>33</v>
      </c>
      <c r="M202" s="175" t="s">
        <v>281</v>
      </c>
      <c r="N202" s="175" t="s">
        <v>294</v>
      </c>
    </row>
    <row r="203" spans="1:14" ht="15.75" x14ac:dyDescent="0.3">
      <c r="A203" s="174" t="s">
        <v>941</v>
      </c>
      <c r="B203" s="175" t="s">
        <v>1318</v>
      </c>
      <c r="C203" s="175" t="s">
        <v>942</v>
      </c>
      <c r="D203" s="175" t="s">
        <v>99</v>
      </c>
      <c r="E203" s="175" t="s">
        <v>61</v>
      </c>
      <c r="F203" s="175" t="s">
        <v>307</v>
      </c>
      <c r="G203" s="175">
        <v>52</v>
      </c>
      <c r="M203" s="175" t="s">
        <v>281</v>
      </c>
      <c r="N203" s="175" t="s">
        <v>355</v>
      </c>
    </row>
    <row r="204" spans="1:14" ht="15.75" x14ac:dyDescent="0.3">
      <c r="A204" s="174" t="s">
        <v>947</v>
      </c>
      <c r="B204" s="175" t="s">
        <v>1318</v>
      </c>
      <c r="C204" s="175" t="s">
        <v>948</v>
      </c>
      <c r="D204" s="175" t="s">
        <v>949</v>
      </c>
      <c r="E204" s="175" t="s">
        <v>61</v>
      </c>
      <c r="F204" s="175" t="s">
        <v>950</v>
      </c>
      <c r="G204" s="175">
        <v>33</v>
      </c>
      <c r="M204" s="175" t="s">
        <v>281</v>
      </c>
      <c r="N204" s="175" t="s">
        <v>355</v>
      </c>
    </row>
    <row r="205" spans="1:14" ht="15.75" x14ac:dyDescent="0.3">
      <c r="A205" s="174" t="s">
        <v>952</v>
      </c>
      <c r="B205" s="175" t="s">
        <v>1318</v>
      </c>
      <c r="C205" s="175" t="s">
        <v>953</v>
      </c>
      <c r="D205" s="175" t="s">
        <v>482</v>
      </c>
      <c r="E205" s="175" t="s">
        <v>61</v>
      </c>
      <c r="F205" s="175" t="s">
        <v>954</v>
      </c>
      <c r="G205" s="175">
        <v>52</v>
      </c>
      <c r="M205" s="175" t="s">
        <v>281</v>
      </c>
      <c r="N205" s="175" t="s">
        <v>294</v>
      </c>
    </row>
    <row r="206" spans="1:14" ht="15.75" x14ac:dyDescent="0.3">
      <c r="A206" s="174" t="s">
        <v>956</v>
      </c>
      <c r="B206" s="175" t="s">
        <v>1318</v>
      </c>
      <c r="C206" s="175" t="s">
        <v>343</v>
      </c>
      <c r="D206" s="175" t="s">
        <v>344</v>
      </c>
      <c r="E206" s="175" t="s">
        <v>61</v>
      </c>
      <c r="F206" s="175" t="s">
        <v>960</v>
      </c>
      <c r="G206" s="175">
        <v>48</v>
      </c>
      <c r="M206" s="175" t="s">
        <v>315</v>
      </c>
      <c r="N206" s="175" t="s">
        <v>942</v>
      </c>
    </row>
    <row r="207" spans="1:14" ht="15.75" x14ac:dyDescent="0.3">
      <c r="A207" s="174" t="s">
        <v>962</v>
      </c>
      <c r="B207" s="175" t="s">
        <v>1318</v>
      </c>
      <c r="C207" s="175" t="s">
        <v>963</v>
      </c>
      <c r="D207" s="175" t="s">
        <v>112</v>
      </c>
      <c r="E207" s="175" t="s">
        <v>61</v>
      </c>
      <c r="F207" s="175" t="s">
        <v>300</v>
      </c>
      <c r="G207" s="175">
        <v>47</v>
      </c>
      <c r="M207" s="175" t="s">
        <v>281</v>
      </c>
      <c r="N207" s="175" t="s">
        <v>294</v>
      </c>
    </row>
    <row r="208" spans="1:14" ht="15.75" x14ac:dyDescent="0.3">
      <c r="A208" s="174" t="s">
        <v>965</v>
      </c>
      <c r="B208" s="175" t="s">
        <v>1318</v>
      </c>
      <c r="C208" s="175" t="s">
        <v>966</v>
      </c>
      <c r="D208" s="175" t="s">
        <v>110</v>
      </c>
      <c r="E208" s="175" t="s">
        <v>61</v>
      </c>
      <c r="F208" s="175" t="s">
        <v>967</v>
      </c>
      <c r="G208" s="175">
        <v>50</v>
      </c>
      <c r="M208" s="175" t="s">
        <v>281</v>
      </c>
      <c r="N208" s="175" t="s">
        <v>948</v>
      </c>
    </row>
    <row r="209" spans="1:14" ht="15.75" x14ac:dyDescent="0.3">
      <c r="A209" s="174" t="s">
        <v>969</v>
      </c>
      <c r="B209" s="175" t="s">
        <v>1318</v>
      </c>
      <c r="C209" s="175" t="s">
        <v>970</v>
      </c>
      <c r="D209" s="175" t="s">
        <v>108</v>
      </c>
      <c r="E209" s="175" t="s">
        <v>61</v>
      </c>
      <c r="F209" s="175" t="s">
        <v>307</v>
      </c>
      <c r="G209" s="175">
        <v>50</v>
      </c>
      <c r="M209" s="175" t="s">
        <v>281</v>
      </c>
      <c r="N209" s="175" t="s">
        <v>294</v>
      </c>
    </row>
    <row r="210" spans="1:14" ht="15.75" x14ac:dyDescent="0.3">
      <c r="A210" s="174" t="s">
        <v>973</v>
      </c>
      <c r="B210" s="175" t="s">
        <v>1318</v>
      </c>
      <c r="C210" s="175" t="s">
        <v>974</v>
      </c>
      <c r="D210" s="175" t="s">
        <v>121</v>
      </c>
      <c r="E210" s="175" t="s">
        <v>61</v>
      </c>
      <c r="F210" s="175" t="s">
        <v>373</v>
      </c>
      <c r="G210" s="175">
        <v>35</v>
      </c>
      <c r="M210" s="175" t="s">
        <v>281</v>
      </c>
      <c r="N210" s="175" t="s">
        <v>948</v>
      </c>
    </row>
    <row r="211" spans="1:14" ht="15.75" x14ac:dyDescent="0.3">
      <c r="A211" s="174" t="s">
        <v>976</v>
      </c>
      <c r="B211" s="175" t="s">
        <v>1318</v>
      </c>
      <c r="C211" s="175" t="s">
        <v>977</v>
      </c>
      <c r="D211" s="175" t="s">
        <v>978</v>
      </c>
      <c r="E211" s="175" t="s">
        <v>61</v>
      </c>
      <c r="F211" s="175" t="s">
        <v>307</v>
      </c>
      <c r="G211" s="175">
        <v>56</v>
      </c>
      <c r="M211" s="175" t="s">
        <v>281</v>
      </c>
      <c r="N211" s="175" t="s">
        <v>294</v>
      </c>
    </row>
    <row r="212" spans="1:14" ht="15.75" x14ac:dyDescent="0.3">
      <c r="A212" s="174" t="s">
        <v>980</v>
      </c>
      <c r="B212" s="175" t="s">
        <v>1318</v>
      </c>
      <c r="C212" s="175" t="s">
        <v>981</v>
      </c>
      <c r="D212" s="175" t="s">
        <v>982</v>
      </c>
      <c r="E212" s="175" t="s">
        <v>63</v>
      </c>
      <c r="F212" s="175" t="s">
        <v>930</v>
      </c>
      <c r="G212" s="175">
        <v>38</v>
      </c>
      <c r="M212" s="175" t="s">
        <v>281</v>
      </c>
      <c r="N212" s="175" t="s">
        <v>294</v>
      </c>
    </row>
    <row r="213" spans="1:14" ht="15.75" x14ac:dyDescent="0.3">
      <c r="A213" s="174" t="s">
        <v>984</v>
      </c>
      <c r="B213" s="175" t="s">
        <v>1318</v>
      </c>
      <c r="C213" s="175" t="s">
        <v>934</v>
      </c>
      <c r="D213" s="175" t="s">
        <v>985</v>
      </c>
      <c r="E213" s="175" t="s">
        <v>61</v>
      </c>
      <c r="F213" s="175" t="s">
        <v>373</v>
      </c>
      <c r="G213" s="175">
        <v>26</v>
      </c>
      <c r="M213" s="175" t="s">
        <v>281</v>
      </c>
      <c r="N213" s="175" t="s">
        <v>948</v>
      </c>
    </row>
    <row r="214" spans="1:14" ht="15.75" x14ac:dyDescent="0.3">
      <c r="A214" s="174" t="s">
        <v>987</v>
      </c>
      <c r="B214" s="175" t="s">
        <v>1318</v>
      </c>
      <c r="C214" s="175" t="s">
        <v>988</v>
      </c>
      <c r="D214" s="175" t="s">
        <v>122</v>
      </c>
      <c r="E214" s="175" t="s">
        <v>61</v>
      </c>
      <c r="F214" s="175" t="s">
        <v>307</v>
      </c>
      <c r="G214" s="175">
        <v>53</v>
      </c>
      <c r="M214" s="175" t="s">
        <v>281</v>
      </c>
      <c r="N214" s="175" t="s">
        <v>294</v>
      </c>
    </row>
    <row r="215" spans="1:14" ht="15.75" x14ac:dyDescent="0.3">
      <c r="A215" s="174" t="s">
        <v>990</v>
      </c>
      <c r="B215" s="175" t="s">
        <v>1318</v>
      </c>
      <c r="C215" s="175" t="s">
        <v>991</v>
      </c>
      <c r="D215" s="175" t="s">
        <v>992</v>
      </c>
      <c r="E215" s="175" t="s">
        <v>61</v>
      </c>
      <c r="F215" s="175" t="s">
        <v>925</v>
      </c>
      <c r="G215" s="175">
        <v>50</v>
      </c>
      <c r="M215" s="175" t="s">
        <v>281</v>
      </c>
      <c r="N215" s="175" t="s">
        <v>294</v>
      </c>
    </row>
    <row r="216" spans="1:14" ht="15.75" x14ac:dyDescent="0.3">
      <c r="A216" s="174" t="s">
        <v>994</v>
      </c>
      <c r="B216" s="175" t="s">
        <v>1318</v>
      </c>
      <c r="C216" s="175" t="s">
        <v>587</v>
      </c>
      <c r="D216" s="175" t="s">
        <v>995</v>
      </c>
      <c r="E216" s="175" t="s">
        <v>61</v>
      </c>
      <c r="F216" s="175" t="s">
        <v>300</v>
      </c>
      <c r="G216" s="175">
        <v>29</v>
      </c>
      <c r="M216" s="175" t="s">
        <v>281</v>
      </c>
      <c r="N216" s="175" t="s">
        <v>294</v>
      </c>
    </row>
    <row r="217" spans="1:14" ht="15.75" x14ac:dyDescent="0.3">
      <c r="A217" s="174" t="s">
        <v>997</v>
      </c>
      <c r="B217" s="175" t="s">
        <v>1318</v>
      </c>
      <c r="C217" s="175" t="s">
        <v>355</v>
      </c>
      <c r="D217" s="175" t="s">
        <v>356</v>
      </c>
      <c r="E217" s="175" t="s">
        <v>63</v>
      </c>
      <c r="F217" s="175" t="s">
        <v>998</v>
      </c>
      <c r="G217" s="175">
        <v>43</v>
      </c>
      <c r="M217" s="175" t="s">
        <v>315</v>
      </c>
      <c r="N217" s="175" t="s">
        <v>343</v>
      </c>
    </row>
    <row r="218" spans="1:14" ht="15.75" x14ac:dyDescent="0.3">
      <c r="A218" s="174" t="s">
        <v>1000</v>
      </c>
      <c r="B218" s="175" t="s">
        <v>1318</v>
      </c>
      <c r="C218" s="175" t="s">
        <v>1001</v>
      </c>
      <c r="D218" s="175" t="s">
        <v>478</v>
      </c>
      <c r="E218" s="175" t="s">
        <v>61</v>
      </c>
      <c r="F218" s="175" t="s">
        <v>307</v>
      </c>
      <c r="G218" s="175">
        <v>41</v>
      </c>
      <c r="M218" s="175" t="s">
        <v>281</v>
      </c>
      <c r="N218" s="175" t="s">
        <v>294</v>
      </c>
    </row>
    <row r="219" spans="1:14" ht="15.75" x14ac:dyDescent="0.3">
      <c r="A219" s="174" t="s">
        <v>1003</v>
      </c>
      <c r="B219" s="175" t="s">
        <v>1318</v>
      </c>
      <c r="C219" s="175" t="s">
        <v>1004</v>
      </c>
      <c r="D219" s="175" t="s">
        <v>1005</v>
      </c>
      <c r="E219" s="175" t="s">
        <v>61</v>
      </c>
      <c r="F219" s="175" t="s">
        <v>1008</v>
      </c>
      <c r="G219" s="175">
        <v>57</v>
      </c>
      <c r="M219" s="175" t="s">
        <v>281</v>
      </c>
      <c r="N219" s="175" t="s">
        <v>355</v>
      </c>
    </row>
    <row r="220" spans="1:14" ht="15.75" x14ac:dyDescent="0.3">
      <c r="A220" s="174" t="s">
        <v>1010</v>
      </c>
      <c r="B220" s="175" t="s">
        <v>1318</v>
      </c>
      <c r="C220" s="175" t="s">
        <v>1011</v>
      </c>
      <c r="D220" s="175" t="s">
        <v>124</v>
      </c>
      <c r="E220" s="175" t="s">
        <v>61</v>
      </c>
      <c r="F220" s="175" t="s">
        <v>967</v>
      </c>
      <c r="G220" s="175">
        <v>54</v>
      </c>
      <c r="M220" s="175" t="s">
        <v>281</v>
      </c>
      <c r="N220" s="175" t="s">
        <v>948</v>
      </c>
    </row>
    <row r="221" spans="1:14" ht="15.75" x14ac:dyDescent="0.3">
      <c r="A221" s="174" t="s">
        <v>1028</v>
      </c>
      <c r="B221" s="175" t="s">
        <v>1318</v>
      </c>
      <c r="C221" s="175" t="s">
        <v>1029</v>
      </c>
      <c r="D221" s="175" t="s">
        <v>130</v>
      </c>
      <c r="E221" s="175" t="s">
        <v>61</v>
      </c>
      <c r="F221" s="175" t="s">
        <v>307</v>
      </c>
      <c r="G221" s="175">
        <v>54</v>
      </c>
      <c r="M221" s="175" t="s">
        <v>281</v>
      </c>
      <c r="N221" s="175" t="s">
        <v>294</v>
      </c>
    </row>
    <row r="222" spans="1:14" ht="15.75" x14ac:dyDescent="0.3">
      <c r="A222" s="174" t="s">
        <v>1031</v>
      </c>
      <c r="B222" s="175" t="s">
        <v>1318</v>
      </c>
      <c r="C222" s="175" t="s">
        <v>1032</v>
      </c>
      <c r="D222" s="175" t="s">
        <v>1033</v>
      </c>
      <c r="E222" s="175" t="s">
        <v>61</v>
      </c>
      <c r="F222" s="175" t="s">
        <v>930</v>
      </c>
      <c r="G222" s="175">
        <v>43</v>
      </c>
      <c r="M222" s="175" t="s">
        <v>281</v>
      </c>
      <c r="N222" s="175" t="s">
        <v>294</v>
      </c>
    </row>
    <row r="223" spans="1:14" ht="15.75" x14ac:dyDescent="0.3">
      <c r="A223" s="174" t="s">
        <v>1038</v>
      </c>
      <c r="B223" s="175" t="s">
        <v>1318</v>
      </c>
      <c r="C223" s="175" t="s">
        <v>1039</v>
      </c>
      <c r="D223" s="175" t="s">
        <v>103</v>
      </c>
      <c r="E223" s="175" t="s">
        <v>61</v>
      </c>
      <c r="F223" s="175" t="s">
        <v>307</v>
      </c>
      <c r="G223" s="175">
        <v>58</v>
      </c>
      <c r="M223" s="175" t="s">
        <v>281</v>
      </c>
      <c r="N223" s="175" t="s">
        <v>294</v>
      </c>
    </row>
    <row r="224" spans="1:14" ht="15.75" x14ac:dyDescent="0.3">
      <c r="A224" s="174" t="s">
        <v>1164</v>
      </c>
      <c r="B224" s="175" t="s">
        <v>1318</v>
      </c>
      <c r="C224" s="175" t="s">
        <v>1165</v>
      </c>
      <c r="D224" s="175" t="s">
        <v>102</v>
      </c>
      <c r="E224" s="175" t="s">
        <v>61</v>
      </c>
      <c r="F224" s="175" t="s">
        <v>307</v>
      </c>
      <c r="G224" s="175">
        <v>50</v>
      </c>
      <c r="M224" s="175" t="s">
        <v>281</v>
      </c>
      <c r="N224" s="175" t="s">
        <v>294</v>
      </c>
    </row>
    <row r="225" spans="1:14" ht="15.75" x14ac:dyDescent="0.3">
      <c r="A225" s="174" t="s">
        <v>1175</v>
      </c>
      <c r="B225" s="175" t="s">
        <v>1318</v>
      </c>
      <c r="C225" s="175" t="s">
        <v>1176</v>
      </c>
      <c r="D225" s="175" t="s">
        <v>1177</v>
      </c>
      <c r="E225" s="175" t="s">
        <v>61</v>
      </c>
      <c r="F225" s="175" t="s">
        <v>945</v>
      </c>
      <c r="G225" s="175">
        <v>32</v>
      </c>
      <c r="M225" s="175" t="s">
        <v>281</v>
      </c>
      <c r="N225" s="175" t="s">
        <v>948</v>
      </c>
    </row>
    <row r="226" spans="1:14" ht="15.75" x14ac:dyDescent="0.3">
      <c r="A226" s="174" t="s">
        <v>1179</v>
      </c>
      <c r="B226" s="175" t="s">
        <v>1318</v>
      </c>
      <c r="C226" s="175" t="s">
        <v>1180</v>
      </c>
      <c r="D226" s="175" t="s">
        <v>119</v>
      </c>
      <c r="E226" s="175" t="s">
        <v>61</v>
      </c>
      <c r="F226" s="175" t="s">
        <v>1181</v>
      </c>
      <c r="G226" s="175">
        <v>34</v>
      </c>
      <c r="M226" s="175" t="s">
        <v>315</v>
      </c>
      <c r="N226" s="175" t="s">
        <v>355</v>
      </c>
    </row>
    <row r="227" spans="1:14" ht="15.75" x14ac:dyDescent="0.3">
      <c r="A227" s="174" t="s">
        <v>1183</v>
      </c>
      <c r="B227" s="175" t="s">
        <v>1318</v>
      </c>
      <c r="C227" s="175" t="s">
        <v>1184</v>
      </c>
      <c r="D227" s="175" t="s">
        <v>1185</v>
      </c>
      <c r="E227" s="175" t="s">
        <v>61</v>
      </c>
      <c r="F227" s="175" t="s">
        <v>1186</v>
      </c>
      <c r="G227" s="175">
        <v>41</v>
      </c>
      <c r="M227" s="175" t="s">
        <v>281</v>
      </c>
      <c r="N227" s="175" t="s">
        <v>355</v>
      </c>
    </row>
    <row r="228" spans="1:14" ht="15.75" x14ac:dyDescent="0.3">
      <c r="A228" s="174" t="s">
        <v>1188</v>
      </c>
      <c r="B228" s="175" t="s">
        <v>1318</v>
      </c>
      <c r="C228" s="175" t="s">
        <v>1189</v>
      </c>
      <c r="D228" s="175" t="s">
        <v>133</v>
      </c>
      <c r="E228" s="175" t="s">
        <v>63</v>
      </c>
      <c r="F228" s="175" t="s">
        <v>1190</v>
      </c>
      <c r="G228" s="175">
        <v>27</v>
      </c>
      <c r="M228" s="175" t="s">
        <v>281</v>
      </c>
      <c r="N228" s="175" t="s">
        <v>294</v>
      </c>
    </row>
    <row r="229" spans="1:14" ht="15.75" x14ac:dyDescent="0.3">
      <c r="A229" s="174" t="s">
        <v>1192</v>
      </c>
      <c r="B229" s="175" t="s">
        <v>1318</v>
      </c>
      <c r="C229" s="175" t="s">
        <v>1193</v>
      </c>
      <c r="D229" s="175" t="s">
        <v>344</v>
      </c>
      <c r="E229" s="175" t="s">
        <v>61</v>
      </c>
      <c r="F229" s="175" t="s">
        <v>1194</v>
      </c>
      <c r="G229" s="175">
        <v>41</v>
      </c>
      <c r="M229" s="175" t="s">
        <v>281</v>
      </c>
      <c r="N229" s="175" t="s">
        <v>294</v>
      </c>
    </row>
    <row r="230" spans="1:14" ht="15.75" x14ac:dyDescent="0.3">
      <c r="A230" s="174" t="s">
        <v>1196</v>
      </c>
      <c r="B230" s="175" t="s">
        <v>1318</v>
      </c>
      <c r="C230" s="175" t="s">
        <v>1197</v>
      </c>
      <c r="D230" s="175" t="s">
        <v>734</v>
      </c>
      <c r="E230" s="175" t="s">
        <v>61</v>
      </c>
      <c r="F230" s="175" t="s">
        <v>381</v>
      </c>
      <c r="G230" s="175">
        <v>59</v>
      </c>
      <c r="M230" s="175" t="s">
        <v>315</v>
      </c>
      <c r="N230" s="175" t="s">
        <v>355</v>
      </c>
    </row>
    <row r="231" spans="1:14" ht="15.75" x14ac:dyDescent="0.3">
      <c r="A231" s="174" t="s">
        <v>1199</v>
      </c>
      <c r="B231" s="175" t="s">
        <v>1318</v>
      </c>
      <c r="C231" s="175" t="s">
        <v>1200</v>
      </c>
      <c r="D231" s="175" t="s">
        <v>1201</v>
      </c>
      <c r="E231" s="175" t="s">
        <v>61</v>
      </c>
      <c r="F231" s="175" t="s">
        <v>1202</v>
      </c>
      <c r="G231" s="175">
        <v>28</v>
      </c>
      <c r="M231" s="175" t="s">
        <v>315</v>
      </c>
      <c r="N231" s="175" t="s">
        <v>355</v>
      </c>
    </row>
    <row r="232" spans="1:14" ht="15.75" x14ac:dyDescent="0.3">
      <c r="A232" s="174" t="s">
        <v>1206</v>
      </c>
      <c r="B232" s="175" t="s">
        <v>1318</v>
      </c>
      <c r="C232" s="175" t="s">
        <v>103</v>
      </c>
      <c r="D232" s="175" t="s">
        <v>128</v>
      </c>
      <c r="E232" s="175" t="s">
        <v>61</v>
      </c>
      <c r="F232" s="175" t="s">
        <v>1207</v>
      </c>
      <c r="G232" s="175">
        <v>23</v>
      </c>
      <c r="M232" s="175" t="s">
        <v>315</v>
      </c>
      <c r="N232" s="175" t="s">
        <v>355</v>
      </c>
    </row>
    <row r="233" spans="1:14" ht="15.75" x14ac:dyDescent="0.3">
      <c r="A233" s="174" t="s">
        <v>1209</v>
      </c>
      <c r="B233" s="175" t="s">
        <v>1318</v>
      </c>
      <c r="C233" s="175" t="s">
        <v>1210</v>
      </c>
      <c r="D233" s="175" t="s">
        <v>1211</v>
      </c>
      <c r="E233" s="175" t="s">
        <v>61</v>
      </c>
      <c r="F233" s="175" t="s">
        <v>1212</v>
      </c>
      <c r="G233" s="175">
        <v>26</v>
      </c>
      <c r="M233" s="175" t="s">
        <v>281</v>
      </c>
      <c r="N233" s="175" t="s">
        <v>294</v>
      </c>
    </row>
    <row r="234" spans="1:14" ht="15.75" x14ac:dyDescent="0.3">
      <c r="A234" s="174" t="s">
        <v>1214</v>
      </c>
      <c r="B234" s="175" t="s">
        <v>1318</v>
      </c>
      <c r="C234" s="175" t="s">
        <v>1215</v>
      </c>
      <c r="D234" s="175" t="s">
        <v>1216</v>
      </c>
      <c r="E234" s="175" t="s">
        <v>61</v>
      </c>
      <c r="F234" s="175" t="s">
        <v>300</v>
      </c>
      <c r="G234" s="175">
        <v>32</v>
      </c>
      <c r="M234" s="175" t="s">
        <v>281</v>
      </c>
      <c r="N234" s="175" t="s">
        <v>294</v>
      </c>
    </row>
    <row r="235" spans="1:14" ht="15.75" x14ac:dyDescent="0.3">
      <c r="A235" s="174" t="s">
        <v>1218</v>
      </c>
      <c r="B235" s="175" t="s">
        <v>1318</v>
      </c>
      <c r="C235" s="175" t="s">
        <v>100</v>
      </c>
      <c r="D235" s="175" t="s">
        <v>1219</v>
      </c>
      <c r="E235" s="175" t="s">
        <v>61</v>
      </c>
      <c r="F235" s="175" t="s">
        <v>1220</v>
      </c>
      <c r="G235" s="175">
        <v>34</v>
      </c>
      <c r="M235" s="175" t="s">
        <v>281</v>
      </c>
      <c r="N235" s="175" t="s">
        <v>294</v>
      </c>
    </row>
    <row r="236" spans="1:14" ht="15.75" x14ac:dyDescent="0.3">
      <c r="A236" s="174" t="s">
        <v>1222</v>
      </c>
      <c r="B236" s="175" t="s">
        <v>1318</v>
      </c>
      <c r="C236" s="175" t="s">
        <v>1223</v>
      </c>
      <c r="D236" s="175" t="s">
        <v>1224</v>
      </c>
      <c r="E236" s="175" t="s">
        <v>63</v>
      </c>
      <c r="F236" s="175" t="s">
        <v>653</v>
      </c>
      <c r="G236" s="175">
        <v>57</v>
      </c>
      <c r="M236" s="175" t="s">
        <v>315</v>
      </c>
      <c r="N236" s="175" t="s">
        <v>355</v>
      </c>
    </row>
    <row r="237" spans="1:14" ht="15.75" x14ac:dyDescent="0.3">
      <c r="A237" s="174" t="s">
        <v>1229</v>
      </c>
      <c r="B237" s="175" t="s">
        <v>1318</v>
      </c>
      <c r="C237" s="175" t="s">
        <v>1230</v>
      </c>
      <c r="D237" s="175" t="s">
        <v>105</v>
      </c>
      <c r="E237" s="175" t="s">
        <v>61</v>
      </c>
      <c r="F237" s="175" t="s">
        <v>1231</v>
      </c>
      <c r="G237" s="175">
        <v>21</v>
      </c>
      <c r="M237" s="175" t="s">
        <v>281</v>
      </c>
      <c r="N237" s="175" t="s">
        <v>294</v>
      </c>
    </row>
    <row r="238" spans="1:14" ht="15.75" x14ac:dyDescent="0.3">
      <c r="A238" s="174" t="s">
        <v>1236</v>
      </c>
      <c r="B238" s="175" t="s">
        <v>1318</v>
      </c>
      <c r="C238" s="175" t="s">
        <v>1237</v>
      </c>
      <c r="D238" s="175" t="s">
        <v>109</v>
      </c>
      <c r="E238" s="175" t="s">
        <v>61</v>
      </c>
      <c r="F238" s="175" t="s">
        <v>1238</v>
      </c>
      <c r="G238" s="175">
        <v>40</v>
      </c>
      <c r="M238" s="175" t="s">
        <v>281</v>
      </c>
      <c r="N238" s="175" t="s">
        <v>294</v>
      </c>
    </row>
    <row r="239" spans="1:14" ht="15.75" x14ac:dyDescent="0.3">
      <c r="A239" s="174" t="s">
        <v>1240</v>
      </c>
      <c r="B239" s="175" t="s">
        <v>1318</v>
      </c>
      <c r="C239" s="175" t="s">
        <v>1241</v>
      </c>
      <c r="D239" s="175" t="s">
        <v>1242</v>
      </c>
      <c r="E239" s="175" t="s">
        <v>61</v>
      </c>
      <c r="F239" s="175" t="s">
        <v>1243</v>
      </c>
      <c r="G239" s="175">
        <v>28</v>
      </c>
      <c r="M239" s="175" t="s">
        <v>315</v>
      </c>
      <c r="N239" s="175" t="s">
        <v>355</v>
      </c>
    </row>
    <row r="240" spans="1:14" ht="15.75" x14ac:dyDescent="0.3">
      <c r="A240" s="174" t="s">
        <v>1245</v>
      </c>
      <c r="B240" s="175" t="s">
        <v>1318</v>
      </c>
      <c r="C240" s="175" t="s">
        <v>1246</v>
      </c>
      <c r="D240" s="175" t="s">
        <v>100</v>
      </c>
      <c r="E240" s="175" t="s">
        <v>61</v>
      </c>
      <c r="F240" s="175" t="s">
        <v>373</v>
      </c>
      <c r="G240" s="175">
        <v>50</v>
      </c>
      <c r="M240" s="175" t="s">
        <v>281</v>
      </c>
      <c r="N240" s="175" t="s">
        <v>355</v>
      </c>
    </row>
    <row r="241" spans="1:14" ht="15.75" x14ac:dyDescent="0.3">
      <c r="A241" s="174" t="s">
        <v>1248</v>
      </c>
      <c r="B241" s="175" t="s">
        <v>1318</v>
      </c>
      <c r="C241" s="175" t="s">
        <v>1249</v>
      </c>
      <c r="D241" s="175" t="s">
        <v>1250</v>
      </c>
      <c r="E241" s="175" t="s">
        <v>61</v>
      </c>
      <c r="F241" s="175" t="s">
        <v>1251</v>
      </c>
      <c r="G241" s="175">
        <v>47</v>
      </c>
      <c r="M241" s="175" t="s">
        <v>315</v>
      </c>
      <c r="N241" s="175" t="s">
        <v>355</v>
      </c>
    </row>
    <row r="242" spans="1:14" ht="15.75" x14ac:dyDescent="0.3">
      <c r="A242" s="174" t="s">
        <v>1253</v>
      </c>
      <c r="B242" s="175" t="s">
        <v>1318</v>
      </c>
      <c r="C242" s="175" t="s">
        <v>1254</v>
      </c>
      <c r="D242" s="175" t="s">
        <v>125</v>
      </c>
      <c r="E242" s="175" t="s">
        <v>61</v>
      </c>
      <c r="F242" s="175" t="s">
        <v>1255</v>
      </c>
      <c r="G242" s="175">
        <v>25</v>
      </c>
      <c r="M242" s="175" t="s">
        <v>281</v>
      </c>
      <c r="N242" s="175" t="s">
        <v>948</v>
      </c>
    </row>
    <row r="243" spans="1:14" ht="15.75" x14ac:dyDescent="0.3">
      <c r="A243" s="174" t="s">
        <v>1257</v>
      </c>
      <c r="B243" s="175" t="s">
        <v>1318</v>
      </c>
      <c r="C243" s="175" t="s">
        <v>1258</v>
      </c>
      <c r="D243" s="175" t="s">
        <v>1259</v>
      </c>
      <c r="E243" s="175" t="s">
        <v>61</v>
      </c>
      <c r="F243" s="175" t="s">
        <v>300</v>
      </c>
      <c r="G243" s="175">
        <v>37</v>
      </c>
      <c r="M243" s="175" t="s">
        <v>281</v>
      </c>
      <c r="N243" s="175" t="s">
        <v>294</v>
      </c>
    </row>
    <row r="244" spans="1:14" ht="15.75" x14ac:dyDescent="0.3">
      <c r="A244" s="174" t="s">
        <v>1261</v>
      </c>
      <c r="B244" s="175" t="s">
        <v>1318</v>
      </c>
      <c r="C244" s="175" t="s">
        <v>1262</v>
      </c>
      <c r="D244" s="175" t="s">
        <v>1263</v>
      </c>
      <c r="E244" s="175" t="s">
        <v>61</v>
      </c>
      <c r="F244" s="175" t="s">
        <v>1264</v>
      </c>
      <c r="G244" s="175">
        <v>25</v>
      </c>
      <c r="M244" s="175" t="s">
        <v>315</v>
      </c>
      <c r="N244" s="175" t="s">
        <v>294</v>
      </c>
    </row>
    <row r="245" spans="1:14" ht="15.75" x14ac:dyDescent="0.3">
      <c r="A245" s="174" t="s">
        <v>1266</v>
      </c>
      <c r="B245" s="175" t="s">
        <v>1318</v>
      </c>
      <c r="C245" s="175" t="s">
        <v>1267</v>
      </c>
      <c r="D245" s="175" t="s">
        <v>104</v>
      </c>
      <c r="E245" s="175" t="s">
        <v>61</v>
      </c>
      <c r="F245" s="175" t="s">
        <v>1268</v>
      </c>
      <c r="G245" s="175">
        <v>26</v>
      </c>
      <c r="M245" s="175" t="s">
        <v>315</v>
      </c>
      <c r="N245" s="175" t="s">
        <v>355</v>
      </c>
    </row>
    <row r="246" spans="1:14" ht="15.75" x14ac:dyDescent="0.3">
      <c r="A246" s="174" t="s">
        <v>1272</v>
      </c>
      <c r="B246" s="175" t="s">
        <v>1318</v>
      </c>
      <c r="C246" s="175" t="s">
        <v>1273</v>
      </c>
      <c r="D246" s="175" t="s">
        <v>1211</v>
      </c>
      <c r="E246" s="175" t="s">
        <v>61</v>
      </c>
      <c r="F246" s="175" t="s">
        <v>930</v>
      </c>
      <c r="G246" s="175">
        <v>26</v>
      </c>
      <c r="M246" s="175" t="s">
        <v>281</v>
      </c>
      <c r="N246" s="175" t="s">
        <v>294</v>
      </c>
    </row>
    <row r="247" spans="1:14" ht="15.75" x14ac:dyDescent="0.3">
      <c r="A247" s="174" t="s">
        <v>1275</v>
      </c>
      <c r="B247" s="175" t="s">
        <v>1318</v>
      </c>
      <c r="C247" s="175" t="s">
        <v>1276</v>
      </c>
      <c r="D247" s="175" t="s">
        <v>110</v>
      </c>
      <c r="E247" s="175" t="s">
        <v>61</v>
      </c>
      <c r="F247" s="175" t="s">
        <v>1277</v>
      </c>
      <c r="G247" s="175">
        <v>49</v>
      </c>
      <c r="M247" s="175" t="s">
        <v>281</v>
      </c>
      <c r="N247" s="175" t="s">
        <v>355</v>
      </c>
    </row>
    <row r="248" spans="1:14" ht="15.75" x14ac:dyDescent="0.3">
      <c r="A248" s="174" t="s">
        <v>1279</v>
      </c>
      <c r="B248" s="175" t="s">
        <v>1318</v>
      </c>
      <c r="C248" s="175" t="s">
        <v>1280</v>
      </c>
      <c r="D248" s="175" t="s">
        <v>1281</v>
      </c>
      <c r="E248" s="175" t="s">
        <v>61</v>
      </c>
      <c r="F248" s="175" t="s">
        <v>925</v>
      </c>
      <c r="G248" s="175">
        <v>38</v>
      </c>
      <c r="M248" s="175" t="s">
        <v>281</v>
      </c>
      <c r="N248" s="175" t="s">
        <v>294</v>
      </c>
    </row>
    <row r="249" spans="1:14" ht="15.75" x14ac:dyDescent="0.3">
      <c r="A249" s="174" t="s">
        <v>1283</v>
      </c>
      <c r="B249" s="175" t="s">
        <v>1318</v>
      </c>
      <c r="C249" s="175" t="s">
        <v>1284</v>
      </c>
      <c r="D249" s="175" t="s">
        <v>478</v>
      </c>
      <c r="E249" s="175" t="s">
        <v>61</v>
      </c>
      <c r="F249" s="175" t="s">
        <v>1285</v>
      </c>
      <c r="G249" s="175">
        <v>31</v>
      </c>
      <c r="M249" s="175" t="s">
        <v>281</v>
      </c>
      <c r="N249" s="175" t="s">
        <v>294</v>
      </c>
    </row>
    <row r="250" spans="1:14" ht="15.75" x14ac:dyDescent="0.3">
      <c r="A250" s="174" t="s">
        <v>1292</v>
      </c>
      <c r="B250" s="175" t="s">
        <v>1318</v>
      </c>
      <c r="C250" s="175" t="s">
        <v>294</v>
      </c>
      <c r="D250" s="175" t="s">
        <v>295</v>
      </c>
      <c r="E250" s="175" t="s">
        <v>61</v>
      </c>
      <c r="F250" s="175" t="s">
        <v>901</v>
      </c>
      <c r="G250" s="175">
        <v>39</v>
      </c>
      <c r="M250" s="175" t="s">
        <v>315</v>
      </c>
      <c r="N250" s="175" t="s">
        <v>355</v>
      </c>
    </row>
    <row r="251" spans="1:14" ht="15.75" x14ac:dyDescent="0.3">
      <c r="A251" s="174" t="s">
        <v>1312</v>
      </c>
      <c r="B251" s="175" t="s">
        <v>1318</v>
      </c>
      <c r="C251" s="175" t="s">
        <v>1313</v>
      </c>
      <c r="D251" s="175" t="s">
        <v>1314</v>
      </c>
      <c r="E251" s="175" t="s">
        <v>61</v>
      </c>
      <c r="F251" s="175" t="s">
        <v>930</v>
      </c>
      <c r="G251" s="175">
        <v>43</v>
      </c>
      <c r="M251" s="175" t="s">
        <v>281</v>
      </c>
      <c r="N251" s="175" t="s">
        <v>294</v>
      </c>
    </row>
  </sheetData>
  <sortState ref="V2:V251">
    <sortCondition ref="V2:V251"/>
  </sortState>
  <mergeCells count="2">
    <mergeCell ref="Q1:R1"/>
    <mergeCell ref="S1:T1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237"/>
  <sheetViews>
    <sheetView topLeftCell="A2" zoomScale="64" zoomScaleNormal="64" workbookViewId="0">
      <selection activeCell="A2" sqref="A2:A237"/>
    </sheetView>
  </sheetViews>
  <sheetFormatPr baseColWidth="10" defaultColWidth="13.7109375" defaultRowHeight="12.75" x14ac:dyDescent="0.2"/>
  <cols>
    <col min="1" max="1" width="31.28515625" style="173" customWidth="1"/>
    <col min="2" max="2" width="13.7109375" style="173"/>
    <col min="3" max="3" width="14.28515625" style="173" customWidth="1"/>
    <col min="4" max="4" width="22.5703125" style="173" customWidth="1"/>
    <col min="5" max="5" width="24.140625" style="173" customWidth="1"/>
    <col min="6" max="6" width="56" style="173" customWidth="1"/>
    <col min="7" max="7" width="48.7109375" style="173" customWidth="1"/>
    <col min="8" max="8" width="39.7109375" style="173" customWidth="1"/>
    <col min="9" max="9" width="14" style="173" customWidth="1"/>
    <col min="10" max="10" width="36" style="173" bestFit="1" customWidth="1"/>
    <col min="11" max="11" width="34.42578125" style="173" customWidth="1"/>
    <col min="12" max="12" width="19.140625" style="173" customWidth="1"/>
    <col min="13" max="13" width="34.140625" style="173" customWidth="1"/>
    <col min="14" max="14" width="31.42578125" style="173" customWidth="1"/>
    <col min="15" max="15" width="13.7109375" style="173"/>
    <col min="16" max="16" width="13.7109375" style="173" customWidth="1"/>
    <col min="17" max="18" width="28.140625" style="173" customWidth="1"/>
    <col min="19" max="19" width="34.140625" style="173" customWidth="1"/>
    <col min="20" max="20" width="32.42578125" style="173" customWidth="1"/>
    <col min="21" max="16384" width="13.7109375" style="173"/>
  </cols>
  <sheetData>
    <row r="1" spans="1:20" x14ac:dyDescent="0.2">
      <c r="A1" s="173" t="s">
        <v>261</v>
      </c>
      <c r="B1" s="173" t="s">
        <v>57</v>
      </c>
      <c r="C1" s="173" t="s">
        <v>56</v>
      </c>
      <c r="D1" s="173" t="s">
        <v>262</v>
      </c>
      <c r="E1" s="173" t="s">
        <v>263</v>
      </c>
      <c r="F1" s="173" t="s">
        <v>264</v>
      </c>
      <c r="G1" s="173" t="s">
        <v>265</v>
      </c>
      <c r="H1" s="173" t="s">
        <v>266</v>
      </c>
      <c r="I1" s="173" t="s">
        <v>267</v>
      </c>
      <c r="J1" s="173" t="s">
        <v>268</v>
      </c>
      <c r="K1" s="173" t="s">
        <v>269</v>
      </c>
      <c r="L1" s="173" t="s">
        <v>270</v>
      </c>
      <c r="M1" s="173" t="s">
        <v>271</v>
      </c>
      <c r="N1" s="173" t="s">
        <v>272</v>
      </c>
      <c r="O1" s="173" t="s">
        <v>22</v>
      </c>
      <c r="P1" s="173" t="s">
        <v>1501</v>
      </c>
      <c r="Q1" s="173" t="s">
        <v>273</v>
      </c>
      <c r="R1" s="173" t="s">
        <v>274</v>
      </c>
      <c r="S1" s="173" t="s">
        <v>275</v>
      </c>
      <c r="T1" s="173" t="s">
        <v>276</v>
      </c>
    </row>
    <row r="2" spans="1:20" ht="15" x14ac:dyDescent="0.3">
      <c r="A2" s="175" t="s">
        <v>278</v>
      </c>
      <c r="B2" s="175" t="s">
        <v>1350</v>
      </c>
      <c r="C2" s="174">
        <v>102933</v>
      </c>
      <c r="D2" s="175" t="s">
        <v>280</v>
      </c>
      <c r="E2" s="175" t="s">
        <v>1316</v>
      </c>
      <c r="F2" s="175">
        <v>11</v>
      </c>
      <c r="G2" s="175" t="s">
        <v>281</v>
      </c>
      <c r="H2" s="175" t="s">
        <v>282</v>
      </c>
      <c r="I2" s="175" t="s">
        <v>283</v>
      </c>
      <c r="J2" s="175" t="s">
        <v>284</v>
      </c>
      <c r="K2" s="175" t="s">
        <v>285</v>
      </c>
      <c r="L2" s="175" t="s">
        <v>286</v>
      </c>
      <c r="M2" s="175" t="s">
        <v>287</v>
      </c>
      <c r="N2" s="176">
        <v>39052</v>
      </c>
      <c r="O2" s="175">
        <v>47</v>
      </c>
      <c r="P2" s="175" t="s">
        <v>61</v>
      </c>
      <c r="Q2" s="174" t="s">
        <v>288</v>
      </c>
      <c r="R2" s="175">
        <v>215</v>
      </c>
      <c r="S2" s="175" t="s">
        <v>289</v>
      </c>
      <c r="T2" s="175" t="s">
        <v>290</v>
      </c>
    </row>
    <row r="3" spans="1:20" s="175" customFormat="1" ht="15" x14ac:dyDescent="0.3">
      <c r="A3" s="175" t="s">
        <v>311</v>
      </c>
      <c r="B3" s="175" t="s">
        <v>1351</v>
      </c>
      <c r="C3" s="174">
        <v>10521382</v>
      </c>
      <c r="D3" s="175" t="s">
        <v>313</v>
      </c>
      <c r="E3" s="175" t="s">
        <v>1316</v>
      </c>
      <c r="F3" s="175">
        <v>2</v>
      </c>
      <c r="G3" s="175" t="s">
        <v>315</v>
      </c>
      <c r="H3" s="175" t="s">
        <v>282</v>
      </c>
      <c r="I3" s="175" t="s">
        <v>316</v>
      </c>
      <c r="J3" s="175" t="s">
        <v>317</v>
      </c>
      <c r="K3" s="175" t="s">
        <v>318</v>
      </c>
      <c r="L3" s="175" t="s">
        <v>319</v>
      </c>
      <c r="M3" s="175" t="s">
        <v>320</v>
      </c>
      <c r="N3" s="176">
        <v>42618</v>
      </c>
      <c r="O3" s="175">
        <v>24</v>
      </c>
      <c r="P3" s="175" t="s">
        <v>61</v>
      </c>
      <c r="Q3" s="174" t="s">
        <v>321</v>
      </c>
      <c r="T3" s="175" t="s">
        <v>322</v>
      </c>
    </row>
    <row r="4" spans="1:20" s="175" customFormat="1" ht="15" x14ac:dyDescent="0.3">
      <c r="A4" s="175" t="s">
        <v>280</v>
      </c>
      <c r="B4" s="175" t="s">
        <v>1352</v>
      </c>
      <c r="C4" s="174">
        <v>103045</v>
      </c>
      <c r="D4" s="175" t="s">
        <v>343</v>
      </c>
      <c r="E4" s="175" t="s">
        <v>1316</v>
      </c>
      <c r="F4" s="175">
        <v>28</v>
      </c>
      <c r="G4" s="175" t="s">
        <v>315</v>
      </c>
      <c r="H4" s="175" t="s">
        <v>282</v>
      </c>
      <c r="I4" s="175" t="s">
        <v>345</v>
      </c>
      <c r="J4" s="175" t="s">
        <v>346</v>
      </c>
      <c r="K4" s="175" t="s">
        <v>347</v>
      </c>
      <c r="L4" s="175" t="s">
        <v>348</v>
      </c>
      <c r="M4" s="175" t="s">
        <v>349</v>
      </c>
      <c r="N4" s="176">
        <v>32944</v>
      </c>
      <c r="O4" s="175">
        <v>51</v>
      </c>
      <c r="P4" s="175" t="s">
        <v>61</v>
      </c>
      <c r="Q4" s="174" t="s">
        <v>350</v>
      </c>
      <c r="R4" s="175">
        <v>365</v>
      </c>
      <c r="S4" s="175" t="s">
        <v>351</v>
      </c>
      <c r="T4" s="175" t="s">
        <v>352</v>
      </c>
    </row>
    <row r="5" spans="1:20" s="175" customFormat="1" ht="15" x14ac:dyDescent="0.3">
      <c r="A5" s="175" t="s">
        <v>292</v>
      </c>
      <c r="B5" s="175" t="s">
        <v>1353</v>
      </c>
      <c r="C5" s="174">
        <v>104634</v>
      </c>
      <c r="D5" s="175" t="s">
        <v>294</v>
      </c>
      <c r="E5" s="175" t="s">
        <v>1318</v>
      </c>
      <c r="F5" s="175">
        <v>10</v>
      </c>
      <c r="G5" s="175" t="s">
        <v>281</v>
      </c>
      <c r="H5" s="175" t="s">
        <v>296</v>
      </c>
      <c r="I5" s="175" t="s">
        <v>297</v>
      </c>
      <c r="J5" s="175" t="s">
        <v>298</v>
      </c>
      <c r="K5" s="175" t="s">
        <v>299</v>
      </c>
      <c r="L5" s="175" t="s">
        <v>300</v>
      </c>
      <c r="M5" s="175" t="s">
        <v>287</v>
      </c>
      <c r="N5" s="176">
        <v>39448</v>
      </c>
      <c r="O5" s="175">
        <v>41</v>
      </c>
      <c r="P5" s="175" t="s">
        <v>61</v>
      </c>
      <c r="Q5" s="174" t="s">
        <v>301</v>
      </c>
      <c r="R5" s="175">
        <v>240</v>
      </c>
      <c r="S5" s="175" t="s">
        <v>302</v>
      </c>
      <c r="T5" s="175" t="s">
        <v>303</v>
      </c>
    </row>
    <row r="6" spans="1:20" s="175" customFormat="1" ht="15" x14ac:dyDescent="0.3">
      <c r="A6" s="175" t="s">
        <v>305</v>
      </c>
      <c r="B6" s="175" t="s">
        <v>1100</v>
      </c>
      <c r="C6" s="174">
        <v>104692</v>
      </c>
      <c r="D6" s="175" t="s">
        <v>294</v>
      </c>
      <c r="E6" s="175" t="s">
        <v>1318</v>
      </c>
      <c r="F6" s="175">
        <v>10</v>
      </c>
      <c r="G6" s="175" t="s">
        <v>281</v>
      </c>
      <c r="H6" s="175" t="s">
        <v>296</v>
      </c>
      <c r="I6" s="175" t="s">
        <v>283</v>
      </c>
      <c r="J6" s="175" t="s">
        <v>284</v>
      </c>
      <c r="K6" s="175" t="s">
        <v>285</v>
      </c>
      <c r="L6" s="175" t="s">
        <v>307</v>
      </c>
      <c r="M6" s="175" t="s">
        <v>287</v>
      </c>
      <c r="N6" s="176">
        <v>39448</v>
      </c>
      <c r="O6" s="177">
        <v>57</v>
      </c>
      <c r="P6" s="175" t="s">
        <v>61</v>
      </c>
      <c r="Q6" s="174" t="s">
        <v>308</v>
      </c>
      <c r="R6" s="175">
        <v>190</v>
      </c>
      <c r="S6" s="175" t="s">
        <v>309</v>
      </c>
      <c r="T6" s="175" t="s">
        <v>290</v>
      </c>
    </row>
    <row r="7" spans="1:20" s="175" customFormat="1" ht="15" x14ac:dyDescent="0.3">
      <c r="A7" s="175" t="s">
        <v>1329</v>
      </c>
      <c r="B7" s="175" t="s">
        <v>1354</v>
      </c>
      <c r="C7" s="174">
        <v>102936</v>
      </c>
      <c r="D7" s="175" t="s">
        <v>364</v>
      </c>
      <c r="E7" s="175" t="s">
        <v>1316</v>
      </c>
      <c r="F7" s="175">
        <v>12</v>
      </c>
      <c r="G7" s="175" t="s">
        <v>281</v>
      </c>
      <c r="H7" s="175" t="s">
        <v>282</v>
      </c>
      <c r="I7" s="175" t="s">
        <v>357</v>
      </c>
      <c r="J7" s="175" t="s">
        <v>358</v>
      </c>
      <c r="K7" s="175" t="s">
        <v>285</v>
      </c>
      <c r="L7" s="175" t="s">
        <v>366</v>
      </c>
      <c r="M7" s="175" t="s">
        <v>287</v>
      </c>
      <c r="N7" s="176">
        <v>38733</v>
      </c>
      <c r="O7" s="175">
        <v>43</v>
      </c>
      <c r="P7" s="175" t="s">
        <v>61</v>
      </c>
      <c r="Q7" s="174" t="s">
        <v>367</v>
      </c>
      <c r="R7" s="175">
        <v>215</v>
      </c>
      <c r="S7" s="175" t="s">
        <v>289</v>
      </c>
      <c r="T7" s="175" t="s">
        <v>330</v>
      </c>
    </row>
    <row r="8" spans="1:20" s="175" customFormat="1" ht="15" x14ac:dyDescent="0.3">
      <c r="A8" s="175" t="s">
        <v>1330</v>
      </c>
      <c r="B8" s="175" t="s">
        <v>1355</v>
      </c>
      <c r="C8" s="174">
        <v>103038</v>
      </c>
      <c r="D8" s="175" t="s">
        <v>313</v>
      </c>
      <c r="E8" s="175" t="s">
        <v>1316</v>
      </c>
      <c r="F8" s="175">
        <v>32</v>
      </c>
      <c r="G8" s="175" t="s">
        <v>281</v>
      </c>
      <c r="H8" s="175" t="s">
        <v>282</v>
      </c>
      <c r="I8" s="175" t="s">
        <v>370</v>
      </c>
      <c r="J8" s="175" t="s">
        <v>371</v>
      </c>
      <c r="K8" s="175" t="s">
        <v>372</v>
      </c>
      <c r="L8" s="175" t="s">
        <v>373</v>
      </c>
      <c r="M8" s="175" t="s">
        <v>287</v>
      </c>
      <c r="N8" s="176">
        <v>31503</v>
      </c>
      <c r="O8" s="175">
        <v>52</v>
      </c>
      <c r="P8" s="175" t="s">
        <v>61</v>
      </c>
      <c r="Q8" s="174" t="s">
        <v>374</v>
      </c>
      <c r="R8" s="175">
        <v>240</v>
      </c>
      <c r="S8" s="175" t="s">
        <v>302</v>
      </c>
      <c r="T8" s="175" t="s">
        <v>375</v>
      </c>
    </row>
    <row r="9" spans="1:20" s="175" customFormat="1" ht="15" x14ac:dyDescent="0.3">
      <c r="A9" s="175" t="s">
        <v>377</v>
      </c>
      <c r="B9" s="175" t="s">
        <v>234</v>
      </c>
      <c r="C9" s="174">
        <v>103021</v>
      </c>
      <c r="D9" s="175" t="s">
        <v>379</v>
      </c>
      <c r="E9" s="175" t="s">
        <v>1316</v>
      </c>
      <c r="F9" s="175">
        <v>27</v>
      </c>
      <c r="G9" s="175" t="s">
        <v>315</v>
      </c>
      <c r="H9" s="175" t="s">
        <v>282</v>
      </c>
      <c r="I9" s="175" t="s">
        <v>380</v>
      </c>
      <c r="J9" s="175" t="s">
        <v>381</v>
      </c>
      <c r="K9" s="175" t="s">
        <v>382</v>
      </c>
      <c r="L9" s="175" t="s">
        <v>383</v>
      </c>
      <c r="M9" s="175" t="s">
        <v>384</v>
      </c>
      <c r="N9" s="176">
        <v>33266</v>
      </c>
      <c r="O9" s="175">
        <v>56</v>
      </c>
      <c r="P9" s="175" t="s">
        <v>61</v>
      </c>
      <c r="Q9" s="174" t="s">
        <v>385</v>
      </c>
      <c r="R9" s="175">
        <v>305</v>
      </c>
      <c r="S9" s="175" t="s">
        <v>386</v>
      </c>
      <c r="T9" s="175" t="s">
        <v>387</v>
      </c>
    </row>
    <row r="10" spans="1:20" s="175" customFormat="1" ht="15" x14ac:dyDescent="0.3">
      <c r="A10" s="175" t="s">
        <v>389</v>
      </c>
      <c r="B10" s="175" t="s">
        <v>1356</v>
      </c>
      <c r="C10" s="174">
        <v>103070</v>
      </c>
      <c r="D10" s="175" t="s">
        <v>364</v>
      </c>
      <c r="E10" s="175" t="s">
        <v>1316</v>
      </c>
      <c r="F10" s="175">
        <v>35</v>
      </c>
      <c r="G10" s="175" t="s">
        <v>281</v>
      </c>
      <c r="H10" s="175" t="s">
        <v>282</v>
      </c>
      <c r="I10" s="175" t="s">
        <v>283</v>
      </c>
      <c r="J10" s="175" t="s">
        <v>284</v>
      </c>
      <c r="K10" s="175" t="s">
        <v>285</v>
      </c>
      <c r="L10" s="175" t="s">
        <v>391</v>
      </c>
      <c r="M10" s="175" t="s">
        <v>287</v>
      </c>
      <c r="N10" s="176">
        <v>30518</v>
      </c>
      <c r="O10" s="175">
        <v>55</v>
      </c>
      <c r="P10" s="175" t="s">
        <v>61</v>
      </c>
      <c r="Q10" s="174" t="s">
        <v>392</v>
      </c>
      <c r="R10" s="175">
        <v>190</v>
      </c>
      <c r="S10" s="175" t="s">
        <v>309</v>
      </c>
      <c r="T10" s="175" t="s">
        <v>393</v>
      </c>
    </row>
    <row r="11" spans="1:20" s="175" customFormat="1" ht="15" x14ac:dyDescent="0.3">
      <c r="A11" s="175" t="s">
        <v>1071</v>
      </c>
      <c r="B11" s="175" t="s">
        <v>1043</v>
      </c>
      <c r="C11" s="174">
        <v>191283</v>
      </c>
      <c r="D11" s="175" t="s">
        <v>326</v>
      </c>
      <c r="E11" s="175" t="s">
        <v>1317</v>
      </c>
      <c r="F11" s="175">
        <v>10</v>
      </c>
      <c r="G11" s="175" t="s">
        <v>281</v>
      </c>
      <c r="H11" s="175" t="s">
        <v>327</v>
      </c>
      <c r="I11" s="175" t="s">
        <v>283</v>
      </c>
      <c r="J11" s="175" t="s">
        <v>284</v>
      </c>
      <c r="K11" s="175" t="s">
        <v>285</v>
      </c>
      <c r="L11" s="175" t="s">
        <v>328</v>
      </c>
      <c r="M11" s="175" t="s">
        <v>287</v>
      </c>
      <c r="N11" s="176">
        <v>39417</v>
      </c>
      <c r="O11" s="175">
        <v>52</v>
      </c>
      <c r="P11" s="175" t="s">
        <v>61</v>
      </c>
      <c r="Q11" s="174" t="s">
        <v>1072</v>
      </c>
      <c r="R11" s="175">
        <v>240</v>
      </c>
      <c r="S11" s="175" t="s">
        <v>302</v>
      </c>
      <c r="T11" s="175" t="s">
        <v>330</v>
      </c>
    </row>
    <row r="12" spans="1:20" s="175" customFormat="1" ht="15" x14ac:dyDescent="0.3">
      <c r="A12" s="175" t="s">
        <v>395</v>
      </c>
      <c r="B12" s="175" t="s">
        <v>1354</v>
      </c>
      <c r="C12" s="174">
        <v>102998</v>
      </c>
      <c r="D12" s="175" t="s">
        <v>256</v>
      </c>
      <c r="E12" s="175" t="s">
        <v>1316</v>
      </c>
      <c r="F12" s="175">
        <v>23</v>
      </c>
      <c r="G12" s="175" t="s">
        <v>315</v>
      </c>
      <c r="H12" s="175" t="s">
        <v>282</v>
      </c>
      <c r="I12" s="175" t="s">
        <v>397</v>
      </c>
      <c r="J12" s="175" t="s">
        <v>398</v>
      </c>
      <c r="K12" s="175" t="s">
        <v>399</v>
      </c>
      <c r="L12" s="175" t="s">
        <v>400</v>
      </c>
      <c r="M12" s="175" t="s">
        <v>349</v>
      </c>
      <c r="N12" s="176">
        <v>34820</v>
      </c>
      <c r="O12" s="175">
        <v>47</v>
      </c>
      <c r="P12" s="175" t="s">
        <v>61</v>
      </c>
      <c r="Q12" s="174" t="s">
        <v>401</v>
      </c>
      <c r="R12" s="175">
        <v>365</v>
      </c>
      <c r="S12" s="175" t="s">
        <v>351</v>
      </c>
      <c r="T12" s="175" t="s">
        <v>352</v>
      </c>
    </row>
    <row r="13" spans="1:20" s="175" customFormat="1" ht="15" x14ac:dyDescent="0.3">
      <c r="A13" s="175" t="s">
        <v>403</v>
      </c>
      <c r="B13" s="175" t="s">
        <v>1357</v>
      </c>
      <c r="C13" s="174">
        <v>103009</v>
      </c>
      <c r="D13" s="175" t="s">
        <v>280</v>
      </c>
      <c r="E13" s="175" t="s">
        <v>1316</v>
      </c>
      <c r="F13" s="175">
        <v>11</v>
      </c>
      <c r="G13" s="175" t="s">
        <v>281</v>
      </c>
      <c r="H13" s="175" t="s">
        <v>282</v>
      </c>
      <c r="I13" s="175" t="s">
        <v>283</v>
      </c>
      <c r="J13" s="175" t="s">
        <v>284</v>
      </c>
      <c r="K13" s="175" t="s">
        <v>285</v>
      </c>
      <c r="L13" s="175" t="s">
        <v>391</v>
      </c>
      <c r="M13" s="175" t="s">
        <v>287</v>
      </c>
      <c r="N13" s="176">
        <v>39326</v>
      </c>
      <c r="O13" s="175">
        <v>51</v>
      </c>
      <c r="P13" s="175" t="s">
        <v>61</v>
      </c>
      <c r="Q13" s="174" t="s">
        <v>404</v>
      </c>
      <c r="R13" s="175">
        <v>170</v>
      </c>
      <c r="S13" s="175" t="s">
        <v>405</v>
      </c>
      <c r="T13" s="175" t="s">
        <v>393</v>
      </c>
    </row>
    <row r="14" spans="1:20" s="175" customFormat="1" ht="15" x14ac:dyDescent="0.3">
      <c r="A14" s="175" t="s">
        <v>354</v>
      </c>
      <c r="B14" s="175" t="s">
        <v>1358</v>
      </c>
      <c r="C14" s="174">
        <v>104640</v>
      </c>
      <c r="D14" s="175" t="s">
        <v>355</v>
      </c>
      <c r="E14" s="175" t="s">
        <v>1318</v>
      </c>
      <c r="F14" s="175">
        <v>10</v>
      </c>
      <c r="G14" s="175" t="s">
        <v>281</v>
      </c>
      <c r="H14" s="175" t="s">
        <v>296</v>
      </c>
      <c r="I14" s="175" t="s">
        <v>357</v>
      </c>
      <c r="J14" s="175" t="s">
        <v>358</v>
      </c>
      <c r="K14" s="175" t="s">
        <v>285</v>
      </c>
      <c r="L14" s="175" t="s">
        <v>359</v>
      </c>
      <c r="M14" s="175" t="s">
        <v>287</v>
      </c>
      <c r="N14" s="176">
        <v>39448</v>
      </c>
      <c r="O14" s="177">
        <v>57</v>
      </c>
      <c r="P14" s="175" t="s">
        <v>61</v>
      </c>
      <c r="Q14" s="174" t="s">
        <v>360</v>
      </c>
      <c r="R14" s="175">
        <v>225</v>
      </c>
      <c r="S14" s="175" t="s">
        <v>361</v>
      </c>
      <c r="T14" s="175" t="s">
        <v>290</v>
      </c>
    </row>
    <row r="15" spans="1:20" s="175" customFormat="1" ht="15" x14ac:dyDescent="0.3">
      <c r="A15" s="175" t="s">
        <v>917</v>
      </c>
      <c r="B15" s="175" t="s">
        <v>1359</v>
      </c>
      <c r="C15" s="174">
        <v>104628</v>
      </c>
      <c r="D15" s="175" t="s">
        <v>294</v>
      </c>
      <c r="E15" s="175" t="s">
        <v>1318</v>
      </c>
      <c r="F15" s="175">
        <v>10</v>
      </c>
      <c r="G15" s="175" t="s">
        <v>281</v>
      </c>
      <c r="H15" s="175" t="s">
        <v>296</v>
      </c>
      <c r="I15" s="175" t="s">
        <v>297</v>
      </c>
      <c r="J15" s="175" t="s">
        <v>298</v>
      </c>
      <c r="K15" s="175" t="s">
        <v>299</v>
      </c>
      <c r="L15" s="175" t="s">
        <v>300</v>
      </c>
      <c r="M15" s="175" t="s">
        <v>287</v>
      </c>
      <c r="N15" s="176">
        <v>39448</v>
      </c>
      <c r="O15" s="175">
        <v>45</v>
      </c>
      <c r="P15" s="175" t="s">
        <v>61</v>
      </c>
      <c r="Q15" s="174" t="s">
        <v>918</v>
      </c>
      <c r="R15" s="175">
        <v>255</v>
      </c>
      <c r="S15" s="175" t="s">
        <v>445</v>
      </c>
      <c r="T15" s="175" t="s">
        <v>303</v>
      </c>
    </row>
    <row r="16" spans="1:20" s="175" customFormat="1" ht="15" x14ac:dyDescent="0.3">
      <c r="A16" s="175" t="s">
        <v>407</v>
      </c>
      <c r="B16" s="175" t="s">
        <v>1360</v>
      </c>
      <c r="C16" s="174">
        <v>104383</v>
      </c>
      <c r="D16" s="175" t="s">
        <v>409</v>
      </c>
      <c r="E16" s="175" t="s">
        <v>1316</v>
      </c>
      <c r="F16" s="175">
        <v>10</v>
      </c>
      <c r="G16" s="175" t="s">
        <v>281</v>
      </c>
      <c r="H16" s="175" t="s">
        <v>282</v>
      </c>
      <c r="I16" s="175" t="s">
        <v>283</v>
      </c>
      <c r="J16" s="175" t="s">
        <v>284</v>
      </c>
      <c r="K16" s="175" t="s">
        <v>285</v>
      </c>
      <c r="L16" s="175" t="s">
        <v>286</v>
      </c>
      <c r="M16" s="175" t="s">
        <v>287</v>
      </c>
      <c r="N16" s="176">
        <v>39412</v>
      </c>
      <c r="O16" s="175">
        <v>37</v>
      </c>
      <c r="P16" s="175" t="s">
        <v>61</v>
      </c>
      <c r="Q16" s="174" t="s">
        <v>411</v>
      </c>
      <c r="R16" s="175">
        <v>190</v>
      </c>
      <c r="S16" s="175" t="s">
        <v>309</v>
      </c>
      <c r="T16" s="175" t="s">
        <v>290</v>
      </c>
    </row>
    <row r="17" spans="1:20" s="175" customFormat="1" ht="15" x14ac:dyDescent="0.3">
      <c r="A17" s="175" t="s">
        <v>1172</v>
      </c>
      <c r="B17" s="175" t="s">
        <v>1361</v>
      </c>
      <c r="C17" s="174">
        <v>240339</v>
      </c>
      <c r="D17" s="175" t="s">
        <v>332</v>
      </c>
      <c r="E17" s="175" t="s">
        <v>1317</v>
      </c>
      <c r="F17" s="175">
        <v>6</v>
      </c>
      <c r="G17" s="175" t="s">
        <v>281</v>
      </c>
      <c r="H17" s="175" t="s">
        <v>327</v>
      </c>
      <c r="I17" s="175" t="s">
        <v>370</v>
      </c>
      <c r="J17" s="175" t="s">
        <v>371</v>
      </c>
      <c r="K17" s="175" t="s">
        <v>372</v>
      </c>
      <c r="L17" s="175" t="s">
        <v>373</v>
      </c>
      <c r="M17" s="175" t="s">
        <v>384</v>
      </c>
      <c r="N17" s="176">
        <v>41061</v>
      </c>
      <c r="O17" s="175">
        <v>53</v>
      </c>
      <c r="P17" s="175" t="s">
        <v>61</v>
      </c>
      <c r="Q17" s="174" t="s">
        <v>1174</v>
      </c>
      <c r="R17" s="175">
        <v>285</v>
      </c>
      <c r="S17" s="175" t="s">
        <v>572</v>
      </c>
      <c r="T17" s="175" t="s">
        <v>375</v>
      </c>
    </row>
    <row r="18" spans="1:20" s="175" customFormat="1" ht="15" x14ac:dyDescent="0.3">
      <c r="A18" s="175" t="s">
        <v>413</v>
      </c>
      <c r="B18" s="175" t="s">
        <v>1362</v>
      </c>
      <c r="C18" s="174">
        <v>102944</v>
      </c>
      <c r="D18" s="175" t="s">
        <v>364</v>
      </c>
      <c r="E18" s="175" t="s">
        <v>1316</v>
      </c>
      <c r="F18" s="175">
        <v>12</v>
      </c>
      <c r="G18" s="175" t="s">
        <v>281</v>
      </c>
      <c r="H18" s="175" t="s">
        <v>282</v>
      </c>
      <c r="I18" s="175" t="s">
        <v>415</v>
      </c>
      <c r="J18" s="175" t="s">
        <v>416</v>
      </c>
      <c r="K18" s="175" t="s">
        <v>417</v>
      </c>
      <c r="L18" s="175" t="s">
        <v>366</v>
      </c>
      <c r="M18" s="175" t="s">
        <v>287</v>
      </c>
      <c r="N18" s="176">
        <v>38808</v>
      </c>
      <c r="O18" s="175">
        <v>49</v>
      </c>
      <c r="P18" s="175" t="s">
        <v>61</v>
      </c>
      <c r="Q18" s="174" t="s">
        <v>418</v>
      </c>
      <c r="R18" s="175">
        <v>215</v>
      </c>
      <c r="S18" s="175" t="s">
        <v>289</v>
      </c>
      <c r="T18" s="175" t="s">
        <v>330</v>
      </c>
    </row>
    <row r="19" spans="1:20" s="175" customFormat="1" ht="15" x14ac:dyDescent="0.3">
      <c r="A19" s="173" t="s">
        <v>420</v>
      </c>
      <c r="B19" s="173" t="s">
        <v>1363</v>
      </c>
      <c r="C19" s="178">
        <v>103071</v>
      </c>
      <c r="D19" s="173" t="s">
        <v>422</v>
      </c>
      <c r="E19" s="173" t="s">
        <v>1316</v>
      </c>
      <c r="F19" s="173">
        <v>35</v>
      </c>
      <c r="G19" s="173" t="s">
        <v>281</v>
      </c>
      <c r="H19" s="173" t="s">
        <v>282</v>
      </c>
      <c r="I19" s="173" t="s">
        <v>424</v>
      </c>
      <c r="J19" s="173" t="s">
        <v>425</v>
      </c>
      <c r="K19" s="173" t="s">
        <v>426</v>
      </c>
      <c r="L19" s="173" t="s">
        <v>427</v>
      </c>
      <c r="M19" s="173" t="s">
        <v>287</v>
      </c>
      <c r="N19" s="179">
        <v>30529</v>
      </c>
      <c r="O19" s="173">
        <v>59</v>
      </c>
      <c r="P19" s="173" t="s">
        <v>63</v>
      </c>
      <c r="Q19" s="178" t="s">
        <v>428</v>
      </c>
      <c r="R19" s="173">
        <v>240</v>
      </c>
      <c r="S19" s="173" t="s">
        <v>302</v>
      </c>
      <c r="T19" s="173" t="s">
        <v>375</v>
      </c>
    </row>
    <row r="20" spans="1:20" ht="15" x14ac:dyDescent="0.3">
      <c r="A20" s="175" t="s">
        <v>1140</v>
      </c>
      <c r="B20" s="175" t="s">
        <v>1053</v>
      </c>
      <c r="C20" s="174">
        <v>191742</v>
      </c>
      <c r="D20" s="175" t="s">
        <v>326</v>
      </c>
      <c r="E20" s="175" t="s">
        <v>1317</v>
      </c>
      <c r="F20" s="175">
        <v>11</v>
      </c>
      <c r="G20" s="175" t="s">
        <v>281</v>
      </c>
      <c r="H20" s="175" t="s">
        <v>327</v>
      </c>
      <c r="I20" s="175" t="s">
        <v>297</v>
      </c>
      <c r="J20" s="175" t="s">
        <v>298</v>
      </c>
      <c r="K20" s="175" t="s">
        <v>299</v>
      </c>
      <c r="L20" s="175" t="s">
        <v>300</v>
      </c>
      <c r="M20" s="175" t="s">
        <v>384</v>
      </c>
      <c r="N20" s="176">
        <v>39053</v>
      </c>
      <c r="O20" s="175">
        <v>37</v>
      </c>
      <c r="P20" s="175" t="s">
        <v>61</v>
      </c>
      <c r="Q20" s="174" t="s">
        <v>1141</v>
      </c>
      <c r="R20" s="175">
        <v>255</v>
      </c>
      <c r="S20" s="175" t="s">
        <v>445</v>
      </c>
      <c r="T20" s="175" t="s">
        <v>375</v>
      </c>
    </row>
    <row r="21" spans="1:20" ht="15" x14ac:dyDescent="0.3">
      <c r="A21" s="175" t="s">
        <v>923</v>
      </c>
      <c r="B21" s="175" t="s">
        <v>924</v>
      </c>
      <c r="C21" s="174">
        <v>10559280</v>
      </c>
      <c r="D21" s="175" t="s">
        <v>294</v>
      </c>
      <c r="E21" s="175" t="s">
        <v>1318</v>
      </c>
      <c r="F21" s="175">
        <v>1</v>
      </c>
      <c r="G21" s="175" t="s">
        <v>281</v>
      </c>
      <c r="H21" s="175" t="s">
        <v>296</v>
      </c>
      <c r="I21" s="175" t="s">
        <v>283</v>
      </c>
      <c r="J21" s="175" t="s">
        <v>284</v>
      </c>
      <c r="K21" s="175" t="s">
        <v>285</v>
      </c>
      <c r="L21" s="175" t="s">
        <v>925</v>
      </c>
      <c r="M21" s="175" t="s">
        <v>287</v>
      </c>
      <c r="N21" s="176">
        <v>42795</v>
      </c>
      <c r="O21" s="175">
        <v>48</v>
      </c>
      <c r="P21" s="175" t="s">
        <v>61</v>
      </c>
      <c r="Q21" s="174" t="s">
        <v>926</v>
      </c>
      <c r="R21" s="175">
        <v>190</v>
      </c>
      <c r="S21" s="175" t="s">
        <v>309</v>
      </c>
      <c r="T21" s="175" t="s">
        <v>290</v>
      </c>
    </row>
    <row r="22" spans="1:20" s="175" customFormat="1" ht="15" x14ac:dyDescent="0.3">
      <c r="A22" s="175" t="s">
        <v>430</v>
      </c>
      <c r="B22" s="175" t="s">
        <v>1364</v>
      </c>
      <c r="C22" s="174">
        <v>102925</v>
      </c>
      <c r="D22" s="175" t="s">
        <v>409</v>
      </c>
      <c r="E22" s="175" t="s">
        <v>1316</v>
      </c>
      <c r="F22" s="175">
        <v>12</v>
      </c>
      <c r="G22" s="175" t="s">
        <v>281</v>
      </c>
      <c r="H22" s="175" t="s">
        <v>282</v>
      </c>
      <c r="I22" s="175" t="s">
        <v>283</v>
      </c>
      <c r="J22" s="175" t="s">
        <v>284</v>
      </c>
      <c r="K22" s="175" t="s">
        <v>285</v>
      </c>
      <c r="L22" s="175" t="s">
        <v>432</v>
      </c>
      <c r="M22" s="175" t="s">
        <v>287</v>
      </c>
      <c r="N22" s="176">
        <v>38961</v>
      </c>
      <c r="O22" s="175">
        <v>52</v>
      </c>
      <c r="P22" s="175" t="s">
        <v>61</v>
      </c>
      <c r="Q22" s="174" t="s">
        <v>433</v>
      </c>
      <c r="R22" s="175">
        <v>215</v>
      </c>
      <c r="S22" s="175" t="s">
        <v>289</v>
      </c>
      <c r="T22" s="175" t="s">
        <v>330</v>
      </c>
    </row>
    <row r="23" spans="1:20" s="175" customFormat="1" ht="15" x14ac:dyDescent="0.3">
      <c r="A23" s="175" t="s">
        <v>1288</v>
      </c>
      <c r="B23" s="175" t="s">
        <v>1365</v>
      </c>
      <c r="C23" s="174">
        <v>10586221</v>
      </c>
      <c r="D23" s="175" t="s">
        <v>332</v>
      </c>
      <c r="E23" s="175" t="s">
        <v>1317</v>
      </c>
      <c r="F23" s="175">
        <v>1</v>
      </c>
      <c r="G23" s="175" t="s">
        <v>315</v>
      </c>
      <c r="H23" s="175" t="s">
        <v>327</v>
      </c>
      <c r="I23" s="175" t="s">
        <v>710</v>
      </c>
      <c r="J23" s="175" t="s">
        <v>711</v>
      </c>
      <c r="K23" s="175" t="s">
        <v>382</v>
      </c>
      <c r="L23" s="175" t="s">
        <v>1290</v>
      </c>
      <c r="M23" s="175" t="s">
        <v>320</v>
      </c>
      <c r="N23" s="176">
        <v>43010</v>
      </c>
      <c r="O23" s="175">
        <v>22</v>
      </c>
      <c r="P23" s="175" t="s">
        <v>61</v>
      </c>
      <c r="Q23" s="174" t="s">
        <v>1291</v>
      </c>
      <c r="T23" s="175" t="s">
        <v>322</v>
      </c>
    </row>
    <row r="24" spans="1:20" s="175" customFormat="1" ht="15" x14ac:dyDescent="0.3">
      <c r="A24" s="175" t="s">
        <v>1082</v>
      </c>
      <c r="B24" s="175" t="s">
        <v>1083</v>
      </c>
      <c r="C24" s="174">
        <v>191507</v>
      </c>
      <c r="D24" s="175" t="s">
        <v>326</v>
      </c>
      <c r="E24" s="175" t="s">
        <v>1317</v>
      </c>
      <c r="F24" s="175">
        <v>27</v>
      </c>
      <c r="G24" s="175" t="s">
        <v>315</v>
      </c>
      <c r="H24" s="175" t="s">
        <v>327</v>
      </c>
      <c r="I24" s="175" t="s">
        <v>1084</v>
      </c>
      <c r="J24" s="175" t="s">
        <v>1085</v>
      </c>
      <c r="K24" s="175" t="s">
        <v>318</v>
      </c>
      <c r="L24" s="175" t="s">
        <v>1086</v>
      </c>
      <c r="M24" s="175" t="s">
        <v>384</v>
      </c>
      <c r="N24" s="176">
        <v>33482</v>
      </c>
      <c r="O24" s="175">
        <v>49</v>
      </c>
      <c r="P24" s="175" t="s">
        <v>61</v>
      </c>
      <c r="Q24" s="174" t="s">
        <v>1087</v>
      </c>
      <c r="R24" s="175">
        <v>270</v>
      </c>
      <c r="S24" s="175" t="s">
        <v>596</v>
      </c>
      <c r="T24" s="175" t="s">
        <v>597</v>
      </c>
    </row>
    <row r="25" spans="1:20" s="175" customFormat="1" ht="15" x14ac:dyDescent="0.3">
      <c r="A25" s="175" t="s">
        <v>435</v>
      </c>
      <c r="B25" s="175" t="s">
        <v>1366</v>
      </c>
      <c r="C25" s="174">
        <v>102971</v>
      </c>
      <c r="D25" s="175" t="s">
        <v>280</v>
      </c>
      <c r="E25" s="175" t="s">
        <v>1316</v>
      </c>
      <c r="F25" s="175">
        <v>17</v>
      </c>
      <c r="G25" s="175" t="s">
        <v>281</v>
      </c>
      <c r="H25" s="175" t="s">
        <v>282</v>
      </c>
      <c r="I25" s="175" t="s">
        <v>283</v>
      </c>
      <c r="J25" s="175" t="s">
        <v>284</v>
      </c>
      <c r="K25" s="175" t="s">
        <v>285</v>
      </c>
      <c r="L25" s="175" t="s">
        <v>437</v>
      </c>
      <c r="M25" s="175" t="s">
        <v>287</v>
      </c>
      <c r="N25" s="176">
        <v>36998</v>
      </c>
      <c r="O25" s="175">
        <v>52</v>
      </c>
      <c r="P25" s="175" t="s">
        <v>61</v>
      </c>
      <c r="Q25" s="174" t="s">
        <v>438</v>
      </c>
      <c r="R25" s="175">
        <v>190</v>
      </c>
      <c r="S25" s="175" t="s">
        <v>309</v>
      </c>
      <c r="T25" s="175" t="s">
        <v>330</v>
      </c>
    </row>
    <row r="26" spans="1:20" s="175" customFormat="1" ht="15" x14ac:dyDescent="0.3">
      <c r="A26" s="173" t="s">
        <v>440</v>
      </c>
      <c r="B26" s="173" t="s">
        <v>1120</v>
      </c>
      <c r="C26" s="178">
        <v>103085</v>
      </c>
      <c r="D26" s="173" t="s">
        <v>364</v>
      </c>
      <c r="E26" s="173" t="s">
        <v>1316</v>
      </c>
      <c r="F26" s="173">
        <v>35</v>
      </c>
      <c r="G26" s="173" t="s">
        <v>281</v>
      </c>
      <c r="H26" s="173" t="s">
        <v>282</v>
      </c>
      <c r="I26" s="173" t="s">
        <v>357</v>
      </c>
      <c r="J26" s="173" t="s">
        <v>358</v>
      </c>
      <c r="K26" s="173" t="s">
        <v>285</v>
      </c>
      <c r="L26" s="173" t="s">
        <v>366</v>
      </c>
      <c r="M26" s="173" t="s">
        <v>287</v>
      </c>
      <c r="N26" s="179">
        <v>30284</v>
      </c>
      <c r="O26" s="173">
        <v>57</v>
      </c>
      <c r="P26" s="173" t="s">
        <v>61</v>
      </c>
      <c r="Q26" s="178" t="s">
        <v>441</v>
      </c>
      <c r="R26" s="173">
        <v>215</v>
      </c>
      <c r="S26" s="173" t="s">
        <v>289</v>
      </c>
      <c r="T26" s="173" t="s">
        <v>330</v>
      </c>
    </row>
    <row r="27" spans="1:20" s="175" customFormat="1" ht="15" x14ac:dyDescent="0.3">
      <c r="A27" s="175" t="s">
        <v>928</v>
      </c>
      <c r="B27" s="175" t="s">
        <v>929</v>
      </c>
      <c r="C27" s="174">
        <v>10559278</v>
      </c>
      <c r="D27" s="175" t="s">
        <v>294</v>
      </c>
      <c r="E27" s="175" t="s">
        <v>1318</v>
      </c>
      <c r="F27" s="175">
        <v>1</v>
      </c>
      <c r="G27" s="175" t="s">
        <v>281</v>
      </c>
      <c r="H27" s="175" t="s">
        <v>296</v>
      </c>
      <c r="I27" s="175" t="s">
        <v>283</v>
      </c>
      <c r="J27" s="175" t="s">
        <v>284</v>
      </c>
      <c r="K27" s="175" t="s">
        <v>285</v>
      </c>
      <c r="L27" s="175" t="s">
        <v>930</v>
      </c>
      <c r="M27" s="175" t="s">
        <v>287</v>
      </c>
      <c r="N27" s="176">
        <v>42795</v>
      </c>
      <c r="O27" s="175">
        <v>35</v>
      </c>
      <c r="P27" s="175" t="s">
        <v>61</v>
      </c>
      <c r="Q27" s="174" t="s">
        <v>931</v>
      </c>
      <c r="R27" s="175">
        <v>190</v>
      </c>
      <c r="S27" s="175" t="s">
        <v>309</v>
      </c>
      <c r="T27" s="175" t="s">
        <v>290</v>
      </c>
    </row>
    <row r="28" spans="1:20" s="175" customFormat="1" ht="15" x14ac:dyDescent="0.3">
      <c r="A28" s="175" t="s">
        <v>1057</v>
      </c>
      <c r="B28" s="175" t="s">
        <v>233</v>
      </c>
      <c r="C28" s="174">
        <v>191166</v>
      </c>
      <c r="D28" s="175" t="s">
        <v>326</v>
      </c>
      <c r="E28" s="175" t="s">
        <v>1317</v>
      </c>
      <c r="F28" s="175">
        <v>10</v>
      </c>
      <c r="G28" s="175" t="s">
        <v>315</v>
      </c>
      <c r="H28" s="175" t="s">
        <v>327</v>
      </c>
      <c r="I28" s="175" t="s">
        <v>533</v>
      </c>
      <c r="J28" s="175" t="s">
        <v>534</v>
      </c>
      <c r="K28" s="175" t="s">
        <v>382</v>
      </c>
      <c r="L28" s="175" t="s">
        <v>1058</v>
      </c>
      <c r="M28" s="175" t="s">
        <v>338</v>
      </c>
      <c r="N28" s="176">
        <v>39716</v>
      </c>
      <c r="O28" s="175">
        <v>34</v>
      </c>
      <c r="P28" s="175" t="s">
        <v>63</v>
      </c>
      <c r="Q28" s="174" t="s">
        <v>1059</v>
      </c>
      <c r="R28" s="175" t="s">
        <v>457</v>
      </c>
      <c r="S28" s="175" t="s">
        <v>458</v>
      </c>
      <c r="T28" s="175">
        <v>7</v>
      </c>
    </row>
    <row r="29" spans="1:20" s="175" customFormat="1" ht="15" x14ac:dyDescent="0.3">
      <c r="A29" s="175" t="s">
        <v>443</v>
      </c>
      <c r="B29" s="175" t="s">
        <v>1357</v>
      </c>
      <c r="C29" s="174">
        <v>102961</v>
      </c>
      <c r="D29" s="175" t="s">
        <v>280</v>
      </c>
      <c r="E29" s="175" t="s">
        <v>1316</v>
      </c>
      <c r="F29" s="175">
        <v>13</v>
      </c>
      <c r="G29" s="175" t="s">
        <v>281</v>
      </c>
      <c r="H29" s="175" t="s">
        <v>282</v>
      </c>
      <c r="I29" s="175" t="s">
        <v>297</v>
      </c>
      <c r="J29" s="175" t="s">
        <v>298</v>
      </c>
      <c r="K29" s="175" t="s">
        <v>299</v>
      </c>
      <c r="L29" s="175" t="s">
        <v>300</v>
      </c>
      <c r="M29" s="175" t="s">
        <v>287</v>
      </c>
      <c r="N29" s="176">
        <v>38657</v>
      </c>
      <c r="O29" s="175">
        <v>53</v>
      </c>
      <c r="P29" s="175" t="s">
        <v>61</v>
      </c>
      <c r="Q29" s="174" t="s">
        <v>444</v>
      </c>
      <c r="R29" s="175">
        <v>255</v>
      </c>
      <c r="S29" s="175" t="s">
        <v>445</v>
      </c>
      <c r="T29" s="175" t="s">
        <v>375</v>
      </c>
    </row>
    <row r="30" spans="1:20" s="175" customFormat="1" ht="15" x14ac:dyDescent="0.3">
      <c r="A30" s="175" t="s">
        <v>447</v>
      </c>
      <c r="B30" s="175" t="s">
        <v>1162</v>
      </c>
      <c r="C30" s="174">
        <v>103028</v>
      </c>
      <c r="D30" s="175" t="s">
        <v>280</v>
      </c>
      <c r="E30" s="175" t="s">
        <v>1316</v>
      </c>
      <c r="F30" s="175">
        <v>27</v>
      </c>
      <c r="G30" s="175" t="s">
        <v>281</v>
      </c>
      <c r="H30" s="175" t="s">
        <v>282</v>
      </c>
      <c r="I30" s="175" t="s">
        <v>283</v>
      </c>
      <c r="J30" s="175" t="s">
        <v>284</v>
      </c>
      <c r="K30" s="175" t="s">
        <v>285</v>
      </c>
      <c r="L30" s="175" t="s">
        <v>432</v>
      </c>
      <c r="M30" s="175" t="s">
        <v>287</v>
      </c>
      <c r="N30" s="176">
        <v>33392</v>
      </c>
      <c r="O30" s="175">
        <v>52</v>
      </c>
      <c r="P30" s="175" t="s">
        <v>61</v>
      </c>
      <c r="Q30" s="174" t="s">
        <v>448</v>
      </c>
      <c r="R30" s="175">
        <v>190</v>
      </c>
      <c r="S30" s="175" t="s">
        <v>309</v>
      </c>
      <c r="T30" s="175" t="s">
        <v>330</v>
      </c>
    </row>
    <row r="31" spans="1:20" s="175" customFormat="1" ht="15" x14ac:dyDescent="0.3">
      <c r="A31" s="175" t="s">
        <v>1157</v>
      </c>
      <c r="B31" s="175" t="s">
        <v>1158</v>
      </c>
      <c r="C31" s="174">
        <v>192053</v>
      </c>
      <c r="D31" s="175" t="s">
        <v>326</v>
      </c>
      <c r="E31" s="175" t="s">
        <v>1317</v>
      </c>
      <c r="F31" s="175">
        <v>27</v>
      </c>
      <c r="G31" s="175" t="s">
        <v>281</v>
      </c>
      <c r="H31" s="175" t="s">
        <v>327</v>
      </c>
      <c r="I31" s="175" t="s">
        <v>283</v>
      </c>
      <c r="J31" s="175" t="s">
        <v>284</v>
      </c>
      <c r="K31" s="175" t="s">
        <v>285</v>
      </c>
      <c r="L31" s="175" t="s">
        <v>328</v>
      </c>
      <c r="M31" s="175" t="s">
        <v>287</v>
      </c>
      <c r="N31" s="176">
        <v>33330</v>
      </c>
      <c r="O31" s="175">
        <v>59</v>
      </c>
      <c r="P31" s="175" t="s">
        <v>63</v>
      </c>
      <c r="Q31" s="174" t="s">
        <v>1159</v>
      </c>
      <c r="R31" s="175">
        <v>190</v>
      </c>
      <c r="S31" s="175" t="s">
        <v>309</v>
      </c>
      <c r="T31" s="175" t="s">
        <v>330</v>
      </c>
    </row>
    <row r="32" spans="1:20" s="175" customFormat="1" ht="15" x14ac:dyDescent="0.3">
      <c r="A32" s="175" t="s">
        <v>450</v>
      </c>
      <c r="B32" s="175" t="s">
        <v>451</v>
      </c>
      <c r="C32" s="174">
        <v>93558</v>
      </c>
      <c r="D32" s="175" t="s">
        <v>343</v>
      </c>
      <c r="E32" s="175" t="s">
        <v>1316</v>
      </c>
      <c r="F32" s="175">
        <v>0</v>
      </c>
      <c r="G32" s="175" t="s">
        <v>315</v>
      </c>
      <c r="H32" s="175" t="s">
        <v>282</v>
      </c>
      <c r="I32" s="175" t="s">
        <v>452</v>
      </c>
      <c r="J32" s="175" t="s">
        <v>453</v>
      </c>
      <c r="K32" s="175" t="s">
        <v>454</v>
      </c>
      <c r="L32" s="175" t="s">
        <v>455</v>
      </c>
      <c r="M32" s="175" t="s">
        <v>338</v>
      </c>
      <c r="N32" s="176">
        <v>43252</v>
      </c>
      <c r="O32" s="175">
        <v>41</v>
      </c>
      <c r="P32" s="175" t="s">
        <v>61</v>
      </c>
      <c r="Q32" s="174" t="s">
        <v>456</v>
      </c>
      <c r="R32" s="175" t="s">
        <v>457</v>
      </c>
      <c r="S32" s="175" t="s">
        <v>458</v>
      </c>
      <c r="T32" s="175">
        <v>7</v>
      </c>
    </row>
    <row r="33" spans="1:20" s="175" customFormat="1" ht="15" x14ac:dyDescent="0.3">
      <c r="A33" s="175" t="s">
        <v>460</v>
      </c>
      <c r="B33" s="175" t="s">
        <v>1367</v>
      </c>
      <c r="C33" s="174">
        <v>102987</v>
      </c>
      <c r="D33" s="175" t="s">
        <v>280</v>
      </c>
      <c r="E33" s="175" t="s">
        <v>1316</v>
      </c>
      <c r="F33" s="175">
        <v>18</v>
      </c>
      <c r="G33" s="175" t="s">
        <v>281</v>
      </c>
      <c r="H33" s="175" t="s">
        <v>282</v>
      </c>
      <c r="I33" s="175" t="s">
        <v>283</v>
      </c>
      <c r="J33" s="175" t="s">
        <v>284</v>
      </c>
      <c r="K33" s="175" t="s">
        <v>285</v>
      </c>
      <c r="L33" s="175" t="s">
        <v>432</v>
      </c>
      <c r="M33" s="175" t="s">
        <v>287</v>
      </c>
      <c r="N33" s="176">
        <v>36648</v>
      </c>
      <c r="O33" s="175">
        <v>42</v>
      </c>
      <c r="P33" s="175" t="s">
        <v>61</v>
      </c>
      <c r="Q33" s="174" t="s">
        <v>462</v>
      </c>
      <c r="R33" s="175">
        <v>215</v>
      </c>
      <c r="S33" s="175" t="s">
        <v>289</v>
      </c>
      <c r="T33" s="175" t="s">
        <v>330</v>
      </c>
    </row>
    <row r="34" spans="1:20" s="175" customFormat="1" ht="15" x14ac:dyDescent="0.3">
      <c r="A34" s="175" t="s">
        <v>464</v>
      </c>
      <c r="B34" s="175" t="s">
        <v>1368</v>
      </c>
      <c r="C34" s="174">
        <v>102920</v>
      </c>
      <c r="D34" s="175" t="s">
        <v>313</v>
      </c>
      <c r="E34" s="175" t="s">
        <v>1316</v>
      </c>
      <c r="F34" s="175">
        <v>10</v>
      </c>
      <c r="G34" s="175" t="s">
        <v>281</v>
      </c>
      <c r="H34" s="175" t="s">
        <v>282</v>
      </c>
      <c r="I34" s="175" t="s">
        <v>370</v>
      </c>
      <c r="J34" s="175" t="s">
        <v>371</v>
      </c>
      <c r="K34" s="175" t="s">
        <v>372</v>
      </c>
      <c r="L34" s="175" t="s">
        <v>373</v>
      </c>
      <c r="M34" s="175" t="s">
        <v>287</v>
      </c>
      <c r="N34" s="176">
        <v>39412</v>
      </c>
      <c r="O34" s="175">
        <v>41</v>
      </c>
      <c r="P34" s="175" t="s">
        <v>61</v>
      </c>
      <c r="Q34" s="174" t="s">
        <v>466</v>
      </c>
      <c r="R34" s="175">
        <v>225</v>
      </c>
      <c r="S34" s="175" t="s">
        <v>361</v>
      </c>
      <c r="T34" s="175" t="s">
        <v>375</v>
      </c>
    </row>
    <row r="35" spans="1:20" s="175" customFormat="1" ht="15" x14ac:dyDescent="0.3">
      <c r="A35" s="175" t="s">
        <v>468</v>
      </c>
      <c r="B35" s="175" t="s">
        <v>1104</v>
      </c>
      <c r="C35" s="174">
        <v>102921</v>
      </c>
      <c r="D35" s="175" t="s">
        <v>409</v>
      </c>
      <c r="E35" s="175" t="s">
        <v>1316</v>
      </c>
      <c r="F35" s="175">
        <v>10</v>
      </c>
      <c r="G35" s="175" t="s">
        <v>281</v>
      </c>
      <c r="H35" s="175" t="s">
        <v>282</v>
      </c>
      <c r="I35" s="175" t="s">
        <v>283</v>
      </c>
      <c r="J35" s="175" t="s">
        <v>284</v>
      </c>
      <c r="K35" s="175" t="s">
        <v>285</v>
      </c>
      <c r="L35" s="175" t="s">
        <v>286</v>
      </c>
      <c r="M35" s="175" t="s">
        <v>287</v>
      </c>
      <c r="N35" s="176">
        <v>39412</v>
      </c>
      <c r="O35" s="175">
        <v>49</v>
      </c>
      <c r="P35" s="175" t="s">
        <v>61</v>
      </c>
      <c r="Q35" s="174" t="s">
        <v>469</v>
      </c>
      <c r="R35" s="175">
        <v>215</v>
      </c>
      <c r="S35" s="175" t="s">
        <v>289</v>
      </c>
      <c r="T35" s="175" t="s">
        <v>290</v>
      </c>
    </row>
    <row r="36" spans="1:20" s="175" customFormat="1" ht="15" x14ac:dyDescent="0.3">
      <c r="A36" s="175" t="s">
        <v>933</v>
      </c>
      <c r="B36" s="175" t="s">
        <v>995</v>
      </c>
      <c r="C36" s="174">
        <v>104646</v>
      </c>
      <c r="D36" s="175" t="s">
        <v>294</v>
      </c>
      <c r="E36" s="175" t="s">
        <v>1318</v>
      </c>
      <c r="F36" s="175">
        <v>10</v>
      </c>
      <c r="G36" s="175" t="s">
        <v>281</v>
      </c>
      <c r="H36" s="175" t="s">
        <v>296</v>
      </c>
      <c r="I36" s="175" t="s">
        <v>297</v>
      </c>
      <c r="J36" s="175" t="s">
        <v>298</v>
      </c>
      <c r="K36" s="175" t="s">
        <v>299</v>
      </c>
      <c r="L36" s="175" t="s">
        <v>300</v>
      </c>
      <c r="M36" s="175" t="s">
        <v>287</v>
      </c>
      <c r="N36" s="176">
        <v>39448</v>
      </c>
      <c r="O36" s="175">
        <v>47</v>
      </c>
      <c r="P36" s="175" t="s">
        <v>61</v>
      </c>
      <c r="Q36" s="174" t="s">
        <v>935</v>
      </c>
      <c r="R36" s="175">
        <v>255</v>
      </c>
      <c r="S36" s="175" t="s">
        <v>445</v>
      </c>
      <c r="T36" s="175" t="s">
        <v>303</v>
      </c>
    </row>
    <row r="37" spans="1:20" s="175" customFormat="1" ht="15" x14ac:dyDescent="0.3">
      <c r="A37" s="175" t="s">
        <v>471</v>
      </c>
      <c r="B37" s="175" t="s">
        <v>1185</v>
      </c>
      <c r="C37" s="174">
        <v>103039</v>
      </c>
      <c r="D37" s="175" t="s">
        <v>409</v>
      </c>
      <c r="E37" s="175" t="s">
        <v>1316</v>
      </c>
      <c r="F37" s="175">
        <v>32</v>
      </c>
      <c r="G37" s="175" t="s">
        <v>281</v>
      </c>
      <c r="H37" s="175" t="s">
        <v>282</v>
      </c>
      <c r="I37" s="175" t="s">
        <v>283</v>
      </c>
      <c r="J37" s="175" t="s">
        <v>284</v>
      </c>
      <c r="K37" s="175" t="s">
        <v>285</v>
      </c>
      <c r="L37" s="175" t="s">
        <v>432</v>
      </c>
      <c r="M37" s="175" t="s">
        <v>287</v>
      </c>
      <c r="N37" s="176">
        <v>31503</v>
      </c>
      <c r="O37" s="175">
        <v>55</v>
      </c>
      <c r="P37" s="175" t="s">
        <v>61</v>
      </c>
      <c r="Q37" s="174" t="s">
        <v>472</v>
      </c>
      <c r="R37" s="175">
        <v>215</v>
      </c>
      <c r="S37" s="175" t="s">
        <v>289</v>
      </c>
      <c r="T37" s="175" t="s">
        <v>330</v>
      </c>
    </row>
    <row r="38" spans="1:20" s="175" customFormat="1" ht="15" x14ac:dyDescent="0.3">
      <c r="A38" s="175" t="s">
        <v>937</v>
      </c>
      <c r="B38" s="175" t="s">
        <v>1369</v>
      </c>
      <c r="C38" s="174">
        <v>10559261</v>
      </c>
      <c r="D38" s="175" t="s">
        <v>294</v>
      </c>
      <c r="E38" s="175" t="s">
        <v>1318</v>
      </c>
      <c r="F38" s="175">
        <v>1</v>
      </c>
      <c r="G38" s="175" t="s">
        <v>281</v>
      </c>
      <c r="H38" s="175" t="s">
        <v>296</v>
      </c>
      <c r="I38" s="175" t="s">
        <v>283</v>
      </c>
      <c r="J38" s="175" t="s">
        <v>284</v>
      </c>
      <c r="K38" s="175" t="s">
        <v>285</v>
      </c>
      <c r="L38" s="175" t="s">
        <v>939</v>
      </c>
      <c r="M38" s="175" t="s">
        <v>287</v>
      </c>
      <c r="N38" s="176">
        <v>42795</v>
      </c>
      <c r="O38" s="175">
        <v>33</v>
      </c>
      <c r="P38" s="175" t="s">
        <v>61</v>
      </c>
      <c r="Q38" s="174" t="s">
        <v>940</v>
      </c>
      <c r="R38" s="175">
        <v>190</v>
      </c>
      <c r="S38" s="175" t="s">
        <v>309</v>
      </c>
      <c r="T38" s="175" t="s">
        <v>290</v>
      </c>
    </row>
    <row r="39" spans="1:20" s="175" customFormat="1" ht="15" x14ac:dyDescent="0.3">
      <c r="A39" s="175" t="s">
        <v>942</v>
      </c>
      <c r="B39" s="175" t="s">
        <v>924</v>
      </c>
      <c r="C39" s="174">
        <v>104658</v>
      </c>
      <c r="D39" s="175" t="s">
        <v>355</v>
      </c>
      <c r="E39" s="175" t="s">
        <v>1318</v>
      </c>
      <c r="F39" s="175">
        <v>10</v>
      </c>
      <c r="G39" s="175" t="s">
        <v>281</v>
      </c>
      <c r="H39" s="175" t="s">
        <v>296</v>
      </c>
      <c r="I39" s="175" t="s">
        <v>415</v>
      </c>
      <c r="J39" s="175" t="s">
        <v>416</v>
      </c>
      <c r="K39" s="175" t="s">
        <v>417</v>
      </c>
      <c r="L39" s="175" t="s">
        <v>307</v>
      </c>
      <c r="M39" s="175" t="s">
        <v>287</v>
      </c>
      <c r="N39" s="176">
        <v>39448</v>
      </c>
      <c r="O39" s="175">
        <v>52</v>
      </c>
      <c r="P39" s="175" t="s">
        <v>61</v>
      </c>
      <c r="Q39" s="174" t="s">
        <v>943</v>
      </c>
      <c r="R39" s="175">
        <v>190</v>
      </c>
      <c r="S39" s="175" t="s">
        <v>309</v>
      </c>
      <c r="T39" s="175" t="s">
        <v>290</v>
      </c>
    </row>
    <row r="40" spans="1:20" ht="15" x14ac:dyDescent="0.3">
      <c r="A40" s="175" t="s">
        <v>474</v>
      </c>
      <c r="B40" s="175" t="s">
        <v>1370</v>
      </c>
      <c r="C40" s="174">
        <v>115869</v>
      </c>
      <c r="D40" s="175" t="s">
        <v>280</v>
      </c>
      <c r="E40" s="175" t="s">
        <v>1316</v>
      </c>
      <c r="F40" s="175">
        <v>10</v>
      </c>
      <c r="G40" s="175" t="s">
        <v>281</v>
      </c>
      <c r="H40" s="175" t="s">
        <v>282</v>
      </c>
      <c r="I40" s="175" t="s">
        <v>283</v>
      </c>
      <c r="J40" s="175" t="s">
        <v>284</v>
      </c>
      <c r="K40" s="175" t="s">
        <v>285</v>
      </c>
      <c r="L40" s="175" t="s">
        <v>391</v>
      </c>
      <c r="M40" s="175" t="s">
        <v>287</v>
      </c>
      <c r="N40" s="176">
        <v>39630</v>
      </c>
      <c r="O40" s="175">
        <v>39</v>
      </c>
      <c r="P40" s="175" t="s">
        <v>61</v>
      </c>
      <c r="Q40" s="174" t="s">
        <v>475</v>
      </c>
      <c r="R40" s="175">
        <v>190</v>
      </c>
      <c r="S40" s="175" t="s">
        <v>309</v>
      </c>
      <c r="T40" s="175" t="s">
        <v>393</v>
      </c>
    </row>
    <row r="41" spans="1:20" s="175" customFormat="1" ht="15" x14ac:dyDescent="0.3">
      <c r="A41" s="175" t="s">
        <v>948</v>
      </c>
      <c r="B41" s="175" t="s">
        <v>949</v>
      </c>
      <c r="C41" s="174">
        <v>104784</v>
      </c>
      <c r="D41" s="175" t="s">
        <v>355</v>
      </c>
      <c r="E41" s="175" t="s">
        <v>1318</v>
      </c>
      <c r="F41" s="175">
        <v>10</v>
      </c>
      <c r="G41" s="175" t="s">
        <v>281</v>
      </c>
      <c r="H41" s="175" t="s">
        <v>296</v>
      </c>
      <c r="I41" s="175" t="s">
        <v>334</v>
      </c>
      <c r="J41" s="175" t="s">
        <v>335</v>
      </c>
      <c r="K41" s="175" t="s">
        <v>336</v>
      </c>
      <c r="L41" s="175" t="s">
        <v>950</v>
      </c>
      <c r="M41" s="175" t="s">
        <v>384</v>
      </c>
      <c r="N41" s="176">
        <v>40848</v>
      </c>
      <c r="O41" s="175">
        <v>33</v>
      </c>
      <c r="P41" s="175" t="s">
        <v>61</v>
      </c>
      <c r="Q41" s="174" t="s">
        <v>951</v>
      </c>
      <c r="R41" s="175">
        <v>335</v>
      </c>
      <c r="S41" s="175" t="s">
        <v>499</v>
      </c>
      <c r="T41" s="175" t="s">
        <v>537</v>
      </c>
    </row>
    <row r="42" spans="1:20" s="175" customFormat="1" ht="15" x14ac:dyDescent="0.3">
      <c r="A42" s="175" t="s">
        <v>953</v>
      </c>
      <c r="B42" s="175" t="s">
        <v>344</v>
      </c>
      <c r="C42" s="174">
        <v>135347</v>
      </c>
      <c r="D42" s="175" t="s">
        <v>294</v>
      </c>
      <c r="E42" s="175" t="s">
        <v>1318</v>
      </c>
      <c r="F42" s="175">
        <v>26</v>
      </c>
      <c r="G42" s="175" t="s">
        <v>281</v>
      </c>
      <c r="H42" s="175" t="s">
        <v>296</v>
      </c>
      <c r="I42" s="175" t="s">
        <v>283</v>
      </c>
      <c r="J42" s="175" t="s">
        <v>284</v>
      </c>
      <c r="K42" s="175" t="s">
        <v>285</v>
      </c>
      <c r="L42" s="175" t="s">
        <v>954</v>
      </c>
      <c r="M42" s="175" t="s">
        <v>287</v>
      </c>
      <c r="N42" s="176">
        <v>41852</v>
      </c>
      <c r="O42" s="175">
        <v>52</v>
      </c>
      <c r="P42" s="175" t="s">
        <v>61</v>
      </c>
      <c r="Q42" s="174" t="s">
        <v>955</v>
      </c>
      <c r="R42" s="175">
        <v>190</v>
      </c>
      <c r="S42" s="175" t="s">
        <v>309</v>
      </c>
      <c r="T42" s="175" t="s">
        <v>290</v>
      </c>
    </row>
    <row r="43" spans="1:20" s="175" customFormat="1" ht="15" x14ac:dyDescent="0.3">
      <c r="A43" s="175" t="s">
        <v>1146</v>
      </c>
      <c r="B43" s="175" t="s">
        <v>982</v>
      </c>
      <c r="C43" s="174">
        <v>191775</v>
      </c>
      <c r="D43" s="175" t="s">
        <v>326</v>
      </c>
      <c r="E43" s="175" t="s">
        <v>1317</v>
      </c>
      <c r="F43" s="175">
        <v>31</v>
      </c>
      <c r="G43" s="175" t="s">
        <v>281</v>
      </c>
      <c r="H43" s="175" t="s">
        <v>327</v>
      </c>
      <c r="I43" s="175" t="s">
        <v>283</v>
      </c>
      <c r="J43" s="175" t="s">
        <v>284</v>
      </c>
      <c r="K43" s="175" t="s">
        <v>285</v>
      </c>
      <c r="L43" s="175" t="s">
        <v>328</v>
      </c>
      <c r="M43" s="175" t="s">
        <v>287</v>
      </c>
      <c r="N43" s="176">
        <v>31888</v>
      </c>
      <c r="O43" s="175">
        <v>53</v>
      </c>
      <c r="P43" s="175" t="s">
        <v>63</v>
      </c>
      <c r="Q43" s="174" t="s">
        <v>1147</v>
      </c>
      <c r="R43" s="175">
        <v>215</v>
      </c>
      <c r="S43" s="175" t="s">
        <v>289</v>
      </c>
      <c r="T43" s="175" t="s">
        <v>330</v>
      </c>
    </row>
    <row r="44" spans="1:20" s="175" customFormat="1" ht="15" x14ac:dyDescent="0.3">
      <c r="A44" s="204" t="s">
        <v>1325</v>
      </c>
      <c r="B44" s="204" t="s">
        <v>1347</v>
      </c>
      <c r="C44" s="205">
        <v>66339</v>
      </c>
      <c r="D44" s="204" t="s">
        <v>355</v>
      </c>
      <c r="E44" s="204" t="s">
        <v>1318</v>
      </c>
      <c r="F44" s="204">
        <v>0</v>
      </c>
      <c r="G44" s="204" t="s">
        <v>315</v>
      </c>
      <c r="H44" s="204"/>
      <c r="I44" s="204" t="s">
        <v>700</v>
      </c>
      <c r="J44" s="204" t="s">
        <v>1348</v>
      </c>
      <c r="K44" s="204" t="s">
        <v>336</v>
      </c>
      <c r="L44" s="206" t="s">
        <v>1349</v>
      </c>
      <c r="M44" s="207" t="s">
        <v>338</v>
      </c>
      <c r="N44" s="208">
        <v>43435</v>
      </c>
      <c r="O44" s="206">
        <v>46</v>
      </c>
      <c r="P44" s="206" t="s">
        <v>61</v>
      </c>
      <c r="Q44" s="209"/>
      <c r="R44" s="210" t="s">
        <v>813</v>
      </c>
      <c r="S44" s="207" t="s">
        <v>814</v>
      </c>
      <c r="T44" s="206">
        <v>7</v>
      </c>
    </row>
    <row r="45" spans="1:20" s="175" customFormat="1" ht="15" x14ac:dyDescent="0.3">
      <c r="A45" s="175" t="s">
        <v>1297</v>
      </c>
      <c r="B45" s="175" t="s">
        <v>1371</v>
      </c>
      <c r="C45" s="174">
        <v>10628039</v>
      </c>
      <c r="D45" s="175" t="s">
        <v>1057</v>
      </c>
      <c r="E45" s="175" t="s">
        <v>1317</v>
      </c>
      <c r="F45" s="175">
        <v>0</v>
      </c>
      <c r="G45" s="175" t="s">
        <v>315</v>
      </c>
      <c r="H45" s="175" t="s">
        <v>518</v>
      </c>
      <c r="I45" s="175" t="s">
        <v>533</v>
      </c>
      <c r="J45" s="175" t="s">
        <v>534</v>
      </c>
      <c r="K45" s="175" t="s">
        <v>382</v>
      </c>
      <c r="L45" s="175" t="s">
        <v>1299</v>
      </c>
      <c r="M45" s="175" t="s">
        <v>320</v>
      </c>
      <c r="N45" s="176">
        <v>43367</v>
      </c>
      <c r="O45" s="175">
        <v>23</v>
      </c>
      <c r="P45" s="175" t="s">
        <v>63</v>
      </c>
      <c r="Q45" s="174" t="s">
        <v>1300</v>
      </c>
      <c r="T45" s="175" t="s">
        <v>322</v>
      </c>
    </row>
    <row r="46" spans="1:20" s="175" customFormat="1" ht="15" x14ac:dyDescent="0.3">
      <c r="A46" s="175" t="s">
        <v>477</v>
      </c>
      <c r="B46" s="175" t="s">
        <v>1372</v>
      </c>
      <c r="C46" s="174">
        <v>102965</v>
      </c>
      <c r="D46" s="175" t="s">
        <v>364</v>
      </c>
      <c r="E46" s="175" t="s">
        <v>1316</v>
      </c>
      <c r="F46" s="175">
        <v>17</v>
      </c>
      <c r="G46" s="175" t="s">
        <v>281</v>
      </c>
      <c r="H46" s="175" t="s">
        <v>282</v>
      </c>
      <c r="I46" s="175" t="s">
        <v>415</v>
      </c>
      <c r="J46" s="175" t="s">
        <v>416</v>
      </c>
      <c r="K46" s="175" t="s">
        <v>417</v>
      </c>
      <c r="L46" s="175" t="s">
        <v>366</v>
      </c>
      <c r="M46" s="175" t="s">
        <v>287</v>
      </c>
      <c r="N46" s="176">
        <v>36941</v>
      </c>
      <c r="O46" s="175">
        <v>41</v>
      </c>
      <c r="P46" s="175" t="s">
        <v>61</v>
      </c>
      <c r="Q46" s="174" t="s">
        <v>479</v>
      </c>
      <c r="R46" s="175">
        <v>215</v>
      </c>
      <c r="S46" s="175" t="s">
        <v>289</v>
      </c>
      <c r="T46" s="175" t="s">
        <v>330</v>
      </c>
    </row>
    <row r="47" spans="1:20" s="175" customFormat="1" ht="15" x14ac:dyDescent="0.3">
      <c r="A47" s="175" t="s">
        <v>481</v>
      </c>
      <c r="B47" s="175" t="s">
        <v>344</v>
      </c>
      <c r="C47" s="174">
        <v>103027</v>
      </c>
      <c r="D47" s="175" t="s">
        <v>409</v>
      </c>
      <c r="E47" s="175" t="s">
        <v>1316</v>
      </c>
      <c r="F47" s="175">
        <v>27</v>
      </c>
      <c r="G47" s="175" t="s">
        <v>281</v>
      </c>
      <c r="H47" s="175" t="s">
        <v>282</v>
      </c>
      <c r="I47" s="175" t="s">
        <v>297</v>
      </c>
      <c r="J47" s="175" t="s">
        <v>298</v>
      </c>
      <c r="K47" s="175" t="s">
        <v>299</v>
      </c>
      <c r="L47" s="175" t="s">
        <v>300</v>
      </c>
      <c r="M47" s="175" t="s">
        <v>287</v>
      </c>
      <c r="N47" s="176">
        <v>33379</v>
      </c>
      <c r="O47" s="175">
        <v>50</v>
      </c>
      <c r="P47" s="175" t="s">
        <v>61</v>
      </c>
      <c r="Q47" s="174" t="s">
        <v>483</v>
      </c>
      <c r="R47" s="175">
        <v>255</v>
      </c>
      <c r="S47" s="175" t="s">
        <v>445</v>
      </c>
      <c r="T47" s="175" t="s">
        <v>375</v>
      </c>
    </row>
    <row r="48" spans="1:20" s="175" customFormat="1" ht="15" x14ac:dyDescent="0.3">
      <c r="A48" s="175" t="s">
        <v>485</v>
      </c>
      <c r="B48" s="175" t="s">
        <v>1373</v>
      </c>
      <c r="C48" s="174">
        <v>115872</v>
      </c>
      <c r="D48" s="175" t="s">
        <v>280</v>
      </c>
      <c r="E48" s="175" t="s">
        <v>1316</v>
      </c>
      <c r="F48" s="175">
        <v>10</v>
      </c>
      <c r="G48" s="175" t="s">
        <v>281</v>
      </c>
      <c r="H48" s="175" t="s">
        <v>282</v>
      </c>
      <c r="I48" s="175" t="s">
        <v>283</v>
      </c>
      <c r="J48" s="175" t="s">
        <v>284</v>
      </c>
      <c r="K48" s="175" t="s">
        <v>285</v>
      </c>
      <c r="L48" s="175" t="s">
        <v>391</v>
      </c>
      <c r="M48" s="175" t="s">
        <v>287</v>
      </c>
      <c r="N48" s="176">
        <v>39630</v>
      </c>
      <c r="O48" s="175">
        <v>37</v>
      </c>
      <c r="P48" s="175" t="s">
        <v>61</v>
      </c>
      <c r="Q48" s="174" t="s">
        <v>487</v>
      </c>
      <c r="R48" s="175">
        <v>215</v>
      </c>
      <c r="S48" s="175" t="s">
        <v>289</v>
      </c>
      <c r="T48" s="175" t="s">
        <v>290</v>
      </c>
    </row>
    <row r="49" spans="1:20" s="175" customFormat="1" ht="15" x14ac:dyDescent="0.3">
      <c r="A49" s="175" t="s">
        <v>489</v>
      </c>
      <c r="B49" s="175" t="s">
        <v>1374</v>
      </c>
      <c r="C49" s="174">
        <v>102966</v>
      </c>
      <c r="D49" s="175" t="s">
        <v>280</v>
      </c>
      <c r="E49" s="175" t="s">
        <v>1316</v>
      </c>
      <c r="F49" s="175">
        <v>17</v>
      </c>
      <c r="G49" s="175" t="s">
        <v>281</v>
      </c>
      <c r="H49" s="175" t="s">
        <v>282</v>
      </c>
      <c r="I49" s="175" t="s">
        <v>283</v>
      </c>
      <c r="J49" s="175" t="s">
        <v>284</v>
      </c>
      <c r="K49" s="175" t="s">
        <v>285</v>
      </c>
      <c r="L49" s="175" t="s">
        <v>437</v>
      </c>
      <c r="M49" s="175" t="s">
        <v>287</v>
      </c>
      <c r="N49" s="176">
        <v>36941</v>
      </c>
      <c r="O49" s="175">
        <v>53</v>
      </c>
      <c r="P49" s="175" t="s">
        <v>61</v>
      </c>
      <c r="Q49" s="174" t="s">
        <v>490</v>
      </c>
      <c r="R49" s="175">
        <v>215</v>
      </c>
      <c r="S49" s="175" t="s">
        <v>289</v>
      </c>
      <c r="T49" s="175" t="s">
        <v>330</v>
      </c>
    </row>
    <row r="50" spans="1:20" s="175" customFormat="1" ht="15" x14ac:dyDescent="0.3">
      <c r="A50" s="175" t="s">
        <v>492</v>
      </c>
      <c r="B50" s="175" t="s">
        <v>1375</v>
      </c>
      <c r="C50" s="174">
        <v>103022</v>
      </c>
      <c r="D50" s="175" t="s">
        <v>493</v>
      </c>
      <c r="E50" s="175" t="s">
        <v>1316</v>
      </c>
      <c r="F50" s="175">
        <v>27</v>
      </c>
      <c r="G50" s="175" t="s">
        <v>315</v>
      </c>
      <c r="H50" s="175" t="s">
        <v>282</v>
      </c>
      <c r="I50" s="175" t="s">
        <v>494</v>
      </c>
      <c r="J50" s="175" t="s">
        <v>495</v>
      </c>
      <c r="K50" s="175" t="s">
        <v>496</v>
      </c>
      <c r="L50" s="175" t="s">
        <v>497</v>
      </c>
      <c r="M50" s="175" t="s">
        <v>349</v>
      </c>
      <c r="N50" s="176">
        <v>33270</v>
      </c>
      <c r="O50" s="175">
        <v>52</v>
      </c>
      <c r="P50" s="175" t="s">
        <v>61</v>
      </c>
      <c r="Q50" s="174" t="s">
        <v>498</v>
      </c>
      <c r="R50" s="175">
        <v>335</v>
      </c>
      <c r="S50" s="175" t="s">
        <v>499</v>
      </c>
      <c r="T50" s="175" t="s">
        <v>387</v>
      </c>
    </row>
    <row r="51" spans="1:20" ht="15" x14ac:dyDescent="0.3">
      <c r="A51" s="175" t="s">
        <v>501</v>
      </c>
      <c r="B51" s="175" t="s">
        <v>1005</v>
      </c>
      <c r="C51" s="174">
        <v>103062</v>
      </c>
      <c r="D51" s="175" t="s">
        <v>409</v>
      </c>
      <c r="E51" s="175" t="s">
        <v>1316</v>
      </c>
      <c r="F51" s="175">
        <v>35</v>
      </c>
      <c r="G51" s="175" t="s">
        <v>281</v>
      </c>
      <c r="H51" s="175" t="s">
        <v>282</v>
      </c>
      <c r="I51" s="175" t="s">
        <v>283</v>
      </c>
      <c r="J51" s="175" t="s">
        <v>284</v>
      </c>
      <c r="K51" s="175" t="s">
        <v>285</v>
      </c>
      <c r="L51" s="175" t="s">
        <v>286</v>
      </c>
      <c r="M51" s="175" t="s">
        <v>287</v>
      </c>
      <c r="N51" s="176">
        <v>30294</v>
      </c>
      <c r="O51" s="175">
        <v>55</v>
      </c>
      <c r="P51" s="175" t="s">
        <v>61</v>
      </c>
      <c r="Q51" s="174" t="s">
        <v>503</v>
      </c>
      <c r="R51" s="175">
        <v>215</v>
      </c>
      <c r="S51" s="175" t="s">
        <v>289</v>
      </c>
      <c r="T51" s="175" t="s">
        <v>290</v>
      </c>
    </row>
    <row r="52" spans="1:20" s="175" customFormat="1" ht="15" x14ac:dyDescent="0.3">
      <c r="A52" s="175" t="s">
        <v>505</v>
      </c>
      <c r="B52" s="175" t="s">
        <v>1043</v>
      </c>
      <c r="C52" s="174">
        <v>103026</v>
      </c>
      <c r="D52" s="175" t="s">
        <v>422</v>
      </c>
      <c r="E52" s="175" t="s">
        <v>1316</v>
      </c>
      <c r="F52" s="175">
        <v>27</v>
      </c>
      <c r="G52" s="175" t="s">
        <v>281</v>
      </c>
      <c r="H52" s="175" t="s">
        <v>282</v>
      </c>
      <c r="I52" s="175" t="s">
        <v>506</v>
      </c>
      <c r="J52" s="175" t="s">
        <v>507</v>
      </c>
      <c r="K52" s="175" t="s">
        <v>508</v>
      </c>
      <c r="L52" s="175" t="s">
        <v>427</v>
      </c>
      <c r="M52" s="175" t="s">
        <v>384</v>
      </c>
      <c r="N52" s="176">
        <v>33359</v>
      </c>
      <c r="O52" s="175">
        <v>51</v>
      </c>
      <c r="P52" s="175" t="s">
        <v>61</v>
      </c>
      <c r="Q52" s="174" t="s">
        <v>509</v>
      </c>
      <c r="R52" s="175">
        <v>240</v>
      </c>
      <c r="S52" s="175" t="s">
        <v>302</v>
      </c>
      <c r="T52" s="175" t="s">
        <v>375</v>
      </c>
    </row>
    <row r="53" spans="1:20" s="175" customFormat="1" ht="15" x14ac:dyDescent="0.3">
      <c r="A53" s="175" t="s">
        <v>343</v>
      </c>
      <c r="B53" s="175" t="s">
        <v>344</v>
      </c>
      <c r="C53" s="174">
        <v>190922</v>
      </c>
      <c r="D53" s="175" t="s">
        <v>942</v>
      </c>
      <c r="E53" s="175" t="s">
        <v>1318</v>
      </c>
      <c r="F53" s="175">
        <v>0</v>
      </c>
      <c r="G53" s="175" t="s">
        <v>315</v>
      </c>
      <c r="H53" s="175" t="s">
        <v>296</v>
      </c>
      <c r="I53" s="175" t="s">
        <v>957</v>
      </c>
      <c r="J53" s="175" t="s">
        <v>958</v>
      </c>
      <c r="K53" s="175" t="s">
        <v>959</v>
      </c>
      <c r="L53" s="175" t="s">
        <v>960</v>
      </c>
      <c r="M53" s="175" t="s">
        <v>338</v>
      </c>
      <c r="N53" s="176">
        <v>43282</v>
      </c>
      <c r="O53" s="175">
        <v>48</v>
      </c>
      <c r="P53" s="175" t="s">
        <v>61</v>
      </c>
      <c r="Q53" s="174" t="s">
        <v>961</v>
      </c>
      <c r="R53" s="175" t="s">
        <v>559</v>
      </c>
      <c r="S53" s="175" t="s">
        <v>560</v>
      </c>
      <c r="T53" s="175">
        <v>10</v>
      </c>
    </row>
    <row r="54" spans="1:20" s="175" customFormat="1" ht="15" x14ac:dyDescent="0.3">
      <c r="A54" s="175" t="s">
        <v>963</v>
      </c>
      <c r="B54" s="175" t="s">
        <v>1376</v>
      </c>
      <c r="C54" s="174">
        <v>104625</v>
      </c>
      <c r="D54" s="175" t="s">
        <v>294</v>
      </c>
      <c r="E54" s="175" t="s">
        <v>1318</v>
      </c>
      <c r="F54" s="175">
        <v>10</v>
      </c>
      <c r="G54" s="175" t="s">
        <v>281</v>
      </c>
      <c r="H54" s="175" t="s">
        <v>296</v>
      </c>
      <c r="I54" s="175" t="s">
        <v>297</v>
      </c>
      <c r="J54" s="175" t="s">
        <v>298</v>
      </c>
      <c r="K54" s="175" t="s">
        <v>299</v>
      </c>
      <c r="L54" s="175" t="s">
        <v>300</v>
      </c>
      <c r="M54" s="175" t="s">
        <v>287</v>
      </c>
      <c r="N54" s="176">
        <v>39448</v>
      </c>
      <c r="O54" s="175">
        <v>47</v>
      </c>
      <c r="P54" s="175" t="s">
        <v>61</v>
      </c>
      <c r="Q54" s="174" t="s">
        <v>964</v>
      </c>
      <c r="R54" s="175">
        <v>255</v>
      </c>
      <c r="S54" s="175" t="s">
        <v>445</v>
      </c>
      <c r="T54" s="175" t="s">
        <v>303</v>
      </c>
    </row>
    <row r="55" spans="1:20" s="175" customFormat="1" ht="15" x14ac:dyDescent="0.3">
      <c r="A55" s="175" t="s">
        <v>966</v>
      </c>
      <c r="B55" s="175" t="s">
        <v>1374</v>
      </c>
      <c r="C55" s="174">
        <v>104649</v>
      </c>
      <c r="D55" s="175" t="s">
        <v>948</v>
      </c>
      <c r="E55" s="175" t="s">
        <v>1318</v>
      </c>
      <c r="F55" s="175">
        <v>10</v>
      </c>
      <c r="G55" s="175" t="s">
        <v>281</v>
      </c>
      <c r="H55" s="175" t="s">
        <v>296</v>
      </c>
      <c r="I55" s="175" t="s">
        <v>370</v>
      </c>
      <c r="J55" s="175" t="s">
        <v>371</v>
      </c>
      <c r="K55" s="175" t="s">
        <v>372</v>
      </c>
      <c r="L55" s="175" t="s">
        <v>967</v>
      </c>
      <c r="M55" s="175" t="s">
        <v>287</v>
      </c>
      <c r="N55" s="176">
        <v>39448</v>
      </c>
      <c r="O55" s="175">
        <v>50</v>
      </c>
      <c r="P55" s="175" t="s">
        <v>61</v>
      </c>
      <c r="Q55" s="174" t="s">
        <v>968</v>
      </c>
      <c r="R55" s="175">
        <v>240</v>
      </c>
      <c r="S55" s="175" t="s">
        <v>302</v>
      </c>
      <c r="T55" s="175" t="s">
        <v>303</v>
      </c>
    </row>
    <row r="56" spans="1:20" s="175" customFormat="1" ht="15" x14ac:dyDescent="0.3">
      <c r="A56" s="175" t="s">
        <v>511</v>
      </c>
      <c r="B56" s="175" t="s">
        <v>1377</v>
      </c>
      <c r="C56" s="174">
        <v>102960</v>
      </c>
      <c r="D56" s="175" t="s">
        <v>379</v>
      </c>
      <c r="E56" s="175" t="s">
        <v>1316</v>
      </c>
      <c r="F56" s="175">
        <v>13</v>
      </c>
      <c r="G56" s="175" t="s">
        <v>315</v>
      </c>
      <c r="H56" s="175" t="s">
        <v>282</v>
      </c>
      <c r="I56" s="175" t="s">
        <v>380</v>
      </c>
      <c r="J56" s="175" t="s">
        <v>381</v>
      </c>
      <c r="K56" s="175" t="s">
        <v>382</v>
      </c>
      <c r="L56" s="175" t="s">
        <v>383</v>
      </c>
      <c r="M56" s="175" t="s">
        <v>384</v>
      </c>
      <c r="N56" s="176">
        <v>38596</v>
      </c>
      <c r="O56" s="175">
        <v>52</v>
      </c>
      <c r="P56" s="175" t="s">
        <v>61</v>
      </c>
      <c r="Q56" s="174" t="s">
        <v>512</v>
      </c>
      <c r="R56" s="175">
        <v>335</v>
      </c>
      <c r="S56" s="175" t="s">
        <v>499</v>
      </c>
      <c r="T56" s="175" t="s">
        <v>387</v>
      </c>
    </row>
    <row r="57" spans="1:20" s="175" customFormat="1" ht="15" x14ac:dyDescent="0.3">
      <c r="A57" s="175" t="s">
        <v>1143</v>
      </c>
      <c r="B57" s="175" t="s">
        <v>1378</v>
      </c>
      <c r="C57" s="174">
        <v>191743</v>
      </c>
      <c r="D57" s="175" t="s">
        <v>326</v>
      </c>
      <c r="E57" s="175" t="s">
        <v>1317</v>
      </c>
      <c r="F57" s="175">
        <v>11</v>
      </c>
      <c r="G57" s="175" t="s">
        <v>281</v>
      </c>
      <c r="H57" s="175" t="s">
        <v>327</v>
      </c>
      <c r="I57" s="175" t="s">
        <v>283</v>
      </c>
      <c r="J57" s="175" t="s">
        <v>284</v>
      </c>
      <c r="K57" s="175" t="s">
        <v>285</v>
      </c>
      <c r="L57" s="175" t="s">
        <v>328</v>
      </c>
      <c r="M57" s="175" t="s">
        <v>287</v>
      </c>
      <c r="N57" s="176">
        <v>39085</v>
      </c>
      <c r="O57" s="175">
        <v>45</v>
      </c>
      <c r="P57" s="175" t="s">
        <v>61</v>
      </c>
      <c r="Q57" s="174" t="s">
        <v>1144</v>
      </c>
      <c r="R57" s="175">
        <v>240</v>
      </c>
      <c r="S57" s="175" t="s">
        <v>302</v>
      </c>
      <c r="T57" s="175" t="s">
        <v>330</v>
      </c>
    </row>
    <row r="58" spans="1:20" s="175" customFormat="1" ht="15" x14ac:dyDescent="0.3">
      <c r="A58" s="175" t="s">
        <v>970</v>
      </c>
      <c r="B58" s="175" t="s">
        <v>1357</v>
      </c>
      <c r="C58" s="174">
        <v>104664</v>
      </c>
      <c r="D58" s="175" t="s">
        <v>294</v>
      </c>
      <c r="E58" s="175" t="s">
        <v>1318</v>
      </c>
      <c r="F58" s="175">
        <v>10</v>
      </c>
      <c r="G58" s="175" t="s">
        <v>281</v>
      </c>
      <c r="H58" s="175" t="s">
        <v>296</v>
      </c>
      <c r="I58" s="175" t="s">
        <v>283</v>
      </c>
      <c r="J58" s="175" t="s">
        <v>284</v>
      </c>
      <c r="K58" s="175" t="s">
        <v>285</v>
      </c>
      <c r="L58" s="175" t="s">
        <v>307</v>
      </c>
      <c r="M58" s="175" t="s">
        <v>287</v>
      </c>
      <c r="N58" s="176">
        <v>39448</v>
      </c>
      <c r="O58" s="175">
        <v>50</v>
      </c>
      <c r="P58" s="175" t="s">
        <v>61</v>
      </c>
      <c r="Q58" s="174" t="s">
        <v>971</v>
      </c>
      <c r="R58" s="175">
        <v>225</v>
      </c>
      <c r="S58" s="175" t="s">
        <v>361</v>
      </c>
      <c r="T58" s="175" t="s">
        <v>972</v>
      </c>
    </row>
    <row r="59" spans="1:20" s="175" customFormat="1" ht="15" x14ac:dyDescent="0.3">
      <c r="A59" s="175" t="s">
        <v>974</v>
      </c>
      <c r="B59" s="175" t="s">
        <v>1379</v>
      </c>
      <c r="C59" s="174">
        <v>332168</v>
      </c>
      <c r="D59" s="175" t="s">
        <v>948</v>
      </c>
      <c r="E59" s="175" t="s">
        <v>1318</v>
      </c>
      <c r="F59" s="175">
        <v>3</v>
      </c>
      <c r="G59" s="175" t="s">
        <v>281</v>
      </c>
      <c r="H59" s="175" t="s">
        <v>296</v>
      </c>
      <c r="I59" s="175" t="s">
        <v>370</v>
      </c>
      <c r="J59" s="175" t="s">
        <v>371</v>
      </c>
      <c r="K59" s="175" t="s">
        <v>372</v>
      </c>
      <c r="L59" s="175" t="s">
        <v>373</v>
      </c>
      <c r="M59" s="175" t="s">
        <v>384</v>
      </c>
      <c r="N59" s="176">
        <v>42186</v>
      </c>
      <c r="O59" s="175">
        <v>35</v>
      </c>
      <c r="P59" s="175" t="s">
        <v>61</v>
      </c>
      <c r="Q59" s="174" t="s">
        <v>975</v>
      </c>
      <c r="R59" s="175">
        <v>285</v>
      </c>
      <c r="S59" s="175" t="s">
        <v>572</v>
      </c>
      <c r="T59" s="175" t="s">
        <v>303</v>
      </c>
    </row>
    <row r="60" spans="1:20" s="175" customFormat="1" ht="15" x14ac:dyDescent="0.3">
      <c r="A60" s="175" t="s">
        <v>514</v>
      </c>
      <c r="B60" s="175" t="s">
        <v>1380</v>
      </c>
      <c r="C60" s="174">
        <v>10625862</v>
      </c>
      <c r="D60" s="175" t="s">
        <v>516</v>
      </c>
      <c r="E60" s="175" t="s">
        <v>1316</v>
      </c>
      <c r="F60" s="175">
        <v>0</v>
      </c>
      <c r="G60" s="175" t="s">
        <v>315</v>
      </c>
      <c r="H60" s="175" t="s">
        <v>518</v>
      </c>
      <c r="I60" s="175" t="s">
        <v>519</v>
      </c>
      <c r="J60" s="175" t="s">
        <v>520</v>
      </c>
      <c r="K60" s="175" t="s">
        <v>496</v>
      </c>
      <c r="L60" s="175" t="s">
        <v>521</v>
      </c>
      <c r="M60" s="175" t="s">
        <v>320</v>
      </c>
      <c r="N60" s="176">
        <v>43346</v>
      </c>
      <c r="O60" s="175">
        <v>31</v>
      </c>
      <c r="P60" s="175" t="s">
        <v>61</v>
      </c>
      <c r="Q60" s="174" t="s">
        <v>522</v>
      </c>
      <c r="T60" s="175" t="s">
        <v>322</v>
      </c>
    </row>
    <row r="61" spans="1:20" s="175" customFormat="1" ht="15" x14ac:dyDescent="0.3">
      <c r="A61" s="173" t="s">
        <v>524</v>
      </c>
      <c r="B61" s="173" t="s">
        <v>1381</v>
      </c>
      <c r="C61" s="178">
        <v>103064</v>
      </c>
      <c r="D61" s="173" t="s">
        <v>409</v>
      </c>
      <c r="E61" s="173" t="s">
        <v>1316</v>
      </c>
      <c r="F61" s="173">
        <v>35</v>
      </c>
      <c r="G61" s="173" t="s">
        <v>281</v>
      </c>
      <c r="H61" s="173" t="s">
        <v>282</v>
      </c>
      <c r="I61" s="173" t="s">
        <v>283</v>
      </c>
      <c r="J61" s="173" t="s">
        <v>284</v>
      </c>
      <c r="K61" s="173" t="s">
        <v>285</v>
      </c>
      <c r="L61" s="173" t="s">
        <v>391</v>
      </c>
      <c r="M61" s="173" t="s">
        <v>287</v>
      </c>
      <c r="N61" s="179">
        <v>30298</v>
      </c>
      <c r="O61" s="173">
        <v>57</v>
      </c>
      <c r="P61" s="173" t="s">
        <v>63</v>
      </c>
      <c r="Q61" s="178" t="s">
        <v>526</v>
      </c>
      <c r="R61" s="173">
        <v>190</v>
      </c>
      <c r="S61" s="173" t="s">
        <v>309</v>
      </c>
      <c r="T61" s="173" t="s">
        <v>393</v>
      </c>
    </row>
    <row r="62" spans="1:20" s="175" customFormat="1" ht="15" x14ac:dyDescent="0.3">
      <c r="A62" s="175" t="s">
        <v>977</v>
      </c>
      <c r="B62" s="175" t="s">
        <v>1382</v>
      </c>
      <c r="C62" s="174">
        <v>104710</v>
      </c>
      <c r="D62" s="175" t="s">
        <v>294</v>
      </c>
      <c r="E62" s="175" t="s">
        <v>1318</v>
      </c>
      <c r="F62" s="175">
        <v>10</v>
      </c>
      <c r="G62" s="175" t="s">
        <v>281</v>
      </c>
      <c r="H62" s="175" t="s">
        <v>296</v>
      </c>
      <c r="I62" s="175" t="s">
        <v>283</v>
      </c>
      <c r="J62" s="175" t="s">
        <v>284</v>
      </c>
      <c r="K62" s="175" t="s">
        <v>285</v>
      </c>
      <c r="L62" s="175" t="s">
        <v>307</v>
      </c>
      <c r="M62" s="175" t="s">
        <v>287</v>
      </c>
      <c r="N62" s="176">
        <v>39448</v>
      </c>
      <c r="O62" s="175">
        <v>56</v>
      </c>
      <c r="P62" s="175" t="s">
        <v>61</v>
      </c>
      <c r="Q62" s="174" t="s">
        <v>979</v>
      </c>
      <c r="R62" s="175">
        <v>190</v>
      </c>
      <c r="S62" s="175" t="s">
        <v>309</v>
      </c>
      <c r="T62" s="175" t="s">
        <v>290</v>
      </c>
    </row>
    <row r="63" spans="1:20" s="175" customFormat="1" ht="15" x14ac:dyDescent="0.3">
      <c r="A63" s="173" t="s">
        <v>528</v>
      </c>
      <c r="B63" s="173" t="s">
        <v>1383</v>
      </c>
      <c r="C63" s="178">
        <v>102972</v>
      </c>
      <c r="D63" s="173" t="s">
        <v>280</v>
      </c>
      <c r="E63" s="173" t="s">
        <v>1316</v>
      </c>
      <c r="F63" s="173">
        <v>17</v>
      </c>
      <c r="G63" s="173" t="s">
        <v>281</v>
      </c>
      <c r="H63" s="173" t="s">
        <v>282</v>
      </c>
      <c r="I63" s="173" t="s">
        <v>283</v>
      </c>
      <c r="J63" s="173" t="s">
        <v>284</v>
      </c>
      <c r="K63" s="173" t="s">
        <v>285</v>
      </c>
      <c r="L63" s="173" t="s">
        <v>391</v>
      </c>
      <c r="M63" s="173" t="s">
        <v>287</v>
      </c>
      <c r="N63" s="179">
        <v>36998</v>
      </c>
      <c r="O63" s="173">
        <v>57</v>
      </c>
      <c r="P63" s="173" t="s">
        <v>61</v>
      </c>
      <c r="Q63" s="178" t="s">
        <v>530</v>
      </c>
      <c r="R63" s="173">
        <v>170</v>
      </c>
      <c r="S63" s="173" t="s">
        <v>405</v>
      </c>
      <c r="T63" s="173" t="s">
        <v>393</v>
      </c>
    </row>
    <row r="64" spans="1:20" s="175" customFormat="1" ht="15" x14ac:dyDescent="0.3">
      <c r="A64" s="175" t="s">
        <v>981</v>
      </c>
      <c r="B64" s="175" t="s">
        <v>982</v>
      </c>
      <c r="C64" s="174">
        <v>10554392</v>
      </c>
      <c r="D64" s="175" t="s">
        <v>294</v>
      </c>
      <c r="E64" s="175" t="s">
        <v>1318</v>
      </c>
      <c r="F64" s="175">
        <v>1</v>
      </c>
      <c r="G64" s="175" t="s">
        <v>281</v>
      </c>
      <c r="H64" s="175" t="s">
        <v>296</v>
      </c>
      <c r="I64" s="175" t="s">
        <v>283</v>
      </c>
      <c r="J64" s="175" t="s">
        <v>284</v>
      </c>
      <c r="K64" s="175" t="s">
        <v>285</v>
      </c>
      <c r="L64" s="175" t="s">
        <v>930</v>
      </c>
      <c r="M64" s="175" t="s">
        <v>287</v>
      </c>
      <c r="N64" s="176">
        <v>42767</v>
      </c>
      <c r="O64" s="175">
        <v>38</v>
      </c>
      <c r="P64" s="175" t="s">
        <v>63</v>
      </c>
      <c r="Q64" s="174" t="s">
        <v>983</v>
      </c>
      <c r="R64" s="175">
        <v>190</v>
      </c>
      <c r="S64" s="175" t="s">
        <v>309</v>
      </c>
      <c r="T64" s="175" t="s">
        <v>290</v>
      </c>
    </row>
    <row r="65" spans="1:20" s="175" customFormat="1" ht="15" x14ac:dyDescent="0.3">
      <c r="A65" s="175" t="s">
        <v>532</v>
      </c>
      <c r="B65" s="175" t="s">
        <v>1185</v>
      </c>
      <c r="C65" s="174">
        <v>103034</v>
      </c>
      <c r="D65" s="175" t="s">
        <v>493</v>
      </c>
      <c r="E65" s="175" t="s">
        <v>1316</v>
      </c>
      <c r="F65" s="175">
        <v>33</v>
      </c>
      <c r="G65" s="175" t="s">
        <v>315</v>
      </c>
      <c r="H65" s="175" t="s">
        <v>282</v>
      </c>
      <c r="I65" s="175" t="s">
        <v>533</v>
      </c>
      <c r="J65" s="175" t="s">
        <v>534</v>
      </c>
      <c r="K65" s="175" t="s">
        <v>382</v>
      </c>
      <c r="L65" s="175" t="s">
        <v>535</v>
      </c>
      <c r="M65" s="175" t="s">
        <v>384</v>
      </c>
      <c r="N65" s="176">
        <v>31054</v>
      </c>
      <c r="O65" s="175">
        <v>53</v>
      </c>
      <c r="P65" s="175" t="s">
        <v>61</v>
      </c>
      <c r="Q65" s="174" t="s">
        <v>536</v>
      </c>
      <c r="R65" s="175">
        <v>335</v>
      </c>
      <c r="S65" s="175" t="s">
        <v>499</v>
      </c>
      <c r="T65" s="175" t="s">
        <v>537</v>
      </c>
    </row>
    <row r="66" spans="1:20" s="175" customFormat="1" ht="15" x14ac:dyDescent="0.3">
      <c r="A66" s="175" t="s">
        <v>539</v>
      </c>
      <c r="B66" s="175" t="s">
        <v>1384</v>
      </c>
      <c r="C66" s="174">
        <v>102894</v>
      </c>
      <c r="D66" s="175" t="s">
        <v>280</v>
      </c>
      <c r="E66" s="175" t="s">
        <v>1316</v>
      </c>
      <c r="F66" s="175">
        <v>10</v>
      </c>
      <c r="G66" s="175" t="s">
        <v>281</v>
      </c>
      <c r="H66" s="175" t="s">
        <v>282</v>
      </c>
      <c r="I66" s="175" t="s">
        <v>283</v>
      </c>
      <c r="J66" s="175" t="s">
        <v>284</v>
      </c>
      <c r="K66" s="175" t="s">
        <v>285</v>
      </c>
      <c r="L66" s="175" t="s">
        <v>391</v>
      </c>
      <c r="M66" s="175" t="s">
        <v>287</v>
      </c>
      <c r="N66" s="176">
        <v>39412</v>
      </c>
      <c r="O66" s="175">
        <v>46</v>
      </c>
      <c r="P66" s="175" t="s">
        <v>61</v>
      </c>
      <c r="Q66" s="174" t="s">
        <v>541</v>
      </c>
      <c r="R66" s="175">
        <v>170</v>
      </c>
      <c r="S66" s="175" t="s">
        <v>405</v>
      </c>
      <c r="T66" s="175" t="s">
        <v>393</v>
      </c>
    </row>
    <row r="67" spans="1:20" s="175" customFormat="1" ht="15" x14ac:dyDescent="0.3">
      <c r="A67" s="173" t="s">
        <v>543</v>
      </c>
      <c r="B67" s="173" t="s">
        <v>1385</v>
      </c>
      <c r="C67" s="178">
        <v>103050</v>
      </c>
      <c r="D67" s="173" t="s">
        <v>256</v>
      </c>
      <c r="E67" s="173" t="s">
        <v>1316</v>
      </c>
      <c r="F67" s="173">
        <v>34</v>
      </c>
      <c r="G67" s="173" t="s">
        <v>315</v>
      </c>
      <c r="H67" s="173" t="s">
        <v>282</v>
      </c>
      <c r="I67" s="173" t="s">
        <v>545</v>
      </c>
      <c r="J67" s="173" t="s">
        <v>546</v>
      </c>
      <c r="K67" s="173" t="s">
        <v>547</v>
      </c>
      <c r="L67" s="173" t="s">
        <v>548</v>
      </c>
      <c r="M67" s="173" t="s">
        <v>320</v>
      </c>
      <c r="N67" s="179">
        <v>30834</v>
      </c>
      <c r="O67" s="173">
        <v>57</v>
      </c>
      <c r="P67" s="173" t="s">
        <v>61</v>
      </c>
      <c r="Q67" s="178" t="s">
        <v>549</v>
      </c>
      <c r="R67" s="173">
        <v>305</v>
      </c>
      <c r="S67" s="173" t="s">
        <v>386</v>
      </c>
      <c r="T67" s="173" t="s">
        <v>387</v>
      </c>
    </row>
    <row r="68" spans="1:20" s="175" customFormat="1" ht="15" x14ac:dyDescent="0.3">
      <c r="A68" s="175" t="s">
        <v>551</v>
      </c>
      <c r="B68" s="175" t="s">
        <v>924</v>
      </c>
      <c r="C68" s="174">
        <v>102968</v>
      </c>
      <c r="D68" s="175" t="s">
        <v>280</v>
      </c>
      <c r="E68" s="175" t="s">
        <v>1316</v>
      </c>
      <c r="F68" s="175">
        <v>17</v>
      </c>
      <c r="G68" s="175" t="s">
        <v>281</v>
      </c>
      <c r="H68" s="175" t="s">
        <v>282</v>
      </c>
      <c r="I68" s="175" t="s">
        <v>283</v>
      </c>
      <c r="J68" s="175" t="s">
        <v>284</v>
      </c>
      <c r="K68" s="175" t="s">
        <v>285</v>
      </c>
      <c r="L68" s="175" t="s">
        <v>437</v>
      </c>
      <c r="M68" s="175" t="s">
        <v>287</v>
      </c>
      <c r="N68" s="176">
        <v>36941</v>
      </c>
      <c r="O68" s="175">
        <v>55</v>
      </c>
      <c r="P68" s="175" t="s">
        <v>61</v>
      </c>
      <c r="Q68" s="174" t="s">
        <v>552</v>
      </c>
      <c r="R68" s="175">
        <v>190</v>
      </c>
      <c r="S68" s="175" t="s">
        <v>309</v>
      </c>
      <c r="T68" s="175" t="s">
        <v>330</v>
      </c>
    </row>
    <row r="69" spans="1:20" s="175" customFormat="1" ht="15" x14ac:dyDescent="0.3">
      <c r="A69" s="173" t="s">
        <v>493</v>
      </c>
      <c r="B69" s="173" t="s">
        <v>1043</v>
      </c>
      <c r="C69" s="178">
        <v>11655</v>
      </c>
      <c r="D69" s="173" t="s">
        <v>343</v>
      </c>
      <c r="E69" s="173" t="s">
        <v>1316</v>
      </c>
      <c r="F69" s="173"/>
      <c r="G69" s="173" t="s">
        <v>315</v>
      </c>
      <c r="H69" s="173" t="s">
        <v>296</v>
      </c>
      <c r="I69" s="173" t="s">
        <v>554</v>
      </c>
      <c r="J69" s="173" t="s">
        <v>555</v>
      </c>
      <c r="K69" s="173" t="s">
        <v>556</v>
      </c>
      <c r="L69" s="173" t="s">
        <v>557</v>
      </c>
      <c r="M69" s="173" t="s">
        <v>338</v>
      </c>
      <c r="N69" s="179">
        <v>42948</v>
      </c>
      <c r="O69" s="173">
        <v>57</v>
      </c>
      <c r="P69" s="173" t="s">
        <v>61</v>
      </c>
      <c r="Q69" s="178" t="s">
        <v>558</v>
      </c>
      <c r="R69" s="173" t="s">
        <v>559</v>
      </c>
      <c r="S69" s="173" t="s">
        <v>560</v>
      </c>
      <c r="T69" s="173">
        <v>8</v>
      </c>
    </row>
    <row r="70" spans="1:20" s="175" customFormat="1" ht="15" x14ac:dyDescent="0.3">
      <c r="A70" s="175" t="s">
        <v>934</v>
      </c>
      <c r="B70" s="175" t="s">
        <v>1386</v>
      </c>
      <c r="C70" s="174">
        <v>332340</v>
      </c>
      <c r="D70" s="175" t="s">
        <v>948</v>
      </c>
      <c r="E70" s="175" t="s">
        <v>1318</v>
      </c>
      <c r="F70" s="175">
        <v>3</v>
      </c>
      <c r="G70" s="175" t="s">
        <v>281</v>
      </c>
      <c r="H70" s="175" t="s">
        <v>296</v>
      </c>
      <c r="I70" s="175" t="s">
        <v>370</v>
      </c>
      <c r="J70" s="175" t="s">
        <v>371</v>
      </c>
      <c r="K70" s="175" t="s">
        <v>372</v>
      </c>
      <c r="L70" s="175" t="s">
        <v>373</v>
      </c>
      <c r="M70" s="175" t="s">
        <v>384</v>
      </c>
      <c r="N70" s="176">
        <v>42186</v>
      </c>
      <c r="O70" s="175">
        <v>26</v>
      </c>
      <c r="P70" s="175" t="s">
        <v>61</v>
      </c>
      <c r="Q70" s="174" t="s">
        <v>986</v>
      </c>
      <c r="R70" s="175">
        <v>285</v>
      </c>
      <c r="S70" s="175" t="s">
        <v>572</v>
      </c>
      <c r="T70" s="175" t="s">
        <v>303</v>
      </c>
    </row>
    <row r="71" spans="1:20" s="175" customFormat="1" ht="15" x14ac:dyDescent="0.3">
      <c r="A71" s="173" t="s">
        <v>562</v>
      </c>
      <c r="B71" s="173" t="s">
        <v>1387</v>
      </c>
      <c r="C71" s="178">
        <v>103012</v>
      </c>
      <c r="D71" s="173" t="s">
        <v>409</v>
      </c>
      <c r="E71" s="173" t="s">
        <v>1316</v>
      </c>
      <c r="F71" s="173">
        <v>25</v>
      </c>
      <c r="G71" s="173" t="s">
        <v>281</v>
      </c>
      <c r="H71" s="173" t="s">
        <v>282</v>
      </c>
      <c r="I71" s="173" t="s">
        <v>283</v>
      </c>
      <c r="J71" s="173" t="s">
        <v>284</v>
      </c>
      <c r="K71" s="173" t="s">
        <v>285</v>
      </c>
      <c r="L71" s="173" t="s">
        <v>391</v>
      </c>
      <c r="M71" s="173" t="s">
        <v>287</v>
      </c>
      <c r="N71" s="179">
        <v>34090</v>
      </c>
      <c r="O71" s="173">
        <v>56</v>
      </c>
      <c r="P71" s="173" t="s">
        <v>61</v>
      </c>
      <c r="Q71" s="178" t="s">
        <v>563</v>
      </c>
      <c r="R71" s="173">
        <v>240</v>
      </c>
      <c r="S71" s="173" t="s">
        <v>302</v>
      </c>
      <c r="T71" s="173" t="s">
        <v>290</v>
      </c>
    </row>
    <row r="72" spans="1:20" s="175" customFormat="1" ht="15" x14ac:dyDescent="0.3">
      <c r="A72" s="175" t="s">
        <v>565</v>
      </c>
      <c r="B72" s="175" t="s">
        <v>1104</v>
      </c>
      <c r="C72" s="174">
        <v>102973</v>
      </c>
      <c r="D72" s="175" t="s">
        <v>409</v>
      </c>
      <c r="E72" s="175" t="s">
        <v>1316</v>
      </c>
      <c r="F72" s="175">
        <v>17</v>
      </c>
      <c r="G72" s="175" t="s">
        <v>281</v>
      </c>
      <c r="H72" s="175" t="s">
        <v>282</v>
      </c>
      <c r="I72" s="175" t="s">
        <v>283</v>
      </c>
      <c r="J72" s="175" t="s">
        <v>284</v>
      </c>
      <c r="K72" s="175" t="s">
        <v>285</v>
      </c>
      <c r="L72" s="175" t="s">
        <v>391</v>
      </c>
      <c r="M72" s="175" t="s">
        <v>287</v>
      </c>
      <c r="N72" s="176">
        <v>36998</v>
      </c>
      <c r="O72" s="175">
        <v>51</v>
      </c>
      <c r="P72" s="175" t="s">
        <v>61</v>
      </c>
      <c r="Q72" s="174" t="s">
        <v>566</v>
      </c>
      <c r="R72" s="175">
        <v>170</v>
      </c>
      <c r="S72" s="175" t="s">
        <v>405</v>
      </c>
      <c r="T72" s="175" t="s">
        <v>393</v>
      </c>
    </row>
    <row r="73" spans="1:20" s="175" customFormat="1" ht="15" x14ac:dyDescent="0.3">
      <c r="A73" s="175" t="s">
        <v>988</v>
      </c>
      <c r="B73" s="175" t="s">
        <v>1104</v>
      </c>
      <c r="C73" s="174">
        <v>104650</v>
      </c>
      <c r="D73" s="175" t="s">
        <v>294</v>
      </c>
      <c r="E73" s="175" t="s">
        <v>1318</v>
      </c>
      <c r="F73" s="175">
        <v>10</v>
      </c>
      <c r="G73" s="175" t="s">
        <v>281</v>
      </c>
      <c r="H73" s="175" t="s">
        <v>296</v>
      </c>
      <c r="I73" s="175" t="s">
        <v>283</v>
      </c>
      <c r="J73" s="175" t="s">
        <v>284</v>
      </c>
      <c r="K73" s="175" t="s">
        <v>285</v>
      </c>
      <c r="L73" s="175" t="s">
        <v>307</v>
      </c>
      <c r="M73" s="175" t="s">
        <v>287</v>
      </c>
      <c r="N73" s="176">
        <v>39448</v>
      </c>
      <c r="O73" s="175">
        <v>53</v>
      </c>
      <c r="P73" s="175" t="s">
        <v>61</v>
      </c>
      <c r="Q73" s="174" t="s">
        <v>989</v>
      </c>
      <c r="R73" s="175">
        <v>190</v>
      </c>
      <c r="S73" s="175" t="s">
        <v>309</v>
      </c>
      <c r="T73" s="175" t="s">
        <v>330</v>
      </c>
    </row>
    <row r="74" spans="1:20" ht="15" x14ac:dyDescent="0.3">
      <c r="A74" s="175" t="s">
        <v>991</v>
      </c>
      <c r="B74" s="175" t="s">
        <v>1388</v>
      </c>
      <c r="C74" s="174">
        <v>10555317</v>
      </c>
      <c r="D74" s="175" t="s">
        <v>294</v>
      </c>
      <c r="E74" s="175" t="s">
        <v>1318</v>
      </c>
      <c r="F74" s="175">
        <v>1</v>
      </c>
      <c r="G74" s="175" t="s">
        <v>281</v>
      </c>
      <c r="H74" s="175" t="s">
        <v>296</v>
      </c>
      <c r="I74" s="175" t="s">
        <v>283</v>
      </c>
      <c r="J74" s="175" t="s">
        <v>284</v>
      </c>
      <c r="K74" s="175" t="s">
        <v>285</v>
      </c>
      <c r="L74" s="175" t="s">
        <v>925</v>
      </c>
      <c r="M74" s="175" t="s">
        <v>287</v>
      </c>
      <c r="N74" s="176">
        <v>42767</v>
      </c>
      <c r="O74" s="175">
        <v>50</v>
      </c>
      <c r="P74" s="175" t="s">
        <v>61</v>
      </c>
      <c r="Q74" s="174" t="s">
        <v>993</v>
      </c>
      <c r="R74" s="175">
        <v>190</v>
      </c>
      <c r="S74" s="175" t="s">
        <v>309</v>
      </c>
      <c r="T74" s="175" t="s">
        <v>290</v>
      </c>
    </row>
    <row r="75" spans="1:20" s="175" customFormat="1" ht="15" x14ac:dyDescent="0.3">
      <c r="A75" s="175" t="s">
        <v>568</v>
      </c>
      <c r="B75" s="175" t="s">
        <v>569</v>
      </c>
      <c r="C75" s="174">
        <v>68142</v>
      </c>
      <c r="D75" s="175" t="s">
        <v>493</v>
      </c>
      <c r="E75" s="175" t="s">
        <v>1316</v>
      </c>
      <c r="G75" s="175" t="s">
        <v>315</v>
      </c>
      <c r="H75" s="175" t="s">
        <v>282</v>
      </c>
      <c r="I75" s="175" t="s">
        <v>533</v>
      </c>
      <c r="J75" s="175" t="s">
        <v>534</v>
      </c>
      <c r="K75" s="175" t="s">
        <v>382</v>
      </c>
      <c r="L75" s="175" t="s">
        <v>570</v>
      </c>
      <c r="M75" s="175" t="s">
        <v>384</v>
      </c>
      <c r="N75" s="176">
        <v>42552</v>
      </c>
      <c r="O75" s="175">
        <v>33</v>
      </c>
      <c r="P75" s="175" t="s">
        <v>61</v>
      </c>
      <c r="Q75" s="174" t="s">
        <v>571</v>
      </c>
      <c r="R75" s="175">
        <v>285</v>
      </c>
      <c r="S75" s="175" t="s">
        <v>572</v>
      </c>
      <c r="T75" s="175" t="s">
        <v>573</v>
      </c>
    </row>
    <row r="76" spans="1:20" s="175" customFormat="1" ht="15" x14ac:dyDescent="0.3">
      <c r="A76" s="175" t="s">
        <v>575</v>
      </c>
      <c r="B76" s="175" t="s">
        <v>1389</v>
      </c>
      <c r="C76" s="174">
        <v>103003</v>
      </c>
      <c r="D76" s="175" t="s">
        <v>364</v>
      </c>
      <c r="E76" s="175" t="s">
        <v>1316</v>
      </c>
      <c r="F76" s="175">
        <v>20</v>
      </c>
      <c r="G76" s="175" t="s">
        <v>281</v>
      </c>
      <c r="H76" s="175" t="s">
        <v>282</v>
      </c>
      <c r="I76" s="175" t="s">
        <v>415</v>
      </c>
      <c r="J76" s="175" t="s">
        <v>416</v>
      </c>
      <c r="K76" s="175" t="s">
        <v>417</v>
      </c>
      <c r="L76" s="175" t="s">
        <v>366</v>
      </c>
      <c r="M76" s="175" t="s">
        <v>287</v>
      </c>
      <c r="N76" s="176">
        <v>35982</v>
      </c>
      <c r="O76" s="175">
        <v>55</v>
      </c>
      <c r="P76" s="175" t="s">
        <v>61</v>
      </c>
      <c r="Q76" s="174" t="s">
        <v>577</v>
      </c>
      <c r="R76" s="175">
        <v>215</v>
      </c>
      <c r="S76" s="175" t="s">
        <v>289</v>
      </c>
      <c r="T76" s="175" t="s">
        <v>330</v>
      </c>
    </row>
    <row r="77" spans="1:20" s="175" customFormat="1" ht="15" x14ac:dyDescent="0.3">
      <c r="A77" s="175" t="s">
        <v>579</v>
      </c>
      <c r="B77" s="175" t="s">
        <v>1390</v>
      </c>
      <c r="C77" s="174">
        <v>103074</v>
      </c>
      <c r="D77" s="175" t="s">
        <v>516</v>
      </c>
      <c r="E77" s="175" t="s">
        <v>1316</v>
      </c>
      <c r="F77" s="175">
        <v>35</v>
      </c>
      <c r="G77" s="175" t="s">
        <v>315</v>
      </c>
      <c r="H77" s="175" t="s">
        <v>282</v>
      </c>
      <c r="I77" s="175" t="s">
        <v>519</v>
      </c>
      <c r="J77" s="175" t="s">
        <v>520</v>
      </c>
      <c r="K77" s="175" t="s">
        <v>496</v>
      </c>
      <c r="L77" s="175" t="s">
        <v>580</v>
      </c>
      <c r="M77" s="175" t="s">
        <v>384</v>
      </c>
      <c r="N77" s="176">
        <v>30531</v>
      </c>
      <c r="O77" s="175">
        <v>56</v>
      </c>
      <c r="P77" s="175" t="s">
        <v>61</v>
      </c>
      <c r="Q77" s="174" t="s">
        <v>581</v>
      </c>
      <c r="R77" s="175">
        <v>305</v>
      </c>
      <c r="S77" s="175" t="s">
        <v>386</v>
      </c>
      <c r="T77" s="175" t="s">
        <v>387</v>
      </c>
    </row>
    <row r="78" spans="1:20" s="175" customFormat="1" ht="15" x14ac:dyDescent="0.3">
      <c r="A78" s="175" t="s">
        <v>583</v>
      </c>
      <c r="B78" s="175" t="s">
        <v>1378</v>
      </c>
      <c r="C78" s="174">
        <v>102984</v>
      </c>
      <c r="D78" s="175" t="s">
        <v>409</v>
      </c>
      <c r="E78" s="175" t="s">
        <v>1316</v>
      </c>
      <c r="F78" s="175">
        <v>19</v>
      </c>
      <c r="G78" s="175" t="s">
        <v>281</v>
      </c>
      <c r="H78" s="175" t="s">
        <v>282</v>
      </c>
      <c r="I78" s="175" t="s">
        <v>283</v>
      </c>
      <c r="J78" s="175" t="s">
        <v>284</v>
      </c>
      <c r="K78" s="175" t="s">
        <v>285</v>
      </c>
      <c r="L78" s="175" t="s">
        <v>286</v>
      </c>
      <c r="M78" s="175" t="s">
        <v>287</v>
      </c>
      <c r="N78" s="176">
        <v>36465</v>
      </c>
      <c r="O78" s="175">
        <v>42</v>
      </c>
      <c r="P78" s="175" t="s">
        <v>61</v>
      </c>
      <c r="Q78" s="174" t="s">
        <v>585</v>
      </c>
      <c r="R78" s="175">
        <v>215</v>
      </c>
      <c r="S78" s="175" t="s">
        <v>289</v>
      </c>
      <c r="T78" s="175" t="s">
        <v>290</v>
      </c>
    </row>
    <row r="79" spans="1:20" ht="15" x14ac:dyDescent="0.3">
      <c r="A79" s="175" t="s">
        <v>587</v>
      </c>
      <c r="B79" s="175" t="s">
        <v>1391</v>
      </c>
      <c r="C79" s="174">
        <v>102981</v>
      </c>
      <c r="D79" s="175" t="s">
        <v>280</v>
      </c>
      <c r="E79" s="175" t="s">
        <v>1316</v>
      </c>
      <c r="F79" s="175">
        <v>20</v>
      </c>
      <c r="G79" s="175" t="s">
        <v>281</v>
      </c>
      <c r="H79" s="175" t="s">
        <v>282</v>
      </c>
      <c r="I79" s="175" t="s">
        <v>297</v>
      </c>
      <c r="J79" s="175" t="s">
        <v>298</v>
      </c>
      <c r="K79" s="175" t="s">
        <v>299</v>
      </c>
      <c r="L79" s="175" t="s">
        <v>300</v>
      </c>
      <c r="M79" s="175" t="s">
        <v>287</v>
      </c>
      <c r="N79" s="176">
        <v>35982</v>
      </c>
      <c r="O79" s="175">
        <v>51</v>
      </c>
      <c r="P79" s="175" t="s">
        <v>61</v>
      </c>
      <c r="Q79" s="174" t="s">
        <v>589</v>
      </c>
      <c r="R79" s="175">
        <v>255</v>
      </c>
      <c r="S79" s="175" t="s">
        <v>445</v>
      </c>
      <c r="T79" s="175" t="s">
        <v>375</v>
      </c>
    </row>
    <row r="80" spans="1:20" s="175" customFormat="1" ht="15" x14ac:dyDescent="0.3">
      <c r="A80" s="175" t="s">
        <v>587</v>
      </c>
      <c r="B80" s="175" t="s">
        <v>995</v>
      </c>
      <c r="C80" s="174">
        <v>288443</v>
      </c>
      <c r="D80" s="175" t="s">
        <v>294</v>
      </c>
      <c r="E80" s="175" t="s">
        <v>1318</v>
      </c>
      <c r="F80" s="175">
        <v>4</v>
      </c>
      <c r="G80" s="175" t="s">
        <v>281</v>
      </c>
      <c r="H80" s="175" t="s">
        <v>296</v>
      </c>
      <c r="I80" s="175" t="s">
        <v>297</v>
      </c>
      <c r="J80" s="175" t="s">
        <v>298</v>
      </c>
      <c r="K80" s="175" t="s">
        <v>299</v>
      </c>
      <c r="L80" s="175" t="s">
        <v>300</v>
      </c>
      <c r="M80" s="175" t="s">
        <v>287</v>
      </c>
      <c r="N80" s="176">
        <v>41730</v>
      </c>
      <c r="O80" s="175">
        <v>29</v>
      </c>
      <c r="P80" s="175" t="s">
        <v>61</v>
      </c>
      <c r="Q80" s="174" t="s">
        <v>996</v>
      </c>
      <c r="R80" s="175">
        <v>240</v>
      </c>
      <c r="S80" s="175" t="s">
        <v>302</v>
      </c>
      <c r="T80" s="175" t="s">
        <v>303</v>
      </c>
    </row>
    <row r="81" spans="1:20" s="175" customFormat="1" ht="15" x14ac:dyDescent="0.3">
      <c r="A81" s="175" t="s">
        <v>591</v>
      </c>
      <c r="B81" s="175" t="s">
        <v>1120</v>
      </c>
      <c r="C81" s="174">
        <v>102983</v>
      </c>
      <c r="D81" s="175" t="s">
        <v>493</v>
      </c>
      <c r="E81" s="175" t="s">
        <v>1316</v>
      </c>
      <c r="F81" s="175">
        <v>18</v>
      </c>
      <c r="G81" s="175" t="s">
        <v>315</v>
      </c>
      <c r="H81" s="175" t="s">
        <v>282</v>
      </c>
      <c r="I81" s="175" t="s">
        <v>533</v>
      </c>
      <c r="J81" s="175" t="s">
        <v>534</v>
      </c>
      <c r="K81" s="175" t="s">
        <v>382</v>
      </c>
      <c r="L81" s="175" t="s">
        <v>535</v>
      </c>
      <c r="M81" s="175" t="s">
        <v>384</v>
      </c>
      <c r="N81" s="176">
        <v>36557</v>
      </c>
      <c r="O81" s="175">
        <v>42</v>
      </c>
      <c r="P81" s="175" t="s">
        <v>61</v>
      </c>
      <c r="Q81" s="174" t="s">
        <v>592</v>
      </c>
      <c r="R81" s="175">
        <v>285</v>
      </c>
      <c r="S81" s="175" t="s">
        <v>572</v>
      </c>
      <c r="T81" s="175" t="s">
        <v>573</v>
      </c>
    </row>
    <row r="82" spans="1:20" s="175" customFormat="1" ht="15" x14ac:dyDescent="0.3">
      <c r="A82" s="175" t="s">
        <v>1107</v>
      </c>
      <c r="B82" s="175" t="s">
        <v>1053</v>
      </c>
      <c r="C82" s="174">
        <v>191667</v>
      </c>
      <c r="D82" s="175" t="s">
        <v>326</v>
      </c>
      <c r="E82" s="175" t="s">
        <v>1317</v>
      </c>
      <c r="F82" s="175">
        <v>27</v>
      </c>
      <c r="G82" s="175" t="s">
        <v>281</v>
      </c>
      <c r="H82" s="175" t="s">
        <v>327</v>
      </c>
      <c r="I82" s="175" t="s">
        <v>357</v>
      </c>
      <c r="J82" s="175" t="s">
        <v>358</v>
      </c>
      <c r="K82" s="175" t="s">
        <v>285</v>
      </c>
      <c r="L82" s="175" t="s">
        <v>1049</v>
      </c>
      <c r="M82" s="175" t="s">
        <v>287</v>
      </c>
      <c r="N82" s="176">
        <v>33240</v>
      </c>
      <c r="O82" s="175">
        <v>50</v>
      </c>
      <c r="P82" s="175" t="s">
        <v>61</v>
      </c>
      <c r="Q82" s="174" t="s">
        <v>1108</v>
      </c>
      <c r="R82" s="175">
        <v>215</v>
      </c>
      <c r="S82" s="175" t="s">
        <v>289</v>
      </c>
      <c r="T82" s="175" t="s">
        <v>290</v>
      </c>
    </row>
    <row r="83" spans="1:20" s="175" customFormat="1" ht="15" x14ac:dyDescent="0.3">
      <c r="A83" s="175" t="s">
        <v>594</v>
      </c>
      <c r="B83" s="175" t="s">
        <v>1372</v>
      </c>
      <c r="C83" s="174">
        <v>103061</v>
      </c>
      <c r="D83" s="175" t="s">
        <v>364</v>
      </c>
      <c r="E83" s="175" t="s">
        <v>1316</v>
      </c>
      <c r="F83" s="175">
        <v>33</v>
      </c>
      <c r="G83" s="175" t="s">
        <v>281</v>
      </c>
      <c r="H83" s="175" t="s">
        <v>282</v>
      </c>
      <c r="I83" s="175" t="s">
        <v>357</v>
      </c>
      <c r="J83" s="175" t="s">
        <v>358</v>
      </c>
      <c r="K83" s="175" t="s">
        <v>285</v>
      </c>
      <c r="L83" s="175" t="s">
        <v>366</v>
      </c>
      <c r="M83" s="175" t="s">
        <v>384</v>
      </c>
      <c r="N83" s="176">
        <v>31020</v>
      </c>
      <c r="O83" s="175">
        <v>55</v>
      </c>
      <c r="P83" s="175" t="s">
        <v>61</v>
      </c>
      <c r="Q83" s="174" t="s">
        <v>595</v>
      </c>
      <c r="R83" s="175">
        <v>270</v>
      </c>
      <c r="S83" s="175" t="s">
        <v>596</v>
      </c>
      <c r="T83" s="175" t="s">
        <v>597</v>
      </c>
    </row>
    <row r="84" spans="1:20" s="175" customFormat="1" ht="15" x14ac:dyDescent="0.3">
      <c r="A84" s="175" t="s">
        <v>599</v>
      </c>
      <c r="B84" s="175" t="s">
        <v>1392</v>
      </c>
      <c r="C84" s="174">
        <v>102990</v>
      </c>
      <c r="D84" s="175" t="s">
        <v>280</v>
      </c>
      <c r="E84" s="175" t="s">
        <v>1316</v>
      </c>
      <c r="F84" s="175">
        <v>18</v>
      </c>
      <c r="G84" s="175" t="s">
        <v>281</v>
      </c>
      <c r="H84" s="175" t="s">
        <v>282</v>
      </c>
      <c r="I84" s="175" t="s">
        <v>283</v>
      </c>
      <c r="J84" s="175" t="s">
        <v>284</v>
      </c>
      <c r="K84" s="175" t="s">
        <v>285</v>
      </c>
      <c r="L84" s="175" t="s">
        <v>286</v>
      </c>
      <c r="M84" s="175" t="s">
        <v>287</v>
      </c>
      <c r="N84" s="176">
        <v>36648</v>
      </c>
      <c r="O84" s="175">
        <v>42</v>
      </c>
      <c r="P84" s="175" t="s">
        <v>61</v>
      </c>
      <c r="Q84" s="174" t="s">
        <v>601</v>
      </c>
      <c r="R84" s="175">
        <v>215</v>
      </c>
      <c r="S84" s="175" t="s">
        <v>289</v>
      </c>
      <c r="T84" s="175" t="s">
        <v>290</v>
      </c>
    </row>
    <row r="85" spans="1:20" s="175" customFormat="1" ht="15" x14ac:dyDescent="0.3">
      <c r="A85" s="175" t="s">
        <v>127</v>
      </c>
      <c r="B85" s="175" t="s">
        <v>1374</v>
      </c>
      <c r="C85" s="174">
        <v>103056</v>
      </c>
      <c r="D85" s="175" t="s">
        <v>313</v>
      </c>
      <c r="E85" s="175" t="s">
        <v>1316</v>
      </c>
      <c r="F85" s="175">
        <v>34</v>
      </c>
      <c r="G85" s="175" t="s">
        <v>281</v>
      </c>
      <c r="H85" s="175" t="s">
        <v>282</v>
      </c>
      <c r="I85" s="175" t="s">
        <v>370</v>
      </c>
      <c r="J85" s="175" t="s">
        <v>371</v>
      </c>
      <c r="K85" s="175" t="s">
        <v>372</v>
      </c>
      <c r="L85" s="175" t="s">
        <v>603</v>
      </c>
      <c r="M85" s="175" t="s">
        <v>384</v>
      </c>
      <c r="N85" s="176">
        <v>30949</v>
      </c>
      <c r="O85" s="175">
        <v>53</v>
      </c>
      <c r="P85" s="175" t="s">
        <v>61</v>
      </c>
      <c r="Q85" s="174" t="s">
        <v>604</v>
      </c>
      <c r="R85" s="175">
        <v>255</v>
      </c>
      <c r="S85" s="175" t="s">
        <v>445</v>
      </c>
      <c r="T85" s="175" t="s">
        <v>375</v>
      </c>
    </row>
    <row r="86" spans="1:20" s="175" customFormat="1" ht="15" x14ac:dyDescent="0.3">
      <c r="A86" s="175" t="s">
        <v>606</v>
      </c>
      <c r="B86" s="175" t="s">
        <v>1393</v>
      </c>
      <c r="C86" s="174">
        <v>102895</v>
      </c>
      <c r="D86" s="175" t="s">
        <v>280</v>
      </c>
      <c r="E86" s="175" t="s">
        <v>1316</v>
      </c>
      <c r="F86" s="175">
        <v>10</v>
      </c>
      <c r="G86" s="175" t="s">
        <v>281</v>
      </c>
      <c r="H86" s="175" t="s">
        <v>282</v>
      </c>
      <c r="I86" s="175" t="s">
        <v>283</v>
      </c>
      <c r="J86" s="175" t="s">
        <v>284</v>
      </c>
      <c r="K86" s="175" t="s">
        <v>285</v>
      </c>
      <c r="L86" s="175" t="s">
        <v>432</v>
      </c>
      <c r="M86" s="175" t="s">
        <v>287</v>
      </c>
      <c r="N86" s="176">
        <v>39412</v>
      </c>
      <c r="O86" s="175">
        <v>32</v>
      </c>
      <c r="P86" s="175" t="s">
        <v>61</v>
      </c>
      <c r="Q86" s="174" t="s">
        <v>608</v>
      </c>
      <c r="R86" s="175">
        <v>190</v>
      </c>
      <c r="S86" s="175" t="s">
        <v>309</v>
      </c>
      <c r="T86" s="175" t="s">
        <v>330</v>
      </c>
    </row>
    <row r="87" spans="1:20" s="175" customFormat="1" ht="15" x14ac:dyDescent="0.3">
      <c r="A87" s="175" t="s">
        <v>516</v>
      </c>
      <c r="B87" s="175" t="s">
        <v>517</v>
      </c>
      <c r="C87" s="174">
        <v>69432</v>
      </c>
      <c r="D87" s="175" t="s">
        <v>343</v>
      </c>
      <c r="E87" s="175" t="s">
        <v>1316</v>
      </c>
      <c r="F87" s="175">
        <v>11</v>
      </c>
      <c r="G87" s="175" t="s">
        <v>315</v>
      </c>
      <c r="H87" s="175" t="s">
        <v>282</v>
      </c>
      <c r="I87" s="175" t="s">
        <v>610</v>
      </c>
      <c r="J87" s="175" t="s">
        <v>611</v>
      </c>
      <c r="K87" s="175" t="s">
        <v>612</v>
      </c>
      <c r="L87" s="175" t="s">
        <v>613</v>
      </c>
      <c r="M87" s="175" t="s">
        <v>338</v>
      </c>
      <c r="N87" s="176">
        <v>42186</v>
      </c>
      <c r="O87" s="175">
        <v>53</v>
      </c>
      <c r="P87" s="175" t="s">
        <v>61</v>
      </c>
      <c r="Q87" s="174" t="s">
        <v>614</v>
      </c>
      <c r="R87" s="175" t="s">
        <v>559</v>
      </c>
      <c r="S87" s="175" t="s">
        <v>560</v>
      </c>
      <c r="T87" s="175">
        <v>8</v>
      </c>
    </row>
    <row r="88" spans="1:20" s="175" customFormat="1" ht="15" x14ac:dyDescent="0.3">
      <c r="A88" s="175" t="s">
        <v>616</v>
      </c>
      <c r="B88" s="175" t="s">
        <v>924</v>
      </c>
      <c r="C88" s="174">
        <v>103092</v>
      </c>
      <c r="D88" s="175" t="s">
        <v>364</v>
      </c>
      <c r="E88" s="175" t="s">
        <v>1316</v>
      </c>
      <c r="F88" s="175">
        <v>36</v>
      </c>
      <c r="G88" s="175" t="s">
        <v>281</v>
      </c>
      <c r="H88" s="175" t="s">
        <v>282</v>
      </c>
      <c r="I88" s="175" t="s">
        <v>357</v>
      </c>
      <c r="J88" s="175" t="s">
        <v>358</v>
      </c>
      <c r="K88" s="175" t="s">
        <v>285</v>
      </c>
      <c r="L88" s="175" t="s">
        <v>366</v>
      </c>
      <c r="M88" s="175" t="s">
        <v>287</v>
      </c>
      <c r="N88" s="176">
        <v>30032</v>
      </c>
      <c r="O88" s="175">
        <v>56</v>
      </c>
      <c r="P88" s="175" t="s">
        <v>61</v>
      </c>
      <c r="Q88" s="174" t="s">
        <v>617</v>
      </c>
      <c r="R88" s="175">
        <v>215</v>
      </c>
      <c r="S88" s="175" t="s">
        <v>289</v>
      </c>
      <c r="T88" s="175" t="s">
        <v>330</v>
      </c>
    </row>
    <row r="89" spans="1:20" s="175" customFormat="1" ht="15" x14ac:dyDescent="0.3">
      <c r="A89" s="175" t="s">
        <v>619</v>
      </c>
      <c r="B89" s="175" t="s">
        <v>1394</v>
      </c>
      <c r="C89" s="174">
        <v>102896</v>
      </c>
      <c r="D89" s="175" t="s">
        <v>364</v>
      </c>
      <c r="E89" s="175" t="s">
        <v>1316</v>
      </c>
      <c r="F89" s="175">
        <v>10</v>
      </c>
      <c r="G89" s="175" t="s">
        <v>281</v>
      </c>
      <c r="H89" s="175" t="s">
        <v>282</v>
      </c>
      <c r="I89" s="175" t="s">
        <v>357</v>
      </c>
      <c r="J89" s="175" t="s">
        <v>358</v>
      </c>
      <c r="K89" s="175" t="s">
        <v>285</v>
      </c>
      <c r="L89" s="175" t="s">
        <v>366</v>
      </c>
      <c r="M89" s="175" t="s">
        <v>287</v>
      </c>
      <c r="N89" s="176">
        <v>39412</v>
      </c>
      <c r="O89" s="175">
        <v>44</v>
      </c>
      <c r="P89" s="175" t="s">
        <v>61</v>
      </c>
      <c r="Q89" s="174" t="s">
        <v>621</v>
      </c>
      <c r="R89" s="175">
        <v>215</v>
      </c>
      <c r="S89" s="175" t="s">
        <v>289</v>
      </c>
      <c r="T89" s="175" t="s">
        <v>290</v>
      </c>
    </row>
    <row r="90" spans="1:20" s="175" customFormat="1" ht="15" x14ac:dyDescent="0.3">
      <c r="A90" s="175" t="s">
        <v>619</v>
      </c>
      <c r="B90" s="175" t="s">
        <v>924</v>
      </c>
      <c r="C90" s="174">
        <v>191504</v>
      </c>
      <c r="D90" s="175" t="s">
        <v>326</v>
      </c>
      <c r="E90" s="175" t="s">
        <v>1317</v>
      </c>
      <c r="F90" s="175">
        <v>26</v>
      </c>
      <c r="G90" s="175" t="s">
        <v>281</v>
      </c>
      <c r="H90" s="175" t="s">
        <v>327</v>
      </c>
      <c r="I90" s="175" t="s">
        <v>283</v>
      </c>
      <c r="J90" s="175" t="s">
        <v>284</v>
      </c>
      <c r="K90" s="175" t="s">
        <v>285</v>
      </c>
      <c r="L90" s="175" t="s">
        <v>328</v>
      </c>
      <c r="M90" s="175" t="s">
        <v>287</v>
      </c>
      <c r="N90" s="176">
        <v>33695</v>
      </c>
      <c r="O90" s="175">
        <v>56</v>
      </c>
      <c r="P90" s="175" t="s">
        <v>61</v>
      </c>
      <c r="Q90" s="174" t="s">
        <v>1080</v>
      </c>
      <c r="R90" s="175">
        <v>190</v>
      </c>
      <c r="S90" s="175" t="s">
        <v>309</v>
      </c>
      <c r="T90" s="175" t="s">
        <v>330</v>
      </c>
    </row>
    <row r="91" spans="1:20" s="175" customFormat="1" ht="15" x14ac:dyDescent="0.3">
      <c r="A91" s="175" t="s">
        <v>623</v>
      </c>
      <c r="B91" s="175" t="s">
        <v>1395</v>
      </c>
      <c r="C91" s="174">
        <v>102897</v>
      </c>
      <c r="D91" s="175" t="s">
        <v>280</v>
      </c>
      <c r="E91" s="175" t="s">
        <v>1316</v>
      </c>
      <c r="F91" s="175">
        <v>10</v>
      </c>
      <c r="G91" s="175" t="s">
        <v>281</v>
      </c>
      <c r="H91" s="175" t="s">
        <v>282</v>
      </c>
      <c r="I91" s="175" t="s">
        <v>283</v>
      </c>
      <c r="J91" s="175" t="s">
        <v>284</v>
      </c>
      <c r="K91" s="175" t="s">
        <v>285</v>
      </c>
      <c r="L91" s="175" t="s">
        <v>432</v>
      </c>
      <c r="M91" s="175" t="s">
        <v>287</v>
      </c>
      <c r="N91" s="176">
        <v>39412</v>
      </c>
      <c r="O91" s="175">
        <v>41</v>
      </c>
      <c r="P91" s="175" t="s">
        <v>61</v>
      </c>
      <c r="Q91" s="174" t="s">
        <v>625</v>
      </c>
      <c r="R91" s="175">
        <v>190</v>
      </c>
      <c r="S91" s="175" t="s">
        <v>309</v>
      </c>
      <c r="T91" s="175" t="s">
        <v>290</v>
      </c>
    </row>
    <row r="92" spans="1:20" s="175" customFormat="1" ht="15" x14ac:dyDescent="0.3">
      <c r="A92" s="175" t="s">
        <v>355</v>
      </c>
      <c r="B92" s="175" t="s">
        <v>356</v>
      </c>
      <c r="C92" s="174">
        <v>12837</v>
      </c>
      <c r="D92" s="175" t="s">
        <v>343</v>
      </c>
      <c r="E92" s="175" t="s">
        <v>1318</v>
      </c>
      <c r="F92" s="175">
        <v>17</v>
      </c>
      <c r="G92" s="175" t="s">
        <v>315</v>
      </c>
      <c r="H92" s="175" t="s">
        <v>296</v>
      </c>
      <c r="I92" s="175" t="s">
        <v>957</v>
      </c>
      <c r="J92" s="175" t="s">
        <v>958</v>
      </c>
      <c r="K92" s="175" t="s">
        <v>959</v>
      </c>
      <c r="L92" s="175" t="s">
        <v>998</v>
      </c>
      <c r="M92" s="175" t="s">
        <v>338</v>
      </c>
      <c r="N92" s="176">
        <v>42278</v>
      </c>
      <c r="O92" s="175">
        <v>43</v>
      </c>
      <c r="P92" s="175" t="s">
        <v>63</v>
      </c>
      <c r="Q92" s="174" t="s">
        <v>999</v>
      </c>
      <c r="R92" s="175" t="s">
        <v>559</v>
      </c>
      <c r="S92" s="175" t="s">
        <v>560</v>
      </c>
      <c r="T92" s="175">
        <v>8</v>
      </c>
    </row>
    <row r="93" spans="1:20" s="175" customFormat="1" ht="15" x14ac:dyDescent="0.3">
      <c r="A93" s="173" t="s">
        <v>627</v>
      </c>
      <c r="B93" s="173" t="s">
        <v>1396</v>
      </c>
      <c r="C93" s="178">
        <v>103083</v>
      </c>
      <c r="D93" s="173" t="s">
        <v>409</v>
      </c>
      <c r="E93" s="173" t="s">
        <v>1316</v>
      </c>
      <c r="F93" s="173">
        <v>35</v>
      </c>
      <c r="G93" s="173" t="s">
        <v>281</v>
      </c>
      <c r="H93" s="173" t="s">
        <v>282</v>
      </c>
      <c r="I93" s="173" t="s">
        <v>283</v>
      </c>
      <c r="J93" s="173" t="s">
        <v>284</v>
      </c>
      <c r="K93" s="173" t="s">
        <v>285</v>
      </c>
      <c r="L93" s="173" t="s">
        <v>391</v>
      </c>
      <c r="M93" s="173" t="s">
        <v>287</v>
      </c>
      <c r="N93" s="179">
        <v>30278</v>
      </c>
      <c r="O93" s="173">
        <v>57</v>
      </c>
      <c r="P93" s="173" t="s">
        <v>63</v>
      </c>
      <c r="Q93" s="178" t="s">
        <v>629</v>
      </c>
      <c r="R93" s="173">
        <v>170</v>
      </c>
      <c r="S93" s="173" t="s">
        <v>405</v>
      </c>
      <c r="T93" s="173" t="s">
        <v>393</v>
      </c>
    </row>
    <row r="94" spans="1:20" s="175" customFormat="1" ht="15" x14ac:dyDescent="0.3">
      <c r="A94" s="175" t="s">
        <v>631</v>
      </c>
      <c r="B94" s="175" t="s">
        <v>1397</v>
      </c>
      <c r="C94" s="174">
        <v>103017</v>
      </c>
      <c r="D94" s="175" t="s">
        <v>364</v>
      </c>
      <c r="E94" s="175" t="s">
        <v>1316</v>
      </c>
      <c r="F94" s="175">
        <v>25</v>
      </c>
      <c r="G94" s="175" t="s">
        <v>281</v>
      </c>
      <c r="H94" s="175" t="s">
        <v>282</v>
      </c>
      <c r="I94" s="175" t="s">
        <v>633</v>
      </c>
      <c r="J94" s="175" t="s">
        <v>634</v>
      </c>
      <c r="K94" s="175" t="s">
        <v>299</v>
      </c>
      <c r="L94" s="175" t="s">
        <v>300</v>
      </c>
      <c r="M94" s="175" t="s">
        <v>287</v>
      </c>
      <c r="N94" s="176">
        <v>34213</v>
      </c>
      <c r="O94" s="175">
        <v>54</v>
      </c>
      <c r="P94" s="175" t="s">
        <v>63</v>
      </c>
      <c r="Q94" s="174" t="s">
        <v>635</v>
      </c>
      <c r="R94" s="175">
        <v>240</v>
      </c>
      <c r="S94" s="175" t="s">
        <v>302</v>
      </c>
      <c r="T94" s="175" t="s">
        <v>375</v>
      </c>
    </row>
    <row r="95" spans="1:20" s="175" customFormat="1" ht="15" x14ac:dyDescent="0.3">
      <c r="A95" s="175" t="s">
        <v>637</v>
      </c>
      <c r="B95" s="175" t="s">
        <v>638</v>
      </c>
      <c r="C95" s="174">
        <v>10631106</v>
      </c>
      <c r="D95" s="175" t="s">
        <v>343</v>
      </c>
      <c r="E95" s="175" t="s">
        <v>1316</v>
      </c>
      <c r="F95" s="175">
        <v>0</v>
      </c>
      <c r="G95" s="175" t="s">
        <v>315</v>
      </c>
      <c r="H95" s="175" t="s">
        <v>518</v>
      </c>
      <c r="I95" s="175" t="s">
        <v>639</v>
      </c>
      <c r="J95" s="175" t="s">
        <v>640</v>
      </c>
      <c r="K95" s="175" t="s">
        <v>556</v>
      </c>
      <c r="L95" s="175" t="s">
        <v>641</v>
      </c>
      <c r="M95" s="175" t="s">
        <v>338</v>
      </c>
      <c r="N95" s="176">
        <v>43346</v>
      </c>
      <c r="O95" s="175">
        <v>33</v>
      </c>
      <c r="P95" s="175" t="s">
        <v>63</v>
      </c>
      <c r="Q95" s="174" t="s">
        <v>642</v>
      </c>
      <c r="R95" s="175" t="s">
        <v>340</v>
      </c>
      <c r="S95" s="175" t="s">
        <v>341</v>
      </c>
      <c r="T95" s="175">
        <v>8</v>
      </c>
    </row>
    <row r="96" spans="1:20" ht="15" x14ac:dyDescent="0.3">
      <c r="A96" s="175" t="s">
        <v>422</v>
      </c>
      <c r="B96" s="175" t="s">
        <v>1398</v>
      </c>
      <c r="C96" s="174">
        <v>103019</v>
      </c>
      <c r="D96" s="175" t="s">
        <v>493</v>
      </c>
      <c r="E96" s="175" t="s">
        <v>1316</v>
      </c>
      <c r="F96" s="175">
        <v>24</v>
      </c>
      <c r="G96" s="175" t="s">
        <v>315</v>
      </c>
      <c r="H96" s="175" t="s">
        <v>282</v>
      </c>
      <c r="I96" s="175" t="s">
        <v>644</v>
      </c>
      <c r="J96" s="175" t="s">
        <v>645</v>
      </c>
      <c r="K96" s="175" t="s">
        <v>336</v>
      </c>
      <c r="L96" s="175" t="s">
        <v>646</v>
      </c>
      <c r="M96" s="175" t="s">
        <v>384</v>
      </c>
      <c r="N96" s="176">
        <v>34486</v>
      </c>
      <c r="O96" s="175">
        <v>53</v>
      </c>
      <c r="P96" s="175" t="s">
        <v>61</v>
      </c>
      <c r="Q96" s="174" t="s">
        <v>647</v>
      </c>
      <c r="R96" s="175">
        <v>335</v>
      </c>
      <c r="S96" s="175" t="s">
        <v>499</v>
      </c>
      <c r="T96" s="175" t="s">
        <v>387</v>
      </c>
    </row>
    <row r="97" spans="1:20" s="175" customFormat="1" ht="15" x14ac:dyDescent="0.3">
      <c r="A97" s="175" t="s">
        <v>649</v>
      </c>
      <c r="B97" s="175" t="s">
        <v>1075</v>
      </c>
      <c r="C97" s="174">
        <v>103057</v>
      </c>
      <c r="D97" s="175" t="s">
        <v>256</v>
      </c>
      <c r="E97" s="175" t="s">
        <v>1316</v>
      </c>
      <c r="F97" s="175">
        <v>34</v>
      </c>
      <c r="G97" s="175" t="s">
        <v>315</v>
      </c>
      <c r="H97" s="175" t="s">
        <v>282</v>
      </c>
      <c r="I97" s="175" t="s">
        <v>650</v>
      </c>
      <c r="J97" s="175" t="s">
        <v>651</v>
      </c>
      <c r="K97" s="175" t="s">
        <v>652</v>
      </c>
      <c r="L97" s="175" t="s">
        <v>653</v>
      </c>
      <c r="M97" s="175" t="s">
        <v>320</v>
      </c>
      <c r="N97" s="176">
        <v>30949</v>
      </c>
      <c r="O97" s="175">
        <v>56</v>
      </c>
      <c r="P97" s="175" t="s">
        <v>61</v>
      </c>
      <c r="Q97" s="174" t="s">
        <v>654</v>
      </c>
      <c r="R97" s="175">
        <v>285</v>
      </c>
      <c r="S97" s="175" t="s">
        <v>572</v>
      </c>
      <c r="T97" s="175" t="s">
        <v>573</v>
      </c>
    </row>
    <row r="98" spans="1:20" s="175" customFormat="1" ht="15" x14ac:dyDescent="0.3">
      <c r="A98" s="175" t="s">
        <v>656</v>
      </c>
      <c r="B98" s="175" t="s">
        <v>396</v>
      </c>
      <c r="C98" s="174">
        <v>102898</v>
      </c>
      <c r="D98" s="175" t="s">
        <v>409</v>
      </c>
      <c r="E98" s="175" t="s">
        <v>1316</v>
      </c>
      <c r="F98" s="175">
        <v>10</v>
      </c>
      <c r="G98" s="175" t="s">
        <v>281</v>
      </c>
      <c r="H98" s="175" t="s">
        <v>282</v>
      </c>
      <c r="I98" s="175" t="s">
        <v>283</v>
      </c>
      <c r="J98" s="175" t="s">
        <v>284</v>
      </c>
      <c r="K98" s="175" t="s">
        <v>285</v>
      </c>
      <c r="L98" s="175" t="s">
        <v>391</v>
      </c>
      <c r="M98" s="175" t="s">
        <v>287</v>
      </c>
      <c r="N98" s="176">
        <v>39412</v>
      </c>
      <c r="O98" s="175">
        <v>45</v>
      </c>
      <c r="P98" s="175" t="s">
        <v>61</v>
      </c>
      <c r="Q98" s="174" t="s">
        <v>657</v>
      </c>
      <c r="R98" s="175">
        <v>190</v>
      </c>
      <c r="S98" s="175" t="s">
        <v>309</v>
      </c>
      <c r="T98" s="175" t="s">
        <v>330</v>
      </c>
    </row>
    <row r="99" spans="1:20" s="175" customFormat="1" ht="15" x14ac:dyDescent="0.3">
      <c r="A99" s="175" t="s">
        <v>1042</v>
      </c>
      <c r="B99" s="175" t="s">
        <v>1043</v>
      </c>
      <c r="C99" s="174">
        <v>190953</v>
      </c>
      <c r="D99" s="175" t="s">
        <v>326</v>
      </c>
      <c r="E99" s="175" t="s">
        <v>1317</v>
      </c>
      <c r="F99" s="175">
        <v>14</v>
      </c>
      <c r="G99" s="175" t="s">
        <v>315</v>
      </c>
      <c r="H99" s="175" t="s">
        <v>327</v>
      </c>
      <c r="I99" s="175" t="s">
        <v>710</v>
      </c>
      <c r="J99" s="175" t="s">
        <v>711</v>
      </c>
      <c r="K99" s="175" t="s">
        <v>382</v>
      </c>
      <c r="L99" s="175" t="s">
        <v>1044</v>
      </c>
      <c r="M99" s="175" t="s">
        <v>384</v>
      </c>
      <c r="N99" s="176">
        <v>38018</v>
      </c>
      <c r="O99" s="175">
        <v>46</v>
      </c>
      <c r="P99" s="175" t="s">
        <v>61</v>
      </c>
      <c r="Q99" s="174" t="s">
        <v>1045</v>
      </c>
      <c r="R99" s="175">
        <v>335</v>
      </c>
      <c r="S99" s="175" t="s">
        <v>499</v>
      </c>
      <c r="T99" s="175" t="s">
        <v>387</v>
      </c>
    </row>
    <row r="100" spans="1:20" s="175" customFormat="1" ht="15" x14ac:dyDescent="0.3">
      <c r="A100" s="175" t="s">
        <v>659</v>
      </c>
      <c r="B100" s="175" t="s">
        <v>1104</v>
      </c>
      <c r="C100" s="174">
        <v>103081</v>
      </c>
      <c r="D100" s="175" t="s">
        <v>409</v>
      </c>
      <c r="E100" s="175" t="s">
        <v>1316</v>
      </c>
      <c r="F100" s="175">
        <v>35</v>
      </c>
      <c r="G100" s="175" t="s">
        <v>281</v>
      </c>
      <c r="H100" s="175" t="s">
        <v>282</v>
      </c>
      <c r="I100" s="175" t="s">
        <v>297</v>
      </c>
      <c r="J100" s="175" t="s">
        <v>298</v>
      </c>
      <c r="K100" s="175" t="s">
        <v>299</v>
      </c>
      <c r="L100" s="175" t="s">
        <v>300</v>
      </c>
      <c r="M100" s="175" t="s">
        <v>287</v>
      </c>
      <c r="N100" s="176">
        <v>30263</v>
      </c>
      <c r="O100" s="175">
        <v>56</v>
      </c>
      <c r="P100" s="175" t="s">
        <v>61</v>
      </c>
      <c r="Q100" s="174" t="s">
        <v>660</v>
      </c>
      <c r="R100" s="175">
        <v>255</v>
      </c>
      <c r="S100" s="175" t="s">
        <v>445</v>
      </c>
      <c r="T100" s="175" t="s">
        <v>375</v>
      </c>
    </row>
    <row r="101" spans="1:20" s="175" customFormat="1" ht="15" x14ac:dyDescent="0.3">
      <c r="A101" s="175" t="s">
        <v>1001</v>
      </c>
      <c r="B101" s="175" t="s">
        <v>1372</v>
      </c>
      <c r="C101" s="174">
        <v>104638</v>
      </c>
      <c r="D101" s="175" t="s">
        <v>294</v>
      </c>
      <c r="E101" s="175" t="s">
        <v>1318</v>
      </c>
      <c r="F101" s="175">
        <v>10</v>
      </c>
      <c r="G101" s="175" t="s">
        <v>281</v>
      </c>
      <c r="H101" s="175" t="s">
        <v>296</v>
      </c>
      <c r="I101" s="175" t="s">
        <v>283</v>
      </c>
      <c r="J101" s="175" t="s">
        <v>284</v>
      </c>
      <c r="K101" s="175" t="s">
        <v>285</v>
      </c>
      <c r="L101" s="175" t="s">
        <v>307</v>
      </c>
      <c r="M101" s="175" t="s">
        <v>287</v>
      </c>
      <c r="N101" s="176">
        <v>39448</v>
      </c>
      <c r="O101" s="175">
        <v>41</v>
      </c>
      <c r="P101" s="175" t="s">
        <v>61</v>
      </c>
      <c r="Q101" s="174" t="s">
        <v>1002</v>
      </c>
      <c r="R101" s="175">
        <v>190</v>
      </c>
      <c r="S101" s="175" t="s">
        <v>309</v>
      </c>
      <c r="T101" s="175" t="s">
        <v>290</v>
      </c>
    </row>
    <row r="102" spans="1:20" s="175" customFormat="1" ht="15" x14ac:dyDescent="0.3">
      <c r="A102" s="175" t="s">
        <v>1004</v>
      </c>
      <c r="B102" s="175" t="s">
        <v>1005</v>
      </c>
      <c r="C102" s="174">
        <v>76818</v>
      </c>
      <c r="D102" s="175" t="s">
        <v>355</v>
      </c>
      <c r="E102" s="175" t="s">
        <v>1318</v>
      </c>
      <c r="G102" s="175" t="s">
        <v>281</v>
      </c>
      <c r="H102" s="175" t="s">
        <v>296</v>
      </c>
      <c r="I102" s="175" t="s">
        <v>1006</v>
      </c>
      <c r="J102" s="175" t="s">
        <v>1007</v>
      </c>
      <c r="K102" s="175" t="s">
        <v>372</v>
      </c>
      <c r="L102" s="175" t="s">
        <v>1008</v>
      </c>
      <c r="M102" s="175" t="s">
        <v>384</v>
      </c>
      <c r="N102" s="176">
        <v>42401</v>
      </c>
      <c r="O102" s="175">
        <v>57</v>
      </c>
      <c r="P102" s="175" t="s">
        <v>61</v>
      </c>
      <c r="Q102" s="174" t="s">
        <v>1009</v>
      </c>
      <c r="R102" s="175">
        <v>285</v>
      </c>
      <c r="S102" s="175" t="s">
        <v>572</v>
      </c>
      <c r="T102" s="175" t="s">
        <v>573</v>
      </c>
    </row>
    <row r="103" spans="1:20" s="175" customFormat="1" ht="15" x14ac:dyDescent="0.3">
      <c r="A103" s="175" t="s">
        <v>662</v>
      </c>
      <c r="B103" s="175" t="s">
        <v>1399</v>
      </c>
      <c r="C103" s="174">
        <v>103004</v>
      </c>
      <c r="D103" s="175" t="s">
        <v>493</v>
      </c>
      <c r="E103" s="175" t="s">
        <v>1316</v>
      </c>
      <c r="F103" s="175">
        <v>20</v>
      </c>
      <c r="G103" s="175" t="s">
        <v>315</v>
      </c>
      <c r="H103" s="175" t="s">
        <v>282</v>
      </c>
      <c r="I103" s="175" t="s">
        <v>533</v>
      </c>
      <c r="J103" s="175" t="s">
        <v>534</v>
      </c>
      <c r="K103" s="175" t="s">
        <v>382</v>
      </c>
      <c r="L103" s="175" t="s">
        <v>535</v>
      </c>
      <c r="M103" s="175" t="s">
        <v>384</v>
      </c>
      <c r="N103" s="176">
        <v>35982</v>
      </c>
      <c r="O103" s="175">
        <v>50</v>
      </c>
      <c r="P103" s="175" t="s">
        <v>61</v>
      </c>
      <c r="Q103" s="174" t="s">
        <v>664</v>
      </c>
      <c r="R103" s="175">
        <v>285</v>
      </c>
      <c r="S103" s="175" t="s">
        <v>572</v>
      </c>
      <c r="T103" s="175" t="s">
        <v>573</v>
      </c>
    </row>
    <row r="104" spans="1:20" s="175" customFormat="1" ht="15" x14ac:dyDescent="0.3">
      <c r="A104" s="175" t="s">
        <v>666</v>
      </c>
      <c r="B104" s="175" t="s">
        <v>1387</v>
      </c>
      <c r="C104" s="174">
        <v>103046</v>
      </c>
      <c r="D104" s="175" t="s">
        <v>313</v>
      </c>
      <c r="E104" s="175" t="s">
        <v>1316</v>
      </c>
      <c r="F104" s="175">
        <v>28</v>
      </c>
      <c r="G104" s="175" t="s">
        <v>281</v>
      </c>
      <c r="H104" s="175" t="s">
        <v>282</v>
      </c>
      <c r="I104" s="175" t="s">
        <v>370</v>
      </c>
      <c r="J104" s="175" t="s">
        <v>371</v>
      </c>
      <c r="K104" s="175" t="s">
        <v>372</v>
      </c>
      <c r="L104" s="175" t="s">
        <v>373</v>
      </c>
      <c r="M104" s="175" t="s">
        <v>287</v>
      </c>
      <c r="N104" s="176">
        <v>33055</v>
      </c>
      <c r="O104" s="175">
        <v>49</v>
      </c>
      <c r="P104" s="175" t="s">
        <v>61</v>
      </c>
      <c r="Q104" s="174" t="s">
        <v>667</v>
      </c>
      <c r="R104" s="175">
        <v>270</v>
      </c>
      <c r="S104" s="175" t="s">
        <v>596</v>
      </c>
      <c r="T104" s="175" t="s">
        <v>375</v>
      </c>
    </row>
    <row r="105" spans="1:20" s="175" customFormat="1" ht="15" x14ac:dyDescent="0.3">
      <c r="A105" s="175" t="s">
        <v>669</v>
      </c>
      <c r="B105" s="175" t="s">
        <v>1372</v>
      </c>
      <c r="C105" s="174">
        <v>102928</v>
      </c>
      <c r="D105" s="175" t="s">
        <v>280</v>
      </c>
      <c r="E105" s="175" t="s">
        <v>1316</v>
      </c>
      <c r="F105" s="175">
        <v>12</v>
      </c>
      <c r="G105" s="175" t="s">
        <v>281</v>
      </c>
      <c r="H105" s="175" t="s">
        <v>282</v>
      </c>
      <c r="I105" s="175" t="s">
        <v>283</v>
      </c>
      <c r="J105" s="175" t="s">
        <v>284</v>
      </c>
      <c r="K105" s="175" t="s">
        <v>285</v>
      </c>
      <c r="L105" s="175" t="s">
        <v>286</v>
      </c>
      <c r="M105" s="175" t="s">
        <v>287</v>
      </c>
      <c r="N105" s="176">
        <v>38991</v>
      </c>
      <c r="O105" s="175">
        <v>33</v>
      </c>
      <c r="P105" s="175" t="s">
        <v>61</v>
      </c>
      <c r="Q105" s="174" t="s">
        <v>670</v>
      </c>
      <c r="R105" s="175">
        <v>190</v>
      </c>
      <c r="S105" s="175" t="s">
        <v>309</v>
      </c>
      <c r="T105" s="175" t="s">
        <v>290</v>
      </c>
    </row>
    <row r="106" spans="1:20" s="175" customFormat="1" ht="15" x14ac:dyDescent="0.3">
      <c r="A106" s="175" t="s">
        <v>1011</v>
      </c>
      <c r="B106" s="175" t="s">
        <v>1387</v>
      </c>
      <c r="C106" s="174">
        <v>104656</v>
      </c>
      <c r="D106" s="175" t="s">
        <v>948</v>
      </c>
      <c r="E106" s="175" t="s">
        <v>1318</v>
      </c>
      <c r="F106" s="175">
        <v>10</v>
      </c>
      <c r="G106" s="175" t="s">
        <v>281</v>
      </c>
      <c r="H106" s="175" t="s">
        <v>296</v>
      </c>
      <c r="I106" s="175" t="s">
        <v>370</v>
      </c>
      <c r="J106" s="175" t="s">
        <v>371</v>
      </c>
      <c r="K106" s="175" t="s">
        <v>372</v>
      </c>
      <c r="L106" s="175" t="s">
        <v>967</v>
      </c>
      <c r="M106" s="175" t="s">
        <v>287</v>
      </c>
      <c r="N106" s="176">
        <v>39448</v>
      </c>
      <c r="O106" s="175">
        <v>54</v>
      </c>
      <c r="P106" s="175" t="s">
        <v>61</v>
      </c>
      <c r="Q106" s="174" t="s">
        <v>1012</v>
      </c>
      <c r="R106" s="175">
        <v>240</v>
      </c>
      <c r="S106" s="175" t="s">
        <v>302</v>
      </c>
      <c r="T106" s="175" t="s">
        <v>303</v>
      </c>
    </row>
    <row r="107" spans="1:20" ht="15" x14ac:dyDescent="0.3">
      <c r="A107" s="175" t="s">
        <v>672</v>
      </c>
      <c r="B107" s="175" t="s">
        <v>1400</v>
      </c>
      <c r="C107" s="174">
        <v>103093</v>
      </c>
      <c r="D107" s="175" t="s">
        <v>364</v>
      </c>
      <c r="E107" s="175" t="s">
        <v>1316</v>
      </c>
      <c r="F107" s="175">
        <v>36</v>
      </c>
      <c r="G107" s="175" t="s">
        <v>281</v>
      </c>
      <c r="H107" s="175" t="s">
        <v>282</v>
      </c>
      <c r="I107" s="175" t="s">
        <v>357</v>
      </c>
      <c r="J107" s="175" t="s">
        <v>358</v>
      </c>
      <c r="K107" s="175" t="s">
        <v>285</v>
      </c>
      <c r="L107" s="175" t="s">
        <v>673</v>
      </c>
      <c r="M107" s="175" t="s">
        <v>287</v>
      </c>
      <c r="N107" s="176">
        <v>30032</v>
      </c>
      <c r="O107" s="175">
        <v>56</v>
      </c>
      <c r="P107" s="175" t="s">
        <v>61</v>
      </c>
      <c r="Q107" s="174" t="s">
        <v>674</v>
      </c>
      <c r="R107" s="175">
        <v>215</v>
      </c>
      <c r="S107" s="175" t="s">
        <v>289</v>
      </c>
      <c r="T107" s="175" t="s">
        <v>330</v>
      </c>
    </row>
    <row r="108" spans="1:20" ht="15" x14ac:dyDescent="0.3">
      <c r="A108" s="175" t="s">
        <v>1029</v>
      </c>
      <c r="B108" s="175" t="s">
        <v>1401</v>
      </c>
      <c r="C108" s="174">
        <v>104655</v>
      </c>
      <c r="D108" s="175" t="s">
        <v>294</v>
      </c>
      <c r="E108" s="175" t="s">
        <v>1318</v>
      </c>
      <c r="F108" s="175">
        <v>10</v>
      </c>
      <c r="G108" s="175" t="s">
        <v>281</v>
      </c>
      <c r="H108" s="175" t="s">
        <v>296</v>
      </c>
      <c r="I108" s="175" t="s">
        <v>283</v>
      </c>
      <c r="J108" s="175" t="s">
        <v>284</v>
      </c>
      <c r="K108" s="175" t="s">
        <v>285</v>
      </c>
      <c r="L108" s="175" t="s">
        <v>307</v>
      </c>
      <c r="M108" s="175" t="s">
        <v>287</v>
      </c>
      <c r="N108" s="176">
        <v>39448</v>
      </c>
      <c r="O108" s="175">
        <v>54</v>
      </c>
      <c r="P108" s="175" t="s">
        <v>61</v>
      </c>
      <c r="Q108" s="174" t="s">
        <v>1030</v>
      </c>
      <c r="R108" s="175">
        <v>190</v>
      </c>
      <c r="S108" s="175" t="s">
        <v>309</v>
      </c>
      <c r="T108" s="175" t="s">
        <v>290</v>
      </c>
    </row>
    <row r="109" spans="1:20" s="175" customFormat="1" ht="15" x14ac:dyDescent="0.3">
      <c r="A109" s="175" t="s">
        <v>676</v>
      </c>
      <c r="B109" s="175" t="s">
        <v>1075</v>
      </c>
      <c r="C109" s="174">
        <v>103063</v>
      </c>
      <c r="D109" s="175" t="s">
        <v>280</v>
      </c>
      <c r="E109" s="175" t="s">
        <v>1316</v>
      </c>
      <c r="F109" s="175">
        <v>35</v>
      </c>
      <c r="G109" s="175" t="s">
        <v>281</v>
      </c>
      <c r="H109" s="175" t="s">
        <v>282</v>
      </c>
      <c r="I109" s="175" t="s">
        <v>297</v>
      </c>
      <c r="J109" s="175" t="s">
        <v>298</v>
      </c>
      <c r="K109" s="175" t="s">
        <v>299</v>
      </c>
      <c r="L109" s="175" t="s">
        <v>300</v>
      </c>
      <c r="M109" s="175" t="s">
        <v>287</v>
      </c>
      <c r="N109" s="176">
        <v>30294</v>
      </c>
      <c r="O109" s="175">
        <v>55</v>
      </c>
      <c r="P109" s="175" t="s">
        <v>61</v>
      </c>
      <c r="Q109" s="174" t="s">
        <v>677</v>
      </c>
      <c r="R109" s="175">
        <v>255</v>
      </c>
      <c r="S109" s="175" t="s">
        <v>445</v>
      </c>
      <c r="T109" s="175" t="s">
        <v>375</v>
      </c>
    </row>
    <row r="110" spans="1:20" s="175" customFormat="1" ht="15" x14ac:dyDescent="0.3">
      <c r="A110" s="175" t="s">
        <v>1032</v>
      </c>
      <c r="B110" s="175" t="s">
        <v>1033</v>
      </c>
      <c r="C110" s="174">
        <v>10555049</v>
      </c>
      <c r="D110" s="175" t="s">
        <v>294</v>
      </c>
      <c r="E110" s="175" t="s">
        <v>1318</v>
      </c>
      <c r="F110" s="175">
        <v>1</v>
      </c>
      <c r="G110" s="175" t="s">
        <v>281</v>
      </c>
      <c r="H110" s="175" t="s">
        <v>296</v>
      </c>
      <c r="I110" s="175" t="s">
        <v>283</v>
      </c>
      <c r="J110" s="175" t="s">
        <v>284</v>
      </c>
      <c r="K110" s="175" t="s">
        <v>285</v>
      </c>
      <c r="L110" s="175" t="s">
        <v>930</v>
      </c>
      <c r="M110" s="175" t="s">
        <v>287</v>
      </c>
      <c r="N110" s="176">
        <v>42767</v>
      </c>
      <c r="O110" s="175">
        <v>43</v>
      </c>
      <c r="P110" s="175" t="s">
        <v>61</v>
      </c>
      <c r="Q110" s="174" t="s">
        <v>1034</v>
      </c>
      <c r="R110" s="175">
        <v>190</v>
      </c>
      <c r="S110" s="175" t="s">
        <v>309</v>
      </c>
      <c r="T110" s="175" t="s">
        <v>290</v>
      </c>
    </row>
    <row r="111" spans="1:20" s="175" customFormat="1" ht="15" x14ac:dyDescent="0.3">
      <c r="A111" s="175" t="s">
        <v>679</v>
      </c>
      <c r="B111" s="175" t="s">
        <v>1401</v>
      </c>
      <c r="C111" s="174">
        <v>102985</v>
      </c>
      <c r="D111" s="175" t="s">
        <v>280</v>
      </c>
      <c r="E111" s="175" t="s">
        <v>1316</v>
      </c>
      <c r="F111" s="175">
        <v>19</v>
      </c>
      <c r="G111" s="175" t="s">
        <v>281</v>
      </c>
      <c r="H111" s="175" t="s">
        <v>282</v>
      </c>
      <c r="I111" s="175" t="s">
        <v>283</v>
      </c>
      <c r="J111" s="175" t="s">
        <v>284</v>
      </c>
      <c r="K111" s="175" t="s">
        <v>285</v>
      </c>
      <c r="L111" s="175" t="s">
        <v>286</v>
      </c>
      <c r="M111" s="175" t="s">
        <v>287</v>
      </c>
      <c r="N111" s="176">
        <v>36465</v>
      </c>
      <c r="O111" s="175">
        <v>51</v>
      </c>
      <c r="P111" s="175" t="s">
        <v>61</v>
      </c>
      <c r="Q111" s="174" t="s">
        <v>680</v>
      </c>
      <c r="R111" s="175">
        <v>215</v>
      </c>
      <c r="S111" s="175" t="s">
        <v>289</v>
      </c>
      <c r="T111" s="175" t="s">
        <v>290</v>
      </c>
    </row>
    <row r="112" spans="1:20" s="175" customFormat="1" ht="15" x14ac:dyDescent="0.3">
      <c r="A112" s="175" t="s">
        <v>682</v>
      </c>
      <c r="B112" s="175" t="s">
        <v>1402</v>
      </c>
      <c r="C112" s="174">
        <v>103035</v>
      </c>
      <c r="D112" s="175" t="s">
        <v>422</v>
      </c>
      <c r="E112" s="175" t="s">
        <v>1316</v>
      </c>
      <c r="F112" s="175">
        <v>33</v>
      </c>
      <c r="G112" s="175" t="s">
        <v>281</v>
      </c>
      <c r="H112" s="175" t="s">
        <v>282</v>
      </c>
      <c r="I112" s="175" t="s">
        <v>506</v>
      </c>
      <c r="J112" s="175" t="s">
        <v>507</v>
      </c>
      <c r="K112" s="175" t="s">
        <v>508</v>
      </c>
      <c r="L112" s="175" t="s">
        <v>427</v>
      </c>
      <c r="M112" s="175" t="s">
        <v>384</v>
      </c>
      <c r="N112" s="176">
        <v>31061</v>
      </c>
      <c r="O112" s="175">
        <v>54</v>
      </c>
      <c r="P112" s="175" t="s">
        <v>61</v>
      </c>
      <c r="Q112" s="174" t="s">
        <v>683</v>
      </c>
      <c r="R112" s="175">
        <v>270</v>
      </c>
      <c r="S112" s="175" t="s">
        <v>596</v>
      </c>
      <c r="T112" s="175" t="s">
        <v>290</v>
      </c>
    </row>
    <row r="113" spans="1:20" s="175" customFormat="1" ht="15" x14ac:dyDescent="0.3">
      <c r="A113" s="175" t="s">
        <v>1039</v>
      </c>
      <c r="B113" s="175" t="s">
        <v>1120</v>
      </c>
      <c r="C113" s="174">
        <v>104685</v>
      </c>
      <c r="D113" s="175" t="s">
        <v>294</v>
      </c>
      <c r="E113" s="175" t="s">
        <v>1318</v>
      </c>
      <c r="F113" s="175">
        <v>10</v>
      </c>
      <c r="G113" s="175" t="s">
        <v>281</v>
      </c>
      <c r="H113" s="175" t="s">
        <v>296</v>
      </c>
      <c r="I113" s="175" t="s">
        <v>283</v>
      </c>
      <c r="J113" s="175" t="s">
        <v>284</v>
      </c>
      <c r="K113" s="175" t="s">
        <v>285</v>
      </c>
      <c r="L113" s="175" t="s">
        <v>307</v>
      </c>
      <c r="M113" s="175" t="s">
        <v>287</v>
      </c>
      <c r="N113" s="176">
        <v>39448</v>
      </c>
      <c r="O113" s="175">
        <v>58</v>
      </c>
      <c r="P113" s="175" t="s">
        <v>61</v>
      </c>
      <c r="Q113" s="174" t="s">
        <v>1040</v>
      </c>
      <c r="R113" s="175">
        <v>190</v>
      </c>
      <c r="S113" s="175" t="s">
        <v>309</v>
      </c>
      <c r="T113" s="175" t="s">
        <v>290</v>
      </c>
    </row>
    <row r="114" spans="1:20" s="175" customFormat="1" ht="15" x14ac:dyDescent="0.3">
      <c r="A114" s="173" t="s">
        <v>379</v>
      </c>
      <c r="B114" s="173" t="s">
        <v>1374</v>
      </c>
      <c r="C114" s="178">
        <v>103114</v>
      </c>
      <c r="D114" s="173" t="s">
        <v>313</v>
      </c>
      <c r="E114" s="173" t="s">
        <v>1316</v>
      </c>
      <c r="F114" s="173">
        <v>36</v>
      </c>
      <c r="G114" s="173" t="s">
        <v>315</v>
      </c>
      <c r="H114" s="173" t="s">
        <v>282</v>
      </c>
      <c r="I114" s="173" t="s">
        <v>334</v>
      </c>
      <c r="J114" s="173" t="s">
        <v>335</v>
      </c>
      <c r="K114" s="173" t="s">
        <v>336</v>
      </c>
      <c r="L114" s="173" t="s">
        <v>685</v>
      </c>
      <c r="M114" s="173" t="s">
        <v>349</v>
      </c>
      <c r="N114" s="179">
        <v>29990</v>
      </c>
      <c r="O114" s="173">
        <v>57</v>
      </c>
      <c r="P114" s="173" t="s">
        <v>61</v>
      </c>
      <c r="Q114" s="178" t="s">
        <v>686</v>
      </c>
      <c r="R114" s="173">
        <v>365</v>
      </c>
      <c r="S114" s="173" t="s">
        <v>351</v>
      </c>
      <c r="T114" s="173" t="s">
        <v>352</v>
      </c>
    </row>
    <row r="115" spans="1:20" ht="15" x14ac:dyDescent="0.3">
      <c r="A115" s="175" t="s">
        <v>1092</v>
      </c>
      <c r="B115" s="175" t="s">
        <v>1093</v>
      </c>
      <c r="C115" s="174">
        <v>191520</v>
      </c>
      <c r="D115" s="175" t="s">
        <v>326</v>
      </c>
      <c r="E115" s="175" t="s">
        <v>1317</v>
      </c>
      <c r="F115" s="175">
        <v>26</v>
      </c>
      <c r="G115" s="175" t="s">
        <v>281</v>
      </c>
      <c r="H115" s="175" t="s">
        <v>327</v>
      </c>
      <c r="I115" s="175" t="s">
        <v>283</v>
      </c>
      <c r="J115" s="175" t="s">
        <v>284</v>
      </c>
      <c r="K115" s="175" t="s">
        <v>285</v>
      </c>
      <c r="L115" s="175" t="s">
        <v>328</v>
      </c>
      <c r="M115" s="175" t="s">
        <v>287</v>
      </c>
      <c r="N115" s="176">
        <v>33664</v>
      </c>
      <c r="O115" s="175">
        <v>57</v>
      </c>
      <c r="P115" s="175" t="s">
        <v>61</v>
      </c>
      <c r="Q115" s="174" t="s">
        <v>1094</v>
      </c>
      <c r="R115" s="175">
        <v>215</v>
      </c>
      <c r="S115" s="175" t="s">
        <v>289</v>
      </c>
      <c r="T115" s="175" t="s">
        <v>330</v>
      </c>
    </row>
    <row r="116" spans="1:20" s="175" customFormat="1" ht="15" x14ac:dyDescent="0.3">
      <c r="A116" s="175" t="s">
        <v>688</v>
      </c>
      <c r="B116" s="175" t="s">
        <v>1403</v>
      </c>
      <c r="C116" s="174">
        <v>102926</v>
      </c>
      <c r="D116" s="175" t="s">
        <v>280</v>
      </c>
      <c r="E116" s="175" t="s">
        <v>1316</v>
      </c>
      <c r="F116" s="175">
        <v>12</v>
      </c>
      <c r="G116" s="175" t="s">
        <v>281</v>
      </c>
      <c r="H116" s="175" t="s">
        <v>282</v>
      </c>
      <c r="I116" s="175" t="s">
        <v>283</v>
      </c>
      <c r="J116" s="175" t="s">
        <v>284</v>
      </c>
      <c r="K116" s="175" t="s">
        <v>285</v>
      </c>
      <c r="L116" s="175" t="s">
        <v>432</v>
      </c>
      <c r="M116" s="175" t="s">
        <v>287</v>
      </c>
      <c r="N116" s="176">
        <v>38976</v>
      </c>
      <c r="O116" s="175">
        <v>46</v>
      </c>
      <c r="P116" s="175" t="s">
        <v>63</v>
      </c>
      <c r="Q116" s="174" t="s">
        <v>690</v>
      </c>
      <c r="R116" s="175">
        <v>170</v>
      </c>
      <c r="S116" s="175" t="s">
        <v>405</v>
      </c>
      <c r="T116" s="175" t="s">
        <v>330</v>
      </c>
    </row>
    <row r="117" spans="1:20" s="175" customFormat="1" ht="15" x14ac:dyDescent="0.3">
      <c r="A117" s="175" t="s">
        <v>1165</v>
      </c>
      <c r="B117" s="175" t="s">
        <v>1400</v>
      </c>
      <c r="C117" s="174">
        <v>104647</v>
      </c>
      <c r="D117" s="175" t="s">
        <v>294</v>
      </c>
      <c r="E117" s="175" t="s">
        <v>1318</v>
      </c>
      <c r="F117" s="175">
        <v>10</v>
      </c>
      <c r="G117" s="175" t="s">
        <v>281</v>
      </c>
      <c r="H117" s="175" t="s">
        <v>296</v>
      </c>
      <c r="I117" s="175" t="s">
        <v>694</v>
      </c>
      <c r="J117" s="175" t="s">
        <v>695</v>
      </c>
      <c r="K117" s="175" t="s">
        <v>417</v>
      </c>
      <c r="L117" s="175" t="s">
        <v>307</v>
      </c>
      <c r="M117" s="175" t="s">
        <v>287</v>
      </c>
      <c r="N117" s="176">
        <v>39448</v>
      </c>
      <c r="O117" s="175">
        <v>50</v>
      </c>
      <c r="P117" s="175" t="s">
        <v>61</v>
      </c>
      <c r="Q117" s="174" t="s">
        <v>1166</v>
      </c>
      <c r="R117" s="175">
        <v>180</v>
      </c>
      <c r="S117" s="175" t="s">
        <v>1167</v>
      </c>
      <c r="T117" s="175" t="s">
        <v>330</v>
      </c>
    </row>
    <row r="118" spans="1:20" ht="15" x14ac:dyDescent="0.3">
      <c r="A118" s="175" t="s">
        <v>1176</v>
      </c>
      <c r="B118" s="175" t="s">
        <v>1404</v>
      </c>
      <c r="C118" s="174">
        <v>10507194</v>
      </c>
      <c r="D118" s="175" t="s">
        <v>948</v>
      </c>
      <c r="E118" s="175" t="s">
        <v>1318</v>
      </c>
      <c r="F118" s="175">
        <v>2</v>
      </c>
      <c r="G118" s="175" t="s">
        <v>281</v>
      </c>
      <c r="H118" s="175" t="s">
        <v>296</v>
      </c>
      <c r="I118" s="175" t="s">
        <v>370</v>
      </c>
      <c r="J118" s="175" t="s">
        <v>371</v>
      </c>
      <c r="K118" s="175" t="s">
        <v>372</v>
      </c>
      <c r="L118" s="175" t="s">
        <v>945</v>
      </c>
      <c r="M118" s="175" t="s">
        <v>287</v>
      </c>
      <c r="N118" s="176">
        <v>42401</v>
      </c>
      <c r="O118" s="175">
        <v>32</v>
      </c>
      <c r="P118" s="175" t="s">
        <v>61</v>
      </c>
      <c r="Q118" s="174" t="s">
        <v>1178</v>
      </c>
      <c r="R118" s="175">
        <v>225</v>
      </c>
      <c r="S118" s="175" t="s">
        <v>361</v>
      </c>
      <c r="T118" s="175" t="s">
        <v>972</v>
      </c>
    </row>
    <row r="119" spans="1:20" s="175" customFormat="1" ht="15" x14ac:dyDescent="0.3">
      <c r="A119" s="175" t="s">
        <v>692</v>
      </c>
      <c r="B119" s="175" t="s">
        <v>1405</v>
      </c>
      <c r="C119" s="174">
        <v>103099</v>
      </c>
      <c r="D119" s="175" t="s">
        <v>364</v>
      </c>
      <c r="E119" s="175" t="s">
        <v>1316</v>
      </c>
      <c r="F119" s="175">
        <v>36</v>
      </c>
      <c r="G119" s="175" t="s">
        <v>281</v>
      </c>
      <c r="H119" s="175" t="s">
        <v>282</v>
      </c>
      <c r="I119" s="175" t="s">
        <v>694</v>
      </c>
      <c r="J119" s="175" t="s">
        <v>695</v>
      </c>
      <c r="K119" s="175" t="s">
        <v>417</v>
      </c>
      <c r="L119" s="175" t="s">
        <v>391</v>
      </c>
      <c r="M119" s="175" t="s">
        <v>287</v>
      </c>
      <c r="N119" s="176">
        <v>30082</v>
      </c>
      <c r="O119" s="175">
        <v>56</v>
      </c>
      <c r="P119" s="175" t="s">
        <v>63</v>
      </c>
      <c r="Q119" s="174" t="s">
        <v>696</v>
      </c>
      <c r="R119" s="175">
        <v>170</v>
      </c>
      <c r="S119" s="175" t="s">
        <v>405</v>
      </c>
      <c r="T119" s="175" t="s">
        <v>393</v>
      </c>
    </row>
    <row r="120" spans="1:20" ht="15" x14ac:dyDescent="0.3">
      <c r="A120" s="175" t="s">
        <v>1064</v>
      </c>
      <c r="B120" s="175" t="s">
        <v>333</v>
      </c>
      <c r="C120" s="174">
        <v>191229</v>
      </c>
      <c r="D120" s="175" t="s">
        <v>326</v>
      </c>
      <c r="E120" s="175" t="s">
        <v>1317</v>
      </c>
      <c r="F120" s="175">
        <v>26</v>
      </c>
      <c r="G120" s="175" t="s">
        <v>281</v>
      </c>
      <c r="H120" s="175" t="s">
        <v>327</v>
      </c>
      <c r="I120" s="175" t="s">
        <v>297</v>
      </c>
      <c r="J120" s="175" t="s">
        <v>298</v>
      </c>
      <c r="K120" s="175" t="s">
        <v>299</v>
      </c>
      <c r="L120" s="175" t="s">
        <v>300</v>
      </c>
      <c r="M120" s="175" t="s">
        <v>287</v>
      </c>
      <c r="N120" s="176">
        <v>33848</v>
      </c>
      <c r="O120" s="175">
        <v>47</v>
      </c>
      <c r="P120" s="175" t="s">
        <v>61</v>
      </c>
      <c r="Q120" s="174" t="s">
        <v>1065</v>
      </c>
      <c r="R120" s="175">
        <v>255</v>
      </c>
      <c r="S120" s="175" t="s">
        <v>445</v>
      </c>
      <c r="T120" s="175" t="s">
        <v>375</v>
      </c>
    </row>
    <row r="121" spans="1:20" s="175" customFormat="1" ht="15" x14ac:dyDescent="0.3">
      <c r="A121" s="175" t="s">
        <v>332</v>
      </c>
      <c r="B121" s="175" t="s">
        <v>333</v>
      </c>
      <c r="C121" s="174">
        <v>69157</v>
      </c>
      <c r="D121" s="175" t="s">
        <v>326</v>
      </c>
      <c r="E121" s="175" t="s">
        <v>1317</v>
      </c>
      <c r="F121" s="175">
        <v>8</v>
      </c>
      <c r="G121" s="175" t="s">
        <v>315</v>
      </c>
      <c r="H121" s="175" t="s">
        <v>327</v>
      </c>
      <c r="I121" s="175" t="s">
        <v>334</v>
      </c>
      <c r="J121" s="175" t="s">
        <v>335</v>
      </c>
      <c r="K121" s="175" t="s">
        <v>336</v>
      </c>
      <c r="L121" s="175" t="s">
        <v>337</v>
      </c>
      <c r="M121" s="175" t="s">
        <v>338</v>
      </c>
      <c r="N121" s="176">
        <v>40336</v>
      </c>
      <c r="O121" s="175">
        <v>36</v>
      </c>
      <c r="P121" s="175" t="s">
        <v>61</v>
      </c>
      <c r="Q121" s="174" t="s">
        <v>339</v>
      </c>
      <c r="R121" s="175" t="s">
        <v>340</v>
      </c>
      <c r="S121" s="175" t="s">
        <v>341</v>
      </c>
      <c r="T121" s="175">
        <v>6</v>
      </c>
    </row>
    <row r="122" spans="1:20" s="175" customFormat="1" ht="15" x14ac:dyDescent="0.3">
      <c r="A122" s="175" t="s">
        <v>698</v>
      </c>
      <c r="B122" s="175" t="s">
        <v>699</v>
      </c>
      <c r="C122" s="174">
        <v>191248</v>
      </c>
      <c r="D122" s="175" t="s">
        <v>313</v>
      </c>
      <c r="E122" s="175" t="s">
        <v>1316</v>
      </c>
      <c r="F122" s="175">
        <v>10</v>
      </c>
      <c r="G122" s="175" t="s">
        <v>315</v>
      </c>
      <c r="H122" s="175" t="s">
        <v>282</v>
      </c>
      <c r="I122" s="175" t="s">
        <v>700</v>
      </c>
      <c r="J122" s="175" t="s">
        <v>701</v>
      </c>
      <c r="K122" s="175" t="s">
        <v>336</v>
      </c>
      <c r="L122" s="175" t="s">
        <v>702</v>
      </c>
      <c r="M122" s="175" t="s">
        <v>384</v>
      </c>
      <c r="N122" s="176">
        <v>42005</v>
      </c>
      <c r="O122" s="175">
        <v>34</v>
      </c>
      <c r="P122" s="175" t="s">
        <v>61</v>
      </c>
      <c r="Q122" s="174" t="s">
        <v>703</v>
      </c>
      <c r="R122" s="175">
        <v>335</v>
      </c>
      <c r="S122" s="175" t="s">
        <v>499</v>
      </c>
      <c r="T122" s="175" t="s">
        <v>537</v>
      </c>
    </row>
    <row r="123" spans="1:20" ht="15" x14ac:dyDescent="0.3">
      <c r="A123" s="175" t="s">
        <v>705</v>
      </c>
      <c r="B123" s="175" t="s">
        <v>1406</v>
      </c>
      <c r="C123" s="174">
        <v>103006</v>
      </c>
      <c r="D123" s="175" t="s">
        <v>280</v>
      </c>
      <c r="E123" s="175" t="s">
        <v>1316</v>
      </c>
      <c r="F123" s="175">
        <v>26</v>
      </c>
      <c r="G123" s="175" t="s">
        <v>281</v>
      </c>
      <c r="H123" s="175" t="s">
        <v>282</v>
      </c>
      <c r="I123" s="175" t="s">
        <v>283</v>
      </c>
      <c r="J123" s="175" t="s">
        <v>284</v>
      </c>
      <c r="K123" s="175" t="s">
        <v>285</v>
      </c>
      <c r="L123" s="175" t="s">
        <v>391</v>
      </c>
      <c r="M123" s="175" t="s">
        <v>287</v>
      </c>
      <c r="N123" s="176">
        <v>33805</v>
      </c>
      <c r="O123" s="175">
        <v>50</v>
      </c>
      <c r="P123" s="175" t="s">
        <v>63</v>
      </c>
      <c r="Q123" s="174" t="s">
        <v>707</v>
      </c>
      <c r="R123" s="175">
        <v>170</v>
      </c>
      <c r="S123" s="175" t="s">
        <v>405</v>
      </c>
      <c r="T123" s="175" t="s">
        <v>393</v>
      </c>
    </row>
    <row r="124" spans="1:20" ht="15" x14ac:dyDescent="0.3">
      <c r="A124" s="175" t="s">
        <v>709</v>
      </c>
      <c r="B124" s="175" t="s">
        <v>1374</v>
      </c>
      <c r="C124" s="174">
        <v>102910</v>
      </c>
      <c r="D124" s="175" t="s">
        <v>313</v>
      </c>
      <c r="E124" s="175" t="s">
        <v>1316</v>
      </c>
      <c r="F124" s="175">
        <v>11</v>
      </c>
      <c r="G124" s="175" t="s">
        <v>315</v>
      </c>
      <c r="H124" s="175" t="s">
        <v>282</v>
      </c>
      <c r="I124" s="175" t="s">
        <v>710</v>
      </c>
      <c r="J124" s="175" t="s">
        <v>711</v>
      </c>
      <c r="K124" s="175" t="s">
        <v>382</v>
      </c>
      <c r="L124" s="175" t="s">
        <v>712</v>
      </c>
      <c r="M124" s="175" t="s">
        <v>384</v>
      </c>
      <c r="N124" s="176">
        <v>39142</v>
      </c>
      <c r="O124" s="175">
        <v>37</v>
      </c>
      <c r="P124" s="175" t="s">
        <v>61</v>
      </c>
      <c r="Q124" s="174" t="s">
        <v>713</v>
      </c>
      <c r="R124" s="175">
        <v>305</v>
      </c>
      <c r="S124" s="175" t="s">
        <v>386</v>
      </c>
      <c r="T124" s="175" t="s">
        <v>387</v>
      </c>
    </row>
    <row r="125" spans="1:20" ht="15" x14ac:dyDescent="0.3">
      <c r="A125" s="175" t="s">
        <v>1089</v>
      </c>
      <c r="B125" s="175" t="s">
        <v>1053</v>
      </c>
      <c r="C125" s="174">
        <v>191510</v>
      </c>
      <c r="D125" s="175" t="s">
        <v>326</v>
      </c>
      <c r="E125" s="175" t="s">
        <v>1317</v>
      </c>
      <c r="F125" s="175">
        <v>27</v>
      </c>
      <c r="G125" s="175" t="s">
        <v>281</v>
      </c>
      <c r="H125" s="175" t="s">
        <v>327</v>
      </c>
      <c r="I125" s="175" t="s">
        <v>283</v>
      </c>
      <c r="J125" s="175" t="s">
        <v>284</v>
      </c>
      <c r="K125" s="175" t="s">
        <v>285</v>
      </c>
      <c r="L125" s="175" t="s">
        <v>328</v>
      </c>
      <c r="M125" s="175" t="s">
        <v>287</v>
      </c>
      <c r="N125" s="176">
        <v>33482</v>
      </c>
      <c r="O125" s="175">
        <v>56</v>
      </c>
      <c r="P125" s="175" t="s">
        <v>61</v>
      </c>
      <c r="Q125" s="174" t="s">
        <v>1090</v>
      </c>
      <c r="R125" s="175">
        <v>215</v>
      </c>
      <c r="S125" s="175" t="s">
        <v>289</v>
      </c>
      <c r="T125" s="175" t="s">
        <v>330</v>
      </c>
    </row>
    <row r="126" spans="1:20" s="175" customFormat="1" ht="15" x14ac:dyDescent="0.3">
      <c r="A126" s="175" t="s">
        <v>715</v>
      </c>
      <c r="B126" s="175" t="s">
        <v>1385</v>
      </c>
      <c r="C126" s="174">
        <v>103029</v>
      </c>
      <c r="D126" s="175" t="s">
        <v>280</v>
      </c>
      <c r="E126" s="175" t="s">
        <v>1316</v>
      </c>
      <c r="F126" s="175">
        <v>27</v>
      </c>
      <c r="G126" s="175" t="s">
        <v>281</v>
      </c>
      <c r="H126" s="175" t="s">
        <v>282</v>
      </c>
      <c r="I126" s="175" t="s">
        <v>283</v>
      </c>
      <c r="J126" s="175" t="s">
        <v>284</v>
      </c>
      <c r="K126" s="175" t="s">
        <v>285</v>
      </c>
      <c r="L126" s="175" t="s">
        <v>432</v>
      </c>
      <c r="M126" s="175" t="s">
        <v>287</v>
      </c>
      <c r="N126" s="176">
        <v>33399</v>
      </c>
      <c r="O126" s="175">
        <v>51</v>
      </c>
      <c r="P126" s="175" t="s">
        <v>61</v>
      </c>
      <c r="Q126" s="174" t="s">
        <v>716</v>
      </c>
      <c r="R126" s="175">
        <v>215</v>
      </c>
      <c r="S126" s="175" t="s">
        <v>289</v>
      </c>
      <c r="T126" s="175" t="s">
        <v>330</v>
      </c>
    </row>
    <row r="127" spans="1:20" s="175" customFormat="1" ht="15" x14ac:dyDescent="0.3">
      <c r="A127" s="175" t="s">
        <v>718</v>
      </c>
      <c r="B127" s="175" t="s">
        <v>1407</v>
      </c>
      <c r="C127" s="174">
        <v>102899</v>
      </c>
      <c r="D127" s="175" t="s">
        <v>409</v>
      </c>
      <c r="E127" s="175" t="s">
        <v>1316</v>
      </c>
      <c r="F127" s="175">
        <v>10</v>
      </c>
      <c r="G127" s="175" t="s">
        <v>281</v>
      </c>
      <c r="H127" s="175" t="s">
        <v>282</v>
      </c>
      <c r="I127" s="175" t="s">
        <v>283</v>
      </c>
      <c r="J127" s="175" t="s">
        <v>284</v>
      </c>
      <c r="K127" s="175" t="s">
        <v>285</v>
      </c>
      <c r="L127" s="175" t="s">
        <v>432</v>
      </c>
      <c r="M127" s="175" t="s">
        <v>287</v>
      </c>
      <c r="N127" s="176">
        <v>39412</v>
      </c>
      <c r="O127" s="175">
        <v>35</v>
      </c>
      <c r="P127" s="175" t="s">
        <v>63</v>
      </c>
      <c r="Q127" s="174" t="s">
        <v>720</v>
      </c>
      <c r="R127" s="175">
        <v>190</v>
      </c>
      <c r="S127" s="175" t="s">
        <v>309</v>
      </c>
      <c r="T127" s="175" t="s">
        <v>330</v>
      </c>
    </row>
    <row r="128" spans="1:20" s="175" customFormat="1" ht="15" x14ac:dyDescent="0.3">
      <c r="A128" s="175" t="s">
        <v>722</v>
      </c>
      <c r="B128" s="175" t="s">
        <v>1387</v>
      </c>
      <c r="C128" s="174">
        <v>103001</v>
      </c>
      <c r="D128" s="175" t="s">
        <v>409</v>
      </c>
      <c r="E128" s="175" t="s">
        <v>1316</v>
      </c>
      <c r="F128" s="175">
        <v>23</v>
      </c>
      <c r="G128" s="175" t="s">
        <v>281</v>
      </c>
      <c r="H128" s="175" t="s">
        <v>282</v>
      </c>
      <c r="I128" s="175" t="s">
        <v>283</v>
      </c>
      <c r="J128" s="175" t="s">
        <v>284</v>
      </c>
      <c r="K128" s="175" t="s">
        <v>285</v>
      </c>
      <c r="L128" s="175" t="s">
        <v>437</v>
      </c>
      <c r="M128" s="175" t="s">
        <v>287</v>
      </c>
      <c r="N128" s="176">
        <v>34943</v>
      </c>
      <c r="O128" s="175">
        <v>50</v>
      </c>
      <c r="P128" s="175" t="s">
        <v>61</v>
      </c>
      <c r="Q128" s="174" t="s">
        <v>723</v>
      </c>
      <c r="R128" s="175">
        <v>215</v>
      </c>
      <c r="S128" s="175" t="s">
        <v>289</v>
      </c>
      <c r="T128" s="175" t="s">
        <v>290</v>
      </c>
    </row>
    <row r="129" spans="1:20" s="175" customFormat="1" ht="15" x14ac:dyDescent="0.3">
      <c r="A129" s="173" t="s">
        <v>1335</v>
      </c>
      <c r="B129" s="173" t="s">
        <v>1402</v>
      </c>
      <c r="C129" s="178">
        <v>103101</v>
      </c>
      <c r="D129" s="173" t="s">
        <v>364</v>
      </c>
      <c r="E129" s="173" t="s">
        <v>1316</v>
      </c>
      <c r="F129" s="173">
        <v>36</v>
      </c>
      <c r="G129" s="173" t="s">
        <v>281</v>
      </c>
      <c r="H129" s="173" t="s">
        <v>282</v>
      </c>
      <c r="I129" s="173" t="s">
        <v>415</v>
      </c>
      <c r="J129" s="173" t="s">
        <v>416</v>
      </c>
      <c r="K129" s="173" t="s">
        <v>417</v>
      </c>
      <c r="L129" s="173" t="s">
        <v>366</v>
      </c>
      <c r="M129" s="173" t="s">
        <v>287</v>
      </c>
      <c r="N129" s="179">
        <v>30103</v>
      </c>
      <c r="O129" s="173">
        <v>57</v>
      </c>
      <c r="P129" s="173" t="s">
        <v>61</v>
      </c>
      <c r="Q129" s="178" t="s">
        <v>731</v>
      </c>
      <c r="R129" s="173">
        <v>215</v>
      </c>
      <c r="S129" s="173" t="s">
        <v>289</v>
      </c>
      <c r="T129" s="173" t="s">
        <v>330</v>
      </c>
    </row>
    <row r="130" spans="1:20" s="175" customFormat="1" ht="15" x14ac:dyDescent="0.3">
      <c r="A130" s="175" t="s">
        <v>1334</v>
      </c>
      <c r="B130" s="175" t="s">
        <v>1408</v>
      </c>
      <c r="C130" s="174">
        <v>102992</v>
      </c>
      <c r="D130" s="175" t="s">
        <v>256</v>
      </c>
      <c r="E130" s="175" t="s">
        <v>1316</v>
      </c>
      <c r="F130" s="175">
        <v>24</v>
      </c>
      <c r="G130" s="175" t="s">
        <v>315</v>
      </c>
      <c r="H130" s="175" t="s">
        <v>282</v>
      </c>
      <c r="I130" s="175" t="s">
        <v>726</v>
      </c>
      <c r="J130" s="175" t="s">
        <v>727</v>
      </c>
      <c r="K130" s="175" t="s">
        <v>547</v>
      </c>
      <c r="L130" s="175" t="s">
        <v>728</v>
      </c>
      <c r="M130" s="175" t="s">
        <v>384</v>
      </c>
      <c r="N130" s="176">
        <v>34486</v>
      </c>
      <c r="O130" s="175">
        <v>47</v>
      </c>
      <c r="P130" s="175" t="s">
        <v>61</v>
      </c>
      <c r="Q130" s="174" t="s">
        <v>729</v>
      </c>
      <c r="R130" s="175">
        <v>270</v>
      </c>
      <c r="S130" s="175" t="s">
        <v>596</v>
      </c>
      <c r="T130" s="175" t="s">
        <v>597</v>
      </c>
    </row>
    <row r="131" spans="1:20" ht="15" x14ac:dyDescent="0.3">
      <c r="A131" s="175" t="s">
        <v>733</v>
      </c>
      <c r="B131" s="175" t="s">
        <v>1409</v>
      </c>
      <c r="C131" s="174">
        <v>102996</v>
      </c>
      <c r="D131" s="175" t="s">
        <v>313</v>
      </c>
      <c r="E131" s="175" t="s">
        <v>1316</v>
      </c>
      <c r="F131" s="175">
        <v>23</v>
      </c>
      <c r="G131" s="175" t="s">
        <v>281</v>
      </c>
      <c r="H131" s="175" t="s">
        <v>282</v>
      </c>
      <c r="I131" s="175" t="s">
        <v>370</v>
      </c>
      <c r="J131" s="175" t="s">
        <v>371</v>
      </c>
      <c r="K131" s="175" t="s">
        <v>372</v>
      </c>
      <c r="L131" s="175" t="s">
        <v>373</v>
      </c>
      <c r="M131" s="175" t="s">
        <v>384</v>
      </c>
      <c r="N131" s="176">
        <v>34759</v>
      </c>
      <c r="O131" s="175">
        <v>45</v>
      </c>
      <c r="P131" s="175" t="s">
        <v>61</v>
      </c>
      <c r="Q131" s="174" t="s">
        <v>735</v>
      </c>
      <c r="R131" s="175">
        <v>255</v>
      </c>
      <c r="S131" s="175" t="s">
        <v>445</v>
      </c>
      <c r="T131" s="175" t="s">
        <v>375</v>
      </c>
    </row>
    <row r="132" spans="1:20" ht="15" x14ac:dyDescent="0.3">
      <c r="A132" s="175" t="s">
        <v>737</v>
      </c>
      <c r="B132" s="175" t="s">
        <v>1397</v>
      </c>
      <c r="C132" s="174">
        <v>103025</v>
      </c>
      <c r="D132" s="175" t="s">
        <v>493</v>
      </c>
      <c r="E132" s="175" t="s">
        <v>1316</v>
      </c>
      <c r="F132" s="175">
        <v>27</v>
      </c>
      <c r="G132" s="175" t="s">
        <v>315</v>
      </c>
      <c r="H132" s="175" t="s">
        <v>282</v>
      </c>
      <c r="I132" s="175" t="s">
        <v>738</v>
      </c>
      <c r="J132" s="175" t="s">
        <v>739</v>
      </c>
      <c r="K132" s="175" t="s">
        <v>740</v>
      </c>
      <c r="L132" s="175" t="s">
        <v>741</v>
      </c>
      <c r="M132" s="175" t="s">
        <v>320</v>
      </c>
      <c r="N132" s="176">
        <v>33343</v>
      </c>
      <c r="O132" s="175">
        <v>54</v>
      </c>
      <c r="P132" s="175" t="s">
        <v>63</v>
      </c>
      <c r="Q132" s="174" t="s">
        <v>742</v>
      </c>
      <c r="R132" s="175">
        <v>285</v>
      </c>
      <c r="S132" s="175" t="s">
        <v>572</v>
      </c>
      <c r="T132" s="175" t="s">
        <v>387</v>
      </c>
    </row>
    <row r="133" spans="1:20" ht="15" x14ac:dyDescent="0.3">
      <c r="A133" s="175" t="s">
        <v>744</v>
      </c>
      <c r="B133" s="175" t="s">
        <v>1372</v>
      </c>
      <c r="C133" s="174">
        <v>102986</v>
      </c>
      <c r="D133" s="175" t="s">
        <v>409</v>
      </c>
      <c r="E133" s="175" t="s">
        <v>1316</v>
      </c>
      <c r="F133" s="175">
        <v>19</v>
      </c>
      <c r="G133" s="175" t="s">
        <v>281</v>
      </c>
      <c r="H133" s="175" t="s">
        <v>282</v>
      </c>
      <c r="I133" s="175" t="s">
        <v>283</v>
      </c>
      <c r="J133" s="175" t="s">
        <v>284</v>
      </c>
      <c r="K133" s="175" t="s">
        <v>285</v>
      </c>
      <c r="L133" s="175" t="s">
        <v>432</v>
      </c>
      <c r="M133" s="175" t="s">
        <v>287</v>
      </c>
      <c r="N133" s="176">
        <v>36465</v>
      </c>
      <c r="O133" s="175">
        <v>52</v>
      </c>
      <c r="P133" s="175" t="s">
        <v>61</v>
      </c>
      <c r="Q133" s="174" t="s">
        <v>745</v>
      </c>
      <c r="R133" s="175">
        <v>215</v>
      </c>
      <c r="S133" s="175" t="s">
        <v>289</v>
      </c>
      <c r="T133" s="175" t="s">
        <v>330</v>
      </c>
    </row>
    <row r="134" spans="1:20" ht="15" x14ac:dyDescent="0.3">
      <c r="A134" s="175" t="s">
        <v>1180</v>
      </c>
      <c r="B134" s="175" t="s">
        <v>1370</v>
      </c>
      <c r="C134" s="174">
        <v>104417</v>
      </c>
      <c r="D134" s="175" t="s">
        <v>355</v>
      </c>
      <c r="E134" s="175" t="s">
        <v>1318</v>
      </c>
      <c r="F134" s="175"/>
      <c r="G134" s="175" t="s">
        <v>315</v>
      </c>
      <c r="H134" s="175" t="s">
        <v>296</v>
      </c>
      <c r="I134" s="175" t="s">
        <v>533</v>
      </c>
      <c r="J134" s="175" t="s">
        <v>534</v>
      </c>
      <c r="K134" s="175" t="s">
        <v>382</v>
      </c>
      <c r="L134" s="175" t="s">
        <v>1181</v>
      </c>
      <c r="M134" s="175" t="s">
        <v>384</v>
      </c>
      <c r="N134" s="176">
        <v>42552</v>
      </c>
      <c r="O134" s="175">
        <v>34</v>
      </c>
      <c r="P134" s="175" t="s">
        <v>61</v>
      </c>
      <c r="Q134" s="174" t="s">
        <v>1182</v>
      </c>
      <c r="R134" s="175">
        <v>285</v>
      </c>
      <c r="S134" s="175" t="s">
        <v>572</v>
      </c>
      <c r="T134" s="175" t="s">
        <v>573</v>
      </c>
    </row>
    <row r="135" spans="1:20" s="175" customFormat="1" ht="15" x14ac:dyDescent="0.3">
      <c r="A135" s="175" t="s">
        <v>122</v>
      </c>
      <c r="B135" s="175" t="s">
        <v>234</v>
      </c>
      <c r="C135" s="174">
        <v>104645</v>
      </c>
      <c r="D135" s="175" t="s">
        <v>332</v>
      </c>
      <c r="E135" s="175" t="s">
        <v>1317</v>
      </c>
      <c r="F135" s="175">
        <v>7</v>
      </c>
      <c r="G135" s="175" t="s">
        <v>281</v>
      </c>
      <c r="H135" s="175" t="s">
        <v>327</v>
      </c>
      <c r="I135" s="175" t="s">
        <v>370</v>
      </c>
      <c r="J135" s="175" t="s">
        <v>371</v>
      </c>
      <c r="K135" s="175" t="s">
        <v>372</v>
      </c>
      <c r="L135" s="175" t="s">
        <v>945</v>
      </c>
      <c r="M135" s="175" t="s">
        <v>384</v>
      </c>
      <c r="N135" s="176">
        <v>40848</v>
      </c>
      <c r="O135" s="175">
        <v>57</v>
      </c>
      <c r="P135" s="175" t="s">
        <v>61</v>
      </c>
      <c r="Q135" s="174" t="s">
        <v>946</v>
      </c>
      <c r="R135" s="175">
        <v>240</v>
      </c>
      <c r="S135" s="175" t="s">
        <v>302</v>
      </c>
      <c r="T135" s="175" t="s">
        <v>375</v>
      </c>
    </row>
    <row r="136" spans="1:20" s="175" customFormat="1" ht="15" x14ac:dyDescent="0.3">
      <c r="A136" s="175" t="s">
        <v>1184</v>
      </c>
      <c r="B136" s="175" t="s">
        <v>1185</v>
      </c>
      <c r="C136" s="174">
        <v>32976</v>
      </c>
      <c r="D136" s="175" t="s">
        <v>355</v>
      </c>
      <c r="E136" s="175" t="s">
        <v>1318</v>
      </c>
      <c r="F136" s="175">
        <v>18</v>
      </c>
      <c r="G136" s="175" t="s">
        <v>281</v>
      </c>
      <c r="H136" s="175" t="s">
        <v>296</v>
      </c>
      <c r="I136" s="175" t="s">
        <v>370</v>
      </c>
      <c r="J136" s="175" t="s">
        <v>371</v>
      </c>
      <c r="K136" s="175" t="s">
        <v>372</v>
      </c>
      <c r="L136" s="175" t="s">
        <v>1186</v>
      </c>
      <c r="M136" s="175" t="s">
        <v>384</v>
      </c>
      <c r="N136" s="176">
        <v>41640</v>
      </c>
      <c r="O136" s="175">
        <v>41</v>
      </c>
      <c r="P136" s="175" t="s">
        <v>61</v>
      </c>
      <c r="Q136" s="174" t="s">
        <v>1187</v>
      </c>
      <c r="R136" s="175">
        <v>335</v>
      </c>
      <c r="S136" s="175" t="s">
        <v>499</v>
      </c>
      <c r="T136" s="175" t="s">
        <v>537</v>
      </c>
    </row>
    <row r="137" spans="1:20" s="175" customFormat="1" ht="15" x14ac:dyDescent="0.3">
      <c r="A137" s="175" t="s">
        <v>1189</v>
      </c>
      <c r="B137" s="175" t="s">
        <v>1410</v>
      </c>
      <c r="C137" s="174">
        <v>332591</v>
      </c>
      <c r="D137" s="175" t="s">
        <v>294</v>
      </c>
      <c r="E137" s="175" t="s">
        <v>1318</v>
      </c>
      <c r="F137" s="175">
        <v>3</v>
      </c>
      <c r="G137" s="175" t="s">
        <v>281</v>
      </c>
      <c r="H137" s="175" t="s">
        <v>296</v>
      </c>
      <c r="I137" s="175" t="s">
        <v>694</v>
      </c>
      <c r="J137" s="175" t="s">
        <v>695</v>
      </c>
      <c r="K137" s="175" t="s">
        <v>417</v>
      </c>
      <c r="L137" s="175" t="s">
        <v>1190</v>
      </c>
      <c r="M137" s="175" t="s">
        <v>287</v>
      </c>
      <c r="N137" s="176">
        <v>42186</v>
      </c>
      <c r="O137" s="175">
        <v>27</v>
      </c>
      <c r="P137" s="175" t="s">
        <v>63</v>
      </c>
      <c r="Q137" s="174" t="s">
        <v>1191</v>
      </c>
      <c r="R137" s="175">
        <v>180</v>
      </c>
      <c r="S137" s="175" t="s">
        <v>1167</v>
      </c>
      <c r="T137" s="175" t="s">
        <v>330</v>
      </c>
    </row>
    <row r="138" spans="1:20" s="175" customFormat="1" ht="15" x14ac:dyDescent="0.3">
      <c r="A138" s="173" t="s">
        <v>747</v>
      </c>
      <c r="B138" s="173" t="s">
        <v>1411</v>
      </c>
      <c r="C138" s="178">
        <v>103054</v>
      </c>
      <c r="D138" s="173" t="s">
        <v>313</v>
      </c>
      <c r="E138" s="173" t="s">
        <v>1316</v>
      </c>
      <c r="F138" s="173">
        <v>34</v>
      </c>
      <c r="G138" s="173" t="s">
        <v>315</v>
      </c>
      <c r="H138" s="173" t="s">
        <v>282</v>
      </c>
      <c r="I138" s="173" t="s">
        <v>710</v>
      </c>
      <c r="J138" s="173" t="s">
        <v>711</v>
      </c>
      <c r="K138" s="173" t="s">
        <v>382</v>
      </c>
      <c r="L138" s="173" t="s">
        <v>749</v>
      </c>
      <c r="M138" s="173" t="s">
        <v>349</v>
      </c>
      <c r="N138" s="179">
        <v>30879</v>
      </c>
      <c r="O138" s="173">
        <v>57</v>
      </c>
      <c r="P138" s="173" t="s">
        <v>61</v>
      </c>
      <c r="Q138" s="178" t="s">
        <v>750</v>
      </c>
      <c r="R138" s="173">
        <v>285</v>
      </c>
      <c r="S138" s="173" t="s">
        <v>572</v>
      </c>
      <c r="T138" s="173" t="s">
        <v>387</v>
      </c>
    </row>
    <row r="139" spans="1:20" s="175" customFormat="1" ht="15" x14ac:dyDescent="0.3">
      <c r="A139" s="175" t="s">
        <v>1193</v>
      </c>
      <c r="B139" s="175" t="s">
        <v>344</v>
      </c>
      <c r="C139" s="174">
        <v>10555045</v>
      </c>
      <c r="D139" s="175" t="s">
        <v>294</v>
      </c>
      <c r="E139" s="175" t="s">
        <v>1318</v>
      </c>
      <c r="F139" s="175">
        <v>1</v>
      </c>
      <c r="G139" s="175" t="s">
        <v>281</v>
      </c>
      <c r="H139" s="175" t="s">
        <v>296</v>
      </c>
      <c r="I139" s="175" t="s">
        <v>283</v>
      </c>
      <c r="J139" s="175" t="s">
        <v>284</v>
      </c>
      <c r="K139" s="175" t="s">
        <v>285</v>
      </c>
      <c r="L139" s="175" t="s">
        <v>1194</v>
      </c>
      <c r="M139" s="175" t="s">
        <v>287</v>
      </c>
      <c r="N139" s="176">
        <v>42767</v>
      </c>
      <c r="O139" s="175">
        <v>41</v>
      </c>
      <c r="P139" s="175" t="s">
        <v>61</v>
      </c>
      <c r="Q139" s="174" t="s">
        <v>1195</v>
      </c>
      <c r="R139" s="175">
        <v>190</v>
      </c>
      <c r="S139" s="175" t="s">
        <v>309</v>
      </c>
      <c r="T139" s="175" t="s">
        <v>330</v>
      </c>
    </row>
    <row r="140" spans="1:20" s="175" customFormat="1" ht="15" x14ac:dyDescent="0.3">
      <c r="A140" s="175" t="s">
        <v>752</v>
      </c>
      <c r="B140" s="175" t="s">
        <v>1412</v>
      </c>
      <c r="C140" s="174">
        <v>103094</v>
      </c>
      <c r="D140" s="175" t="s">
        <v>409</v>
      </c>
      <c r="E140" s="175" t="s">
        <v>1316</v>
      </c>
      <c r="F140" s="175">
        <v>36</v>
      </c>
      <c r="G140" s="175" t="s">
        <v>281</v>
      </c>
      <c r="H140" s="175" t="s">
        <v>282</v>
      </c>
      <c r="I140" s="175" t="s">
        <v>283</v>
      </c>
      <c r="J140" s="175" t="s">
        <v>284</v>
      </c>
      <c r="K140" s="175" t="s">
        <v>285</v>
      </c>
      <c r="L140" s="175" t="s">
        <v>391</v>
      </c>
      <c r="M140" s="175" t="s">
        <v>287</v>
      </c>
      <c r="N140" s="176">
        <v>30032</v>
      </c>
      <c r="O140" s="175">
        <v>56</v>
      </c>
      <c r="P140" s="175" t="s">
        <v>63</v>
      </c>
      <c r="Q140" s="174" t="s">
        <v>753</v>
      </c>
      <c r="R140" s="175">
        <v>170</v>
      </c>
      <c r="S140" s="175" t="s">
        <v>405</v>
      </c>
      <c r="T140" s="175" t="s">
        <v>393</v>
      </c>
    </row>
    <row r="141" spans="1:20" s="175" customFormat="1" ht="15" x14ac:dyDescent="0.3">
      <c r="A141" s="175" t="s">
        <v>132</v>
      </c>
      <c r="B141" s="175" t="s">
        <v>1413</v>
      </c>
      <c r="C141" s="174">
        <v>103013</v>
      </c>
      <c r="D141" s="175" t="s">
        <v>409</v>
      </c>
      <c r="E141" s="175" t="s">
        <v>1316</v>
      </c>
      <c r="F141" s="175">
        <v>25</v>
      </c>
      <c r="G141" s="175" t="s">
        <v>281</v>
      </c>
      <c r="H141" s="175" t="s">
        <v>282</v>
      </c>
      <c r="I141" s="175" t="s">
        <v>283</v>
      </c>
      <c r="J141" s="175" t="s">
        <v>284</v>
      </c>
      <c r="K141" s="175" t="s">
        <v>285</v>
      </c>
      <c r="L141" s="175" t="s">
        <v>286</v>
      </c>
      <c r="M141" s="175" t="s">
        <v>287</v>
      </c>
      <c r="N141" s="176">
        <v>34090</v>
      </c>
      <c r="O141" s="175">
        <v>47</v>
      </c>
      <c r="P141" s="175" t="s">
        <v>61</v>
      </c>
      <c r="Q141" s="174" t="s">
        <v>756</v>
      </c>
      <c r="R141" s="175">
        <v>225</v>
      </c>
      <c r="S141" s="175" t="s">
        <v>361</v>
      </c>
      <c r="T141" s="175" t="s">
        <v>290</v>
      </c>
    </row>
    <row r="142" spans="1:20" s="175" customFormat="1" ht="15" x14ac:dyDescent="0.3">
      <c r="A142" s="175" t="s">
        <v>758</v>
      </c>
      <c r="B142" s="175" t="s">
        <v>1414</v>
      </c>
      <c r="C142" s="174">
        <v>102963</v>
      </c>
      <c r="D142" s="175" t="s">
        <v>422</v>
      </c>
      <c r="E142" s="175" t="s">
        <v>1316</v>
      </c>
      <c r="F142" s="175">
        <v>12</v>
      </c>
      <c r="G142" s="175" t="s">
        <v>281</v>
      </c>
      <c r="H142" s="175" t="s">
        <v>282</v>
      </c>
      <c r="I142" s="175" t="s">
        <v>424</v>
      </c>
      <c r="J142" s="175" t="s">
        <v>425</v>
      </c>
      <c r="K142" s="175" t="s">
        <v>426</v>
      </c>
      <c r="L142" s="175" t="s">
        <v>427</v>
      </c>
      <c r="M142" s="175" t="s">
        <v>287</v>
      </c>
      <c r="N142" s="176">
        <v>38726</v>
      </c>
      <c r="O142" s="175">
        <v>48</v>
      </c>
      <c r="P142" s="175" t="s">
        <v>61</v>
      </c>
      <c r="Q142" s="174" t="s">
        <v>760</v>
      </c>
      <c r="R142" s="175">
        <v>240</v>
      </c>
      <c r="S142" s="175" t="s">
        <v>302</v>
      </c>
      <c r="T142" s="175" t="s">
        <v>375</v>
      </c>
    </row>
    <row r="143" spans="1:20" s="175" customFormat="1" ht="15" x14ac:dyDescent="0.3">
      <c r="A143" s="175" t="s">
        <v>1131</v>
      </c>
      <c r="B143" s="175" t="s">
        <v>1132</v>
      </c>
      <c r="C143" s="174">
        <v>191733</v>
      </c>
      <c r="D143" s="175" t="s">
        <v>326</v>
      </c>
      <c r="E143" s="175" t="s">
        <v>1317</v>
      </c>
      <c r="F143" s="175">
        <v>26</v>
      </c>
      <c r="G143" s="175" t="s">
        <v>281</v>
      </c>
      <c r="H143" s="175" t="s">
        <v>327</v>
      </c>
      <c r="I143" s="175" t="s">
        <v>283</v>
      </c>
      <c r="J143" s="175" t="s">
        <v>284</v>
      </c>
      <c r="K143" s="175" t="s">
        <v>285</v>
      </c>
      <c r="L143" s="175" t="s">
        <v>328</v>
      </c>
      <c r="M143" s="175" t="s">
        <v>287</v>
      </c>
      <c r="N143" s="176">
        <v>33576</v>
      </c>
      <c r="O143" s="175">
        <v>59</v>
      </c>
      <c r="P143" s="175" t="s">
        <v>63</v>
      </c>
      <c r="Q143" s="174" t="s">
        <v>1133</v>
      </c>
      <c r="R143" s="175">
        <v>215</v>
      </c>
      <c r="S143" s="175" t="s">
        <v>289</v>
      </c>
      <c r="T143" s="175" t="s">
        <v>330</v>
      </c>
    </row>
    <row r="144" spans="1:20" s="175" customFormat="1" ht="15" x14ac:dyDescent="0.3">
      <c r="A144" s="175" t="s">
        <v>762</v>
      </c>
      <c r="B144" s="175" t="s">
        <v>1415</v>
      </c>
      <c r="C144" s="174">
        <v>102978</v>
      </c>
      <c r="D144" s="175" t="s">
        <v>313</v>
      </c>
      <c r="E144" s="175" t="s">
        <v>1316</v>
      </c>
      <c r="F144" s="175">
        <v>20</v>
      </c>
      <c r="G144" s="175" t="s">
        <v>315</v>
      </c>
      <c r="H144" s="175" t="s">
        <v>282</v>
      </c>
      <c r="I144" s="175" t="s">
        <v>316</v>
      </c>
      <c r="J144" s="175" t="s">
        <v>317</v>
      </c>
      <c r="K144" s="175" t="s">
        <v>318</v>
      </c>
      <c r="L144" s="175" t="s">
        <v>764</v>
      </c>
      <c r="M144" s="175" t="s">
        <v>384</v>
      </c>
      <c r="N144" s="176">
        <v>35982</v>
      </c>
      <c r="O144" s="175">
        <v>46</v>
      </c>
      <c r="P144" s="175" t="s">
        <v>61</v>
      </c>
      <c r="Q144" s="174" t="s">
        <v>765</v>
      </c>
      <c r="R144" s="175">
        <v>270</v>
      </c>
      <c r="S144" s="175" t="s">
        <v>596</v>
      </c>
      <c r="T144" s="175" t="s">
        <v>303</v>
      </c>
    </row>
    <row r="145" spans="1:20" s="175" customFormat="1" ht="15" x14ac:dyDescent="0.3">
      <c r="A145" s="175" t="s">
        <v>1197</v>
      </c>
      <c r="B145" s="175" t="s">
        <v>1409</v>
      </c>
      <c r="C145" s="174">
        <v>104669</v>
      </c>
      <c r="D145" s="175" t="s">
        <v>355</v>
      </c>
      <c r="E145" s="175" t="s">
        <v>1318</v>
      </c>
      <c r="F145" s="175">
        <v>10</v>
      </c>
      <c r="G145" s="175" t="s">
        <v>315</v>
      </c>
      <c r="H145" s="175" t="s">
        <v>296</v>
      </c>
      <c r="I145" s="175" t="s">
        <v>380</v>
      </c>
      <c r="J145" s="175" t="s">
        <v>381</v>
      </c>
      <c r="K145" s="175" t="s">
        <v>382</v>
      </c>
      <c r="L145" s="175" t="s">
        <v>381</v>
      </c>
      <c r="M145" s="175" t="s">
        <v>384</v>
      </c>
      <c r="N145" s="176">
        <v>39448</v>
      </c>
      <c r="O145" s="175">
        <v>59</v>
      </c>
      <c r="P145" s="175" t="s">
        <v>61</v>
      </c>
      <c r="Q145" s="174" t="s">
        <v>1198</v>
      </c>
      <c r="R145" s="175">
        <v>335</v>
      </c>
      <c r="S145" s="175" t="s">
        <v>499</v>
      </c>
      <c r="T145" s="175" t="s">
        <v>387</v>
      </c>
    </row>
    <row r="146" spans="1:20" s="175" customFormat="1" ht="15" x14ac:dyDescent="0.3">
      <c r="A146" s="175" t="s">
        <v>767</v>
      </c>
      <c r="B146" s="175" t="s">
        <v>1416</v>
      </c>
      <c r="C146" s="174">
        <v>102997</v>
      </c>
      <c r="D146" s="175" t="s">
        <v>409</v>
      </c>
      <c r="E146" s="175" t="s">
        <v>1316</v>
      </c>
      <c r="F146" s="175">
        <v>23</v>
      </c>
      <c r="G146" s="175" t="s">
        <v>281</v>
      </c>
      <c r="H146" s="175" t="s">
        <v>282</v>
      </c>
      <c r="I146" s="175" t="s">
        <v>283</v>
      </c>
      <c r="J146" s="175" t="s">
        <v>284</v>
      </c>
      <c r="K146" s="175" t="s">
        <v>285</v>
      </c>
      <c r="L146" s="175" t="s">
        <v>391</v>
      </c>
      <c r="M146" s="175" t="s">
        <v>287</v>
      </c>
      <c r="N146" s="176">
        <v>34759</v>
      </c>
      <c r="O146" s="175">
        <v>47</v>
      </c>
      <c r="P146" s="175" t="s">
        <v>61</v>
      </c>
      <c r="Q146" s="174" t="s">
        <v>768</v>
      </c>
      <c r="R146" s="175">
        <v>190</v>
      </c>
      <c r="S146" s="175" t="s">
        <v>309</v>
      </c>
      <c r="T146" s="175" t="s">
        <v>290</v>
      </c>
    </row>
    <row r="147" spans="1:20" s="175" customFormat="1" ht="15" x14ac:dyDescent="0.3">
      <c r="A147" s="175" t="s">
        <v>770</v>
      </c>
      <c r="B147" s="175" t="s">
        <v>344</v>
      </c>
      <c r="C147" s="174">
        <v>103090</v>
      </c>
      <c r="D147" s="175" t="s">
        <v>409</v>
      </c>
      <c r="E147" s="175" t="s">
        <v>1316</v>
      </c>
      <c r="F147" s="175">
        <v>36</v>
      </c>
      <c r="G147" s="175" t="s">
        <v>281</v>
      </c>
      <c r="H147" s="175" t="s">
        <v>282</v>
      </c>
      <c r="I147" s="175" t="s">
        <v>283</v>
      </c>
      <c r="J147" s="175" t="s">
        <v>284</v>
      </c>
      <c r="K147" s="175" t="s">
        <v>285</v>
      </c>
      <c r="L147" s="175" t="s">
        <v>286</v>
      </c>
      <c r="M147" s="175" t="s">
        <v>287</v>
      </c>
      <c r="N147" s="176">
        <v>30013</v>
      </c>
      <c r="O147" s="175">
        <v>56</v>
      </c>
      <c r="P147" s="175" t="s">
        <v>61</v>
      </c>
      <c r="Q147" s="174" t="s">
        <v>771</v>
      </c>
      <c r="R147" s="175">
        <v>225</v>
      </c>
      <c r="S147" s="175" t="s">
        <v>361</v>
      </c>
      <c r="T147" s="175" t="s">
        <v>290</v>
      </c>
    </row>
    <row r="148" spans="1:20" s="175" customFormat="1" ht="15" x14ac:dyDescent="0.3">
      <c r="A148" s="175" t="s">
        <v>773</v>
      </c>
      <c r="B148" s="175" t="s">
        <v>1417</v>
      </c>
      <c r="C148" s="174">
        <v>115873</v>
      </c>
      <c r="D148" s="175" t="s">
        <v>280</v>
      </c>
      <c r="E148" s="175" t="s">
        <v>1316</v>
      </c>
      <c r="F148" s="175">
        <v>10</v>
      </c>
      <c r="G148" s="175" t="s">
        <v>281</v>
      </c>
      <c r="H148" s="175" t="s">
        <v>282</v>
      </c>
      <c r="I148" s="175" t="s">
        <v>283</v>
      </c>
      <c r="J148" s="175" t="s">
        <v>284</v>
      </c>
      <c r="K148" s="175" t="s">
        <v>285</v>
      </c>
      <c r="L148" s="175" t="s">
        <v>391</v>
      </c>
      <c r="M148" s="175" t="s">
        <v>287</v>
      </c>
      <c r="N148" s="176">
        <v>39630</v>
      </c>
      <c r="O148" s="175">
        <v>53</v>
      </c>
      <c r="P148" s="175" t="s">
        <v>61</v>
      </c>
      <c r="Q148" s="174" t="s">
        <v>774</v>
      </c>
      <c r="R148" s="175">
        <v>170</v>
      </c>
      <c r="S148" s="175" t="s">
        <v>405</v>
      </c>
      <c r="T148" s="175" t="s">
        <v>393</v>
      </c>
    </row>
    <row r="149" spans="1:20" s="175" customFormat="1" ht="15" x14ac:dyDescent="0.3">
      <c r="A149" s="175" t="s">
        <v>1127</v>
      </c>
      <c r="B149" s="175" t="s">
        <v>1128</v>
      </c>
      <c r="C149" s="174">
        <v>191714</v>
      </c>
      <c r="D149" s="175" t="s">
        <v>326</v>
      </c>
      <c r="E149" s="175" t="s">
        <v>1317</v>
      </c>
      <c r="F149" s="175">
        <v>36</v>
      </c>
      <c r="G149" s="175" t="s">
        <v>281</v>
      </c>
      <c r="H149" s="175" t="s">
        <v>327</v>
      </c>
      <c r="I149" s="175" t="s">
        <v>283</v>
      </c>
      <c r="J149" s="175" t="s">
        <v>284</v>
      </c>
      <c r="K149" s="175" t="s">
        <v>285</v>
      </c>
      <c r="L149" s="175" t="s">
        <v>328</v>
      </c>
      <c r="M149" s="175" t="s">
        <v>287</v>
      </c>
      <c r="N149" s="176">
        <v>36130</v>
      </c>
      <c r="O149" s="175">
        <v>56</v>
      </c>
      <c r="P149" s="175" t="s">
        <v>61</v>
      </c>
      <c r="Q149" s="174" t="s">
        <v>1129</v>
      </c>
      <c r="R149" s="175">
        <v>215</v>
      </c>
      <c r="S149" s="175" t="s">
        <v>289</v>
      </c>
      <c r="T149" s="175" t="s">
        <v>330</v>
      </c>
    </row>
    <row r="150" spans="1:20" s="175" customFormat="1" ht="15" x14ac:dyDescent="0.3">
      <c r="A150" s="173" t="s">
        <v>776</v>
      </c>
      <c r="B150" s="173" t="s">
        <v>1357</v>
      </c>
      <c r="C150" s="178">
        <v>102902</v>
      </c>
      <c r="D150" s="173" t="s">
        <v>280</v>
      </c>
      <c r="E150" s="173" t="s">
        <v>1316</v>
      </c>
      <c r="F150" s="173">
        <v>10</v>
      </c>
      <c r="G150" s="173" t="s">
        <v>281</v>
      </c>
      <c r="H150" s="173" t="s">
        <v>282</v>
      </c>
      <c r="I150" s="173" t="s">
        <v>283</v>
      </c>
      <c r="J150" s="173" t="s">
        <v>284</v>
      </c>
      <c r="K150" s="173" t="s">
        <v>285</v>
      </c>
      <c r="L150" s="173" t="s">
        <v>391</v>
      </c>
      <c r="M150" s="173" t="s">
        <v>287</v>
      </c>
      <c r="N150" s="179">
        <v>39412</v>
      </c>
      <c r="O150" s="173">
        <v>59</v>
      </c>
      <c r="P150" s="173" t="s">
        <v>61</v>
      </c>
      <c r="Q150" s="178" t="s">
        <v>777</v>
      </c>
      <c r="R150" s="173">
        <v>170</v>
      </c>
      <c r="S150" s="173" t="s">
        <v>405</v>
      </c>
      <c r="T150" s="173" t="s">
        <v>393</v>
      </c>
    </row>
    <row r="151" spans="1:20" s="175" customFormat="1" ht="15" x14ac:dyDescent="0.3">
      <c r="A151" s="175" t="s">
        <v>776</v>
      </c>
      <c r="B151" s="175" t="s">
        <v>1402</v>
      </c>
      <c r="C151" s="174">
        <v>103023</v>
      </c>
      <c r="D151" s="175" t="s">
        <v>256</v>
      </c>
      <c r="E151" s="175" t="s">
        <v>1316</v>
      </c>
      <c r="F151" s="175">
        <v>27</v>
      </c>
      <c r="G151" s="175" t="s">
        <v>315</v>
      </c>
      <c r="H151" s="175" t="s">
        <v>282</v>
      </c>
      <c r="I151" s="175" t="s">
        <v>779</v>
      </c>
      <c r="J151" s="175" t="s">
        <v>780</v>
      </c>
      <c r="K151" s="175" t="s">
        <v>347</v>
      </c>
      <c r="L151" s="175" t="s">
        <v>781</v>
      </c>
      <c r="M151" s="175" t="s">
        <v>320</v>
      </c>
      <c r="N151" s="176">
        <v>33287</v>
      </c>
      <c r="O151" s="175">
        <v>50</v>
      </c>
      <c r="P151" s="175" t="s">
        <v>61</v>
      </c>
      <c r="Q151" s="174" t="s">
        <v>782</v>
      </c>
      <c r="R151" s="175">
        <v>365</v>
      </c>
      <c r="S151" s="175" t="s">
        <v>351</v>
      </c>
      <c r="T151" s="175" t="s">
        <v>352</v>
      </c>
    </row>
    <row r="152" spans="1:20" s="175" customFormat="1" ht="15" x14ac:dyDescent="0.3">
      <c r="A152" s="173" t="s">
        <v>784</v>
      </c>
      <c r="B152" s="173" t="s">
        <v>1418</v>
      </c>
      <c r="C152" s="178">
        <v>102903</v>
      </c>
      <c r="D152" s="173" t="s">
        <v>280</v>
      </c>
      <c r="E152" s="173" t="s">
        <v>1316</v>
      </c>
      <c r="F152" s="173">
        <v>10</v>
      </c>
      <c r="G152" s="173" t="s">
        <v>281</v>
      </c>
      <c r="H152" s="173" t="s">
        <v>282</v>
      </c>
      <c r="I152" s="173" t="s">
        <v>283</v>
      </c>
      <c r="J152" s="173" t="s">
        <v>284</v>
      </c>
      <c r="K152" s="173" t="s">
        <v>285</v>
      </c>
      <c r="L152" s="173" t="s">
        <v>391</v>
      </c>
      <c r="M152" s="173" t="s">
        <v>287</v>
      </c>
      <c r="N152" s="179">
        <v>39412</v>
      </c>
      <c r="O152" s="173">
        <v>59</v>
      </c>
      <c r="P152" s="173" t="s">
        <v>61</v>
      </c>
      <c r="Q152" s="178" t="s">
        <v>786</v>
      </c>
      <c r="R152" s="173">
        <v>170</v>
      </c>
      <c r="S152" s="173" t="s">
        <v>405</v>
      </c>
      <c r="T152" s="173" t="s">
        <v>330</v>
      </c>
    </row>
    <row r="153" spans="1:20" s="175" customFormat="1" ht="15" x14ac:dyDescent="0.3">
      <c r="A153" s="175" t="s">
        <v>788</v>
      </c>
      <c r="B153" s="175" t="s">
        <v>1033</v>
      </c>
      <c r="C153" s="174">
        <v>102993</v>
      </c>
      <c r="D153" s="175" t="s">
        <v>409</v>
      </c>
      <c r="E153" s="175" t="s">
        <v>1316</v>
      </c>
      <c r="F153" s="175">
        <v>24</v>
      </c>
      <c r="G153" s="175" t="s">
        <v>281</v>
      </c>
      <c r="H153" s="175" t="s">
        <v>282</v>
      </c>
      <c r="I153" s="175" t="s">
        <v>297</v>
      </c>
      <c r="J153" s="175" t="s">
        <v>298</v>
      </c>
      <c r="K153" s="175" t="s">
        <v>299</v>
      </c>
      <c r="L153" s="175" t="s">
        <v>300</v>
      </c>
      <c r="M153" s="175" t="s">
        <v>287</v>
      </c>
      <c r="N153" s="176">
        <v>34486</v>
      </c>
      <c r="O153" s="175">
        <v>47</v>
      </c>
      <c r="P153" s="175" t="s">
        <v>61</v>
      </c>
      <c r="Q153" s="174" t="s">
        <v>790</v>
      </c>
      <c r="R153" s="175">
        <v>255</v>
      </c>
      <c r="S153" s="175" t="s">
        <v>445</v>
      </c>
      <c r="T153" s="175" t="s">
        <v>375</v>
      </c>
    </row>
    <row r="154" spans="1:20" s="175" customFormat="1" ht="15" x14ac:dyDescent="0.3">
      <c r="A154" s="175" t="s">
        <v>792</v>
      </c>
      <c r="B154" s="175" t="s">
        <v>1387</v>
      </c>
      <c r="C154" s="174">
        <v>103014</v>
      </c>
      <c r="D154" s="175" t="s">
        <v>280</v>
      </c>
      <c r="E154" s="175" t="s">
        <v>1316</v>
      </c>
      <c r="F154" s="175">
        <v>25</v>
      </c>
      <c r="G154" s="175" t="s">
        <v>281</v>
      </c>
      <c r="H154" s="175" t="s">
        <v>282</v>
      </c>
      <c r="I154" s="175" t="s">
        <v>283</v>
      </c>
      <c r="J154" s="175" t="s">
        <v>284</v>
      </c>
      <c r="K154" s="175" t="s">
        <v>285</v>
      </c>
      <c r="L154" s="175" t="s">
        <v>391</v>
      </c>
      <c r="M154" s="175" t="s">
        <v>287</v>
      </c>
      <c r="N154" s="176">
        <v>34090</v>
      </c>
      <c r="O154" s="175">
        <v>49</v>
      </c>
      <c r="P154" s="175" t="s">
        <v>61</v>
      </c>
      <c r="Q154" s="174" t="s">
        <v>793</v>
      </c>
      <c r="R154" s="175">
        <v>190</v>
      </c>
      <c r="S154" s="175" t="s">
        <v>309</v>
      </c>
      <c r="T154" s="175" t="s">
        <v>393</v>
      </c>
    </row>
    <row r="155" spans="1:20" s="175" customFormat="1" ht="15" x14ac:dyDescent="0.3">
      <c r="A155" s="175" t="s">
        <v>1200</v>
      </c>
      <c r="B155" s="175" t="s">
        <v>1419</v>
      </c>
      <c r="C155" s="174">
        <v>10550783</v>
      </c>
      <c r="D155" s="175" t="s">
        <v>355</v>
      </c>
      <c r="E155" s="175" t="s">
        <v>1318</v>
      </c>
      <c r="F155" s="175">
        <v>1</v>
      </c>
      <c r="G155" s="175" t="s">
        <v>315</v>
      </c>
      <c r="H155" s="175" t="s">
        <v>296</v>
      </c>
      <c r="I155" s="175" t="s">
        <v>710</v>
      </c>
      <c r="J155" s="175" t="s">
        <v>711</v>
      </c>
      <c r="K155" s="175" t="s">
        <v>382</v>
      </c>
      <c r="L155" s="175" t="s">
        <v>1202</v>
      </c>
      <c r="M155" s="175" t="s">
        <v>338</v>
      </c>
      <c r="N155" s="176">
        <v>42736</v>
      </c>
      <c r="O155" s="175">
        <v>28</v>
      </c>
      <c r="P155" s="175" t="s">
        <v>61</v>
      </c>
      <c r="Q155" s="174" t="s">
        <v>1203</v>
      </c>
      <c r="R155" s="175" t="s">
        <v>1204</v>
      </c>
      <c r="S155" s="175" t="s">
        <v>1205</v>
      </c>
      <c r="T155" s="175">
        <v>4</v>
      </c>
    </row>
    <row r="156" spans="1:20" s="175" customFormat="1" ht="15" x14ac:dyDescent="0.3">
      <c r="A156" s="175" t="s">
        <v>1149</v>
      </c>
      <c r="B156" s="175" t="s">
        <v>1150</v>
      </c>
      <c r="C156" s="174">
        <v>192015</v>
      </c>
      <c r="D156" s="175" t="s">
        <v>326</v>
      </c>
      <c r="E156" s="175" t="s">
        <v>1317</v>
      </c>
      <c r="F156" s="175">
        <v>27</v>
      </c>
      <c r="G156" s="175" t="s">
        <v>281</v>
      </c>
      <c r="H156" s="175" t="s">
        <v>327</v>
      </c>
      <c r="I156" s="175" t="s">
        <v>283</v>
      </c>
      <c r="J156" s="175" t="s">
        <v>284</v>
      </c>
      <c r="K156" s="175" t="s">
        <v>285</v>
      </c>
      <c r="L156" s="175" t="s">
        <v>328</v>
      </c>
      <c r="M156" s="175" t="s">
        <v>287</v>
      </c>
      <c r="N156" s="176">
        <v>33330</v>
      </c>
      <c r="O156" s="175">
        <v>60</v>
      </c>
      <c r="P156" s="175" t="s">
        <v>61</v>
      </c>
      <c r="Q156" s="174" t="s">
        <v>1151</v>
      </c>
      <c r="R156" s="175">
        <v>215</v>
      </c>
      <c r="S156" s="175" t="s">
        <v>289</v>
      </c>
      <c r="T156" s="175" t="s">
        <v>330</v>
      </c>
    </row>
    <row r="157" spans="1:20" s="175" customFormat="1" ht="15" x14ac:dyDescent="0.3">
      <c r="A157" s="175" t="s">
        <v>103</v>
      </c>
      <c r="B157" s="175" t="s">
        <v>1420</v>
      </c>
      <c r="C157" s="174">
        <v>10515630</v>
      </c>
      <c r="D157" s="175" t="s">
        <v>355</v>
      </c>
      <c r="E157" s="175" t="s">
        <v>1318</v>
      </c>
      <c r="F157" s="175">
        <v>2</v>
      </c>
      <c r="G157" s="175" t="s">
        <v>315</v>
      </c>
      <c r="H157" s="175" t="s">
        <v>296</v>
      </c>
      <c r="I157" s="175" t="s">
        <v>710</v>
      </c>
      <c r="J157" s="175" t="s">
        <v>711</v>
      </c>
      <c r="K157" s="175" t="s">
        <v>382</v>
      </c>
      <c r="L157" s="175" t="s">
        <v>1207</v>
      </c>
      <c r="M157" s="175" t="s">
        <v>320</v>
      </c>
      <c r="N157" s="176">
        <v>42646</v>
      </c>
      <c r="O157" s="175">
        <v>23</v>
      </c>
      <c r="P157" s="175" t="s">
        <v>61</v>
      </c>
      <c r="Q157" s="174" t="s">
        <v>1208</v>
      </c>
      <c r="T157" s="175" t="s">
        <v>322</v>
      </c>
    </row>
    <row r="158" spans="1:20" s="175" customFormat="1" ht="15" x14ac:dyDescent="0.3">
      <c r="A158" s="175" t="s">
        <v>1210</v>
      </c>
      <c r="B158" s="175" t="s">
        <v>1211</v>
      </c>
      <c r="C158" s="174">
        <v>330997</v>
      </c>
      <c r="D158" s="175" t="s">
        <v>294</v>
      </c>
      <c r="E158" s="175" t="s">
        <v>1318</v>
      </c>
      <c r="F158" s="175">
        <v>3</v>
      </c>
      <c r="G158" s="175" t="s">
        <v>281</v>
      </c>
      <c r="H158" s="175" t="s">
        <v>296</v>
      </c>
      <c r="I158" s="175" t="s">
        <v>283</v>
      </c>
      <c r="J158" s="175" t="s">
        <v>284</v>
      </c>
      <c r="K158" s="175" t="s">
        <v>285</v>
      </c>
      <c r="L158" s="175" t="s">
        <v>1212</v>
      </c>
      <c r="M158" s="175" t="s">
        <v>287</v>
      </c>
      <c r="N158" s="176">
        <v>42156</v>
      </c>
      <c r="O158" s="175">
        <v>26</v>
      </c>
      <c r="P158" s="175" t="s">
        <v>61</v>
      </c>
      <c r="Q158" s="174" t="s">
        <v>1213</v>
      </c>
      <c r="R158" s="175">
        <v>190</v>
      </c>
      <c r="S158" s="175" t="s">
        <v>309</v>
      </c>
      <c r="T158" s="175" t="s">
        <v>290</v>
      </c>
    </row>
    <row r="159" spans="1:20" s="175" customFormat="1" ht="15" x14ac:dyDescent="0.3">
      <c r="A159" s="173" t="s">
        <v>795</v>
      </c>
      <c r="B159" s="173" t="s">
        <v>1421</v>
      </c>
      <c r="C159" s="178">
        <v>103033</v>
      </c>
      <c r="D159" s="173" t="s">
        <v>516</v>
      </c>
      <c r="E159" s="173" t="s">
        <v>1316</v>
      </c>
      <c r="F159" s="173">
        <v>26</v>
      </c>
      <c r="G159" s="173" t="s">
        <v>315</v>
      </c>
      <c r="H159" s="173" t="s">
        <v>282</v>
      </c>
      <c r="I159" s="173" t="s">
        <v>519</v>
      </c>
      <c r="J159" s="173" t="s">
        <v>520</v>
      </c>
      <c r="K159" s="173" t="s">
        <v>496</v>
      </c>
      <c r="L159" s="173" t="s">
        <v>797</v>
      </c>
      <c r="M159" s="173" t="s">
        <v>320</v>
      </c>
      <c r="N159" s="179">
        <v>33664</v>
      </c>
      <c r="O159" s="173">
        <v>59</v>
      </c>
      <c r="P159" s="173" t="s">
        <v>63</v>
      </c>
      <c r="Q159" s="178" t="s">
        <v>798</v>
      </c>
      <c r="R159" s="173">
        <v>305</v>
      </c>
      <c r="S159" s="173" t="s">
        <v>386</v>
      </c>
      <c r="T159" s="173" t="s">
        <v>573</v>
      </c>
    </row>
    <row r="160" spans="1:20" s="175" customFormat="1" ht="15" x14ac:dyDescent="0.3">
      <c r="A160" s="175" t="s">
        <v>800</v>
      </c>
      <c r="B160" s="175" t="s">
        <v>1033</v>
      </c>
      <c r="C160" s="174">
        <v>103043</v>
      </c>
      <c r="D160" s="175" t="s">
        <v>256</v>
      </c>
      <c r="E160" s="175" t="s">
        <v>1316</v>
      </c>
      <c r="F160" s="175">
        <v>28</v>
      </c>
      <c r="G160" s="175" t="s">
        <v>315</v>
      </c>
      <c r="H160" s="175" t="s">
        <v>282</v>
      </c>
      <c r="I160" s="175" t="s">
        <v>650</v>
      </c>
      <c r="J160" s="175" t="s">
        <v>651</v>
      </c>
      <c r="K160" s="175" t="s">
        <v>652</v>
      </c>
      <c r="L160" s="175" t="s">
        <v>653</v>
      </c>
      <c r="M160" s="175" t="s">
        <v>384</v>
      </c>
      <c r="N160" s="176">
        <v>32933</v>
      </c>
      <c r="O160" s="175">
        <v>52</v>
      </c>
      <c r="P160" s="175" t="s">
        <v>61</v>
      </c>
      <c r="Q160" s="174" t="s">
        <v>801</v>
      </c>
      <c r="R160" s="175">
        <v>285</v>
      </c>
      <c r="S160" s="175" t="s">
        <v>572</v>
      </c>
      <c r="T160" s="175" t="s">
        <v>573</v>
      </c>
    </row>
    <row r="161" spans="1:20" s="175" customFormat="1" ht="15" x14ac:dyDescent="0.3">
      <c r="A161" s="175" t="s">
        <v>800</v>
      </c>
      <c r="B161" s="175" t="s">
        <v>1005</v>
      </c>
      <c r="C161" s="174">
        <v>191320</v>
      </c>
      <c r="D161" s="175" t="s">
        <v>326</v>
      </c>
      <c r="E161" s="175" t="s">
        <v>1317</v>
      </c>
      <c r="F161" s="175">
        <v>28</v>
      </c>
      <c r="G161" s="175" t="s">
        <v>281</v>
      </c>
      <c r="H161" s="175" t="s">
        <v>327</v>
      </c>
      <c r="I161" s="175" t="s">
        <v>283</v>
      </c>
      <c r="J161" s="175" t="s">
        <v>284</v>
      </c>
      <c r="K161" s="175" t="s">
        <v>285</v>
      </c>
      <c r="L161" s="175" t="s">
        <v>328</v>
      </c>
      <c r="M161" s="175" t="s">
        <v>287</v>
      </c>
      <c r="N161" s="176">
        <v>33106</v>
      </c>
      <c r="O161" s="175">
        <v>50</v>
      </c>
      <c r="P161" s="175" t="s">
        <v>61</v>
      </c>
      <c r="Q161" s="174" t="s">
        <v>1078</v>
      </c>
      <c r="R161" s="175">
        <v>190</v>
      </c>
      <c r="S161" s="175" t="s">
        <v>309</v>
      </c>
      <c r="T161" s="175" t="s">
        <v>330</v>
      </c>
    </row>
    <row r="162" spans="1:20" s="175" customFormat="1" ht="15" x14ac:dyDescent="0.3">
      <c r="A162" s="175" t="s">
        <v>803</v>
      </c>
      <c r="B162" s="175" t="s">
        <v>1033</v>
      </c>
      <c r="C162" s="174">
        <v>102976</v>
      </c>
      <c r="D162" s="175" t="s">
        <v>364</v>
      </c>
      <c r="E162" s="175" t="s">
        <v>1316</v>
      </c>
      <c r="F162" s="175">
        <v>16</v>
      </c>
      <c r="G162" s="175" t="s">
        <v>281</v>
      </c>
      <c r="H162" s="175" t="s">
        <v>282</v>
      </c>
      <c r="I162" s="175" t="s">
        <v>357</v>
      </c>
      <c r="J162" s="175" t="s">
        <v>358</v>
      </c>
      <c r="K162" s="175" t="s">
        <v>285</v>
      </c>
      <c r="L162" s="175" t="s">
        <v>366</v>
      </c>
      <c r="M162" s="175" t="s">
        <v>287</v>
      </c>
      <c r="N162" s="176">
        <v>37529</v>
      </c>
      <c r="O162" s="175">
        <v>37</v>
      </c>
      <c r="P162" s="175" t="s">
        <v>61</v>
      </c>
      <c r="Q162" s="174" t="s">
        <v>804</v>
      </c>
      <c r="R162" s="175">
        <v>215</v>
      </c>
      <c r="S162" s="175" t="s">
        <v>289</v>
      </c>
      <c r="T162" s="175" t="s">
        <v>290</v>
      </c>
    </row>
    <row r="163" spans="1:20" s="175" customFormat="1" ht="15" x14ac:dyDescent="0.3">
      <c r="A163" s="175" t="s">
        <v>806</v>
      </c>
      <c r="B163" s="175" t="s">
        <v>1422</v>
      </c>
      <c r="C163" s="174">
        <v>103059</v>
      </c>
      <c r="D163" s="175" t="s">
        <v>280</v>
      </c>
      <c r="E163" s="175" t="s">
        <v>1316</v>
      </c>
      <c r="F163" s="175">
        <v>33</v>
      </c>
      <c r="G163" s="175" t="s">
        <v>281</v>
      </c>
      <c r="H163" s="175" t="s">
        <v>282</v>
      </c>
      <c r="I163" s="175" t="s">
        <v>283</v>
      </c>
      <c r="J163" s="175" t="s">
        <v>284</v>
      </c>
      <c r="K163" s="175" t="s">
        <v>285</v>
      </c>
      <c r="L163" s="175" t="s">
        <v>391</v>
      </c>
      <c r="M163" s="175" t="s">
        <v>287</v>
      </c>
      <c r="N163" s="176">
        <v>30993</v>
      </c>
      <c r="O163" s="175">
        <v>54</v>
      </c>
      <c r="P163" s="175" t="s">
        <v>61</v>
      </c>
      <c r="Q163" s="174" t="s">
        <v>808</v>
      </c>
      <c r="R163" s="175">
        <v>215</v>
      </c>
      <c r="S163" s="175" t="s">
        <v>289</v>
      </c>
      <c r="T163" s="175" t="s">
        <v>290</v>
      </c>
    </row>
    <row r="164" spans="1:20" s="175" customFormat="1" ht="15" x14ac:dyDescent="0.3">
      <c r="A164" s="175" t="s">
        <v>1215</v>
      </c>
      <c r="B164" s="175" t="s">
        <v>1423</v>
      </c>
      <c r="C164" s="174">
        <v>228757</v>
      </c>
      <c r="D164" s="175" t="s">
        <v>294</v>
      </c>
      <c r="E164" s="175" t="s">
        <v>1318</v>
      </c>
      <c r="F164" s="175">
        <v>6</v>
      </c>
      <c r="G164" s="175" t="s">
        <v>281</v>
      </c>
      <c r="H164" s="175" t="s">
        <v>296</v>
      </c>
      <c r="I164" s="175" t="s">
        <v>297</v>
      </c>
      <c r="J164" s="175" t="s">
        <v>298</v>
      </c>
      <c r="K164" s="175" t="s">
        <v>299</v>
      </c>
      <c r="L164" s="175" t="s">
        <v>300</v>
      </c>
      <c r="M164" s="175" t="s">
        <v>287</v>
      </c>
      <c r="N164" s="176">
        <v>40878</v>
      </c>
      <c r="O164" s="175">
        <v>32</v>
      </c>
      <c r="P164" s="175" t="s">
        <v>61</v>
      </c>
      <c r="Q164" s="174" t="s">
        <v>1217</v>
      </c>
      <c r="R164" s="175">
        <v>240</v>
      </c>
      <c r="S164" s="175" t="s">
        <v>302</v>
      </c>
      <c r="T164" s="175" t="s">
        <v>303</v>
      </c>
    </row>
    <row r="165" spans="1:20" s="175" customFormat="1" ht="15" x14ac:dyDescent="0.3">
      <c r="A165" s="175" t="s">
        <v>810</v>
      </c>
      <c r="B165" s="175" t="s">
        <v>295</v>
      </c>
      <c r="C165" s="174">
        <v>10630739</v>
      </c>
      <c r="D165" s="175" t="s">
        <v>313</v>
      </c>
      <c r="E165" s="175" t="s">
        <v>1316</v>
      </c>
      <c r="F165" s="175">
        <v>0</v>
      </c>
      <c r="G165" s="175" t="s">
        <v>315</v>
      </c>
      <c r="H165" s="175" t="s">
        <v>518</v>
      </c>
      <c r="I165" s="175" t="s">
        <v>700</v>
      </c>
      <c r="J165" s="175" t="s">
        <v>701</v>
      </c>
      <c r="K165" s="175" t="s">
        <v>336</v>
      </c>
      <c r="L165" s="175" t="s">
        <v>811</v>
      </c>
      <c r="M165" s="175" t="s">
        <v>338</v>
      </c>
      <c r="N165" s="176">
        <v>43344</v>
      </c>
      <c r="O165" s="175">
        <v>36</v>
      </c>
      <c r="P165" s="175" t="s">
        <v>61</v>
      </c>
      <c r="Q165" s="174" t="s">
        <v>812</v>
      </c>
      <c r="R165" s="175" t="s">
        <v>813</v>
      </c>
      <c r="S165" s="175" t="s">
        <v>814</v>
      </c>
      <c r="T165" s="175">
        <v>6</v>
      </c>
    </row>
    <row r="166" spans="1:20" s="175" customFormat="1" ht="15" x14ac:dyDescent="0.3">
      <c r="A166" s="175" t="s">
        <v>100</v>
      </c>
      <c r="B166" s="175" t="s">
        <v>295</v>
      </c>
      <c r="C166" s="174">
        <v>331029</v>
      </c>
      <c r="D166" s="175" t="s">
        <v>294</v>
      </c>
      <c r="E166" s="175" t="s">
        <v>1318</v>
      </c>
      <c r="F166" s="175">
        <v>3</v>
      </c>
      <c r="G166" s="175" t="s">
        <v>281</v>
      </c>
      <c r="H166" s="175" t="s">
        <v>296</v>
      </c>
      <c r="I166" s="175" t="s">
        <v>283</v>
      </c>
      <c r="J166" s="175" t="s">
        <v>284</v>
      </c>
      <c r="K166" s="175" t="s">
        <v>285</v>
      </c>
      <c r="L166" s="175" t="s">
        <v>1220</v>
      </c>
      <c r="M166" s="175" t="s">
        <v>287</v>
      </c>
      <c r="N166" s="176">
        <v>42156</v>
      </c>
      <c r="O166" s="175">
        <v>34</v>
      </c>
      <c r="P166" s="175" t="s">
        <v>61</v>
      </c>
      <c r="Q166" s="174" t="s">
        <v>1221</v>
      </c>
      <c r="R166" s="175">
        <v>190</v>
      </c>
      <c r="S166" s="175" t="s">
        <v>309</v>
      </c>
      <c r="T166" s="175" t="s">
        <v>290</v>
      </c>
    </row>
    <row r="167" spans="1:20" s="175" customFormat="1" ht="15" x14ac:dyDescent="0.3">
      <c r="A167" s="175" t="s">
        <v>816</v>
      </c>
      <c r="B167" s="175" t="s">
        <v>1043</v>
      </c>
      <c r="C167" s="174">
        <v>102943</v>
      </c>
      <c r="D167" s="175" t="s">
        <v>409</v>
      </c>
      <c r="E167" s="175" t="s">
        <v>1316</v>
      </c>
      <c r="F167" s="175">
        <v>12</v>
      </c>
      <c r="G167" s="175" t="s">
        <v>281</v>
      </c>
      <c r="H167" s="175" t="s">
        <v>282</v>
      </c>
      <c r="I167" s="175" t="s">
        <v>283</v>
      </c>
      <c r="J167" s="175" t="s">
        <v>284</v>
      </c>
      <c r="K167" s="175" t="s">
        <v>285</v>
      </c>
      <c r="L167" s="175" t="s">
        <v>286</v>
      </c>
      <c r="M167" s="175" t="s">
        <v>287</v>
      </c>
      <c r="N167" s="176">
        <v>38808</v>
      </c>
      <c r="O167" s="175">
        <v>51</v>
      </c>
      <c r="P167" s="175" t="s">
        <v>61</v>
      </c>
      <c r="Q167" s="174" t="s">
        <v>817</v>
      </c>
      <c r="R167" s="175">
        <v>215</v>
      </c>
      <c r="S167" s="175" t="s">
        <v>289</v>
      </c>
      <c r="T167" s="175" t="s">
        <v>290</v>
      </c>
    </row>
    <row r="168" spans="1:20" s="175" customFormat="1" ht="15" x14ac:dyDescent="0.3">
      <c r="A168" s="175" t="s">
        <v>819</v>
      </c>
      <c r="B168" s="175" t="s">
        <v>1033</v>
      </c>
      <c r="C168" s="174">
        <v>103047</v>
      </c>
      <c r="D168" s="175" t="s">
        <v>379</v>
      </c>
      <c r="E168" s="175" t="s">
        <v>1316</v>
      </c>
      <c r="F168" s="175">
        <v>27</v>
      </c>
      <c r="G168" s="175" t="s">
        <v>315</v>
      </c>
      <c r="H168" s="175" t="s">
        <v>282</v>
      </c>
      <c r="I168" s="175" t="s">
        <v>380</v>
      </c>
      <c r="J168" s="175" t="s">
        <v>381</v>
      </c>
      <c r="K168" s="175" t="s">
        <v>382</v>
      </c>
      <c r="L168" s="175" t="s">
        <v>383</v>
      </c>
      <c r="M168" s="175" t="s">
        <v>384</v>
      </c>
      <c r="N168" s="176">
        <v>33189</v>
      </c>
      <c r="O168" s="175">
        <v>51</v>
      </c>
      <c r="P168" s="175" t="s">
        <v>61</v>
      </c>
      <c r="Q168" s="174" t="s">
        <v>820</v>
      </c>
      <c r="R168" s="175">
        <v>335</v>
      </c>
      <c r="S168" s="175" t="s">
        <v>499</v>
      </c>
      <c r="T168" s="175" t="s">
        <v>387</v>
      </c>
    </row>
    <row r="169" spans="1:20" s="175" customFormat="1" ht="15" x14ac:dyDescent="0.3">
      <c r="A169" s="175" t="s">
        <v>822</v>
      </c>
      <c r="B169" s="175" t="s">
        <v>1424</v>
      </c>
      <c r="C169" s="174">
        <v>102932</v>
      </c>
      <c r="D169" s="175" t="s">
        <v>280</v>
      </c>
      <c r="E169" s="175" t="s">
        <v>1316</v>
      </c>
      <c r="F169" s="175">
        <v>12</v>
      </c>
      <c r="G169" s="175" t="s">
        <v>281</v>
      </c>
      <c r="H169" s="175" t="s">
        <v>282</v>
      </c>
      <c r="I169" s="175" t="s">
        <v>283</v>
      </c>
      <c r="J169" s="175" t="s">
        <v>284</v>
      </c>
      <c r="K169" s="175" t="s">
        <v>285</v>
      </c>
      <c r="L169" s="175" t="s">
        <v>391</v>
      </c>
      <c r="M169" s="175" t="s">
        <v>287</v>
      </c>
      <c r="N169" s="176">
        <v>39022</v>
      </c>
      <c r="O169" s="175">
        <v>36</v>
      </c>
      <c r="P169" s="175" t="s">
        <v>61</v>
      </c>
      <c r="Q169" s="174" t="s">
        <v>824</v>
      </c>
      <c r="R169" s="175">
        <v>170</v>
      </c>
      <c r="S169" s="175" t="s">
        <v>405</v>
      </c>
      <c r="T169" s="175" t="s">
        <v>330</v>
      </c>
    </row>
    <row r="170" spans="1:20" s="175" customFormat="1" ht="15" x14ac:dyDescent="0.3">
      <c r="A170" s="175" t="s">
        <v>1223</v>
      </c>
      <c r="B170" s="175" t="s">
        <v>1425</v>
      </c>
      <c r="C170" s="174">
        <v>104709</v>
      </c>
      <c r="D170" s="175" t="s">
        <v>355</v>
      </c>
      <c r="E170" s="175" t="s">
        <v>1318</v>
      </c>
      <c r="F170" s="175">
        <v>10</v>
      </c>
      <c r="G170" s="175" t="s">
        <v>315</v>
      </c>
      <c r="H170" s="175" t="s">
        <v>296</v>
      </c>
      <c r="I170" s="175" t="s">
        <v>650</v>
      </c>
      <c r="J170" s="175" t="s">
        <v>651</v>
      </c>
      <c r="K170" s="175" t="s">
        <v>652</v>
      </c>
      <c r="L170" s="175" t="s">
        <v>653</v>
      </c>
      <c r="M170" s="175" t="s">
        <v>320</v>
      </c>
      <c r="N170" s="176">
        <v>39448</v>
      </c>
      <c r="O170" s="175">
        <v>57</v>
      </c>
      <c r="P170" s="175" t="s">
        <v>63</v>
      </c>
      <c r="Q170" s="174" t="s">
        <v>1225</v>
      </c>
      <c r="R170" s="175">
        <v>285</v>
      </c>
      <c r="S170" s="175" t="s">
        <v>572</v>
      </c>
      <c r="T170" s="175" t="s">
        <v>573</v>
      </c>
    </row>
    <row r="171" spans="1:20" s="175" customFormat="1" ht="15" x14ac:dyDescent="0.3">
      <c r="A171" s="175" t="s">
        <v>1230</v>
      </c>
      <c r="B171" s="175" t="s">
        <v>1426</v>
      </c>
      <c r="C171" s="174">
        <v>10555327</v>
      </c>
      <c r="D171" s="175" t="s">
        <v>294</v>
      </c>
      <c r="E171" s="175" t="s">
        <v>1318</v>
      </c>
      <c r="F171" s="175">
        <v>1</v>
      </c>
      <c r="G171" s="175" t="s">
        <v>281</v>
      </c>
      <c r="H171" s="175" t="s">
        <v>296</v>
      </c>
      <c r="I171" s="175" t="s">
        <v>283</v>
      </c>
      <c r="J171" s="175" t="s">
        <v>284</v>
      </c>
      <c r="K171" s="175" t="s">
        <v>285</v>
      </c>
      <c r="L171" s="175" t="s">
        <v>1231</v>
      </c>
      <c r="M171" s="175" t="s">
        <v>287</v>
      </c>
      <c r="N171" s="176">
        <v>42767</v>
      </c>
      <c r="O171" s="175">
        <v>21</v>
      </c>
      <c r="P171" s="175" t="s">
        <v>61</v>
      </c>
      <c r="Q171" s="174" t="s">
        <v>1232</v>
      </c>
      <c r="R171" s="175">
        <v>190</v>
      </c>
      <c r="S171" s="175" t="s">
        <v>309</v>
      </c>
      <c r="T171" s="175" t="s">
        <v>330</v>
      </c>
    </row>
    <row r="172" spans="1:20" s="175" customFormat="1" ht="15" x14ac:dyDescent="0.3">
      <c r="A172" s="175" t="s">
        <v>1153</v>
      </c>
      <c r="B172" s="175" t="s">
        <v>1154</v>
      </c>
      <c r="C172" s="174">
        <v>192049</v>
      </c>
      <c r="D172" s="175" t="s">
        <v>326</v>
      </c>
      <c r="E172" s="175" t="s">
        <v>1317</v>
      </c>
      <c r="F172" s="175">
        <v>25</v>
      </c>
      <c r="G172" s="175" t="s">
        <v>281</v>
      </c>
      <c r="H172" s="175" t="s">
        <v>327</v>
      </c>
      <c r="I172" s="175" t="s">
        <v>283</v>
      </c>
      <c r="J172" s="175" t="s">
        <v>284</v>
      </c>
      <c r="K172" s="175" t="s">
        <v>285</v>
      </c>
      <c r="L172" s="175" t="s">
        <v>328</v>
      </c>
      <c r="M172" s="175" t="s">
        <v>287</v>
      </c>
      <c r="N172" s="176">
        <v>34182</v>
      </c>
      <c r="O172" s="175">
        <v>56</v>
      </c>
      <c r="P172" s="175" t="s">
        <v>63</v>
      </c>
      <c r="Q172" s="174" t="s">
        <v>1155</v>
      </c>
      <c r="R172" s="175">
        <v>215</v>
      </c>
      <c r="S172" s="175" t="s">
        <v>289</v>
      </c>
      <c r="T172" s="175" t="s">
        <v>330</v>
      </c>
    </row>
    <row r="173" spans="1:20" s="175" customFormat="1" ht="15" x14ac:dyDescent="0.3">
      <c r="A173" s="175" t="s">
        <v>129</v>
      </c>
      <c r="B173" s="175" t="s">
        <v>1043</v>
      </c>
      <c r="C173" s="174">
        <v>191707</v>
      </c>
      <c r="D173" s="175" t="s">
        <v>326</v>
      </c>
      <c r="E173" s="175" t="s">
        <v>1317</v>
      </c>
      <c r="F173" s="175">
        <v>25</v>
      </c>
      <c r="G173" s="175" t="s">
        <v>281</v>
      </c>
      <c r="H173" s="175" t="s">
        <v>327</v>
      </c>
      <c r="I173" s="175" t="s">
        <v>283</v>
      </c>
      <c r="J173" s="175" t="s">
        <v>284</v>
      </c>
      <c r="K173" s="175" t="s">
        <v>285</v>
      </c>
      <c r="L173" s="175" t="s">
        <v>1110</v>
      </c>
      <c r="M173" s="175" t="s">
        <v>287</v>
      </c>
      <c r="N173" s="176">
        <v>34121</v>
      </c>
      <c r="O173" s="175">
        <v>47</v>
      </c>
      <c r="P173" s="175" t="s">
        <v>61</v>
      </c>
      <c r="Q173" s="174" t="s">
        <v>1111</v>
      </c>
      <c r="R173" s="175">
        <v>240</v>
      </c>
      <c r="S173" s="175" t="s">
        <v>302</v>
      </c>
      <c r="T173" s="175" t="s">
        <v>330</v>
      </c>
    </row>
    <row r="174" spans="1:20" s="175" customFormat="1" ht="15" x14ac:dyDescent="0.3">
      <c r="A174" s="175" t="s">
        <v>1237</v>
      </c>
      <c r="B174" s="175" t="s">
        <v>1359</v>
      </c>
      <c r="C174" s="174">
        <v>288949</v>
      </c>
      <c r="D174" s="175" t="s">
        <v>294</v>
      </c>
      <c r="E174" s="175" t="s">
        <v>1318</v>
      </c>
      <c r="F174" s="175">
        <v>4</v>
      </c>
      <c r="G174" s="175" t="s">
        <v>281</v>
      </c>
      <c r="H174" s="175" t="s">
        <v>296</v>
      </c>
      <c r="I174" s="175" t="s">
        <v>694</v>
      </c>
      <c r="J174" s="175" t="s">
        <v>695</v>
      </c>
      <c r="K174" s="175" t="s">
        <v>417</v>
      </c>
      <c r="L174" s="175" t="s">
        <v>1238</v>
      </c>
      <c r="M174" s="175" t="s">
        <v>287</v>
      </c>
      <c r="N174" s="176">
        <v>41730</v>
      </c>
      <c r="O174" s="175">
        <v>40</v>
      </c>
      <c r="P174" s="175" t="s">
        <v>61</v>
      </c>
      <c r="Q174" s="174" t="s">
        <v>1239</v>
      </c>
      <c r="R174" s="175">
        <v>180</v>
      </c>
      <c r="S174" s="175" t="s">
        <v>1167</v>
      </c>
      <c r="T174" s="175" t="s">
        <v>330</v>
      </c>
    </row>
    <row r="175" spans="1:20" s="175" customFormat="1" ht="15" x14ac:dyDescent="0.3">
      <c r="A175" s="175" t="s">
        <v>826</v>
      </c>
      <c r="B175" s="175" t="s">
        <v>1033</v>
      </c>
      <c r="C175" s="174">
        <v>102991</v>
      </c>
      <c r="D175" s="175" t="s">
        <v>422</v>
      </c>
      <c r="E175" s="175" t="s">
        <v>1316</v>
      </c>
      <c r="F175" s="175">
        <v>18</v>
      </c>
      <c r="G175" s="175" t="s">
        <v>281</v>
      </c>
      <c r="H175" s="175" t="s">
        <v>282</v>
      </c>
      <c r="I175" s="175" t="s">
        <v>506</v>
      </c>
      <c r="J175" s="175" t="s">
        <v>507</v>
      </c>
      <c r="K175" s="175" t="s">
        <v>508</v>
      </c>
      <c r="L175" s="175" t="s">
        <v>432</v>
      </c>
      <c r="M175" s="175" t="s">
        <v>287</v>
      </c>
      <c r="N175" s="176">
        <v>36648</v>
      </c>
      <c r="O175" s="175">
        <v>45</v>
      </c>
      <c r="P175" s="175" t="s">
        <v>61</v>
      </c>
      <c r="Q175" s="174" t="s">
        <v>827</v>
      </c>
      <c r="R175" s="175">
        <v>255</v>
      </c>
      <c r="S175" s="175" t="s">
        <v>445</v>
      </c>
      <c r="T175" s="175" t="s">
        <v>375</v>
      </c>
    </row>
    <row r="176" spans="1:20" s="175" customFormat="1" ht="15" x14ac:dyDescent="0.3">
      <c r="A176" s="175" t="s">
        <v>829</v>
      </c>
      <c r="B176" s="175" t="s">
        <v>1427</v>
      </c>
      <c r="C176" s="174">
        <v>102905</v>
      </c>
      <c r="D176" s="175" t="s">
        <v>280</v>
      </c>
      <c r="E176" s="175" t="s">
        <v>1316</v>
      </c>
      <c r="F176" s="175">
        <v>10</v>
      </c>
      <c r="G176" s="175" t="s">
        <v>281</v>
      </c>
      <c r="H176" s="175" t="s">
        <v>282</v>
      </c>
      <c r="I176" s="175" t="s">
        <v>283</v>
      </c>
      <c r="J176" s="175" t="s">
        <v>284</v>
      </c>
      <c r="K176" s="175" t="s">
        <v>285</v>
      </c>
      <c r="L176" s="175" t="s">
        <v>432</v>
      </c>
      <c r="M176" s="175" t="s">
        <v>287</v>
      </c>
      <c r="N176" s="176">
        <v>39412</v>
      </c>
      <c r="O176" s="175">
        <v>51</v>
      </c>
      <c r="P176" s="175" t="s">
        <v>61</v>
      </c>
      <c r="Q176" s="174" t="s">
        <v>831</v>
      </c>
      <c r="R176" s="175">
        <v>170</v>
      </c>
      <c r="S176" s="175" t="s">
        <v>405</v>
      </c>
      <c r="T176" s="175" t="s">
        <v>330</v>
      </c>
    </row>
    <row r="177" spans="1:20" s="175" customFormat="1" ht="15" x14ac:dyDescent="0.3">
      <c r="A177" s="173" t="s">
        <v>833</v>
      </c>
      <c r="B177" s="173" t="s">
        <v>569</v>
      </c>
      <c r="C177" s="178">
        <v>103111</v>
      </c>
      <c r="D177" s="173" t="s">
        <v>409</v>
      </c>
      <c r="E177" s="173" t="s">
        <v>1316</v>
      </c>
      <c r="F177" s="173">
        <v>36</v>
      </c>
      <c r="G177" s="173" t="s">
        <v>281</v>
      </c>
      <c r="H177" s="173" t="s">
        <v>282</v>
      </c>
      <c r="I177" s="173" t="s">
        <v>283</v>
      </c>
      <c r="J177" s="173" t="s">
        <v>284</v>
      </c>
      <c r="K177" s="173" t="s">
        <v>285</v>
      </c>
      <c r="L177" s="173" t="s">
        <v>286</v>
      </c>
      <c r="M177" s="173" t="s">
        <v>287</v>
      </c>
      <c r="N177" s="179">
        <v>29955</v>
      </c>
      <c r="O177" s="173">
        <v>57</v>
      </c>
      <c r="P177" s="173" t="s">
        <v>61</v>
      </c>
      <c r="Q177" s="178" t="s">
        <v>834</v>
      </c>
      <c r="R177" s="173">
        <v>190</v>
      </c>
      <c r="S177" s="173" t="s">
        <v>309</v>
      </c>
      <c r="T177" s="173" t="s">
        <v>290</v>
      </c>
    </row>
    <row r="178" spans="1:20" s="175" customFormat="1" ht="15" x14ac:dyDescent="0.3">
      <c r="A178" s="175" t="s">
        <v>836</v>
      </c>
      <c r="B178" s="175" t="s">
        <v>1387</v>
      </c>
      <c r="C178" s="174">
        <v>103076</v>
      </c>
      <c r="D178" s="175" t="s">
        <v>493</v>
      </c>
      <c r="E178" s="175" t="s">
        <v>1316</v>
      </c>
      <c r="F178" s="175">
        <v>36</v>
      </c>
      <c r="G178" s="175" t="s">
        <v>315</v>
      </c>
      <c r="H178" s="175" t="s">
        <v>282</v>
      </c>
      <c r="I178" s="175" t="s">
        <v>837</v>
      </c>
      <c r="J178" s="175" t="s">
        <v>838</v>
      </c>
      <c r="K178" s="175" t="s">
        <v>839</v>
      </c>
      <c r="L178" s="175" t="s">
        <v>840</v>
      </c>
      <c r="M178" s="175" t="s">
        <v>349</v>
      </c>
      <c r="N178" s="176">
        <v>30207</v>
      </c>
      <c r="O178" s="175">
        <v>56</v>
      </c>
      <c r="P178" s="175" t="s">
        <v>61</v>
      </c>
      <c r="Q178" s="174" t="s">
        <v>841</v>
      </c>
      <c r="R178" s="175">
        <v>365</v>
      </c>
      <c r="S178" s="175" t="s">
        <v>351</v>
      </c>
      <c r="T178" s="175" t="s">
        <v>537</v>
      </c>
    </row>
    <row r="179" spans="1:20" s="175" customFormat="1" ht="15" x14ac:dyDescent="0.3">
      <c r="A179" s="175" t="s">
        <v>313</v>
      </c>
      <c r="B179" s="175" t="s">
        <v>314</v>
      </c>
      <c r="C179" s="174">
        <v>240053</v>
      </c>
      <c r="D179" s="175" t="s">
        <v>343</v>
      </c>
      <c r="E179" s="175" t="s">
        <v>1316</v>
      </c>
      <c r="F179" s="175">
        <v>0</v>
      </c>
      <c r="G179" s="175" t="s">
        <v>315</v>
      </c>
      <c r="H179" s="175" t="s">
        <v>282</v>
      </c>
      <c r="I179" s="175" t="s">
        <v>843</v>
      </c>
      <c r="J179" s="175" t="s">
        <v>844</v>
      </c>
      <c r="K179" s="175" t="s">
        <v>845</v>
      </c>
      <c r="L179" s="175" t="s">
        <v>846</v>
      </c>
      <c r="M179" s="175" t="s">
        <v>338</v>
      </c>
      <c r="N179" s="176">
        <v>43282</v>
      </c>
      <c r="O179" s="175">
        <v>28</v>
      </c>
      <c r="P179" s="175" t="s">
        <v>61</v>
      </c>
      <c r="Q179" s="174" t="s">
        <v>847</v>
      </c>
      <c r="R179" s="175" t="s">
        <v>813</v>
      </c>
      <c r="S179" s="175" t="s">
        <v>814</v>
      </c>
      <c r="T179" s="175">
        <v>6</v>
      </c>
    </row>
    <row r="180" spans="1:20" s="175" customFormat="1" ht="15" x14ac:dyDescent="0.3">
      <c r="A180" s="175" t="s">
        <v>849</v>
      </c>
      <c r="B180" s="175" t="s">
        <v>344</v>
      </c>
      <c r="C180" s="174">
        <v>103030</v>
      </c>
      <c r="D180" s="175" t="s">
        <v>280</v>
      </c>
      <c r="E180" s="175" t="s">
        <v>1316</v>
      </c>
      <c r="F180" s="175">
        <v>27</v>
      </c>
      <c r="G180" s="175" t="s">
        <v>281</v>
      </c>
      <c r="H180" s="175" t="s">
        <v>282</v>
      </c>
      <c r="I180" s="175" t="s">
        <v>283</v>
      </c>
      <c r="J180" s="175" t="s">
        <v>284</v>
      </c>
      <c r="K180" s="175" t="s">
        <v>285</v>
      </c>
      <c r="L180" s="175" t="s">
        <v>286</v>
      </c>
      <c r="M180" s="175" t="s">
        <v>287</v>
      </c>
      <c r="N180" s="176">
        <v>33399</v>
      </c>
      <c r="O180" s="175">
        <v>49</v>
      </c>
      <c r="P180" s="175" t="s">
        <v>61</v>
      </c>
      <c r="Q180" s="174" t="s">
        <v>850</v>
      </c>
      <c r="R180" s="175">
        <v>215</v>
      </c>
      <c r="S180" s="175" t="s">
        <v>289</v>
      </c>
      <c r="T180" s="175" t="s">
        <v>290</v>
      </c>
    </row>
    <row r="181" spans="1:20" s="175" customFormat="1" ht="15" x14ac:dyDescent="0.3">
      <c r="A181" s="175" t="s">
        <v>852</v>
      </c>
      <c r="B181" s="175" t="s">
        <v>1428</v>
      </c>
      <c r="C181" s="174">
        <v>102906</v>
      </c>
      <c r="D181" s="175" t="s">
        <v>280</v>
      </c>
      <c r="E181" s="175" t="s">
        <v>1316</v>
      </c>
      <c r="F181" s="175">
        <v>10</v>
      </c>
      <c r="G181" s="175" t="s">
        <v>281</v>
      </c>
      <c r="H181" s="175" t="s">
        <v>282</v>
      </c>
      <c r="I181" s="175" t="s">
        <v>283</v>
      </c>
      <c r="J181" s="175" t="s">
        <v>284</v>
      </c>
      <c r="K181" s="175" t="s">
        <v>285</v>
      </c>
      <c r="L181" s="175" t="s">
        <v>432</v>
      </c>
      <c r="M181" s="175" t="s">
        <v>287</v>
      </c>
      <c r="N181" s="176">
        <v>39412</v>
      </c>
      <c r="O181" s="175">
        <v>55</v>
      </c>
      <c r="P181" s="175" t="s">
        <v>63</v>
      </c>
      <c r="Q181" s="174" t="s">
        <v>854</v>
      </c>
      <c r="R181" s="175">
        <v>190</v>
      </c>
      <c r="S181" s="175" t="s">
        <v>309</v>
      </c>
      <c r="T181" s="175" t="s">
        <v>330</v>
      </c>
    </row>
    <row r="182" spans="1:20" s="175" customFormat="1" ht="15" x14ac:dyDescent="0.3">
      <c r="A182" s="175" t="s">
        <v>1113</v>
      </c>
      <c r="B182" s="175" t="s">
        <v>344</v>
      </c>
      <c r="C182" s="174">
        <v>191708</v>
      </c>
      <c r="D182" s="175" t="s">
        <v>326</v>
      </c>
      <c r="E182" s="175" t="s">
        <v>1317</v>
      </c>
      <c r="F182" s="175">
        <v>16</v>
      </c>
      <c r="G182" s="175" t="s">
        <v>281</v>
      </c>
      <c r="H182" s="175" t="s">
        <v>327</v>
      </c>
      <c r="I182" s="175" t="s">
        <v>297</v>
      </c>
      <c r="J182" s="175" t="s">
        <v>298</v>
      </c>
      <c r="K182" s="175" t="s">
        <v>299</v>
      </c>
      <c r="L182" s="175" t="s">
        <v>300</v>
      </c>
      <c r="M182" s="175" t="s">
        <v>384</v>
      </c>
      <c r="N182" s="176">
        <v>37207</v>
      </c>
      <c r="O182" s="175">
        <v>52</v>
      </c>
      <c r="P182" s="175" t="s">
        <v>61</v>
      </c>
      <c r="Q182" s="174" t="s">
        <v>1114</v>
      </c>
      <c r="R182" s="175">
        <v>255</v>
      </c>
      <c r="S182" s="175" t="s">
        <v>445</v>
      </c>
      <c r="T182" s="175" t="s">
        <v>375</v>
      </c>
    </row>
    <row r="183" spans="1:20" s="175" customFormat="1" ht="15" x14ac:dyDescent="0.3">
      <c r="A183" s="175" t="s">
        <v>324</v>
      </c>
      <c r="B183" s="175" t="s">
        <v>325</v>
      </c>
      <c r="C183" s="174">
        <v>68323</v>
      </c>
      <c r="D183" s="175" t="s">
        <v>326</v>
      </c>
      <c r="E183" s="175" t="s">
        <v>1317</v>
      </c>
      <c r="F183" s="175">
        <v>7</v>
      </c>
      <c r="G183" s="175" t="s">
        <v>281</v>
      </c>
      <c r="H183" s="175" t="s">
        <v>327</v>
      </c>
      <c r="I183" s="175" t="s">
        <v>283</v>
      </c>
      <c r="J183" s="175" t="s">
        <v>284</v>
      </c>
      <c r="K183" s="175" t="s">
        <v>285</v>
      </c>
      <c r="L183" s="175" t="s">
        <v>328</v>
      </c>
      <c r="M183" s="175" t="s">
        <v>287</v>
      </c>
      <c r="N183" s="176">
        <v>40787</v>
      </c>
      <c r="O183" s="175">
        <v>37</v>
      </c>
      <c r="P183" s="175" t="s">
        <v>63</v>
      </c>
      <c r="Q183" s="174" t="s">
        <v>329</v>
      </c>
      <c r="R183" s="175">
        <v>240</v>
      </c>
      <c r="S183" s="175" t="s">
        <v>302</v>
      </c>
      <c r="T183" s="175" t="s">
        <v>330</v>
      </c>
    </row>
    <row r="184" spans="1:20" s="175" customFormat="1" ht="15" x14ac:dyDescent="0.3">
      <c r="A184" s="175" t="s">
        <v>1161</v>
      </c>
      <c r="B184" s="175" t="s">
        <v>1162</v>
      </c>
      <c r="C184" s="174">
        <v>192154</v>
      </c>
      <c r="D184" s="175" t="s">
        <v>326</v>
      </c>
      <c r="E184" s="175" t="s">
        <v>1317</v>
      </c>
      <c r="F184" s="175">
        <v>27</v>
      </c>
      <c r="G184" s="175" t="s">
        <v>281</v>
      </c>
      <c r="H184" s="175" t="s">
        <v>327</v>
      </c>
      <c r="I184" s="175" t="s">
        <v>283</v>
      </c>
      <c r="J184" s="175" t="s">
        <v>284</v>
      </c>
      <c r="K184" s="175" t="s">
        <v>285</v>
      </c>
      <c r="L184" s="175" t="s">
        <v>328</v>
      </c>
      <c r="M184" s="175" t="s">
        <v>287</v>
      </c>
      <c r="N184" s="176">
        <v>33515</v>
      </c>
      <c r="O184" s="175">
        <v>58</v>
      </c>
      <c r="P184" s="175" t="s">
        <v>61</v>
      </c>
      <c r="Q184" s="174" t="s">
        <v>1163</v>
      </c>
      <c r="R184" s="175">
        <v>190</v>
      </c>
      <c r="S184" s="175" t="s">
        <v>309</v>
      </c>
      <c r="T184" s="175" t="s">
        <v>290</v>
      </c>
    </row>
    <row r="185" spans="1:20" s="175" customFormat="1" ht="15" x14ac:dyDescent="0.3">
      <c r="A185" s="175" t="s">
        <v>1241</v>
      </c>
      <c r="B185" s="175" t="s">
        <v>1242</v>
      </c>
      <c r="C185" s="174">
        <v>10624701</v>
      </c>
      <c r="D185" s="175" t="s">
        <v>355</v>
      </c>
      <c r="E185" s="175" t="s">
        <v>1318</v>
      </c>
      <c r="F185" s="175">
        <v>0</v>
      </c>
      <c r="G185" s="175" t="s">
        <v>315</v>
      </c>
      <c r="H185" s="175" t="s">
        <v>296</v>
      </c>
      <c r="I185" s="175" t="s">
        <v>710</v>
      </c>
      <c r="J185" s="175" t="s">
        <v>711</v>
      </c>
      <c r="K185" s="175" t="s">
        <v>382</v>
      </c>
      <c r="L185" s="175" t="s">
        <v>1243</v>
      </c>
      <c r="M185" s="175" t="s">
        <v>338</v>
      </c>
      <c r="N185" s="176">
        <v>43283</v>
      </c>
      <c r="O185" s="175">
        <v>28</v>
      </c>
      <c r="P185" s="175" t="s">
        <v>61</v>
      </c>
      <c r="Q185" s="174" t="s">
        <v>1244</v>
      </c>
      <c r="R185" s="175" t="s">
        <v>340</v>
      </c>
      <c r="S185" s="175" t="s">
        <v>341</v>
      </c>
      <c r="T185" s="175">
        <v>4</v>
      </c>
    </row>
    <row r="186" spans="1:20" s="175" customFormat="1" ht="15" x14ac:dyDescent="0.3">
      <c r="A186" s="173" t="s">
        <v>856</v>
      </c>
      <c r="B186" s="173" t="s">
        <v>1352</v>
      </c>
      <c r="C186" s="178">
        <v>103116</v>
      </c>
      <c r="D186" s="173" t="s">
        <v>379</v>
      </c>
      <c r="E186" s="173" t="s">
        <v>1316</v>
      </c>
      <c r="F186" s="173">
        <v>36</v>
      </c>
      <c r="G186" s="173" t="s">
        <v>281</v>
      </c>
      <c r="H186" s="173" t="s">
        <v>282</v>
      </c>
      <c r="I186" s="173" t="s">
        <v>506</v>
      </c>
      <c r="J186" s="173" t="s">
        <v>507</v>
      </c>
      <c r="K186" s="173" t="s">
        <v>508</v>
      </c>
      <c r="L186" s="173" t="s">
        <v>427</v>
      </c>
      <c r="M186" s="173" t="s">
        <v>287</v>
      </c>
      <c r="N186" s="179">
        <v>30006</v>
      </c>
      <c r="O186" s="173">
        <v>58</v>
      </c>
      <c r="P186" s="173" t="s">
        <v>61</v>
      </c>
      <c r="Q186" s="178" t="s">
        <v>857</v>
      </c>
      <c r="R186" s="173">
        <v>255</v>
      </c>
      <c r="S186" s="173" t="s">
        <v>445</v>
      </c>
      <c r="T186" s="173" t="s">
        <v>375</v>
      </c>
    </row>
    <row r="187" spans="1:20" s="175" customFormat="1" ht="15" x14ac:dyDescent="0.3">
      <c r="A187" s="175" t="s">
        <v>859</v>
      </c>
      <c r="B187" s="175" t="s">
        <v>1104</v>
      </c>
      <c r="C187" s="174">
        <v>102930</v>
      </c>
      <c r="D187" s="175" t="s">
        <v>409</v>
      </c>
      <c r="E187" s="175" t="s">
        <v>1316</v>
      </c>
      <c r="F187" s="175">
        <v>12</v>
      </c>
      <c r="G187" s="175" t="s">
        <v>281</v>
      </c>
      <c r="H187" s="175" t="s">
        <v>282</v>
      </c>
      <c r="I187" s="175" t="s">
        <v>283</v>
      </c>
      <c r="J187" s="175" t="s">
        <v>284</v>
      </c>
      <c r="K187" s="175" t="s">
        <v>285</v>
      </c>
      <c r="L187" s="175" t="s">
        <v>391</v>
      </c>
      <c r="M187" s="175" t="s">
        <v>287</v>
      </c>
      <c r="N187" s="176">
        <v>38992</v>
      </c>
      <c r="O187" s="175">
        <v>53</v>
      </c>
      <c r="P187" s="175" t="s">
        <v>61</v>
      </c>
      <c r="Q187" s="174" t="s">
        <v>860</v>
      </c>
      <c r="R187" s="175">
        <v>170</v>
      </c>
      <c r="S187" s="175" t="s">
        <v>405</v>
      </c>
      <c r="T187" s="175" t="s">
        <v>330</v>
      </c>
    </row>
    <row r="188" spans="1:20" s="175" customFormat="1" ht="15" x14ac:dyDescent="0.3">
      <c r="A188" s="175" t="s">
        <v>1246</v>
      </c>
      <c r="B188" s="175" t="s">
        <v>569</v>
      </c>
      <c r="C188" s="174">
        <v>104668</v>
      </c>
      <c r="D188" s="175" t="s">
        <v>355</v>
      </c>
      <c r="E188" s="175" t="s">
        <v>1318</v>
      </c>
      <c r="F188" s="175">
        <v>10</v>
      </c>
      <c r="G188" s="175" t="s">
        <v>281</v>
      </c>
      <c r="H188" s="175" t="s">
        <v>296</v>
      </c>
      <c r="I188" s="175" t="s">
        <v>370</v>
      </c>
      <c r="J188" s="175" t="s">
        <v>371</v>
      </c>
      <c r="K188" s="175" t="s">
        <v>372</v>
      </c>
      <c r="L188" s="175" t="s">
        <v>373</v>
      </c>
      <c r="M188" s="175" t="s">
        <v>384</v>
      </c>
      <c r="N188" s="176">
        <v>39448</v>
      </c>
      <c r="O188" s="175">
        <v>50</v>
      </c>
      <c r="P188" s="175" t="s">
        <v>61</v>
      </c>
      <c r="Q188" s="174" t="s">
        <v>1247</v>
      </c>
      <c r="R188" s="175">
        <v>255</v>
      </c>
      <c r="S188" s="175" t="s">
        <v>445</v>
      </c>
      <c r="T188" s="175" t="s">
        <v>375</v>
      </c>
    </row>
    <row r="189" spans="1:20" s="175" customFormat="1" ht="15" x14ac:dyDescent="0.3">
      <c r="A189" s="175" t="s">
        <v>1099</v>
      </c>
      <c r="B189" s="175" t="s">
        <v>1100</v>
      </c>
      <c r="C189" s="174">
        <v>191549</v>
      </c>
      <c r="D189" s="175" t="s">
        <v>326</v>
      </c>
      <c r="E189" s="175" t="s">
        <v>1317</v>
      </c>
      <c r="F189" s="175">
        <v>26</v>
      </c>
      <c r="G189" s="175" t="s">
        <v>281</v>
      </c>
      <c r="H189" s="175" t="s">
        <v>327</v>
      </c>
      <c r="I189" s="175" t="s">
        <v>283</v>
      </c>
      <c r="J189" s="175" t="s">
        <v>284</v>
      </c>
      <c r="K189" s="175" t="s">
        <v>285</v>
      </c>
      <c r="L189" s="175" t="s">
        <v>328</v>
      </c>
      <c r="M189" s="175" t="s">
        <v>287</v>
      </c>
      <c r="N189" s="176">
        <v>33909</v>
      </c>
      <c r="O189" s="175">
        <v>56</v>
      </c>
      <c r="P189" s="175" t="s">
        <v>61</v>
      </c>
      <c r="Q189" s="174" t="s">
        <v>1101</v>
      </c>
      <c r="R189" s="175">
        <v>215</v>
      </c>
      <c r="S189" s="175" t="s">
        <v>289</v>
      </c>
      <c r="T189" s="175" t="s">
        <v>330</v>
      </c>
    </row>
    <row r="190" spans="1:20" s="175" customFormat="1" ht="15" x14ac:dyDescent="0.3">
      <c r="A190" s="175" t="s">
        <v>862</v>
      </c>
      <c r="B190" s="175" t="s">
        <v>344</v>
      </c>
      <c r="C190" s="174">
        <v>103007</v>
      </c>
      <c r="D190" s="175" t="s">
        <v>364</v>
      </c>
      <c r="E190" s="175" t="s">
        <v>1316</v>
      </c>
      <c r="F190" s="175">
        <v>26</v>
      </c>
      <c r="G190" s="175" t="s">
        <v>281</v>
      </c>
      <c r="H190" s="175" t="s">
        <v>282</v>
      </c>
      <c r="I190" s="175" t="s">
        <v>297</v>
      </c>
      <c r="J190" s="175" t="s">
        <v>298</v>
      </c>
      <c r="K190" s="175" t="s">
        <v>299</v>
      </c>
      <c r="L190" s="175" t="s">
        <v>300</v>
      </c>
      <c r="M190" s="175" t="s">
        <v>287</v>
      </c>
      <c r="N190" s="176">
        <v>33805</v>
      </c>
      <c r="O190" s="175">
        <v>52</v>
      </c>
      <c r="P190" s="175" t="s">
        <v>61</v>
      </c>
      <c r="Q190" s="174" t="s">
        <v>863</v>
      </c>
      <c r="R190" s="175">
        <v>255</v>
      </c>
      <c r="S190" s="175" t="s">
        <v>445</v>
      </c>
      <c r="T190" s="175" t="s">
        <v>375</v>
      </c>
    </row>
    <row r="191" spans="1:20" s="175" customFormat="1" ht="15" x14ac:dyDescent="0.3">
      <c r="A191" s="175" t="s">
        <v>865</v>
      </c>
      <c r="B191" s="175" t="s">
        <v>1429</v>
      </c>
      <c r="C191" s="174">
        <v>103024</v>
      </c>
      <c r="D191" s="175" t="s">
        <v>256</v>
      </c>
      <c r="E191" s="175" t="s">
        <v>1316</v>
      </c>
      <c r="F191" s="175">
        <v>27</v>
      </c>
      <c r="G191" s="175" t="s">
        <v>315</v>
      </c>
      <c r="H191" s="175" t="s">
        <v>282</v>
      </c>
      <c r="I191" s="175" t="s">
        <v>650</v>
      </c>
      <c r="J191" s="175" t="s">
        <v>651</v>
      </c>
      <c r="K191" s="175" t="s">
        <v>652</v>
      </c>
      <c r="L191" s="175" t="s">
        <v>653</v>
      </c>
      <c r="M191" s="175" t="s">
        <v>320</v>
      </c>
      <c r="N191" s="176">
        <v>33287</v>
      </c>
      <c r="O191" s="175">
        <v>53</v>
      </c>
      <c r="P191" s="175" t="s">
        <v>63</v>
      </c>
      <c r="Q191" s="174" t="s">
        <v>866</v>
      </c>
      <c r="R191" s="175">
        <v>305</v>
      </c>
      <c r="S191" s="175" t="s">
        <v>386</v>
      </c>
      <c r="T191" s="175" t="s">
        <v>573</v>
      </c>
    </row>
    <row r="192" spans="1:20" s="175" customFormat="1" ht="15" x14ac:dyDescent="0.3">
      <c r="A192" s="175" t="s">
        <v>868</v>
      </c>
      <c r="B192" s="175" t="s">
        <v>1430</v>
      </c>
      <c r="C192" s="174">
        <v>103044</v>
      </c>
      <c r="D192" s="175" t="s">
        <v>422</v>
      </c>
      <c r="E192" s="175" t="s">
        <v>1316</v>
      </c>
      <c r="F192" s="175">
        <v>28</v>
      </c>
      <c r="G192" s="175" t="s">
        <v>281</v>
      </c>
      <c r="H192" s="175" t="s">
        <v>282</v>
      </c>
      <c r="I192" s="175" t="s">
        <v>506</v>
      </c>
      <c r="J192" s="175" t="s">
        <v>507</v>
      </c>
      <c r="K192" s="175" t="s">
        <v>508</v>
      </c>
      <c r="L192" s="175" t="s">
        <v>427</v>
      </c>
      <c r="M192" s="175" t="s">
        <v>384</v>
      </c>
      <c r="N192" s="176">
        <v>32933</v>
      </c>
      <c r="O192" s="175">
        <v>56</v>
      </c>
      <c r="P192" s="175" t="s">
        <v>61</v>
      </c>
      <c r="Q192" s="174" t="s">
        <v>870</v>
      </c>
      <c r="R192" s="175">
        <v>255</v>
      </c>
      <c r="S192" s="175" t="s">
        <v>445</v>
      </c>
      <c r="T192" s="175" t="s">
        <v>375</v>
      </c>
    </row>
    <row r="193" spans="1:20" s="175" customFormat="1" ht="15" x14ac:dyDescent="0.3">
      <c r="A193" s="175" t="s">
        <v>1103</v>
      </c>
      <c r="B193" s="175" t="s">
        <v>1104</v>
      </c>
      <c r="C193" s="174">
        <v>191664</v>
      </c>
      <c r="D193" s="175" t="s">
        <v>326</v>
      </c>
      <c r="E193" s="175" t="s">
        <v>1317</v>
      </c>
      <c r="F193" s="175">
        <v>27</v>
      </c>
      <c r="G193" s="175" t="s">
        <v>281</v>
      </c>
      <c r="H193" s="175" t="s">
        <v>327</v>
      </c>
      <c r="I193" s="175" t="s">
        <v>283</v>
      </c>
      <c r="J193" s="175" t="s">
        <v>284</v>
      </c>
      <c r="K193" s="175" t="s">
        <v>285</v>
      </c>
      <c r="L193" s="175" t="s">
        <v>328</v>
      </c>
      <c r="M193" s="175" t="s">
        <v>287</v>
      </c>
      <c r="N193" s="176">
        <v>33420</v>
      </c>
      <c r="O193" s="175">
        <v>47</v>
      </c>
      <c r="P193" s="175" t="s">
        <v>61</v>
      </c>
      <c r="Q193" s="174" t="s">
        <v>1105</v>
      </c>
      <c r="R193" s="175">
        <v>190</v>
      </c>
      <c r="S193" s="175" t="s">
        <v>309</v>
      </c>
      <c r="T193" s="175" t="s">
        <v>330</v>
      </c>
    </row>
    <row r="194" spans="1:20" s="175" customFormat="1" ht="15" x14ac:dyDescent="0.3">
      <c r="A194" s="175" t="s">
        <v>1052</v>
      </c>
      <c r="B194" s="175" t="s">
        <v>1053</v>
      </c>
      <c r="C194" s="174">
        <v>191040</v>
      </c>
      <c r="D194" s="175" t="s">
        <v>326</v>
      </c>
      <c r="E194" s="175" t="s">
        <v>1317</v>
      </c>
      <c r="F194" s="175">
        <v>11</v>
      </c>
      <c r="G194" s="175" t="s">
        <v>281</v>
      </c>
      <c r="H194" s="175" t="s">
        <v>327</v>
      </c>
      <c r="I194" s="175" t="s">
        <v>283</v>
      </c>
      <c r="J194" s="175" t="s">
        <v>284</v>
      </c>
      <c r="K194" s="175" t="s">
        <v>285</v>
      </c>
      <c r="L194" s="175" t="s">
        <v>1054</v>
      </c>
      <c r="M194" s="175" t="s">
        <v>287</v>
      </c>
      <c r="N194" s="176">
        <v>39085</v>
      </c>
      <c r="O194" s="175">
        <v>46</v>
      </c>
      <c r="P194" s="175" t="s">
        <v>61</v>
      </c>
      <c r="Q194" s="174" t="s">
        <v>1055</v>
      </c>
      <c r="R194" s="175">
        <v>255</v>
      </c>
      <c r="S194" s="175" t="s">
        <v>445</v>
      </c>
      <c r="T194" s="175" t="s">
        <v>330</v>
      </c>
    </row>
    <row r="195" spans="1:20" s="175" customFormat="1" ht="15" x14ac:dyDescent="0.3">
      <c r="A195" s="175" t="s">
        <v>256</v>
      </c>
      <c r="B195" s="175" t="s">
        <v>396</v>
      </c>
      <c r="C195" s="174">
        <v>99084</v>
      </c>
      <c r="D195" s="175" t="s">
        <v>343</v>
      </c>
      <c r="E195" s="175" t="s">
        <v>1316</v>
      </c>
      <c r="F195" s="175">
        <v>10</v>
      </c>
      <c r="G195" s="175" t="s">
        <v>315</v>
      </c>
      <c r="H195" s="175" t="s">
        <v>282</v>
      </c>
      <c r="I195" s="175" t="s">
        <v>872</v>
      </c>
      <c r="J195" s="175" t="s">
        <v>873</v>
      </c>
      <c r="K195" s="175" t="s">
        <v>556</v>
      </c>
      <c r="L195" s="175" t="s">
        <v>874</v>
      </c>
      <c r="M195" s="175" t="s">
        <v>338</v>
      </c>
      <c r="N195" s="176">
        <v>39539</v>
      </c>
      <c r="O195" s="175">
        <v>45</v>
      </c>
      <c r="P195" s="175" t="s">
        <v>61</v>
      </c>
      <c r="Q195" s="174" t="s">
        <v>875</v>
      </c>
      <c r="R195" s="175" t="s">
        <v>813</v>
      </c>
      <c r="S195" s="175" t="s">
        <v>814</v>
      </c>
      <c r="T195" s="175">
        <v>8</v>
      </c>
    </row>
    <row r="196" spans="1:20" s="175" customFormat="1" ht="15" x14ac:dyDescent="0.3">
      <c r="A196" s="175" t="s">
        <v>1116</v>
      </c>
      <c r="B196" s="175" t="s">
        <v>1378</v>
      </c>
      <c r="C196" s="174">
        <v>191710</v>
      </c>
      <c r="D196" s="175" t="s">
        <v>326</v>
      </c>
      <c r="E196" s="175" t="s">
        <v>1317</v>
      </c>
      <c r="F196" s="175">
        <v>21</v>
      </c>
      <c r="G196" s="175" t="s">
        <v>281</v>
      </c>
      <c r="H196" s="175" t="s">
        <v>327</v>
      </c>
      <c r="I196" s="175" t="s">
        <v>283</v>
      </c>
      <c r="J196" s="175" t="s">
        <v>284</v>
      </c>
      <c r="K196" s="175" t="s">
        <v>285</v>
      </c>
      <c r="L196" s="175" t="s">
        <v>328</v>
      </c>
      <c r="M196" s="175" t="s">
        <v>287</v>
      </c>
      <c r="N196" s="176">
        <v>35521</v>
      </c>
      <c r="O196" s="175">
        <v>44</v>
      </c>
      <c r="P196" s="175" t="s">
        <v>61</v>
      </c>
      <c r="Q196" s="174" t="s">
        <v>1117</v>
      </c>
      <c r="R196" s="175">
        <v>240</v>
      </c>
      <c r="S196" s="175" t="s">
        <v>302</v>
      </c>
      <c r="T196" s="175" t="s">
        <v>330</v>
      </c>
    </row>
    <row r="197" spans="1:20" s="175" customFormat="1" ht="15" x14ac:dyDescent="0.3">
      <c r="A197" s="175" t="s">
        <v>1119</v>
      </c>
      <c r="B197" s="175" t="s">
        <v>1120</v>
      </c>
      <c r="C197" s="174">
        <v>191711</v>
      </c>
      <c r="D197" s="175" t="s">
        <v>326</v>
      </c>
      <c r="E197" s="175" t="s">
        <v>1317</v>
      </c>
      <c r="F197" s="175">
        <v>25</v>
      </c>
      <c r="G197" s="175" t="s">
        <v>281</v>
      </c>
      <c r="H197" s="175" t="s">
        <v>327</v>
      </c>
      <c r="I197" s="175" t="s">
        <v>283</v>
      </c>
      <c r="J197" s="175" t="s">
        <v>284</v>
      </c>
      <c r="K197" s="175" t="s">
        <v>285</v>
      </c>
      <c r="L197" s="175" t="s">
        <v>328</v>
      </c>
      <c r="M197" s="175" t="s">
        <v>287</v>
      </c>
      <c r="N197" s="176">
        <v>34243</v>
      </c>
      <c r="O197" s="175">
        <v>56</v>
      </c>
      <c r="P197" s="175" t="s">
        <v>61</v>
      </c>
      <c r="Q197" s="174" t="s">
        <v>1121</v>
      </c>
      <c r="R197" s="175">
        <v>215</v>
      </c>
      <c r="S197" s="175" t="s">
        <v>289</v>
      </c>
      <c r="T197" s="175" t="s">
        <v>330</v>
      </c>
    </row>
    <row r="198" spans="1:20" s="175" customFormat="1" ht="15" x14ac:dyDescent="0.3">
      <c r="A198" s="175" t="s">
        <v>877</v>
      </c>
      <c r="B198" s="175" t="s">
        <v>1387</v>
      </c>
      <c r="C198" s="174">
        <v>102907</v>
      </c>
      <c r="D198" s="175" t="s">
        <v>280</v>
      </c>
      <c r="E198" s="175" t="s">
        <v>1316</v>
      </c>
      <c r="F198" s="175">
        <v>10</v>
      </c>
      <c r="G198" s="175" t="s">
        <v>281</v>
      </c>
      <c r="H198" s="175" t="s">
        <v>282</v>
      </c>
      <c r="I198" s="175" t="s">
        <v>283</v>
      </c>
      <c r="J198" s="175" t="s">
        <v>284</v>
      </c>
      <c r="K198" s="175" t="s">
        <v>285</v>
      </c>
      <c r="L198" s="175" t="s">
        <v>286</v>
      </c>
      <c r="M198" s="175" t="s">
        <v>287</v>
      </c>
      <c r="N198" s="176">
        <v>39412</v>
      </c>
      <c r="O198" s="175">
        <v>32</v>
      </c>
      <c r="P198" s="175" t="s">
        <v>61</v>
      </c>
      <c r="Q198" s="174" t="s">
        <v>878</v>
      </c>
      <c r="R198" s="175">
        <v>190</v>
      </c>
      <c r="S198" s="175" t="s">
        <v>309</v>
      </c>
      <c r="T198" s="175" t="s">
        <v>290</v>
      </c>
    </row>
    <row r="199" spans="1:20" s="175" customFormat="1" ht="15" x14ac:dyDescent="0.3">
      <c r="A199" s="175" t="s">
        <v>880</v>
      </c>
      <c r="B199" s="175" t="s">
        <v>1431</v>
      </c>
      <c r="C199" s="174">
        <v>103018</v>
      </c>
      <c r="D199" s="175" t="s">
        <v>280</v>
      </c>
      <c r="E199" s="175" t="s">
        <v>1316</v>
      </c>
      <c r="F199" s="175">
        <v>25</v>
      </c>
      <c r="G199" s="175" t="s">
        <v>281</v>
      </c>
      <c r="H199" s="175" t="s">
        <v>282</v>
      </c>
      <c r="I199" s="175" t="s">
        <v>283</v>
      </c>
      <c r="J199" s="175" t="s">
        <v>284</v>
      </c>
      <c r="K199" s="175" t="s">
        <v>285</v>
      </c>
      <c r="L199" s="175" t="s">
        <v>391</v>
      </c>
      <c r="M199" s="175" t="s">
        <v>287</v>
      </c>
      <c r="N199" s="176">
        <v>34213</v>
      </c>
      <c r="O199" s="175">
        <v>54</v>
      </c>
      <c r="P199" s="175" t="s">
        <v>63</v>
      </c>
      <c r="Q199" s="174" t="s">
        <v>882</v>
      </c>
      <c r="R199" s="175">
        <v>170</v>
      </c>
      <c r="S199" s="175" t="s">
        <v>405</v>
      </c>
      <c r="T199" s="175" t="s">
        <v>393</v>
      </c>
    </row>
    <row r="200" spans="1:20" s="175" customFormat="1" ht="15" x14ac:dyDescent="0.3">
      <c r="A200" s="175" t="s">
        <v>1074</v>
      </c>
      <c r="B200" s="175" t="s">
        <v>1075</v>
      </c>
      <c r="C200" s="174">
        <v>191295</v>
      </c>
      <c r="D200" s="175" t="s">
        <v>326</v>
      </c>
      <c r="E200" s="175" t="s">
        <v>1317</v>
      </c>
      <c r="F200" s="175">
        <v>10</v>
      </c>
      <c r="G200" s="175" t="s">
        <v>281</v>
      </c>
      <c r="H200" s="175" t="s">
        <v>327</v>
      </c>
      <c r="I200" s="175" t="s">
        <v>283</v>
      </c>
      <c r="J200" s="175" t="s">
        <v>284</v>
      </c>
      <c r="K200" s="175" t="s">
        <v>285</v>
      </c>
      <c r="L200" s="175" t="s">
        <v>328</v>
      </c>
      <c r="M200" s="175" t="s">
        <v>287</v>
      </c>
      <c r="N200" s="176">
        <v>39479</v>
      </c>
      <c r="O200" s="175">
        <v>53</v>
      </c>
      <c r="P200" s="175" t="s">
        <v>61</v>
      </c>
      <c r="Q200" s="174" t="s">
        <v>1076</v>
      </c>
      <c r="R200" s="175">
        <v>215</v>
      </c>
      <c r="S200" s="175" t="s">
        <v>289</v>
      </c>
      <c r="T200" s="175" t="s">
        <v>330</v>
      </c>
    </row>
    <row r="201" spans="1:20" s="175" customFormat="1" ht="15" x14ac:dyDescent="0.3">
      <c r="A201" s="175" t="s">
        <v>884</v>
      </c>
      <c r="B201" s="175" t="s">
        <v>1424</v>
      </c>
      <c r="C201" s="174">
        <v>102982</v>
      </c>
      <c r="D201" s="175" t="s">
        <v>409</v>
      </c>
      <c r="E201" s="175" t="s">
        <v>1316</v>
      </c>
      <c r="F201" s="175">
        <v>20</v>
      </c>
      <c r="G201" s="175" t="s">
        <v>281</v>
      </c>
      <c r="H201" s="175" t="s">
        <v>282</v>
      </c>
      <c r="I201" s="175" t="s">
        <v>297</v>
      </c>
      <c r="J201" s="175" t="s">
        <v>298</v>
      </c>
      <c r="K201" s="175" t="s">
        <v>299</v>
      </c>
      <c r="L201" s="175" t="s">
        <v>300</v>
      </c>
      <c r="M201" s="175" t="s">
        <v>287</v>
      </c>
      <c r="N201" s="176">
        <v>36100</v>
      </c>
      <c r="O201" s="175">
        <v>47</v>
      </c>
      <c r="P201" s="175" t="s">
        <v>61</v>
      </c>
      <c r="Q201" s="174" t="s">
        <v>885</v>
      </c>
      <c r="R201" s="175">
        <v>255</v>
      </c>
      <c r="S201" s="175" t="s">
        <v>445</v>
      </c>
      <c r="T201" s="175" t="s">
        <v>375</v>
      </c>
    </row>
    <row r="202" spans="1:20" s="175" customFormat="1" ht="15" x14ac:dyDescent="0.3">
      <c r="A202" s="175" t="s">
        <v>1061</v>
      </c>
      <c r="B202" s="175" t="s">
        <v>924</v>
      </c>
      <c r="C202" s="174">
        <v>191202</v>
      </c>
      <c r="D202" s="175" t="s">
        <v>332</v>
      </c>
      <c r="E202" s="175" t="s">
        <v>1317</v>
      </c>
      <c r="F202" s="175">
        <v>21</v>
      </c>
      <c r="G202" s="175" t="s">
        <v>281</v>
      </c>
      <c r="H202" s="175" t="s">
        <v>327</v>
      </c>
      <c r="I202" s="175" t="s">
        <v>370</v>
      </c>
      <c r="J202" s="175" t="s">
        <v>371</v>
      </c>
      <c r="K202" s="175" t="s">
        <v>372</v>
      </c>
      <c r="L202" s="175" t="s">
        <v>373</v>
      </c>
      <c r="M202" s="175" t="s">
        <v>287</v>
      </c>
      <c r="N202" s="176">
        <v>35400</v>
      </c>
      <c r="O202" s="175">
        <v>55</v>
      </c>
      <c r="P202" s="175" t="s">
        <v>61</v>
      </c>
      <c r="Q202" s="174" t="s">
        <v>1062</v>
      </c>
      <c r="R202" s="175">
        <v>240</v>
      </c>
      <c r="S202" s="175" t="s">
        <v>302</v>
      </c>
      <c r="T202" s="175" t="s">
        <v>972</v>
      </c>
    </row>
    <row r="203" spans="1:20" s="175" customFormat="1" ht="15" x14ac:dyDescent="0.3">
      <c r="A203" s="175" t="s">
        <v>1123</v>
      </c>
      <c r="B203" s="175" t="s">
        <v>1124</v>
      </c>
      <c r="C203" s="174">
        <v>191712</v>
      </c>
      <c r="D203" s="175" t="s">
        <v>326</v>
      </c>
      <c r="E203" s="175" t="s">
        <v>1317</v>
      </c>
      <c r="F203" s="175">
        <v>18</v>
      </c>
      <c r="G203" s="175" t="s">
        <v>281</v>
      </c>
      <c r="H203" s="175" t="s">
        <v>327</v>
      </c>
      <c r="I203" s="175" t="s">
        <v>283</v>
      </c>
      <c r="J203" s="175" t="s">
        <v>284</v>
      </c>
      <c r="K203" s="175" t="s">
        <v>285</v>
      </c>
      <c r="L203" s="175" t="s">
        <v>328</v>
      </c>
      <c r="M203" s="175" t="s">
        <v>287</v>
      </c>
      <c r="N203" s="176">
        <v>36617</v>
      </c>
      <c r="O203" s="175">
        <v>49</v>
      </c>
      <c r="P203" s="175" t="s">
        <v>61</v>
      </c>
      <c r="Q203" s="174" t="s">
        <v>1125</v>
      </c>
      <c r="R203" s="175">
        <v>215</v>
      </c>
      <c r="S203" s="175" t="s">
        <v>289</v>
      </c>
      <c r="T203" s="175" t="s">
        <v>330</v>
      </c>
    </row>
    <row r="204" spans="1:20" s="175" customFormat="1" ht="15" x14ac:dyDescent="0.3">
      <c r="A204" s="175" t="s">
        <v>887</v>
      </c>
      <c r="B204" s="175" t="s">
        <v>1412</v>
      </c>
      <c r="C204" s="174">
        <v>103036</v>
      </c>
      <c r="D204" s="175" t="s">
        <v>256</v>
      </c>
      <c r="E204" s="175" t="s">
        <v>1316</v>
      </c>
      <c r="F204" s="175">
        <v>33</v>
      </c>
      <c r="G204" s="175" t="s">
        <v>315</v>
      </c>
      <c r="H204" s="175" t="s">
        <v>282</v>
      </c>
      <c r="I204" s="175" t="s">
        <v>650</v>
      </c>
      <c r="J204" s="175" t="s">
        <v>651</v>
      </c>
      <c r="K204" s="175" t="s">
        <v>652</v>
      </c>
      <c r="L204" s="175" t="s">
        <v>653</v>
      </c>
      <c r="M204" s="175" t="s">
        <v>320</v>
      </c>
      <c r="N204" s="176">
        <v>31138</v>
      </c>
      <c r="O204" s="175">
        <v>54</v>
      </c>
      <c r="P204" s="175" t="s">
        <v>63</v>
      </c>
      <c r="Q204" s="174" t="s">
        <v>888</v>
      </c>
      <c r="R204" s="175">
        <v>305</v>
      </c>
      <c r="S204" s="175" t="s">
        <v>386</v>
      </c>
      <c r="T204" s="175" t="s">
        <v>387</v>
      </c>
    </row>
    <row r="205" spans="1:20" s="175" customFormat="1" ht="15" x14ac:dyDescent="0.3">
      <c r="A205" s="175" t="s">
        <v>1249</v>
      </c>
      <c r="B205" s="175" t="s">
        <v>1250</v>
      </c>
      <c r="C205" s="174">
        <v>109499</v>
      </c>
      <c r="D205" s="175" t="s">
        <v>355</v>
      </c>
      <c r="E205" s="175" t="s">
        <v>1318</v>
      </c>
      <c r="F205" s="175">
        <v>10</v>
      </c>
      <c r="G205" s="175" t="s">
        <v>315</v>
      </c>
      <c r="H205" s="175" t="s">
        <v>296</v>
      </c>
      <c r="I205" s="175" t="s">
        <v>710</v>
      </c>
      <c r="J205" s="175" t="s">
        <v>711</v>
      </c>
      <c r="K205" s="175" t="s">
        <v>382</v>
      </c>
      <c r="L205" s="175" t="s">
        <v>1251</v>
      </c>
      <c r="M205" s="175" t="s">
        <v>384</v>
      </c>
      <c r="N205" s="176">
        <v>40452</v>
      </c>
      <c r="O205" s="175">
        <v>47</v>
      </c>
      <c r="P205" s="175" t="s">
        <v>61</v>
      </c>
      <c r="Q205" s="174" t="s">
        <v>1252</v>
      </c>
      <c r="R205" s="175">
        <v>305</v>
      </c>
      <c r="S205" s="175" t="s">
        <v>386</v>
      </c>
      <c r="T205" s="175" t="s">
        <v>387</v>
      </c>
    </row>
    <row r="206" spans="1:20" s="175" customFormat="1" ht="15" x14ac:dyDescent="0.3">
      <c r="A206" s="175" t="s">
        <v>364</v>
      </c>
      <c r="B206" s="175" t="s">
        <v>1432</v>
      </c>
      <c r="C206" s="174">
        <v>102935</v>
      </c>
      <c r="D206" s="175" t="s">
        <v>256</v>
      </c>
      <c r="E206" s="175" t="s">
        <v>1316</v>
      </c>
      <c r="F206" s="175">
        <v>11</v>
      </c>
      <c r="G206" s="175" t="s">
        <v>315</v>
      </c>
      <c r="H206" s="175" t="s">
        <v>282</v>
      </c>
      <c r="I206" s="175" t="s">
        <v>890</v>
      </c>
      <c r="J206" s="175" t="s">
        <v>891</v>
      </c>
      <c r="K206" s="175" t="s">
        <v>347</v>
      </c>
      <c r="L206" s="175" t="s">
        <v>892</v>
      </c>
      <c r="M206" s="175" t="s">
        <v>320</v>
      </c>
      <c r="N206" s="176">
        <v>39070</v>
      </c>
      <c r="O206" s="175">
        <v>34</v>
      </c>
      <c r="P206" s="175" t="s">
        <v>63</v>
      </c>
      <c r="Q206" s="174" t="s">
        <v>893</v>
      </c>
      <c r="R206" s="175">
        <v>305</v>
      </c>
      <c r="S206" s="175" t="s">
        <v>386</v>
      </c>
      <c r="T206" s="175" t="s">
        <v>537</v>
      </c>
    </row>
    <row r="207" spans="1:20" s="175" customFormat="1" ht="15" x14ac:dyDescent="0.3">
      <c r="A207" s="175" t="s">
        <v>895</v>
      </c>
      <c r="B207" s="175" t="s">
        <v>1401</v>
      </c>
      <c r="C207" s="174">
        <v>102909</v>
      </c>
      <c r="D207" s="175" t="s">
        <v>493</v>
      </c>
      <c r="E207" s="175" t="s">
        <v>1316</v>
      </c>
      <c r="F207" s="175">
        <v>11</v>
      </c>
      <c r="G207" s="175" t="s">
        <v>315</v>
      </c>
      <c r="H207" s="175" t="s">
        <v>282</v>
      </c>
      <c r="I207" s="175" t="s">
        <v>896</v>
      </c>
      <c r="J207" s="175" t="s">
        <v>897</v>
      </c>
      <c r="K207" s="175" t="s">
        <v>336</v>
      </c>
      <c r="L207" s="175" t="s">
        <v>898</v>
      </c>
      <c r="M207" s="175" t="s">
        <v>384</v>
      </c>
      <c r="N207" s="176">
        <v>39203</v>
      </c>
      <c r="O207" s="175">
        <v>48</v>
      </c>
      <c r="P207" s="175" t="s">
        <v>61</v>
      </c>
      <c r="Q207" s="174" t="s">
        <v>899</v>
      </c>
      <c r="R207" s="175">
        <v>335</v>
      </c>
      <c r="S207" s="175" t="s">
        <v>499</v>
      </c>
      <c r="T207" s="175" t="s">
        <v>537</v>
      </c>
    </row>
    <row r="208" spans="1:20" s="175" customFormat="1" ht="15" x14ac:dyDescent="0.3">
      <c r="A208" s="175" t="s">
        <v>1254</v>
      </c>
      <c r="B208" s="175" t="s">
        <v>1433</v>
      </c>
      <c r="C208" s="174">
        <v>244824</v>
      </c>
      <c r="D208" s="175" t="s">
        <v>948</v>
      </c>
      <c r="E208" s="175" t="s">
        <v>1318</v>
      </c>
      <c r="F208" s="175">
        <v>6</v>
      </c>
      <c r="G208" s="175" t="s">
        <v>281</v>
      </c>
      <c r="H208" s="175" t="s">
        <v>296</v>
      </c>
      <c r="I208" s="175" t="s">
        <v>370</v>
      </c>
      <c r="J208" s="175" t="s">
        <v>371</v>
      </c>
      <c r="K208" s="175" t="s">
        <v>372</v>
      </c>
      <c r="L208" s="175" t="s">
        <v>1255</v>
      </c>
      <c r="M208" s="175" t="s">
        <v>384</v>
      </c>
      <c r="N208" s="176">
        <v>42254</v>
      </c>
      <c r="O208" s="175">
        <v>25</v>
      </c>
      <c r="P208" s="175" t="s">
        <v>61</v>
      </c>
      <c r="Q208" s="174" t="s">
        <v>1256</v>
      </c>
      <c r="R208" s="175">
        <v>285</v>
      </c>
      <c r="S208" s="175" t="s">
        <v>572</v>
      </c>
      <c r="T208" s="175" t="s">
        <v>303</v>
      </c>
    </row>
    <row r="209" spans="1:20" s="175" customFormat="1" ht="15" x14ac:dyDescent="0.3">
      <c r="A209" s="175" t="s">
        <v>409</v>
      </c>
      <c r="B209" s="175" t="s">
        <v>325</v>
      </c>
      <c r="C209" s="174">
        <v>102954</v>
      </c>
      <c r="D209" s="175" t="s">
        <v>343</v>
      </c>
      <c r="E209" s="175" t="s">
        <v>1316</v>
      </c>
      <c r="F209" s="175">
        <v>14</v>
      </c>
      <c r="G209" s="175" t="s">
        <v>315</v>
      </c>
      <c r="H209" s="175" t="s">
        <v>282</v>
      </c>
      <c r="I209" s="175" t="s">
        <v>345</v>
      </c>
      <c r="J209" s="175" t="s">
        <v>346</v>
      </c>
      <c r="K209" s="175" t="s">
        <v>347</v>
      </c>
      <c r="L209" s="175" t="s">
        <v>901</v>
      </c>
      <c r="M209" s="175" t="s">
        <v>384</v>
      </c>
      <c r="N209" s="176">
        <v>43101</v>
      </c>
      <c r="O209" s="175">
        <v>51</v>
      </c>
      <c r="P209" s="175" t="s">
        <v>63</v>
      </c>
      <c r="Q209" s="174" t="s">
        <v>902</v>
      </c>
      <c r="R209" s="175">
        <v>335</v>
      </c>
      <c r="S209" s="175" t="s">
        <v>499</v>
      </c>
      <c r="T209" s="175" t="s">
        <v>352</v>
      </c>
    </row>
    <row r="210" spans="1:20" s="175" customFormat="1" ht="15" x14ac:dyDescent="0.3">
      <c r="A210" s="175" t="s">
        <v>904</v>
      </c>
      <c r="B210" s="175" t="s">
        <v>924</v>
      </c>
      <c r="C210" s="174">
        <v>102911</v>
      </c>
      <c r="D210" s="175" t="s">
        <v>364</v>
      </c>
      <c r="E210" s="175" t="s">
        <v>1316</v>
      </c>
      <c r="F210" s="175">
        <v>11</v>
      </c>
      <c r="G210" s="175" t="s">
        <v>281</v>
      </c>
      <c r="H210" s="175" t="s">
        <v>282</v>
      </c>
      <c r="I210" s="175" t="s">
        <v>357</v>
      </c>
      <c r="J210" s="175" t="s">
        <v>358</v>
      </c>
      <c r="K210" s="175" t="s">
        <v>285</v>
      </c>
      <c r="L210" s="175" t="s">
        <v>366</v>
      </c>
      <c r="M210" s="175" t="s">
        <v>287</v>
      </c>
      <c r="N210" s="176">
        <v>39142</v>
      </c>
      <c r="O210" s="175">
        <v>55</v>
      </c>
      <c r="P210" s="175" t="s">
        <v>61</v>
      </c>
      <c r="Q210" s="174" t="s">
        <v>905</v>
      </c>
      <c r="R210" s="175">
        <v>215</v>
      </c>
      <c r="S210" s="175" t="s">
        <v>289</v>
      </c>
      <c r="T210" s="175" t="s">
        <v>330</v>
      </c>
    </row>
    <row r="211" spans="1:20" s="175" customFormat="1" ht="15" x14ac:dyDescent="0.3">
      <c r="A211" s="175" t="s">
        <v>1135</v>
      </c>
      <c r="B211" s="175" t="s">
        <v>1434</v>
      </c>
      <c r="C211" s="174">
        <v>191738</v>
      </c>
      <c r="D211" s="175" t="s">
        <v>326</v>
      </c>
      <c r="E211" s="175" t="s">
        <v>1317</v>
      </c>
      <c r="F211" s="175">
        <v>12</v>
      </c>
      <c r="G211" s="175" t="s">
        <v>315</v>
      </c>
      <c r="H211" s="175" t="s">
        <v>327</v>
      </c>
      <c r="I211" s="175" t="s">
        <v>650</v>
      </c>
      <c r="J211" s="175" t="s">
        <v>651</v>
      </c>
      <c r="K211" s="175" t="s">
        <v>652</v>
      </c>
      <c r="L211" s="175" t="s">
        <v>1137</v>
      </c>
      <c r="M211" s="175" t="s">
        <v>384</v>
      </c>
      <c r="N211" s="176">
        <v>38899</v>
      </c>
      <c r="O211" s="175">
        <v>43</v>
      </c>
      <c r="P211" s="175" t="s">
        <v>63</v>
      </c>
      <c r="Q211" s="174" t="s">
        <v>1138</v>
      </c>
      <c r="R211" s="175">
        <v>305</v>
      </c>
      <c r="S211" s="175" t="s">
        <v>386</v>
      </c>
      <c r="T211" s="175" t="s">
        <v>573</v>
      </c>
    </row>
    <row r="212" spans="1:20" s="175" customFormat="1" ht="15" x14ac:dyDescent="0.3">
      <c r="A212" s="175" t="s">
        <v>1258</v>
      </c>
      <c r="B212" s="175" t="s">
        <v>1259</v>
      </c>
      <c r="C212" s="174">
        <v>109706</v>
      </c>
      <c r="D212" s="175" t="s">
        <v>294</v>
      </c>
      <c r="E212" s="175" t="s">
        <v>1318</v>
      </c>
      <c r="F212" s="175">
        <v>10</v>
      </c>
      <c r="G212" s="175" t="s">
        <v>281</v>
      </c>
      <c r="H212" s="175" t="s">
        <v>296</v>
      </c>
      <c r="I212" s="175" t="s">
        <v>297</v>
      </c>
      <c r="J212" s="175" t="s">
        <v>298</v>
      </c>
      <c r="K212" s="175" t="s">
        <v>299</v>
      </c>
      <c r="L212" s="175" t="s">
        <v>300</v>
      </c>
      <c r="M212" s="175" t="s">
        <v>287</v>
      </c>
      <c r="N212" s="176">
        <v>39479</v>
      </c>
      <c r="O212" s="175">
        <v>37</v>
      </c>
      <c r="P212" s="175" t="s">
        <v>61</v>
      </c>
      <c r="Q212" s="174" t="s">
        <v>1260</v>
      </c>
      <c r="R212" s="175">
        <v>240</v>
      </c>
      <c r="S212" s="175" t="s">
        <v>302</v>
      </c>
      <c r="T212" s="175" t="s">
        <v>303</v>
      </c>
    </row>
    <row r="213" spans="1:20" s="175" customFormat="1" ht="15" x14ac:dyDescent="0.3">
      <c r="A213" s="175" t="s">
        <v>907</v>
      </c>
      <c r="B213" s="175" t="s">
        <v>1390</v>
      </c>
      <c r="C213" s="174">
        <v>103008</v>
      </c>
      <c r="D213" s="175" t="s">
        <v>313</v>
      </c>
      <c r="E213" s="175" t="s">
        <v>1316</v>
      </c>
      <c r="F213" s="175">
        <v>26</v>
      </c>
      <c r="G213" s="175" t="s">
        <v>315</v>
      </c>
      <c r="H213" s="175" t="s">
        <v>282</v>
      </c>
      <c r="I213" s="175" t="s">
        <v>710</v>
      </c>
      <c r="J213" s="175" t="s">
        <v>711</v>
      </c>
      <c r="K213" s="175" t="s">
        <v>382</v>
      </c>
      <c r="L213" s="175" t="s">
        <v>908</v>
      </c>
      <c r="M213" s="175" t="s">
        <v>349</v>
      </c>
      <c r="N213" s="176">
        <v>33848</v>
      </c>
      <c r="O213" s="175">
        <v>49</v>
      </c>
      <c r="P213" s="175" t="s">
        <v>61</v>
      </c>
      <c r="Q213" s="174" t="s">
        <v>909</v>
      </c>
      <c r="R213" s="175">
        <v>305</v>
      </c>
      <c r="S213" s="175" t="s">
        <v>386</v>
      </c>
      <c r="T213" s="175" t="s">
        <v>387</v>
      </c>
    </row>
    <row r="214" spans="1:20" s="175" customFormat="1" ht="15" x14ac:dyDescent="0.3">
      <c r="A214" s="175" t="s">
        <v>911</v>
      </c>
      <c r="B214" s="175" t="s">
        <v>344</v>
      </c>
      <c r="C214" s="174">
        <v>103000</v>
      </c>
      <c r="D214" s="175" t="s">
        <v>409</v>
      </c>
      <c r="E214" s="175" t="s">
        <v>1316</v>
      </c>
      <c r="F214" s="175">
        <v>23</v>
      </c>
      <c r="G214" s="175" t="s">
        <v>281</v>
      </c>
      <c r="H214" s="175" t="s">
        <v>282</v>
      </c>
      <c r="I214" s="175" t="s">
        <v>283</v>
      </c>
      <c r="J214" s="175" t="s">
        <v>284</v>
      </c>
      <c r="K214" s="175" t="s">
        <v>285</v>
      </c>
      <c r="L214" s="175" t="s">
        <v>432</v>
      </c>
      <c r="M214" s="175" t="s">
        <v>287</v>
      </c>
      <c r="N214" s="176">
        <v>34820</v>
      </c>
      <c r="O214" s="175">
        <v>46</v>
      </c>
      <c r="P214" s="175" t="s">
        <v>61</v>
      </c>
      <c r="Q214" s="174" t="s">
        <v>912</v>
      </c>
      <c r="R214" s="175">
        <v>225</v>
      </c>
      <c r="S214" s="175" t="s">
        <v>361</v>
      </c>
      <c r="T214" s="175" t="s">
        <v>330</v>
      </c>
    </row>
    <row r="215" spans="1:20" s="175" customFormat="1" ht="15" x14ac:dyDescent="0.3">
      <c r="A215" s="175" t="s">
        <v>1262</v>
      </c>
      <c r="B215" s="175" t="s">
        <v>1435</v>
      </c>
      <c r="C215" s="174">
        <v>10631655</v>
      </c>
      <c r="D215" s="175" t="s">
        <v>294</v>
      </c>
      <c r="E215" s="175" t="s">
        <v>1318</v>
      </c>
      <c r="F215" s="175">
        <v>0</v>
      </c>
      <c r="G215" s="175" t="s">
        <v>315</v>
      </c>
      <c r="H215" s="175" t="s">
        <v>518</v>
      </c>
      <c r="I215" s="175" t="s">
        <v>297</v>
      </c>
      <c r="J215" s="175" t="s">
        <v>298</v>
      </c>
      <c r="K215" s="175" t="s">
        <v>299</v>
      </c>
      <c r="L215" s="175" t="s">
        <v>1264</v>
      </c>
      <c r="M215" s="175" t="s">
        <v>320</v>
      </c>
      <c r="N215" s="176">
        <v>43360</v>
      </c>
      <c r="O215" s="175">
        <v>25</v>
      </c>
      <c r="P215" s="175" t="s">
        <v>61</v>
      </c>
      <c r="Q215" s="174" t="s">
        <v>1265</v>
      </c>
      <c r="T215" s="175" t="s">
        <v>322</v>
      </c>
    </row>
    <row r="216" spans="1:20" s="175" customFormat="1" ht="15" x14ac:dyDescent="0.3">
      <c r="A216" s="175" t="s">
        <v>1267</v>
      </c>
      <c r="B216" s="175" t="s">
        <v>1436</v>
      </c>
      <c r="C216" s="174">
        <v>10524265</v>
      </c>
      <c r="D216" s="175" t="s">
        <v>355</v>
      </c>
      <c r="E216" s="175" t="s">
        <v>1318</v>
      </c>
      <c r="F216" s="175">
        <v>0</v>
      </c>
      <c r="G216" s="175" t="s">
        <v>315</v>
      </c>
      <c r="H216" s="175" t="s">
        <v>296</v>
      </c>
      <c r="I216" s="175" t="s">
        <v>533</v>
      </c>
      <c r="J216" s="175" t="s">
        <v>534</v>
      </c>
      <c r="K216" s="175" t="s">
        <v>382</v>
      </c>
      <c r="L216" s="175" t="s">
        <v>1268</v>
      </c>
      <c r="M216" s="175" t="s">
        <v>338</v>
      </c>
      <c r="N216" s="176">
        <v>43101</v>
      </c>
      <c r="O216" s="175">
        <v>26</v>
      </c>
      <c r="P216" s="175" t="s">
        <v>61</v>
      </c>
      <c r="Q216" s="174" t="s">
        <v>1269</v>
      </c>
      <c r="R216" s="175" t="s">
        <v>1270</v>
      </c>
      <c r="S216" s="175" t="s">
        <v>1271</v>
      </c>
      <c r="T216" s="175">
        <v>4</v>
      </c>
    </row>
    <row r="217" spans="1:20" s="175" customFormat="1" ht="15" x14ac:dyDescent="0.3">
      <c r="A217" s="175" t="s">
        <v>1273</v>
      </c>
      <c r="B217" s="175" t="s">
        <v>1211</v>
      </c>
      <c r="C217" s="174">
        <v>10559265</v>
      </c>
      <c r="D217" s="175" t="s">
        <v>294</v>
      </c>
      <c r="E217" s="175" t="s">
        <v>1318</v>
      </c>
      <c r="F217" s="175">
        <v>1</v>
      </c>
      <c r="G217" s="175" t="s">
        <v>281</v>
      </c>
      <c r="H217" s="175" t="s">
        <v>296</v>
      </c>
      <c r="I217" s="175" t="s">
        <v>283</v>
      </c>
      <c r="J217" s="175" t="s">
        <v>284</v>
      </c>
      <c r="K217" s="175" t="s">
        <v>285</v>
      </c>
      <c r="L217" s="175" t="s">
        <v>930</v>
      </c>
      <c r="M217" s="175" t="s">
        <v>287</v>
      </c>
      <c r="N217" s="176">
        <v>42795</v>
      </c>
      <c r="O217" s="175">
        <v>26</v>
      </c>
      <c r="P217" s="175" t="s">
        <v>61</v>
      </c>
      <c r="Q217" s="174" t="s">
        <v>1274</v>
      </c>
      <c r="R217" s="175">
        <v>190</v>
      </c>
      <c r="S217" s="175" t="s">
        <v>309</v>
      </c>
      <c r="T217" s="175" t="s">
        <v>290</v>
      </c>
    </row>
    <row r="218" spans="1:20" s="175" customFormat="1" ht="15" x14ac:dyDescent="0.3">
      <c r="A218" s="173" t="s">
        <v>914</v>
      </c>
      <c r="B218" s="173" t="s">
        <v>1355</v>
      </c>
      <c r="C218" s="178">
        <v>103075</v>
      </c>
      <c r="D218" s="173" t="s">
        <v>280</v>
      </c>
      <c r="E218" s="173" t="s">
        <v>1316</v>
      </c>
      <c r="F218" s="173">
        <v>35</v>
      </c>
      <c r="G218" s="173" t="s">
        <v>281</v>
      </c>
      <c r="H218" s="173" t="s">
        <v>282</v>
      </c>
      <c r="I218" s="173" t="s">
        <v>297</v>
      </c>
      <c r="J218" s="173" t="s">
        <v>298</v>
      </c>
      <c r="K218" s="173" t="s">
        <v>299</v>
      </c>
      <c r="L218" s="173" t="s">
        <v>300</v>
      </c>
      <c r="M218" s="173" t="s">
        <v>287</v>
      </c>
      <c r="N218" s="179">
        <v>30536</v>
      </c>
      <c r="O218" s="173">
        <v>58</v>
      </c>
      <c r="P218" s="173" t="s">
        <v>61</v>
      </c>
      <c r="Q218" s="178" t="s">
        <v>915</v>
      </c>
      <c r="R218" s="173">
        <v>255</v>
      </c>
      <c r="S218" s="173" t="s">
        <v>445</v>
      </c>
      <c r="T218" s="173" t="s">
        <v>375</v>
      </c>
    </row>
    <row r="219" spans="1:20" s="175" customFormat="1" ht="15" x14ac:dyDescent="0.3">
      <c r="A219" s="173" t="s">
        <v>1327</v>
      </c>
      <c r="B219" s="173" t="s">
        <v>1150</v>
      </c>
      <c r="C219" s="178">
        <v>103005</v>
      </c>
      <c r="D219" s="173" t="s">
        <v>409</v>
      </c>
      <c r="E219" s="173" t="s">
        <v>1316</v>
      </c>
      <c r="F219" s="173">
        <v>20</v>
      </c>
      <c r="G219" s="173" t="s">
        <v>281</v>
      </c>
      <c r="H219" s="173" t="s">
        <v>282</v>
      </c>
      <c r="I219" s="173" t="s">
        <v>283</v>
      </c>
      <c r="J219" s="173" t="s">
        <v>284</v>
      </c>
      <c r="K219" s="173" t="s">
        <v>285</v>
      </c>
      <c r="L219" s="173" t="s">
        <v>286</v>
      </c>
      <c r="M219" s="173" t="s">
        <v>287</v>
      </c>
      <c r="N219" s="179">
        <v>35982</v>
      </c>
      <c r="O219" s="173">
        <v>62</v>
      </c>
      <c r="P219" s="173" t="s">
        <v>61</v>
      </c>
      <c r="Q219" s="178" t="s">
        <v>921</v>
      </c>
      <c r="R219" s="173">
        <v>215</v>
      </c>
      <c r="S219" s="173" t="s">
        <v>289</v>
      </c>
      <c r="T219" s="173" t="s">
        <v>290</v>
      </c>
    </row>
    <row r="220" spans="1:20" s="175" customFormat="1" ht="15" x14ac:dyDescent="0.3">
      <c r="A220" s="175" t="s">
        <v>1328</v>
      </c>
      <c r="B220" s="175" t="s">
        <v>982</v>
      </c>
      <c r="C220" s="174">
        <v>103065</v>
      </c>
      <c r="D220" s="175" t="s">
        <v>256</v>
      </c>
      <c r="E220" s="175" t="s">
        <v>1316</v>
      </c>
      <c r="F220" s="175">
        <v>35</v>
      </c>
      <c r="G220" s="175" t="s">
        <v>315</v>
      </c>
      <c r="H220" s="175" t="s">
        <v>282</v>
      </c>
      <c r="I220" s="175" t="s">
        <v>650</v>
      </c>
      <c r="J220" s="175" t="s">
        <v>651</v>
      </c>
      <c r="K220" s="175" t="s">
        <v>652</v>
      </c>
      <c r="L220" s="175" t="s">
        <v>1014</v>
      </c>
      <c r="M220" s="175" t="s">
        <v>320</v>
      </c>
      <c r="N220" s="176">
        <v>30487</v>
      </c>
      <c r="O220" s="175">
        <v>53</v>
      </c>
      <c r="P220" s="175" t="s">
        <v>63</v>
      </c>
      <c r="Q220" s="174" t="s">
        <v>1015</v>
      </c>
      <c r="R220" s="175">
        <v>285</v>
      </c>
      <c r="S220" s="175" t="s">
        <v>572</v>
      </c>
      <c r="T220" s="175" t="s">
        <v>573</v>
      </c>
    </row>
    <row r="221" spans="1:20" s="175" customFormat="1" ht="15" x14ac:dyDescent="0.3">
      <c r="A221" s="173" t="s">
        <v>1017</v>
      </c>
      <c r="B221" s="173" t="s">
        <v>1437</v>
      </c>
      <c r="C221" s="178">
        <v>103082</v>
      </c>
      <c r="D221" s="173" t="s">
        <v>280</v>
      </c>
      <c r="E221" s="173" t="s">
        <v>1316</v>
      </c>
      <c r="F221" s="173">
        <v>35</v>
      </c>
      <c r="G221" s="173" t="s">
        <v>281</v>
      </c>
      <c r="H221" s="173" t="s">
        <v>282</v>
      </c>
      <c r="I221" s="173" t="s">
        <v>283</v>
      </c>
      <c r="J221" s="173" t="s">
        <v>284</v>
      </c>
      <c r="K221" s="173" t="s">
        <v>285</v>
      </c>
      <c r="L221" s="173" t="s">
        <v>1019</v>
      </c>
      <c r="M221" s="173" t="s">
        <v>320</v>
      </c>
      <c r="N221" s="179">
        <v>30270</v>
      </c>
      <c r="O221" s="173">
        <v>59</v>
      </c>
      <c r="P221" s="173" t="s">
        <v>63</v>
      </c>
      <c r="Q221" s="178" t="s">
        <v>1020</v>
      </c>
      <c r="R221" s="173">
        <v>225</v>
      </c>
      <c r="S221" s="173" t="s">
        <v>361</v>
      </c>
      <c r="T221" s="173" t="s">
        <v>972</v>
      </c>
    </row>
    <row r="222" spans="1:20" s="175" customFormat="1" ht="15" x14ac:dyDescent="0.3">
      <c r="A222" s="175" t="s">
        <v>1022</v>
      </c>
      <c r="B222" s="175" t="s">
        <v>1438</v>
      </c>
      <c r="C222" s="174">
        <v>10513086</v>
      </c>
      <c r="D222" s="175" t="s">
        <v>1023</v>
      </c>
      <c r="E222" s="175" t="s">
        <v>1316</v>
      </c>
      <c r="F222" s="175">
        <v>0</v>
      </c>
      <c r="G222" s="175" t="s">
        <v>315</v>
      </c>
      <c r="H222" s="175" t="s">
        <v>282</v>
      </c>
      <c r="I222" s="175" t="s">
        <v>1024</v>
      </c>
      <c r="J222" s="175" t="s">
        <v>1025</v>
      </c>
      <c r="K222" s="175" t="s">
        <v>839</v>
      </c>
      <c r="L222" s="175" t="s">
        <v>1026</v>
      </c>
      <c r="M222" s="175" t="s">
        <v>320</v>
      </c>
      <c r="N222" s="176">
        <v>43346</v>
      </c>
      <c r="O222" s="175">
        <v>23</v>
      </c>
      <c r="P222" s="175" t="s">
        <v>63</v>
      </c>
      <c r="Q222" s="174" t="s">
        <v>1027</v>
      </c>
      <c r="T222" s="175" t="s">
        <v>322</v>
      </c>
    </row>
    <row r="223" spans="1:20" s="175" customFormat="1" ht="15" x14ac:dyDescent="0.3">
      <c r="A223" s="175" t="s">
        <v>1067</v>
      </c>
      <c r="B223" s="175" t="s">
        <v>1439</v>
      </c>
      <c r="C223" s="174">
        <v>102889</v>
      </c>
      <c r="D223" s="175" t="s">
        <v>280</v>
      </c>
      <c r="E223" s="175" t="s">
        <v>1316</v>
      </c>
      <c r="F223" s="175">
        <v>10</v>
      </c>
      <c r="G223" s="175" t="s">
        <v>281</v>
      </c>
      <c r="H223" s="175" t="s">
        <v>282</v>
      </c>
      <c r="I223" s="175" t="s">
        <v>283</v>
      </c>
      <c r="J223" s="175" t="s">
        <v>284</v>
      </c>
      <c r="K223" s="175" t="s">
        <v>285</v>
      </c>
      <c r="L223" s="175" t="s">
        <v>391</v>
      </c>
      <c r="M223" s="175" t="s">
        <v>287</v>
      </c>
      <c r="N223" s="176">
        <v>39412</v>
      </c>
      <c r="O223" s="175">
        <v>55</v>
      </c>
      <c r="P223" s="175" t="s">
        <v>63</v>
      </c>
      <c r="Q223" s="174" t="s">
        <v>1069</v>
      </c>
      <c r="R223" s="175">
        <v>170</v>
      </c>
      <c r="S223" s="175" t="s">
        <v>405</v>
      </c>
      <c r="T223" s="175" t="s">
        <v>393</v>
      </c>
    </row>
    <row r="224" spans="1:20" s="175" customFormat="1" ht="15" x14ac:dyDescent="0.3">
      <c r="A224" s="175" t="s">
        <v>1276</v>
      </c>
      <c r="B224" s="175" t="s">
        <v>1374</v>
      </c>
      <c r="C224" s="174">
        <v>136680</v>
      </c>
      <c r="D224" s="175" t="s">
        <v>355</v>
      </c>
      <c r="E224" s="175" t="s">
        <v>1318</v>
      </c>
      <c r="G224" s="175" t="s">
        <v>281</v>
      </c>
      <c r="H224" s="175" t="s">
        <v>296</v>
      </c>
      <c r="I224" s="175" t="s">
        <v>633</v>
      </c>
      <c r="J224" s="175" t="s">
        <v>634</v>
      </c>
      <c r="K224" s="175" t="s">
        <v>299</v>
      </c>
      <c r="L224" s="175" t="s">
        <v>1277</v>
      </c>
      <c r="M224" s="175" t="s">
        <v>384</v>
      </c>
      <c r="N224" s="176">
        <v>42552</v>
      </c>
      <c r="O224" s="175">
        <v>49</v>
      </c>
      <c r="P224" s="175" t="s">
        <v>61</v>
      </c>
      <c r="Q224" s="174" t="s">
        <v>1278</v>
      </c>
      <c r="R224" s="175">
        <v>270</v>
      </c>
      <c r="S224" s="175" t="s">
        <v>596</v>
      </c>
      <c r="T224" s="175" t="s">
        <v>597</v>
      </c>
    </row>
    <row r="225" spans="1:20" s="175" customFormat="1" ht="15" x14ac:dyDescent="0.3">
      <c r="A225" s="175" t="s">
        <v>1169</v>
      </c>
      <c r="B225" s="175" t="s">
        <v>1185</v>
      </c>
      <c r="C225" s="174">
        <v>104545</v>
      </c>
      <c r="D225" s="175" t="s">
        <v>280</v>
      </c>
      <c r="E225" s="175" t="s">
        <v>1316</v>
      </c>
      <c r="F225" s="175">
        <v>28</v>
      </c>
      <c r="G225" s="175" t="s">
        <v>281</v>
      </c>
      <c r="H225" s="175" t="s">
        <v>282</v>
      </c>
      <c r="I225" s="175" t="s">
        <v>283</v>
      </c>
      <c r="J225" s="175" t="s">
        <v>284</v>
      </c>
      <c r="K225" s="175" t="s">
        <v>285</v>
      </c>
      <c r="L225" s="175" t="s">
        <v>286</v>
      </c>
      <c r="M225" s="175" t="s">
        <v>287</v>
      </c>
      <c r="N225" s="176">
        <v>37803</v>
      </c>
      <c r="O225" s="175">
        <v>50</v>
      </c>
      <c r="P225" s="175" t="s">
        <v>61</v>
      </c>
      <c r="Q225" s="174" t="s">
        <v>1170</v>
      </c>
      <c r="R225" s="175">
        <v>215</v>
      </c>
      <c r="S225" s="175" t="s">
        <v>289</v>
      </c>
      <c r="T225" s="175" t="s">
        <v>290</v>
      </c>
    </row>
    <row r="226" spans="1:20" s="175" customFormat="1" ht="15" x14ac:dyDescent="0.3">
      <c r="A226" s="175" t="s">
        <v>1227</v>
      </c>
      <c r="B226" s="175" t="s">
        <v>1409</v>
      </c>
      <c r="C226" s="174">
        <v>102964</v>
      </c>
      <c r="D226" s="175" t="s">
        <v>280</v>
      </c>
      <c r="E226" s="175" t="s">
        <v>1316</v>
      </c>
      <c r="F226" s="175">
        <v>18</v>
      </c>
      <c r="G226" s="175" t="s">
        <v>281</v>
      </c>
      <c r="H226" s="175" t="s">
        <v>282</v>
      </c>
      <c r="I226" s="175" t="s">
        <v>283</v>
      </c>
      <c r="J226" s="175" t="s">
        <v>284</v>
      </c>
      <c r="K226" s="175" t="s">
        <v>285</v>
      </c>
      <c r="L226" s="175" t="s">
        <v>391</v>
      </c>
      <c r="M226" s="175" t="s">
        <v>287</v>
      </c>
      <c r="N226" s="176">
        <v>36648</v>
      </c>
      <c r="O226" s="175">
        <v>46</v>
      </c>
      <c r="P226" s="175" t="s">
        <v>61</v>
      </c>
      <c r="Q226" s="174" t="s">
        <v>1228</v>
      </c>
      <c r="R226" s="175">
        <v>225</v>
      </c>
      <c r="S226" s="175" t="s">
        <v>361</v>
      </c>
      <c r="T226" s="175" t="s">
        <v>972</v>
      </c>
    </row>
    <row r="227" spans="1:20" s="175" customFormat="1" ht="15" x14ac:dyDescent="0.3">
      <c r="A227" s="175" t="s">
        <v>1280</v>
      </c>
      <c r="B227" s="175" t="s">
        <v>1440</v>
      </c>
      <c r="C227" s="174">
        <v>10555320</v>
      </c>
      <c r="D227" s="175" t="s">
        <v>294</v>
      </c>
      <c r="E227" s="175" t="s">
        <v>1318</v>
      </c>
      <c r="F227" s="175">
        <v>1</v>
      </c>
      <c r="G227" s="175" t="s">
        <v>281</v>
      </c>
      <c r="H227" s="175" t="s">
        <v>296</v>
      </c>
      <c r="I227" s="175" t="s">
        <v>283</v>
      </c>
      <c r="J227" s="175" t="s">
        <v>284</v>
      </c>
      <c r="K227" s="175" t="s">
        <v>285</v>
      </c>
      <c r="L227" s="175" t="s">
        <v>925</v>
      </c>
      <c r="M227" s="175" t="s">
        <v>287</v>
      </c>
      <c r="N227" s="176">
        <v>42767</v>
      </c>
      <c r="O227" s="175">
        <v>38</v>
      </c>
      <c r="P227" s="175" t="s">
        <v>61</v>
      </c>
      <c r="Q227" s="174" t="s">
        <v>1282</v>
      </c>
      <c r="R227" s="175">
        <v>190</v>
      </c>
      <c r="S227" s="175" t="s">
        <v>309</v>
      </c>
      <c r="T227" s="175" t="s">
        <v>290</v>
      </c>
    </row>
    <row r="228" spans="1:20" s="175" customFormat="1" ht="15" x14ac:dyDescent="0.3">
      <c r="A228" s="175" t="s">
        <v>1096</v>
      </c>
      <c r="B228" s="175" t="s">
        <v>1043</v>
      </c>
      <c r="C228" s="174">
        <v>191532</v>
      </c>
      <c r="D228" s="175" t="s">
        <v>326</v>
      </c>
      <c r="E228" s="175" t="s">
        <v>1317</v>
      </c>
      <c r="F228" s="175">
        <v>26</v>
      </c>
      <c r="G228" s="175" t="s">
        <v>281</v>
      </c>
      <c r="H228" s="175" t="s">
        <v>327</v>
      </c>
      <c r="I228" s="175" t="s">
        <v>283</v>
      </c>
      <c r="J228" s="175" t="s">
        <v>284</v>
      </c>
      <c r="K228" s="175" t="s">
        <v>285</v>
      </c>
      <c r="L228" s="175" t="s">
        <v>328</v>
      </c>
      <c r="M228" s="175" t="s">
        <v>287</v>
      </c>
      <c r="N228" s="176">
        <v>33909</v>
      </c>
      <c r="O228" s="175">
        <v>55</v>
      </c>
      <c r="P228" s="175" t="s">
        <v>61</v>
      </c>
      <c r="Q228" s="174" t="s">
        <v>1097</v>
      </c>
      <c r="R228" s="175">
        <v>215</v>
      </c>
      <c r="S228" s="175" t="s">
        <v>289</v>
      </c>
      <c r="T228" s="175" t="s">
        <v>330</v>
      </c>
    </row>
    <row r="229" spans="1:20" s="175" customFormat="1" ht="15" x14ac:dyDescent="0.3">
      <c r="A229" s="175" t="s">
        <v>326</v>
      </c>
      <c r="B229" s="175" t="s">
        <v>1374</v>
      </c>
      <c r="C229" s="174">
        <v>136713</v>
      </c>
      <c r="D229" s="175" t="s">
        <v>343</v>
      </c>
      <c r="E229" s="175" t="s">
        <v>1317</v>
      </c>
      <c r="F229" s="175">
        <v>36</v>
      </c>
      <c r="G229" s="175" t="s">
        <v>315</v>
      </c>
      <c r="H229" s="175" t="s">
        <v>327</v>
      </c>
      <c r="I229" s="175" t="s">
        <v>957</v>
      </c>
      <c r="J229" s="175" t="s">
        <v>958</v>
      </c>
      <c r="K229" s="175" t="s">
        <v>959</v>
      </c>
      <c r="L229" s="175" t="s">
        <v>1036</v>
      </c>
      <c r="M229" s="175" t="s">
        <v>338</v>
      </c>
      <c r="N229" s="176">
        <v>43101</v>
      </c>
      <c r="O229" s="175">
        <v>55</v>
      </c>
      <c r="P229" s="175" t="s">
        <v>61</v>
      </c>
      <c r="Q229" s="174" t="s">
        <v>1037</v>
      </c>
      <c r="R229" s="175" t="s">
        <v>559</v>
      </c>
      <c r="S229" s="175" t="s">
        <v>560</v>
      </c>
      <c r="T229" s="175">
        <v>8</v>
      </c>
    </row>
    <row r="230" spans="1:20" s="175" customFormat="1" ht="15" x14ac:dyDescent="0.3">
      <c r="A230" s="175" t="s">
        <v>1332</v>
      </c>
      <c r="B230" s="175" t="s">
        <v>995</v>
      </c>
      <c r="C230" s="174">
        <v>103031</v>
      </c>
      <c r="D230" s="175" t="s">
        <v>256</v>
      </c>
      <c r="E230" s="175" t="s">
        <v>1316</v>
      </c>
      <c r="F230" s="175">
        <v>27</v>
      </c>
      <c r="G230" s="175" t="s">
        <v>315</v>
      </c>
      <c r="H230" s="175" t="s">
        <v>282</v>
      </c>
      <c r="I230" s="175" t="s">
        <v>650</v>
      </c>
      <c r="J230" s="175" t="s">
        <v>651</v>
      </c>
      <c r="K230" s="175" t="s">
        <v>652</v>
      </c>
      <c r="L230" s="175" t="s">
        <v>653</v>
      </c>
      <c r="M230" s="175" t="s">
        <v>320</v>
      </c>
      <c r="N230" s="176">
        <v>33427</v>
      </c>
      <c r="O230" s="175">
        <v>50</v>
      </c>
      <c r="P230" s="175" t="s">
        <v>61</v>
      </c>
      <c r="Q230" s="174" t="s">
        <v>1295</v>
      </c>
      <c r="R230" s="175">
        <v>305</v>
      </c>
      <c r="S230" s="175" t="s">
        <v>386</v>
      </c>
      <c r="T230" s="175" t="s">
        <v>573</v>
      </c>
    </row>
    <row r="231" spans="1:20" s="175" customFormat="1" ht="15" x14ac:dyDescent="0.3">
      <c r="A231" s="175" t="s">
        <v>1331</v>
      </c>
      <c r="B231" s="175" t="s">
        <v>995</v>
      </c>
      <c r="C231" s="174">
        <v>102890</v>
      </c>
      <c r="D231" s="175" t="s">
        <v>364</v>
      </c>
      <c r="E231" s="175" t="s">
        <v>1316</v>
      </c>
      <c r="F231" s="175">
        <v>10</v>
      </c>
      <c r="G231" s="175" t="s">
        <v>281</v>
      </c>
      <c r="H231" s="175" t="s">
        <v>282</v>
      </c>
      <c r="I231" s="175" t="s">
        <v>357</v>
      </c>
      <c r="J231" s="175" t="s">
        <v>358</v>
      </c>
      <c r="K231" s="175" t="s">
        <v>285</v>
      </c>
      <c r="L231" s="175" t="s">
        <v>1234</v>
      </c>
      <c r="M231" s="175" t="s">
        <v>287</v>
      </c>
      <c r="N231" s="176">
        <v>39412</v>
      </c>
      <c r="O231" s="175">
        <v>48</v>
      </c>
      <c r="P231" s="175" t="s">
        <v>61</v>
      </c>
      <c r="Q231" s="174" t="s">
        <v>1235</v>
      </c>
      <c r="R231" s="175">
        <v>225</v>
      </c>
      <c r="S231" s="175" t="s">
        <v>361</v>
      </c>
      <c r="T231" s="175" t="s">
        <v>290</v>
      </c>
    </row>
    <row r="232" spans="1:20" s="175" customFormat="1" ht="15" x14ac:dyDescent="0.3">
      <c r="A232" s="175" t="s">
        <v>1284</v>
      </c>
      <c r="B232" s="175" t="s">
        <v>1372</v>
      </c>
      <c r="C232" s="174">
        <v>330483</v>
      </c>
      <c r="D232" s="175" t="s">
        <v>294</v>
      </c>
      <c r="E232" s="175" t="s">
        <v>1318</v>
      </c>
      <c r="F232" s="175">
        <v>3</v>
      </c>
      <c r="G232" s="175" t="s">
        <v>281</v>
      </c>
      <c r="H232" s="175" t="s">
        <v>296</v>
      </c>
      <c r="I232" s="175" t="s">
        <v>283</v>
      </c>
      <c r="J232" s="175" t="s">
        <v>284</v>
      </c>
      <c r="K232" s="175" t="s">
        <v>285</v>
      </c>
      <c r="L232" s="175" t="s">
        <v>1285</v>
      </c>
      <c r="M232" s="175" t="s">
        <v>287</v>
      </c>
      <c r="N232" s="176">
        <v>42156</v>
      </c>
      <c r="O232" s="175">
        <v>31</v>
      </c>
      <c r="P232" s="175" t="s">
        <v>61</v>
      </c>
      <c r="Q232" s="174" t="s">
        <v>1286</v>
      </c>
      <c r="R232" s="175">
        <v>190</v>
      </c>
      <c r="S232" s="175" t="s">
        <v>309</v>
      </c>
      <c r="T232" s="175" t="s">
        <v>290</v>
      </c>
    </row>
    <row r="233" spans="1:20" s="175" customFormat="1" ht="15" x14ac:dyDescent="0.3">
      <c r="A233" s="175" t="s">
        <v>1047</v>
      </c>
      <c r="B233" s="175" t="s">
        <v>1048</v>
      </c>
      <c r="C233" s="174">
        <v>190978</v>
      </c>
      <c r="D233" s="175" t="s">
        <v>326</v>
      </c>
      <c r="E233" s="175" t="s">
        <v>1317</v>
      </c>
      <c r="F233" s="175">
        <v>23</v>
      </c>
      <c r="G233" s="175" t="s">
        <v>281</v>
      </c>
      <c r="H233" s="175" t="s">
        <v>327</v>
      </c>
      <c r="I233" s="175" t="s">
        <v>357</v>
      </c>
      <c r="J233" s="175" t="s">
        <v>358</v>
      </c>
      <c r="K233" s="175" t="s">
        <v>285</v>
      </c>
      <c r="L233" s="175" t="s">
        <v>1049</v>
      </c>
      <c r="M233" s="175" t="s">
        <v>287</v>
      </c>
      <c r="N233" s="176">
        <v>34881</v>
      </c>
      <c r="O233" s="175">
        <v>53</v>
      </c>
      <c r="P233" s="175" t="s">
        <v>61</v>
      </c>
      <c r="Q233" s="174" t="s">
        <v>1050</v>
      </c>
      <c r="R233" s="175">
        <v>215</v>
      </c>
      <c r="S233" s="175" t="s">
        <v>289</v>
      </c>
      <c r="T233" s="175" t="s">
        <v>290</v>
      </c>
    </row>
    <row r="234" spans="1:20" s="175" customFormat="1" ht="15" x14ac:dyDescent="0.3">
      <c r="A234" s="175" t="s">
        <v>294</v>
      </c>
      <c r="B234" s="175" t="s">
        <v>295</v>
      </c>
      <c r="C234" s="174">
        <v>244104</v>
      </c>
      <c r="D234" s="175" t="s">
        <v>355</v>
      </c>
      <c r="E234" s="175" t="s">
        <v>1318</v>
      </c>
      <c r="F234" s="175">
        <v>6</v>
      </c>
      <c r="G234" s="175" t="s">
        <v>315</v>
      </c>
      <c r="H234" s="175" t="s">
        <v>296</v>
      </c>
      <c r="I234" s="175" t="s">
        <v>345</v>
      </c>
      <c r="J234" s="175" t="s">
        <v>346</v>
      </c>
      <c r="K234" s="175" t="s">
        <v>347</v>
      </c>
      <c r="L234" s="175" t="s">
        <v>901</v>
      </c>
      <c r="M234" s="175" t="s">
        <v>338</v>
      </c>
      <c r="N234" s="176">
        <v>41091</v>
      </c>
      <c r="O234" s="175">
        <v>39</v>
      </c>
      <c r="P234" s="175" t="s">
        <v>61</v>
      </c>
      <c r="Q234" s="174" t="s">
        <v>1293</v>
      </c>
      <c r="R234" s="175" t="s">
        <v>457</v>
      </c>
      <c r="S234" s="175" t="s">
        <v>458</v>
      </c>
      <c r="T234" s="175">
        <v>6</v>
      </c>
    </row>
    <row r="235" spans="1:20" s="175" customFormat="1" ht="15" x14ac:dyDescent="0.3">
      <c r="A235" s="175" t="s">
        <v>1302</v>
      </c>
      <c r="B235" s="175" t="s">
        <v>1441</v>
      </c>
      <c r="C235" s="174">
        <v>102994</v>
      </c>
      <c r="D235" s="175" t="s">
        <v>343</v>
      </c>
      <c r="E235" s="175" t="s">
        <v>1316</v>
      </c>
      <c r="F235" s="175">
        <v>24</v>
      </c>
      <c r="G235" s="175" t="s">
        <v>315</v>
      </c>
      <c r="H235" s="175" t="s">
        <v>282</v>
      </c>
      <c r="I235" s="175" t="s">
        <v>1304</v>
      </c>
      <c r="J235" s="175" t="s">
        <v>1305</v>
      </c>
      <c r="K235" s="175" t="s">
        <v>1306</v>
      </c>
      <c r="L235" s="175" t="s">
        <v>1307</v>
      </c>
      <c r="M235" s="175" t="s">
        <v>320</v>
      </c>
      <c r="N235" s="176">
        <v>34582</v>
      </c>
      <c r="O235" s="175">
        <v>47</v>
      </c>
      <c r="P235" s="175" t="s">
        <v>63</v>
      </c>
      <c r="Q235" s="174" t="s">
        <v>1308</v>
      </c>
      <c r="R235" s="175">
        <v>335</v>
      </c>
      <c r="S235" s="175" t="s">
        <v>499</v>
      </c>
      <c r="T235" s="175" t="s">
        <v>537</v>
      </c>
    </row>
    <row r="236" spans="1:20" s="175" customFormat="1" ht="15" x14ac:dyDescent="0.3">
      <c r="A236" s="173" t="s">
        <v>1310</v>
      </c>
      <c r="B236" s="173" t="s">
        <v>1355</v>
      </c>
      <c r="C236" s="178">
        <v>102946</v>
      </c>
      <c r="D236" s="173" t="s">
        <v>409</v>
      </c>
      <c r="E236" s="173" t="s">
        <v>1316</v>
      </c>
      <c r="F236" s="173">
        <v>12</v>
      </c>
      <c r="G236" s="173" t="s">
        <v>281</v>
      </c>
      <c r="H236" s="173" t="s">
        <v>282</v>
      </c>
      <c r="I236" s="173" t="s">
        <v>283</v>
      </c>
      <c r="J236" s="173" t="s">
        <v>284</v>
      </c>
      <c r="K236" s="173" t="s">
        <v>285</v>
      </c>
      <c r="L236" s="173" t="s">
        <v>432</v>
      </c>
      <c r="M236" s="173" t="s">
        <v>287</v>
      </c>
      <c r="N236" s="179">
        <v>38927</v>
      </c>
      <c r="O236" s="173">
        <v>60</v>
      </c>
      <c r="P236" s="173" t="s">
        <v>61</v>
      </c>
      <c r="Q236" s="178" t="s">
        <v>1311</v>
      </c>
      <c r="R236" s="173">
        <v>215</v>
      </c>
      <c r="S236" s="173" t="s">
        <v>289</v>
      </c>
      <c r="T236" s="173" t="s">
        <v>330</v>
      </c>
    </row>
    <row r="237" spans="1:20" s="175" customFormat="1" ht="15" x14ac:dyDescent="0.3">
      <c r="A237" s="175" t="s">
        <v>1313</v>
      </c>
      <c r="B237" s="175" t="s">
        <v>1442</v>
      </c>
      <c r="C237" s="174">
        <v>288570</v>
      </c>
      <c r="D237" s="175" t="s">
        <v>294</v>
      </c>
      <c r="E237" s="175" t="s">
        <v>1318</v>
      </c>
      <c r="F237" s="175">
        <v>4</v>
      </c>
      <c r="G237" s="175" t="s">
        <v>281</v>
      </c>
      <c r="H237" s="175" t="s">
        <v>296</v>
      </c>
      <c r="I237" s="175" t="s">
        <v>283</v>
      </c>
      <c r="J237" s="175" t="s">
        <v>284</v>
      </c>
      <c r="K237" s="175" t="s">
        <v>285</v>
      </c>
      <c r="L237" s="175" t="s">
        <v>930</v>
      </c>
      <c r="M237" s="175" t="s">
        <v>287</v>
      </c>
      <c r="N237" s="176">
        <v>41730</v>
      </c>
      <c r="O237" s="175">
        <v>43</v>
      </c>
      <c r="P237" s="175" t="s">
        <v>61</v>
      </c>
      <c r="Q237" s="174" t="s">
        <v>1315</v>
      </c>
      <c r="R237" s="175">
        <v>225</v>
      </c>
      <c r="S237" s="175" t="s">
        <v>361</v>
      </c>
      <c r="T237" s="175" t="s">
        <v>972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222"/>
  <sheetViews>
    <sheetView zoomScale="90" zoomScaleNormal="90" workbookViewId="0"/>
  </sheetViews>
  <sheetFormatPr baseColWidth="10" defaultRowHeight="15" x14ac:dyDescent="0.25"/>
  <cols>
    <col min="1" max="1" width="21.140625" customWidth="1"/>
    <col min="4" max="4" width="19.140625" customWidth="1"/>
    <col min="5" max="5" width="23" customWidth="1"/>
    <col min="6" max="6" width="11.7109375" style="291" customWidth="1"/>
    <col min="7" max="7" width="15.140625" style="296" customWidth="1"/>
    <col min="8" max="8" width="42.28515625" customWidth="1"/>
  </cols>
  <sheetData>
    <row r="1" spans="1:8" ht="30" customHeight="1" thickBot="1" x14ac:dyDescent="0.3">
      <c r="A1" s="292" t="s">
        <v>1447</v>
      </c>
      <c r="B1" s="292" t="s">
        <v>1448</v>
      </c>
      <c r="C1" s="292" t="s">
        <v>1321</v>
      </c>
      <c r="D1" s="292" t="s">
        <v>1449</v>
      </c>
      <c r="E1" s="292" t="s">
        <v>1458</v>
      </c>
      <c r="F1" s="293" t="s">
        <v>1459</v>
      </c>
      <c r="G1" s="295" t="s">
        <v>1460</v>
      </c>
      <c r="H1" s="292" t="s">
        <v>1500</v>
      </c>
    </row>
    <row r="2" spans="1:8" x14ac:dyDescent="0.25">
      <c r="A2" t="s">
        <v>278</v>
      </c>
      <c r="B2" t="str">
        <f>IFERROR(VLOOKUP(Tableau2[NOM],Tableau5[],COLUMN(Tableau5[Prénom]),FALSE),"")</f>
        <v>Yazid</v>
      </c>
      <c r="C2" t="str">
        <f>IFERROR(VLOOKUP(Tableau2[NOM],Tableau5[],COLUMN(Tableau5[Nom de la société]),FALSE),"")</f>
        <v>Aub.</v>
      </c>
      <c r="D2" t="str">
        <f>IFERROR(VLOOKUP(Tableau2[NOM],Tableau5[],COLUMN(Tableau5[Nom du manager]),FALSE),"")</f>
        <v>ALIX</v>
      </c>
      <c r="E2" t="s">
        <v>1326</v>
      </c>
      <c r="F2" s="291">
        <v>43625</v>
      </c>
      <c r="G2" s="296" t="s">
        <v>258</v>
      </c>
      <c r="H2" t="str">
        <f>Tableau2[[#This Row],[NOM]]&amp;Tableau2[[#This Row],[Intitulé formation]]</f>
        <v>AIT HELLALIncendie</v>
      </c>
    </row>
    <row r="3" spans="1:8" x14ac:dyDescent="0.25">
      <c r="A3" t="s">
        <v>292</v>
      </c>
      <c r="B3" t="str">
        <f>IFERROR(VLOOKUP(Tableau2[NOM],Tableau5[],COLUMN(Tableau5[Prénom]),FALSE),"")</f>
        <v>Paolo</v>
      </c>
      <c r="C3" t="str">
        <f>IFERROR(VLOOKUP(Tableau2[NOM],Tableau5[],COLUMN(Tableau5[Nom de la société]),FALSE),"")</f>
        <v>STG</v>
      </c>
      <c r="D3" t="str">
        <f>IFERROR(VLOOKUP(Tableau2[NOM],Tableau5[],COLUMN(Tableau5[Nom du manager]),FALSE),"")</f>
        <v>XUEREB</v>
      </c>
      <c r="E3" t="s">
        <v>1326</v>
      </c>
      <c r="F3" s="291">
        <v>43506</v>
      </c>
      <c r="G3" s="296" t="s">
        <v>257</v>
      </c>
      <c r="H3" s="62" t="str">
        <f>Tableau2[[#This Row],[NOM]]&amp;Tableau2[[#This Row],[Intitulé formation]]</f>
        <v>ALVESIncendie</v>
      </c>
    </row>
    <row r="4" spans="1:8" x14ac:dyDescent="0.25">
      <c r="A4" t="s">
        <v>292</v>
      </c>
      <c r="B4" t="str">
        <f>IFERROR(VLOOKUP(Tableau2[NOM],Tableau5[],COLUMN(Tableau5[Prénom]),FALSE),"")</f>
        <v>Paolo</v>
      </c>
      <c r="C4" t="str">
        <f>IFERROR(VLOOKUP(Tableau2[NOM],Tableau5[],COLUMN(Tableau5[Nom de la société]),FALSE),"")</f>
        <v>STG</v>
      </c>
      <c r="D4" t="str">
        <f>IFERROR(VLOOKUP(Tableau2[NOM],Tableau5[],COLUMN(Tableau5[Nom du manager]),FALSE),"")</f>
        <v>XUEREB</v>
      </c>
      <c r="E4" t="s">
        <v>1462</v>
      </c>
      <c r="F4" s="291">
        <v>43739</v>
      </c>
      <c r="G4" s="296" t="s">
        <v>260</v>
      </c>
      <c r="H4" s="62" t="str">
        <f>Tableau2[[#This Row],[NOM]]&amp;Tableau2[[#This Row],[Intitulé formation]]</f>
        <v>ALVESPont roulant</v>
      </c>
    </row>
    <row r="5" spans="1:8" x14ac:dyDescent="0.25">
      <c r="A5" t="s">
        <v>292</v>
      </c>
      <c r="B5" t="str">
        <f>IFERROR(VLOOKUP(Tableau2[NOM],Tableau5[],COLUMN(Tableau5[Prénom]),FALSE),"")</f>
        <v>Paolo</v>
      </c>
      <c r="C5" t="str">
        <f>IFERROR(VLOOKUP(Tableau2[NOM],Tableau5[],COLUMN(Tableau5[Nom de la société]),FALSE),"")</f>
        <v>STG</v>
      </c>
      <c r="D5" t="str">
        <f>IFERROR(VLOOKUP(Tableau2[NOM],Tableau5[],COLUMN(Tableau5[Nom du manager]),FALSE),"")</f>
        <v>XUEREB</v>
      </c>
      <c r="E5" t="s">
        <v>1333</v>
      </c>
      <c r="F5" s="291" t="s">
        <v>1451</v>
      </c>
      <c r="H5" s="62" t="str">
        <f>Tableau2[[#This Row],[NOM]]&amp;Tableau2[[#This Row],[Intitulé formation]]</f>
        <v>ALVESRisques chimiques</v>
      </c>
    </row>
    <row r="6" spans="1:8" x14ac:dyDescent="0.25">
      <c r="A6" t="s">
        <v>1329</v>
      </c>
      <c r="B6" t="str">
        <f>IFERROR(VLOOKUP(Tableau2[NOM],Tableau5[],COLUMN(Tableau5[Prénom]),FALSE),"")</f>
        <v>Emmanuel</v>
      </c>
      <c r="C6" t="str">
        <f>IFERROR(VLOOKUP(Tableau2[NOM],Tableau5[],COLUMN(Tableau5[Nom de la société]),FALSE),"")</f>
        <v>Aub.</v>
      </c>
      <c r="D6" t="str">
        <f>IFERROR(VLOOKUP(Tableau2[NOM],Tableau5[],COLUMN(Tableau5[Nom du manager]),FALSE),"")</f>
        <v>SAVY</v>
      </c>
      <c r="E6" t="s">
        <v>1326</v>
      </c>
      <c r="F6" s="291">
        <v>43625</v>
      </c>
      <c r="G6" s="296" t="s">
        <v>258</v>
      </c>
      <c r="H6" s="62" t="str">
        <f>Tableau2[[#This Row],[NOM]]&amp;Tableau2[[#This Row],[Intitulé formation]]</f>
        <v>ARNAUDEIncendie</v>
      </c>
    </row>
    <row r="7" spans="1:8" x14ac:dyDescent="0.25">
      <c r="A7" t="s">
        <v>1330</v>
      </c>
      <c r="B7" t="str">
        <f>IFERROR(VLOOKUP(Tableau2[NOM],Tableau5[],COLUMN(Tableau5[Prénom]),FALSE),"")</f>
        <v>Jean-Luc</v>
      </c>
      <c r="C7" t="str">
        <f>IFERROR(VLOOKUP(Tableau2[NOM],Tableau5[],COLUMN(Tableau5[Nom de la société]),FALSE),"")</f>
        <v>Aub.</v>
      </c>
      <c r="D7" t="str">
        <f>IFERROR(VLOOKUP(Tableau2[NOM],Tableau5[],COLUMN(Tableau5[Nom du manager]),FALSE),"")</f>
        <v>PIFFAUT</v>
      </c>
      <c r="E7" t="s">
        <v>1326</v>
      </c>
      <c r="F7" s="291">
        <v>42084</v>
      </c>
      <c r="G7" s="296" t="s">
        <v>257</v>
      </c>
      <c r="H7" s="62" t="str">
        <f>Tableau2[[#This Row],[NOM]]&amp;Tableau2[[#This Row],[Intitulé formation]]</f>
        <v>ARNAUDJLIncendie</v>
      </c>
    </row>
    <row r="8" spans="1:8" x14ac:dyDescent="0.25">
      <c r="A8" t="s">
        <v>305</v>
      </c>
      <c r="B8" t="str">
        <f>IFERROR(VLOOKUP(Tableau2[NOM],Tableau5[],COLUMN(Tableau5[Prénom]),FALSE),"")</f>
        <v>Jean-Marc</v>
      </c>
      <c r="C8" t="str">
        <f>IFERROR(VLOOKUP(Tableau2[NOM],Tableau5[],COLUMN(Tableau5[Nom de la société]),FALSE),"")</f>
        <v>STG</v>
      </c>
      <c r="D8" t="str">
        <f>IFERROR(VLOOKUP(Tableau2[NOM],Tableau5[],COLUMN(Tableau5[Nom du manager]),FALSE),"")</f>
        <v>XUEREB</v>
      </c>
      <c r="E8" t="s">
        <v>1326</v>
      </c>
      <c r="F8" s="291">
        <v>43506</v>
      </c>
      <c r="G8" s="296" t="s">
        <v>257</v>
      </c>
      <c r="H8" s="62" t="str">
        <f>Tableau2[[#This Row],[NOM]]&amp;Tableau2[[#This Row],[Intitulé formation]]</f>
        <v>ARNAUD JOUFFREYIncendie</v>
      </c>
    </row>
    <row r="9" spans="1:8" x14ac:dyDescent="0.25">
      <c r="A9" t="s">
        <v>305</v>
      </c>
      <c r="B9" t="str">
        <f>IFERROR(VLOOKUP(Tableau2[NOM],Tableau5[],COLUMN(Tableau5[Prénom]),FALSE),"")</f>
        <v>Jean-Marc</v>
      </c>
      <c r="C9" t="str">
        <f>IFERROR(VLOOKUP(Tableau2[NOM],Tableau5[],COLUMN(Tableau5[Nom de la société]),FALSE),"")</f>
        <v>STG</v>
      </c>
      <c r="D9" t="str">
        <f>IFERROR(VLOOKUP(Tableau2[NOM],Tableau5[],COLUMN(Tableau5[Nom du manager]),FALSE),"")</f>
        <v>XUEREB</v>
      </c>
      <c r="E9" t="s">
        <v>1333</v>
      </c>
      <c r="F9" s="291">
        <v>43608</v>
      </c>
      <c r="G9" s="296" t="s">
        <v>258</v>
      </c>
      <c r="H9" s="62" t="str">
        <f>Tableau2[[#This Row],[NOM]]&amp;Tableau2[[#This Row],[Intitulé formation]]</f>
        <v>ARNAUD JOUFFREYRisques chimiques</v>
      </c>
    </row>
    <row r="10" spans="1:8" x14ac:dyDescent="0.25">
      <c r="A10" t="s">
        <v>389</v>
      </c>
      <c r="B10" t="str">
        <f>IFERROR(VLOOKUP(Tableau2[NOM],Tableau5[],COLUMN(Tableau5[Prénom]),FALSE),"")</f>
        <v>Herve</v>
      </c>
      <c r="C10" t="str">
        <f>IFERROR(VLOOKUP(Tableau2[NOM],Tableau5[],COLUMN(Tableau5[Nom de la société]),FALSE),"")</f>
        <v>Aub.</v>
      </c>
      <c r="D10" t="str">
        <f>IFERROR(VLOOKUP(Tableau2[NOM],Tableau5[],COLUMN(Tableau5[Nom du manager]),FALSE),"")</f>
        <v>SAVY</v>
      </c>
      <c r="E10" t="s">
        <v>1323</v>
      </c>
      <c r="F10" s="291">
        <v>43541</v>
      </c>
      <c r="G10" s="296" t="s">
        <v>257</v>
      </c>
      <c r="H10" s="62" t="str">
        <f>Tableau2[[#This Row],[NOM]]&amp;Tableau2[[#This Row],[Intitulé formation]]</f>
        <v>AUBERTGestes et postures</v>
      </c>
    </row>
    <row r="11" spans="1:8" x14ac:dyDescent="0.25">
      <c r="A11" t="s">
        <v>395</v>
      </c>
      <c r="B11" t="str">
        <f>IFERROR(VLOOKUP(Tableau2[NOM],Tableau5[],COLUMN(Tableau5[Prénom]),FALSE),"")</f>
        <v>Emmanuel</v>
      </c>
      <c r="C11" t="str">
        <f>IFERROR(VLOOKUP(Tableau2[NOM],Tableau5[],COLUMN(Tableau5[Nom de la société]),FALSE),"")</f>
        <v>Aub.</v>
      </c>
      <c r="D11" t="str">
        <f>IFERROR(VLOOKUP(Tableau2[NOM],Tableau5[],COLUMN(Tableau5[Nom du manager]),FALSE),"")</f>
        <v>RICCARDI</v>
      </c>
      <c r="E11" t="s">
        <v>1326</v>
      </c>
      <c r="F11" s="291">
        <v>42084</v>
      </c>
      <c r="G11" s="296" t="s">
        <v>257</v>
      </c>
      <c r="H11" s="62" t="str">
        <f>Tableau2[[#This Row],[NOM]]&amp;Tableau2[[#This Row],[Intitulé formation]]</f>
        <v>AVOUACIncendie</v>
      </c>
    </row>
    <row r="12" spans="1:8" x14ac:dyDescent="0.25">
      <c r="A12" t="s">
        <v>403</v>
      </c>
      <c r="B12" t="str">
        <f>IFERROR(VLOOKUP(Tableau2[NOM],Tableau5[],COLUMN(Tableau5[Prénom]),FALSE),"")</f>
        <v>Dominique</v>
      </c>
      <c r="C12" t="str">
        <f>IFERROR(VLOOKUP(Tableau2[NOM],Tableau5[],COLUMN(Tableau5[Nom de la société]),FALSE),"")</f>
        <v>Aub.</v>
      </c>
      <c r="D12" t="str">
        <f>IFERROR(VLOOKUP(Tableau2[NOM],Tableau5[],COLUMN(Tableau5[Nom du manager]),FALSE),"")</f>
        <v>ALIX</v>
      </c>
      <c r="E12" t="s">
        <v>1323</v>
      </c>
      <c r="F12" s="291">
        <v>42102</v>
      </c>
      <c r="G12" s="296" t="s">
        <v>258</v>
      </c>
      <c r="H12" s="62" t="str">
        <f>Tableau2[[#This Row],[NOM]]&amp;Tableau2[[#This Row],[Intitulé formation]]</f>
        <v>AYGLONGestes et postures</v>
      </c>
    </row>
    <row r="13" spans="1:8" x14ac:dyDescent="0.25">
      <c r="A13" t="s">
        <v>917</v>
      </c>
      <c r="B13" t="str">
        <f>IFERROR(VLOOKUP(Tableau2[NOM],Tableau5[],COLUMN(Tableau5[Prénom]),FALSE),"")</f>
        <v>Lionel</v>
      </c>
      <c r="C13" t="str">
        <f>IFERROR(VLOOKUP(Tableau2[NOM],Tableau5[],COLUMN(Tableau5[Nom de la société]),FALSE),"")</f>
        <v>STG</v>
      </c>
      <c r="D13" t="str">
        <f>IFERROR(VLOOKUP(Tableau2[NOM],Tableau5[],COLUMN(Tableau5[Nom du manager]),FALSE),"")</f>
        <v>XUEREB</v>
      </c>
      <c r="E13" t="s">
        <v>1326</v>
      </c>
      <c r="F13" s="291">
        <v>43506</v>
      </c>
      <c r="G13" s="296" t="s">
        <v>257</v>
      </c>
      <c r="H13" s="62" t="str">
        <f>Tableau2[[#This Row],[NOM]]&amp;Tableau2[[#This Row],[Intitulé formation]]</f>
        <v>BARAZZUTTIIncendie</v>
      </c>
    </row>
    <row r="14" spans="1:8" x14ac:dyDescent="0.25">
      <c r="A14" t="s">
        <v>917</v>
      </c>
      <c r="B14" t="str">
        <f>IFERROR(VLOOKUP(Tableau2[NOM],Tableau5[],COLUMN(Tableau5[Prénom]),FALSE),"")</f>
        <v>Lionel</v>
      </c>
      <c r="C14" t="str">
        <f>IFERROR(VLOOKUP(Tableau2[NOM],Tableau5[],COLUMN(Tableau5[Nom de la société]),FALSE),"")</f>
        <v>STG</v>
      </c>
      <c r="D14" t="str">
        <f>IFERROR(VLOOKUP(Tableau2[NOM],Tableau5[],COLUMN(Tableau5[Nom du manager]),FALSE),"")</f>
        <v>XUEREB</v>
      </c>
      <c r="E14" t="s">
        <v>1333</v>
      </c>
      <c r="F14" s="291">
        <v>43608</v>
      </c>
      <c r="G14" s="296" t="s">
        <v>258</v>
      </c>
      <c r="H14" s="62" t="str">
        <f>Tableau2[[#This Row],[NOM]]&amp;Tableau2[[#This Row],[Intitulé formation]]</f>
        <v>BARAZZUTTIRisques chimiques</v>
      </c>
    </row>
    <row r="15" spans="1:8" x14ac:dyDescent="0.25">
      <c r="A15" t="s">
        <v>407</v>
      </c>
      <c r="B15" t="str">
        <f>IFERROR(VLOOKUP(Tableau2[NOM],Tableau5[],COLUMN(Tableau5[Prénom]),FALSE),"")</f>
        <v>Jeremy</v>
      </c>
      <c r="C15" t="str">
        <f>IFERROR(VLOOKUP(Tableau2[NOM],Tableau5[],COLUMN(Tableau5[Nom de la société]),FALSE),"")</f>
        <v>Aub.</v>
      </c>
      <c r="D15" t="str">
        <f>IFERROR(VLOOKUP(Tableau2[NOM],Tableau5[],COLUMN(Tableau5[Nom du manager]),FALSE),"")</f>
        <v>SENEPART</v>
      </c>
      <c r="E15" t="s">
        <v>1326</v>
      </c>
      <c r="F15" s="291">
        <v>43625</v>
      </c>
      <c r="G15" s="296" t="s">
        <v>258</v>
      </c>
      <c r="H15" s="62" t="str">
        <f>Tableau2[[#This Row],[NOM]]&amp;Tableau2[[#This Row],[Intitulé formation]]</f>
        <v>BARBERAIncendie</v>
      </c>
    </row>
    <row r="16" spans="1:8" x14ac:dyDescent="0.25">
      <c r="A16" t="s">
        <v>420</v>
      </c>
      <c r="B16" t="str">
        <f>IFERROR(VLOOKUP(Tableau2[NOM],Tableau5[],COLUMN(Tableau5[Prénom]),FALSE),"")</f>
        <v>Claudine</v>
      </c>
      <c r="C16" t="str">
        <f>IFERROR(VLOOKUP(Tableau2[NOM],Tableau5[],COLUMN(Tableau5[Nom de la société]),FALSE),"")</f>
        <v>Aub.</v>
      </c>
      <c r="D16" t="str">
        <f>IFERROR(VLOOKUP(Tableau2[NOM],Tableau5[],COLUMN(Tableau5[Nom du manager]),FALSE),"")</f>
        <v>FUENTES</v>
      </c>
      <c r="E16" t="s">
        <v>1323</v>
      </c>
      <c r="F16" s="291">
        <v>43541</v>
      </c>
      <c r="G16" s="296" t="s">
        <v>257</v>
      </c>
      <c r="H16" s="62" t="str">
        <f>Tableau2[[#This Row],[NOM]]&amp;Tableau2[[#This Row],[Intitulé formation]]</f>
        <v>BEAUMELGestes et postures</v>
      </c>
    </row>
    <row r="17" spans="1:8" x14ac:dyDescent="0.25">
      <c r="A17" t="s">
        <v>1140</v>
      </c>
      <c r="B17" t="str">
        <f>IFERROR(VLOOKUP(Tableau2[NOM],Tableau5[],COLUMN(Tableau5[Prénom]),FALSE),"")</f>
        <v>Mohamed</v>
      </c>
      <c r="C17" t="str">
        <f>IFERROR(VLOOKUP(Tableau2[NOM],Tableau5[],COLUMN(Tableau5[Nom de la société]),FALSE),"")</f>
        <v>Lattes</v>
      </c>
      <c r="D17" t="str">
        <f>IFERROR(VLOOKUP(Tableau2[NOM],Tableau5[],COLUMN(Tableau5[Nom du manager]),FALSE),"")</f>
        <v>VERNE</v>
      </c>
      <c r="E17" t="s">
        <v>1333</v>
      </c>
      <c r="F17" s="291">
        <v>43553</v>
      </c>
      <c r="G17" s="296" t="s">
        <v>257</v>
      </c>
      <c r="H17" s="62" t="str">
        <f>Tableau2[[#This Row],[NOM]]&amp;Tableau2[[#This Row],[Intitulé formation]]</f>
        <v>BEN AMARRisques chimiques</v>
      </c>
    </row>
    <row r="18" spans="1:8" x14ac:dyDescent="0.25">
      <c r="A18" t="s">
        <v>923</v>
      </c>
      <c r="B18" t="str">
        <f>IFERROR(VLOOKUP(Tableau2[NOM],Tableau5[],COLUMN(Tableau5[Prénom]),FALSE),"")</f>
        <v>Christian</v>
      </c>
      <c r="C18" t="str">
        <f>IFERROR(VLOOKUP(Tableau2[NOM],Tableau5[],COLUMN(Tableau5[Nom de la société]),FALSE),"")</f>
        <v>STG</v>
      </c>
      <c r="D18" t="str">
        <f>IFERROR(VLOOKUP(Tableau2[NOM],Tableau5[],COLUMN(Tableau5[Nom du manager]),FALSE),"")</f>
        <v>XUEREB</v>
      </c>
      <c r="E18" t="s">
        <v>1326</v>
      </c>
      <c r="F18" s="291" t="s">
        <v>518</v>
      </c>
      <c r="H18" s="62" t="str">
        <f>Tableau2[[#This Row],[NOM]]&amp;Tableau2[[#This Row],[Intitulé formation]]</f>
        <v>BENASSIIncendie</v>
      </c>
    </row>
    <row r="19" spans="1:8" x14ac:dyDescent="0.25">
      <c r="A19" t="s">
        <v>430</v>
      </c>
      <c r="B19" t="str">
        <f>IFERROR(VLOOKUP(Tableau2[NOM],Tableau5[],COLUMN(Tableau5[Prénom]),FALSE),"")</f>
        <v>Mohammed</v>
      </c>
      <c r="C19" t="str">
        <f>IFERROR(VLOOKUP(Tableau2[NOM],Tableau5[],COLUMN(Tableau5[Nom de la société]),FALSE),"")</f>
        <v>Aub.</v>
      </c>
      <c r="D19" t="str">
        <f>IFERROR(VLOOKUP(Tableau2[NOM],Tableau5[],COLUMN(Tableau5[Nom du manager]),FALSE),"")</f>
        <v>SENEPART</v>
      </c>
      <c r="E19" t="s">
        <v>1323</v>
      </c>
      <c r="F19" s="291">
        <v>43534</v>
      </c>
      <c r="G19" s="296" t="s">
        <v>257</v>
      </c>
      <c r="H19" s="62" t="str">
        <f>Tableau2[[#This Row],[NOM]]&amp;Tableau2[[#This Row],[Intitulé formation]]</f>
        <v>BENCHEIKHGestes et postures</v>
      </c>
    </row>
    <row r="20" spans="1:8" x14ac:dyDescent="0.25">
      <c r="A20" t="s">
        <v>430</v>
      </c>
      <c r="B20" t="str">
        <f>IFERROR(VLOOKUP(Tableau2[NOM],Tableau5[],COLUMN(Tableau5[Prénom]),FALSE),"")</f>
        <v>Mohammed</v>
      </c>
      <c r="C20" t="str">
        <f>IFERROR(VLOOKUP(Tableau2[NOM],Tableau5[],COLUMN(Tableau5[Nom de la société]),FALSE),"")</f>
        <v>Aub.</v>
      </c>
      <c r="D20" t="str">
        <f>IFERROR(VLOOKUP(Tableau2[NOM],Tableau5[],COLUMN(Tableau5[Nom du manager]),FALSE),"")</f>
        <v>SENEPART</v>
      </c>
      <c r="E20" t="s">
        <v>1326</v>
      </c>
      <c r="F20" s="291">
        <v>43625</v>
      </c>
      <c r="G20" s="296" t="s">
        <v>258</v>
      </c>
      <c r="H20" s="62" t="str">
        <f>Tableau2[[#This Row],[NOM]]&amp;Tableau2[[#This Row],[Intitulé formation]]</f>
        <v>BENCHEIKHIncendie</v>
      </c>
    </row>
    <row r="21" spans="1:8" x14ac:dyDescent="0.25">
      <c r="A21" t="s">
        <v>430</v>
      </c>
      <c r="B21" t="str">
        <f>IFERROR(VLOOKUP(Tableau2[NOM],Tableau5[],COLUMN(Tableau5[Prénom]),FALSE),"")</f>
        <v>Mohammed</v>
      </c>
      <c r="C21" t="str">
        <f>IFERROR(VLOOKUP(Tableau2[NOM],Tableau5[],COLUMN(Tableau5[Nom de la société]),FALSE),"")</f>
        <v>Aub.</v>
      </c>
      <c r="D21" t="str">
        <f>IFERROR(VLOOKUP(Tableau2[NOM],Tableau5[],COLUMN(Tableau5[Nom du manager]),FALSE),"")</f>
        <v>SENEPART</v>
      </c>
      <c r="E21" t="s">
        <v>1333</v>
      </c>
      <c r="F21" s="291">
        <v>43742</v>
      </c>
      <c r="G21" s="296" t="s">
        <v>260</v>
      </c>
      <c r="H21" s="62" t="str">
        <f>Tableau2[[#This Row],[NOM]]&amp;Tableau2[[#This Row],[Intitulé formation]]</f>
        <v>BENCHEIKHRisques chimiques</v>
      </c>
    </row>
    <row r="22" spans="1:8" x14ac:dyDescent="0.25">
      <c r="A22" t="s">
        <v>1464</v>
      </c>
      <c r="B22" t="str">
        <f>IFERROR(VLOOKUP(Tableau2[NOM],Tableau5[],COLUMN(Tableau5[Prénom]),FALSE),"")</f>
        <v/>
      </c>
      <c r="C22" t="str">
        <f>IFERROR(VLOOKUP(Tableau2[NOM],Tableau5[],COLUMN(Tableau5[Nom de la société]),FALSE),"")</f>
        <v/>
      </c>
      <c r="D22" t="str">
        <f>IFERROR(VLOOKUP(Tableau2[NOM],Tableau5[],COLUMN(Tableau5[Nom du manager]),FALSE),"")</f>
        <v/>
      </c>
      <c r="E22" t="s">
        <v>1326</v>
      </c>
      <c r="F22" s="291">
        <v>43506</v>
      </c>
      <c r="G22" s="296" t="s">
        <v>257</v>
      </c>
      <c r="H22" s="62" t="str">
        <f>Tableau2[[#This Row],[NOM]]&amp;Tableau2[[#This Row],[Intitulé formation]]</f>
        <v>BEN-MALEKIncendie</v>
      </c>
    </row>
    <row r="23" spans="1:8" x14ac:dyDescent="0.25">
      <c r="A23" t="s">
        <v>1466</v>
      </c>
      <c r="B23" t="str">
        <f>IFERROR(VLOOKUP(Tableau2[NOM],Tableau5[],COLUMN(Tableau5[Prénom]),FALSE),"")</f>
        <v/>
      </c>
      <c r="C23" t="str">
        <f>IFERROR(VLOOKUP(Tableau2[NOM],Tableau5[],COLUMN(Tableau5[Nom de la société]),FALSE),"")</f>
        <v/>
      </c>
      <c r="D23" t="str">
        <f>IFERROR(VLOOKUP(Tableau2[NOM],Tableau5[],COLUMN(Tableau5[Nom du manager]),FALSE),"")</f>
        <v/>
      </c>
      <c r="E23" t="s">
        <v>1326</v>
      </c>
      <c r="F23" s="291">
        <v>43506</v>
      </c>
      <c r="G23" s="296" t="s">
        <v>257</v>
      </c>
      <c r="H23" s="62" t="str">
        <f>Tableau2[[#This Row],[NOM]]&amp;Tableau2[[#This Row],[Intitulé formation]]</f>
        <v>BEYLEIncendie</v>
      </c>
    </row>
    <row r="24" spans="1:8" x14ac:dyDescent="0.25">
      <c r="A24" t="s">
        <v>435</v>
      </c>
      <c r="B24" t="str">
        <f>IFERROR(VLOOKUP(Tableau2[NOM],Tableau5[],COLUMN(Tableau5[Prénom]),FALSE),"")</f>
        <v>Henri</v>
      </c>
      <c r="C24" t="str">
        <f>IFERROR(VLOOKUP(Tableau2[NOM],Tableau5[],COLUMN(Tableau5[Nom de la société]),FALSE),"")</f>
        <v>Aub.</v>
      </c>
      <c r="D24" t="str">
        <f>IFERROR(VLOOKUP(Tableau2[NOM],Tableau5[],COLUMN(Tableau5[Nom du manager]),FALSE),"")</f>
        <v>ALIX</v>
      </c>
      <c r="E24" t="s">
        <v>1323</v>
      </c>
      <c r="F24" s="291">
        <v>43534</v>
      </c>
      <c r="G24" s="296" t="s">
        <v>257</v>
      </c>
      <c r="H24" s="62" t="str">
        <f>Tableau2[[#This Row],[NOM]]&amp;Tableau2[[#This Row],[Intitulé formation]]</f>
        <v>BLACHONGestes et postures</v>
      </c>
    </row>
    <row r="25" spans="1:8" x14ac:dyDescent="0.25">
      <c r="A25" t="s">
        <v>435</v>
      </c>
      <c r="B25" t="str">
        <f>IFERROR(VLOOKUP(Tableau2[NOM],Tableau5[],COLUMN(Tableau5[Prénom]),FALSE),"")</f>
        <v>Henri</v>
      </c>
      <c r="C25" t="str">
        <f>IFERROR(VLOOKUP(Tableau2[NOM],Tableau5[],COLUMN(Tableau5[Nom de la société]),FALSE),"")</f>
        <v>Aub.</v>
      </c>
      <c r="D25" t="str">
        <f>IFERROR(VLOOKUP(Tableau2[NOM],Tableau5[],COLUMN(Tableau5[Nom du manager]),FALSE),"")</f>
        <v>ALIX</v>
      </c>
      <c r="E25" t="s">
        <v>1326</v>
      </c>
      <c r="F25" s="291">
        <v>43625</v>
      </c>
      <c r="G25" s="296" t="s">
        <v>258</v>
      </c>
      <c r="H25" s="62" t="str">
        <f>Tableau2[[#This Row],[NOM]]&amp;Tableau2[[#This Row],[Intitulé formation]]</f>
        <v>BLACHONIncendie</v>
      </c>
    </row>
    <row r="26" spans="1:8" x14ac:dyDescent="0.25">
      <c r="A26" t="s">
        <v>440</v>
      </c>
      <c r="B26" t="str">
        <f>IFERROR(VLOOKUP(Tableau2[NOM],Tableau5[],COLUMN(Tableau5[Prénom]),FALSE),"")</f>
        <v>Michel</v>
      </c>
      <c r="C26" t="str">
        <f>IFERROR(VLOOKUP(Tableau2[NOM],Tableau5[],COLUMN(Tableau5[Nom de la société]),FALSE),"")</f>
        <v>Aub.</v>
      </c>
      <c r="D26" t="str">
        <f>IFERROR(VLOOKUP(Tableau2[NOM],Tableau5[],COLUMN(Tableau5[Nom du manager]),FALSE),"")</f>
        <v>SAVY</v>
      </c>
      <c r="E26" t="s">
        <v>1323</v>
      </c>
      <c r="F26" s="291">
        <v>43543</v>
      </c>
      <c r="G26" s="296" t="s">
        <v>257</v>
      </c>
      <c r="H26" s="62" t="str">
        <f>Tableau2[[#This Row],[NOM]]&amp;Tableau2[[#This Row],[Intitulé formation]]</f>
        <v>BLAYEGestes et postures</v>
      </c>
    </row>
    <row r="27" spans="1:8" x14ac:dyDescent="0.25">
      <c r="A27" t="s">
        <v>440</v>
      </c>
      <c r="B27" t="str">
        <f>IFERROR(VLOOKUP(Tableau2[NOM],Tableau5[],COLUMN(Tableau5[Prénom]),FALSE),"")</f>
        <v>Michel</v>
      </c>
      <c r="C27" t="str">
        <f>IFERROR(VLOOKUP(Tableau2[NOM],Tableau5[],COLUMN(Tableau5[Nom de la société]),FALSE),"")</f>
        <v>Aub.</v>
      </c>
      <c r="D27" t="str">
        <f>IFERROR(VLOOKUP(Tableau2[NOM],Tableau5[],COLUMN(Tableau5[Nom du manager]),FALSE),"")</f>
        <v>SAVY</v>
      </c>
      <c r="E27" t="s">
        <v>1326</v>
      </c>
      <c r="F27" s="291">
        <v>43625</v>
      </c>
      <c r="G27" s="296" t="s">
        <v>258</v>
      </c>
      <c r="H27" s="62" t="str">
        <f>Tableau2[[#This Row],[NOM]]&amp;Tableau2[[#This Row],[Intitulé formation]]</f>
        <v>BLAYEIncendie</v>
      </c>
    </row>
    <row r="28" spans="1:8" x14ac:dyDescent="0.25">
      <c r="A28" t="s">
        <v>928</v>
      </c>
      <c r="B28" t="str">
        <f>IFERROR(VLOOKUP(Tableau2[NOM],Tableau5[],COLUMN(Tableau5[Prénom]),FALSE),"")</f>
        <v>Bertrand</v>
      </c>
      <c r="C28" t="str">
        <f>IFERROR(VLOOKUP(Tableau2[NOM],Tableau5[],COLUMN(Tableau5[Nom de la société]),FALSE),"")</f>
        <v>STG</v>
      </c>
      <c r="D28" t="str">
        <f>IFERROR(VLOOKUP(Tableau2[NOM],Tableau5[],COLUMN(Tableau5[Nom du manager]),FALSE),"")</f>
        <v>XUEREB</v>
      </c>
      <c r="E28" t="s">
        <v>1326</v>
      </c>
      <c r="F28" s="291" t="s">
        <v>518</v>
      </c>
      <c r="H28" s="62" t="str">
        <f>Tableau2[[#This Row],[NOM]]&amp;Tableau2[[#This Row],[Intitulé formation]]</f>
        <v>BOISSON MENUELIncendie</v>
      </c>
    </row>
    <row r="29" spans="1:8" x14ac:dyDescent="0.25">
      <c r="A29" t="s">
        <v>1057</v>
      </c>
      <c r="B29" t="str">
        <f>IFERROR(VLOOKUP(Tableau2[NOM],Tableau5[],COLUMN(Tableau5[Prénom]),FALSE),"")</f>
        <v>Amandine</v>
      </c>
      <c r="C29" t="str">
        <f>IFERROR(VLOOKUP(Tableau2[NOM],Tableau5[],COLUMN(Tableau5[Nom de la société]),FALSE),"")</f>
        <v>Lattes</v>
      </c>
      <c r="D29" t="str">
        <f>IFERROR(VLOOKUP(Tableau2[NOM],Tableau5[],COLUMN(Tableau5[Nom du manager]),FALSE),"")</f>
        <v>VERNE</v>
      </c>
      <c r="E29" t="s">
        <v>1323</v>
      </c>
      <c r="F29" s="291" t="s">
        <v>1492</v>
      </c>
      <c r="G29" s="296" t="s">
        <v>259</v>
      </c>
      <c r="H29" s="62" t="str">
        <f>Tableau2[[#This Row],[NOM]]&amp;Tableau2[[#This Row],[Intitulé formation]]</f>
        <v>BONAFOUSGestes et postures</v>
      </c>
    </row>
    <row r="30" spans="1:8" x14ac:dyDescent="0.25">
      <c r="A30" t="s">
        <v>1157</v>
      </c>
      <c r="B30" t="str">
        <f>IFERROR(VLOOKUP(Tableau2[NOM],Tableau5[],COLUMN(Tableau5[Prénom]),FALSE),"")</f>
        <v>Anne</v>
      </c>
      <c r="C30" t="str">
        <f>IFERROR(VLOOKUP(Tableau2[NOM],Tableau5[],COLUMN(Tableau5[Nom de la société]),FALSE),"")</f>
        <v>Lattes</v>
      </c>
      <c r="D30" t="str">
        <f>IFERROR(VLOOKUP(Tableau2[NOM],Tableau5[],COLUMN(Tableau5[Nom du manager]),FALSE),"")</f>
        <v>VERNE</v>
      </c>
      <c r="E30" t="s">
        <v>1323</v>
      </c>
      <c r="F30" s="291" t="s">
        <v>1492</v>
      </c>
      <c r="G30" s="296" t="s">
        <v>259</v>
      </c>
      <c r="H30" s="62" t="str">
        <f>Tableau2[[#This Row],[NOM]]&amp;Tableau2[[#This Row],[Intitulé formation]]</f>
        <v>BONNELGestes et postures</v>
      </c>
    </row>
    <row r="31" spans="1:8" x14ac:dyDescent="0.25">
      <c r="A31" t="s">
        <v>1157</v>
      </c>
      <c r="B31" t="str">
        <f>IFERROR(VLOOKUP(Tableau2[NOM],Tableau5[],COLUMN(Tableau5[Prénom]),FALSE),"")</f>
        <v>Anne</v>
      </c>
      <c r="C31" t="str">
        <f>IFERROR(VLOOKUP(Tableau2[NOM],Tableau5[],COLUMN(Tableau5[Nom de la société]),FALSE),"")</f>
        <v>Lattes</v>
      </c>
      <c r="D31" t="str">
        <f>IFERROR(VLOOKUP(Tableau2[NOM],Tableau5[],COLUMN(Tableau5[Nom du manager]),FALSE),"")</f>
        <v>VERNE</v>
      </c>
      <c r="E31" t="s">
        <v>1333</v>
      </c>
      <c r="F31" s="291">
        <v>43251</v>
      </c>
      <c r="G31" s="296" t="s">
        <v>258</v>
      </c>
      <c r="H31" s="62" t="str">
        <f>Tableau2[[#This Row],[NOM]]&amp;Tableau2[[#This Row],[Intitulé formation]]</f>
        <v>BONNELRisques chimiques</v>
      </c>
    </row>
    <row r="32" spans="1:8" x14ac:dyDescent="0.25">
      <c r="A32" t="s">
        <v>460</v>
      </c>
      <c r="B32" t="str">
        <f>IFERROR(VLOOKUP(Tableau2[NOM],Tableau5[],COLUMN(Tableau5[Prénom]),FALSE),"")</f>
        <v>Dimitri</v>
      </c>
      <c r="C32" t="str">
        <f>IFERROR(VLOOKUP(Tableau2[NOM],Tableau5[],COLUMN(Tableau5[Nom de la société]),FALSE),"")</f>
        <v>Aub.</v>
      </c>
      <c r="D32" t="str">
        <f>IFERROR(VLOOKUP(Tableau2[NOM],Tableau5[],COLUMN(Tableau5[Nom du manager]),FALSE),"")</f>
        <v>ALIX</v>
      </c>
      <c r="E32" t="s">
        <v>1326</v>
      </c>
      <c r="F32" s="291">
        <v>43625</v>
      </c>
      <c r="G32" s="296" t="s">
        <v>258</v>
      </c>
      <c r="H32" s="62" t="str">
        <f>Tableau2[[#This Row],[NOM]]&amp;Tableau2[[#This Row],[Intitulé formation]]</f>
        <v>BOUCHIERIncendie</v>
      </c>
    </row>
    <row r="33" spans="1:8" x14ac:dyDescent="0.25">
      <c r="A33" t="s">
        <v>464</v>
      </c>
      <c r="B33" t="str">
        <f>IFERROR(VLOOKUP(Tableau2[NOM],Tableau5[],COLUMN(Tableau5[Prénom]),FALSE),"")</f>
        <v>Eddy</v>
      </c>
      <c r="C33" t="str">
        <f>IFERROR(VLOOKUP(Tableau2[NOM],Tableau5[],COLUMN(Tableau5[Nom de la société]),FALSE),"")</f>
        <v>Aub.</v>
      </c>
      <c r="D33" t="str">
        <f>IFERROR(VLOOKUP(Tableau2[NOM],Tableau5[],COLUMN(Tableau5[Nom du manager]),FALSE),"")</f>
        <v>PIFFAUT</v>
      </c>
      <c r="E33" t="s">
        <v>1333</v>
      </c>
      <c r="F33" s="291">
        <v>43742</v>
      </c>
      <c r="G33" s="296" t="s">
        <v>260</v>
      </c>
      <c r="H33" s="62" t="str">
        <f>Tableau2[[#This Row],[NOM]]&amp;Tableau2[[#This Row],[Intitulé formation]]</f>
        <v>BOUDIERRisques chimiques</v>
      </c>
    </row>
    <row r="34" spans="1:8" x14ac:dyDescent="0.25">
      <c r="A34" t="s">
        <v>468</v>
      </c>
      <c r="B34" t="str">
        <f>IFERROR(VLOOKUP(Tableau2[NOM],Tableau5[],COLUMN(Tableau5[Prénom]),FALSE),"")</f>
        <v>Laurent</v>
      </c>
      <c r="C34" t="str">
        <f>IFERROR(VLOOKUP(Tableau2[NOM],Tableau5[],COLUMN(Tableau5[Nom de la société]),FALSE),"")</f>
        <v>Aub.</v>
      </c>
      <c r="D34" t="str">
        <f>IFERROR(VLOOKUP(Tableau2[NOM],Tableau5[],COLUMN(Tableau5[Nom du manager]),FALSE),"")</f>
        <v>SENEPART</v>
      </c>
      <c r="E34" t="s">
        <v>1326</v>
      </c>
      <c r="F34" s="291">
        <v>43625</v>
      </c>
      <c r="G34" s="296" t="s">
        <v>258</v>
      </c>
      <c r="H34" s="62" t="str">
        <f>Tableau2[[#This Row],[NOM]]&amp;Tableau2[[#This Row],[Intitulé formation]]</f>
        <v>BOULOGNEIncendie</v>
      </c>
    </row>
    <row r="35" spans="1:8" x14ac:dyDescent="0.25">
      <c r="A35" t="s">
        <v>933</v>
      </c>
      <c r="B35" t="str">
        <f>IFERROR(VLOOKUP(Tableau2[NOM],Tableau5[],COLUMN(Tableau5[Prénom]),FALSE),"")</f>
        <v>David</v>
      </c>
      <c r="C35" t="str">
        <f>IFERROR(VLOOKUP(Tableau2[NOM],Tableau5[],COLUMN(Tableau5[Nom de la société]),FALSE),"")</f>
        <v>STG</v>
      </c>
      <c r="D35" t="str">
        <f>IFERROR(VLOOKUP(Tableau2[NOM],Tableau5[],COLUMN(Tableau5[Nom du manager]),FALSE),"")</f>
        <v>XUEREB</v>
      </c>
      <c r="E35" t="s">
        <v>1326</v>
      </c>
      <c r="F35" s="291">
        <v>43506</v>
      </c>
      <c r="G35" s="296" t="s">
        <v>257</v>
      </c>
      <c r="H35" s="62" t="str">
        <f>Tableau2[[#This Row],[NOM]]&amp;Tableau2[[#This Row],[Intitulé formation]]</f>
        <v>BOUQUETIncendie</v>
      </c>
    </row>
    <row r="36" spans="1:8" x14ac:dyDescent="0.25">
      <c r="A36" t="s">
        <v>471</v>
      </c>
      <c r="B36" t="str">
        <f>IFERROR(VLOOKUP(Tableau2[NOM],Tableau5[],COLUMN(Tableau5[Prénom]),FALSE),"")</f>
        <v>Didier</v>
      </c>
      <c r="C36" t="str">
        <f>IFERROR(VLOOKUP(Tableau2[NOM],Tableau5[],COLUMN(Tableau5[Nom de la société]),FALSE),"")</f>
        <v>Aub.</v>
      </c>
      <c r="D36" t="str">
        <f>IFERROR(VLOOKUP(Tableau2[NOM],Tableau5[],COLUMN(Tableau5[Nom du manager]),FALSE),"")</f>
        <v>SENEPART</v>
      </c>
      <c r="E36" t="s">
        <v>1323</v>
      </c>
      <c r="F36" s="291">
        <v>43534</v>
      </c>
      <c r="G36" s="296" t="s">
        <v>257</v>
      </c>
      <c r="H36" s="62" t="str">
        <f>Tableau2[[#This Row],[NOM]]&amp;Tableau2[[#This Row],[Intitulé formation]]</f>
        <v>BRANJONNEAUGestes et postures</v>
      </c>
    </row>
    <row r="37" spans="1:8" x14ac:dyDescent="0.25">
      <c r="A37" t="s">
        <v>937</v>
      </c>
      <c r="B37" t="str">
        <f>IFERROR(VLOOKUP(Tableau2[NOM],Tableau5[],COLUMN(Tableau5[Prénom]),FALSE),"")</f>
        <v>Simon</v>
      </c>
      <c r="C37" t="str">
        <f>IFERROR(VLOOKUP(Tableau2[NOM],Tableau5[],COLUMN(Tableau5[Nom de la société]),FALSE),"")</f>
        <v>STG</v>
      </c>
      <c r="D37" t="str">
        <f>IFERROR(VLOOKUP(Tableau2[NOM],Tableau5[],COLUMN(Tableau5[Nom du manager]),FALSE),"")</f>
        <v>XUEREB</v>
      </c>
      <c r="E37" t="s">
        <v>1323</v>
      </c>
      <c r="F37" s="291" t="s">
        <v>1492</v>
      </c>
      <c r="G37" s="296" t="s">
        <v>258</v>
      </c>
      <c r="H37" s="62" t="str">
        <f>Tableau2[[#This Row],[NOM]]&amp;Tableau2[[#This Row],[Intitulé formation]]</f>
        <v>BRISARDGestes et postures</v>
      </c>
    </row>
    <row r="38" spans="1:8" x14ac:dyDescent="0.25">
      <c r="A38" t="s">
        <v>937</v>
      </c>
      <c r="B38" t="str">
        <f>IFERROR(VLOOKUP(Tableau2[NOM],Tableau5[],COLUMN(Tableau5[Prénom]),FALSE),"")</f>
        <v>Simon</v>
      </c>
      <c r="C38" t="str">
        <f>IFERROR(VLOOKUP(Tableau2[NOM],Tableau5[],COLUMN(Tableau5[Nom de la société]),FALSE),"")</f>
        <v>STG</v>
      </c>
      <c r="D38" t="str">
        <f>IFERROR(VLOOKUP(Tableau2[NOM],Tableau5[],COLUMN(Tableau5[Nom du manager]),FALSE),"")</f>
        <v>XUEREB</v>
      </c>
      <c r="E38" t="s">
        <v>1326</v>
      </c>
      <c r="F38" s="291" t="s">
        <v>518</v>
      </c>
      <c r="H38" s="62" t="str">
        <f>Tableau2[[#This Row],[NOM]]&amp;Tableau2[[#This Row],[Intitulé formation]]</f>
        <v>BRISARDIncendie</v>
      </c>
    </row>
    <row r="39" spans="1:8" x14ac:dyDescent="0.25">
      <c r="A39" t="s">
        <v>942</v>
      </c>
      <c r="B39" t="str">
        <f>IFERROR(VLOOKUP(Tableau2[NOM],Tableau5[],COLUMN(Tableau5[Prénom]),FALSE),"")</f>
        <v>Christian</v>
      </c>
      <c r="C39" t="str">
        <f>IFERROR(VLOOKUP(Tableau2[NOM],Tableau5[],COLUMN(Tableau5[Nom de la société]),FALSE),"")</f>
        <v>STG</v>
      </c>
      <c r="D39" t="str">
        <f>IFERROR(VLOOKUP(Tableau2[NOM],Tableau5[],COLUMN(Tableau5[Nom du manager]),FALSE),"")</f>
        <v>FOUASSIER</v>
      </c>
      <c r="E39" t="s">
        <v>1326</v>
      </c>
      <c r="F39" s="291">
        <v>43506</v>
      </c>
      <c r="G39" s="296" t="s">
        <v>257</v>
      </c>
      <c r="H39" s="62" t="str">
        <f>Tableau2[[#This Row],[NOM]]&amp;Tableau2[[#This Row],[Intitulé formation]]</f>
        <v>BRUNIncendie</v>
      </c>
    </row>
    <row r="40" spans="1:8" x14ac:dyDescent="0.25">
      <c r="A40" t="s">
        <v>942</v>
      </c>
      <c r="B40" t="str">
        <f>IFERROR(VLOOKUP(Tableau2[NOM],Tableau5[],COLUMN(Tableau5[Prénom]),FALSE),"")</f>
        <v>Christian</v>
      </c>
      <c r="C40" t="str">
        <f>IFERROR(VLOOKUP(Tableau2[NOM],Tableau5[],COLUMN(Tableau5[Nom de la société]),FALSE),"")</f>
        <v>STG</v>
      </c>
      <c r="D40" t="str">
        <f>IFERROR(VLOOKUP(Tableau2[NOM],Tableau5[],COLUMN(Tableau5[Nom du manager]),FALSE),"")</f>
        <v>FOUASSIER</v>
      </c>
      <c r="E40" t="s">
        <v>1333</v>
      </c>
      <c r="F40" s="291">
        <v>43608</v>
      </c>
      <c r="G40" s="296" t="s">
        <v>258</v>
      </c>
      <c r="H40" s="62" t="str">
        <f>Tableau2[[#This Row],[NOM]]&amp;Tableau2[[#This Row],[Intitulé formation]]</f>
        <v>BRUNRisques chimiques</v>
      </c>
    </row>
    <row r="41" spans="1:8" x14ac:dyDescent="0.25">
      <c r="A41" t="s">
        <v>948</v>
      </c>
      <c r="B41" t="str">
        <f>IFERROR(VLOOKUP(Tableau2[NOM],Tableau5[],COLUMN(Tableau5[Prénom]),FALSE),"")</f>
        <v>Florian</v>
      </c>
      <c r="C41" t="str">
        <f>IFERROR(VLOOKUP(Tableau2[NOM],Tableau5[],COLUMN(Tableau5[Nom de la société]),FALSE),"")</f>
        <v>STG</v>
      </c>
      <c r="D41" t="str">
        <f>IFERROR(VLOOKUP(Tableau2[NOM],Tableau5[],COLUMN(Tableau5[Nom du manager]),FALSE),"")</f>
        <v>FOUASSIER</v>
      </c>
      <c r="E41" t="s">
        <v>1326</v>
      </c>
      <c r="F41" s="291">
        <v>43506</v>
      </c>
      <c r="G41" s="296" t="s">
        <v>257</v>
      </c>
      <c r="H41" s="62" t="str">
        <f>Tableau2[[#This Row],[NOM]]&amp;Tableau2[[#This Row],[Intitulé formation]]</f>
        <v>BUISSONIncendie</v>
      </c>
    </row>
    <row r="42" spans="1:8" x14ac:dyDescent="0.25">
      <c r="A42" t="s">
        <v>953</v>
      </c>
      <c r="B42" t="str">
        <f>IFERROR(VLOOKUP(Tableau2[NOM],Tableau5[],COLUMN(Tableau5[Prénom]),FALSE),"")</f>
        <v>Stephane</v>
      </c>
      <c r="C42" t="str">
        <f>IFERROR(VLOOKUP(Tableau2[NOM],Tableau5[],COLUMN(Tableau5[Nom de la société]),FALSE),"")</f>
        <v>STG</v>
      </c>
      <c r="D42" t="str">
        <f>IFERROR(VLOOKUP(Tableau2[NOM],Tableau5[],COLUMN(Tableau5[Nom du manager]),FALSE),"")</f>
        <v>XUEREB</v>
      </c>
      <c r="E42" t="s">
        <v>1326</v>
      </c>
      <c r="F42" s="291">
        <v>43506</v>
      </c>
      <c r="G42" s="296" t="s">
        <v>257</v>
      </c>
      <c r="H42" s="62" t="str">
        <f>Tableau2[[#This Row],[NOM]]&amp;Tableau2[[#This Row],[Intitulé formation]]</f>
        <v>BUNELIncendie</v>
      </c>
    </row>
    <row r="43" spans="1:8" x14ac:dyDescent="0.25">
      <c r="A43" t="s">
        <v>1146</v>
      </c>
      <c r="B43" t="str">
        <f>IFERROR(VLOOKUP(Tableau2[NOM],Tableau5[],COLUMN(Tableau5[Prénom]),FALSE),"")</f>
        <v>Sylvie</v>
      </c>
      <c r="C43" t="str">
        <f>IFERROR(VLOOKUP(Tableau2[NOM],Tableau5[],COLUMN(Tableau5[Nom de la société]),FALSE),"")</f>
        <v>Lattes</v>
      </c>
      <c r="D43" t="str">
        <f>IFERROR(VLOOKUP(Tableau2[NOM],Tableau5[],COLUMN(Tableau5[Nom du manager]),FALSE),"")</f>
        <v>VERNE</v>
      </c>
      <c r="E43" t="s">
        <v>1323</v>
      </c>
      <c r="F43" s="291">
        <v>43816</v>
      </c>
      <c r="G43" s="296" t="s">
        <v>260</v>
      </c>
      <c r="H43" s="62" t="str">
        <f>Tableau2[[#This Row],[NOM]]&amp;Tableau2[[#This Row],[Intitulé formation]]</f>
        <v>CABANEGestes et postures</v>
      </c>
    </row>
    <row r="44" spans="1:8" x14ac:dyDescent="0.25">
      <c r="A44" t="s">
        <v>1325</v>
      </c>
      <c r="B44" t="str">
        <f>IFERROR(VLOOKUP(Tableau2[NOM],Tableau5[],COLUMN(Tableau5[Prénom]),FALSE),"")</f>
        <v>Alexandre</v>
      </c>
      <c r="C44" t="str">
        <f>IFERROR(VLOOKUP(Tableau2[NOM],Tableau5[],COLUMN(Tableau5[Nom de la société]),FALSE),"")</f>
        <v>STG</v>
      </c>
      <c r="D44" t="str">
        <f>IFERROR(VLOOKUP(Tableau2[NOM],Tableau5[],COLUMN(Tableau5[Nom du manager]),FALSE),"")</f>
        <v>FOUASSIER</v>
      </c>
      <c r="E44" t="s">
        <v>1326</v>
      </c>
      <c r="F44" s="291" t="s">
        <v>518</v>
      </c>
      <c r="H44" s="62" t="str">
        <f>Tableau2[[#This Row],[NOM]]&amp;Tableau2[[#This Row],[Intitulé formation]]</f>
        <v>CAIANIIncendie</v>
      </c>
    </row>
    <row r="45" spans="1:8" x14ac:dyDescent="0.25">
      <c r="A45" t="s">
        <v>477</v>
      </c>
      <c r="B45" t="str">
        <f>IFERROR(VLOOKUP(Tableau2[NOM],Tableau5[],COLUMN(Tableau5[Prénom]),FALSE),"")</f>
        <v>Frederic</v>
      </c>
      <c r="C45" t="str">
        <f>IFERROR(VLOOKUP(Tableau2[NOM],Tableau5[],COLUMN(Tableau5[Nom de la société]),FALSE),"")</f>
        <v>Aub.</v>
      </c>
      <c r="D45" t="str">
        <f>IFERROR(VLOOKUP(Tableau2[NOM],Tableau5[],COLUMN(Tableau5[Nom du manager]),FALSE),"")</f>
        <v>SAVY</v>
      </c>
      <c r="E45" t="s">
        <v>1326</v>
      </c>
      <c r="F45" s="291">
        <v>43625</v>
      </c>
      <c r="G45" s="296" t="s">
        <v>258</v>
      </c>
      <c r="H45" s="62" t="str">
        <f>Tableau2[[#This Row],[NOM]]&amp;Tableau2[[#This Row],[Intitulé formation]]</f>
        <v>CEYSSONIncendie</v>
      </c>
    </row>
    <row r="46" spans="1:8" x14ac:dyDescent="0.25">
      <c r="A46" t="s">
        <v>481</v>
      </c>
      <c r="B46" t="str">
        <f>IFERROR(VLOOKUP(Tableau2[NOM],Tableau5[],COLUMN(Tableau5[Prénom]),FALSE),"")</f>
        <v>Stephane</v>
      </c>
      <c r="C46" t="str">
        <f>IFERROR(VLOOKUP(Tableau2[NOM],Tableau5[],COLUMN(Tableau5[Nom de la société]),FALSE),"")</f>
        <v>Aub.</v>
      </c>
      <c r="D46" t="str">
        <f>IFERROR(VLOOKUP(Tableau2[NOM],Tableau5[],COLUMN(Tableau5[Nom du manager]),FALSE),"")</f>
        <v>SENEPART</v>
      </c>
      <c r="E46" t="s">
        <v>1326</v>
      </c>
      <c r="F46" s="291">
        <v>43625</v>
      </c>
      <c r="G46" s="296" t="s">
        <v>258</v>
      </c>
      <c r="H46" s="62" t="str">
        <f>Tableau2[[#This Row],[NOM]]&amp;Tableau2[[#This Row],[Intitulé formation]]</f>
        <v>CHABERTIncendie</v>
      </c>
    </row>
    <row r="47" spans="1:8" x14ac:dyDescent="0.25">
      <c r="A47" t="s">
        <v>489</v>
      </c>
      <c r="B47" t="str">
        <f>IFERROR(VLOOKUP(Tableau2[NOM],Tableau5[],COLUMN(Tableau5[Prénom]),FALSE),"")</f>
        <v>Patrick</v>
      </c>
      <c r="C47" t="str">
        <f>IFERROR(VLOOKUP(Tableau2[NOM],Tableau5[],COLUMN(Tableau5[Nom de la société]),FALSE),"")</f>
        <v>Aub.</v>
      </c>
      <c r="D47" t="str">
        <f>IFERROR(VLOOKUP(Tableau2[NOM],Tableau5[],COLUMN(Tableau5[Nom du manager]),FALSE),"")</f>
        <v>ALIX</v>
      </c>
      <c r="E47" t="s">
        <v>1323</v>
      </c>
      <c r="F47" s="291">
        <v>43352</v>
      </c>
      <c r="G47" s="296" t="s">
        <v>259</v>
      </c>
      <c r="H47" s="62" t="str">
        <f>Tableau2[[#This Row],[NOM]]&amp;Tableau2[[#This Row],[Intitulé formation]]</f>
        <v>CHAMBONGestes et postures</v>
      </c>
    </row>
    <row r="48" spans="1:8" x14ac:dyDescent="0.25">
      <c r="A48" t="s">
        <v>489</v>
      </c>
      <c r="B48" t="str">
        <f>IFERROR(VLOOKUP(Tableau2[NOM],Tableau5[],COLUMN(Tableau5[Prénom]),FALSE),"")</f>
        <v>Patrick</v>
      </c>
      <c r="C48" t="str">
        <f>IFERROR(VLOOKUP(Tableau2[NOM],Tableau5[],COLUMN(Tableau5[Nom de la société]),FALSE),"")</f>
        <v>Aub.</v>
      </c>
      <c r="D48" t="str">
        <f>IFERROR(VLOOKUP(Tableau2[NOM],Tableau5[],COLUMN(Tableau5[Nom du manager]),FALSE),"")</f>
        <v>ALIX</v>
      </c>
      <c r="E48" t="s">
        <v>1333</v>
      </c>
      <c r="F48" s="291">
        <v>43154</v>
      </c>
      <c r="G48" s="296" t="s">
        <v>257</v>
      </c>
      <c r="H48" s="62" t="str">
        <f>Tableau2[[#This Row],[NOM]]&amp;Tableau2[[#This Row],[Intitulé formation]]</f>
        <v>CHAMBONRisques chimiques</v>
      </c>
    </row>
    <row r="49" spans="1:8" x14ac:dyDescent="0.25">
      <c r="A49" t="s">
        <v>501</v>
      </c>
      <c r="B49" t="str">
        <f>IFERROR(VLOOKUP(Tableau2[NOM],Tableau5[],COLUMN(Tableau5[Prénom]),FALSE),"")</f>
        <v>Serge</v>
      </c>
      <c r="C49" t="str">
        <f>IFERROR(VLOOKUP(Tableau2[NOM],Tableau5[],COLUMN(Tableau5[Nom de la société]),FALSE),"")</f>
        <v>Aub.</v>
      </c>
      <c r="D49" t="str">
        <f>IFERROR(VLOOKUP(Tableau2[NOM],Tableau5[],COLUMN(Tableau5[Nom du manager]),FALSE),"")</f>
        <v>SENEPART</v>
      </c>
      <c r="E49" t="s">
        <v>1326</v>
      </c>
      <c r="F49" s="291">
        <v>43625</v>
      </c>
      <c r="G49" s="296" t="s">
        <v>258</v>
      </c>
      <c r="H49" s="62" t="str">
        <f>Tableau2[[#This Row],[NOM]]&amp;Tableau2[[#This Row],[Intitulé formation]]</f>
        <v>CHANIOLIncendie</v>
      </c>
    </row>
    <row r="50" spans="1:8" x14ac:dyDescent="0.25">
      <c r="A50" t="s">
        <v>505</v>
      </c>
      <c r="B50" t="str">
        <f>IFERROR(VLOOKUP(Tableau2[NOM],Tableau5[],COLUMN(Tableau5[Prénom]),FALSE),"")</f>
        <v>Olivier</v>
      </c>
      <c r="C50" t="str">
        <f>IFERROR(VLOOKUP(Tableau2[NOM],Tableau5[],COLUMN(Tableau5[Nom de la société]),FALSE),"")</f>
        <v>Aub.</v>
      </c>
      <c r="D50" t="str">
        <f>IFERROR(VLOOKUP(Tableau2[NOM],Tableau5[],COLUMN(Tableau5[Nom du manager]),FALSE),"")</f>
        <v>FUENTES</v>
      </c>
      <c r="E50" t="s">
        <v>1323</v>
      </c>
      <c r="F50" s="291">
        <v>43543</v>
      </c>
      <c r="G50" s="296" t="s">
        <v>257</v>
      </c>
      <c r="H50" s="62" t="str">
        <f>Tableau2[[#This Row],[NOM]]&amp;Tableau2[[#This Row],[Intitulé formation]]</f>
        <v>CHAREYREGestes et postures</v>
      </c>
    </row>
    <row r="51" spans="1:8" x14ac:dyDescent="0.25">
      <c r="A51" t="s">
        <v>505</v>
      </c>
      <c r="B51" t="str">
        <f>IFERROR(VLOOKUP(Tableau2[NOM],Tableau5[],COLUMN(Tableau5[Prénom]),FALSE),"")</f>
        <v>Olivier</v>
      </c>
      <c r="C51" t="str">
        <f>IFERROR(VLOOKUP(Tableau2[NOM],Tableau5[],COLUMN(Tableau5[Nom de la société]),FALSE),"")</f>
        <v>Aub.</v>
      </c>
      <c r="D51" t="str">
        <f>IFERROR(VLOOKUP(Tableau2[NOM],Tableau5[],COLUMN(Tableau5[Nom du manager]),FALSE),"")</f>
        <v>FUENTES</v>
      </c>
      <c r="E51" t="s">
        <v>1326</v>
      </c>
      <c r="F51" s="291">
        <v>43625</v>
      </c>
      <c r="G51" s="296" t="s">
        <v>258</v>
      </c>
      <c r="H51" s="62" t="str">
        <f>Tableau2[[#This Row],[NOM]]&amp;Tableau2[[#This Row],[Intitulé formation]]</f>
        <v>CHAREYREIncendie</v>
      </c>
    </row>
    <row r="52" spans="1:8" x14ac:dyDescent="0.25">
      <c r="A52" t="s">
        <v>963</v>
      </c>
      <c r="B52" t="str">
        <f>IFERROR(VLOOKUP(Tableau2[NOM],Tableau5[],COLUMN(Tableau5[Prénom]),FALSE),"")</f>
        <v>Franck</v>
      </c>
      <c r="C52" t="str">
        <f>IFERROR(VLOOKUP(Tableau2[NOM],Tableau5[],COLUMN(Tableau5[Nom de la société]),FALSE),"")</f>
        <v>STG</v>
      </c>
      <c r="D52" t="str">
        <f>IFERROR(VLOOKUP(Tableau2[NOM],Tableau5[],COLUMN(Tableau5[Nom du manager]),FALSE),"")</f>
        <v>XUEREB</v>
      </c>
      <c r="E52" t="s">
        <v>1326</v>
      </c>
      <c r="F52" s="291">
        <v>43506</v>
      </c>
      <c r="G52" s="296" t="s">
        <v>257</v>
      </c>
      <c r="H52" s="62" t="str">
        <f>Tableau2[[#This Row],[NOM]]&amp;Tableau2[[#This Row],[Intitulé formation]]</f>
        <v>CHENAVASIncendie</v>
      </c>
    </row>
    <row r="53" spans="1:8" x14ac:dyDescent="0.25">
      <c r="A53" t="s">
        <v>963</v>
      </c>
      <c r="B53" t="str">
        <f>IFERROR(VLOOKUP(Tableau2[NOM],Tableau5[],COLUMN(Tableau5[Prénom]),FALSE),"")</f>
        <v>Franck</v>
      </c>
      <c r="C53" t="str">
        <f>IFERROR(VLOOKUP(Tableau2[NOM],Tableau5[],COLUMN(Tableau5[Nom de la société]),FALSE),"")</f>
        <v>STG</v>
      </c>
      <c r="D53" t="str">
        <f>IFERROR(VLOOKUP(Tableau2[NOM],Tableau5[],COLUMN(Tableau5[Nom du manager]),FALSE),"")</f>
        <v>XUEREB</v>
      </c>
      <c r="E53" t="s">
        <v>1462</v>
      </c>
      <c r="F53" s="291">
        <v>43739</v>
      </c>
      <c r="G53" s="296" t="s">
        <v>260</v>
      </c>
      <c r="H53" s="62" t="str">
        <f>Tableau2[[#This Row],[NOM]]&amp;Tableau2[[#This Row],[Intitulé formation]]</f>
        <v>CHENAVASPont roulant</v>
      </c>
    </row>
    <row r="54" spans="1:8" x14ac:dyDescent="0.25">
      <c r="A54" t="s">
        <v>966</v>
      </c>
      <c r="B54" t="str">
        <f>IFERROR(VLOOKUP(Tableau2[NOM],Tableau5[],COLUMN(Tableau5[Prénom]),FALSE),"")</f>
        <v>Patrick</v>
      </c>
      <c r="C54" t="str">
        <f>IFERROR(VLOOKUP(Tableau2[NOM],Tableau5[],COLUMN(Tableau5[Nom de la société]),FALSE),"")</f>
        <v>STG</v>
      </c>
      <c r="D54" t="str">
        <f>IFERROR(VLOOKUP(Tableau2[NOM],Tableau5[],COLUMN(Tableau5[Nom du manager]),FALSE),"")</f>
        <v>BUISSON</v>
      </c>
      <c r="E54" t="s">
        <v>1326</v>
      </c>
      <c r="F54" s="291">
        <v>43506</v>
      </c>
      <c r="G54" s="296" t="s">
        <v>257</v>
      </c>
      <c r="H54" s="62" t="str">
        <f>Tableau2[[#This Row],[NOM]]&amp;Tableau2[[#This Row],[Intitulé formation]]</f>
        <v>CHENAVIERIncendie</v>
      </c>
    </row>
    <row r="55" spans="1:8" x14ac:dyDescent="0.25">
      <c r="A55" t="s">
        <v>511</v>
      </c>
      <c r="B55" t="str">
        <f>IFERROR(VLOOKUP(Tableau2[NOM],Tableau5[],COLUMN(Tableau5[Prénom]),FALSE),"")</f>
        <v>Francois</v>
      </c>
      <c r="C55" t="str">
        <f>IFERROR(VLOOKUP(Tableau2[NOM],Tableau5[],COLUMN(Tableau5[Nom de la société]),FALSE),"")</f>
        <v>Aub.</v>
      </c>
      <c r="D55" t="str">
        <f>IFERROR(VLOOKUP(Tableau2[NOM],Tableau5[],COLUMN(Tableau5[Nom du manager]),FALSE),"")</f>
        <v>HAON</v>
      </c>
      <c r="E55" t="s">
        <v>1326</v>
      </c>
      <c r="F55" s="291">
        <v>43625</v>
      </c>
      <c r="G55" s="296" t="s">
        <v>258</v>
      </c>
      <c r="H55" s="62" t="str">
        <f>Tableau2[[#This Row],[NOM]]&amp;Tableau2[[#This Row],[Intitulé formation]]</f>
        <v>CHOMBARTIncendie</v>
      </c>
    </row>
    <row r="56" spans="1:8" x14ac:dyDescent="0.25">
      <c r="A56" t="s">
        <v>511</v>
      </c>
      <c r="B56" t="str">
        <f>IFERROR(VLOOKUP(Tableau2[NOM],Tableau5[],COLUMN(Tableau5[Prénom]),FALSE),"")</f>
        <v>Francois</v>
      </c>
      <c r="C56" t="str">
        <f>IFERROR(VLOOKUP(Tableau2[NOM],Tableau5[],COLUMN(Tableau5[Nom de la société]),FALSE),"")</f>
        <v>Aub.</v>
      </c>
      <c r="D56" t="str">
        <f>IFERROR(VLOOKUP(Tableau2[NOM],Tableau5[],COLUMN(Tableau5[Nom du manager]),FALSE),"")</f>
        <v>HAON</v>
      </c>
      <c r="E56" t="s">
        <v>1333</v>
      </c>
      <c r="F56" s="291">
        <v>43773</v>
      </c>
      <c r="G56" s="296" t="s">
        <v>260</v>
      </c>
      <c r="H56" s="62" t="str">
        <f>Tableau2[[#This Row],[NOM]]&amp;Tableau2[[#This Row],[Intitulé formation]]</f>
        <v>CHOMBARTRisques chimiques</v>
      </c>
    </row>
    <row r="57" spans="1:8" x14ac:dyDescent="0.25">
      <c r="A57" t="s">
        <v>1143</v>
      </c>
      <c r="B57" t="str">
        <f>IFERROR(VLOOKUP(Tableau2[NOM],Tableau5[],COLUMN(Tableau5[Prénom]),FALSE),"")</f>
        <v>Jerome</v>
      </c>
      <c r="C57" t="str">
        <f>IFERROR(VLOOKUP(Tableau2[NOM],Tableau5[],COLUMN(Tableau5[Nom de la société]),FALSE),"")</f>
        <v>Lattes</v>
      </c>
      <c r="D57" t="str">
        <f>IFERROR(VLOOKUP(Tableau2[NOM],Tableau5[],COLUMN(Tableau5[Nom du manager]),FALSE),"")</f>
        <v>VERNE</v>
      </c>
      <c r="E57" t="s">
        <v>1323</v>
      </c>
      <c r="F57" s="291">
        <v>43733</v>
      </c>
      <c r="G57" s="296" t="s">
        <v>259</v>
      </c>
      <c r="H57" s="62" t="str">
        <f>Tableau2[[#This Row],[NOM]]&amp;Tableau2[[#This Row],[Intitulé formation]]</f>
        <v>CLAVELGestes et postures</v>
      </c>
    </row>
    <row r="58" spans="1:8" x14ac:dyDescent="0.25">
      <c r="A58" t="s">
        <v>970</v>
      </c>
      <c r="B58" t="str">
        <f>IFERROR(VLOOKUP(Tableau2[NOM],Tableau5[],COLUMN(Tableau5[Prénom]),FALSE),"")</f>
        <v>Dominique</v>
      </c>
      <c r="C58" t="str">
        <f>IFERROR(VLOOKUP(Tableau2[NOM],Tableau5[],COLUMN(Tableau5[Nom de la société]),FALSE),"")</f>
        <v>STG</v>
      </c>
      <c r="D58" t="str">
        <f>IFERROR(VLOOKUP(Tableau2[NOM],Tableau5[],COLUMN(Tableau5[Nom du manager]),FALSE),"")</f>
        <v>XUEREB</v>
      </c>
      <c r="E58" t="s">
        <v>1323</v>
      </c>
      <c r="F58" s="291">
        <v>43071</v>
      </c>
      <c r="H58" s="62" t="str">
        <f>Tableau2[[#This Row],[NOM]]&amp;Tableau2[[#This Row],[Intitulé formation]]</f>
        <v>COMBEGestes et postures</v>
      </c>
    </row>
    <row r="59" spans="1:8" x14ac:dyDescent="0.25">
      <c r="A59" t="s">
        <v>970</v>
      </c>
      <c r="B59" t="str">
        <f>IFERROR(VLOOKUP(Tableau2[NOM],Tableau5[],COLUMN(Tableau5[Prénom]),FALSE),"")</f>
        <v>Dominique</v>
      </c>
      <c r="C59" t="str">
        <f>IFERROR(VLOOKUP(Tableau2[NOM],Tableau5[],COLUMN(Tableau5[Nom de la société]),FALSE),"")</f>
        <v>STG</v>
      </c>
      <c r="D59" t="str">
        <f>IFERROR(VLOOKUP(Tableau2[NOM],Tableau5[],COLUMN(Tableau5[Nom du manager]),FALSE),"")</f>
        <v>XUEREB</v>
      </c>
      <c r="E59" t="s">
        <v>1326</v>
      </c>
      <c r="F59" s="291">
        <v>43506</v>
      </c>
      <c r="G59" s="296" t="s">
        <v>257</v>
      </c>
      <c r="H59" s="62" t="str">
        <f>Tableau2[[#This Row],[NOM]]&amp;Tableau2[[#This Row],[Intitulé formation]]</f>
        <v>COMBEIncendie</v>
      </c>
    </row>
    <row r="60" spans="1:8" x14ac:dyDescent="0.25">
      <c r="A60" t="s">
        <v>970</v>
      </c>
      <c r="B60" t="str">
        <f>IFERROR(VLOOKUP(Tableau2[NOM],Tableau5[],COLUMN(Tableau5[Prénom]),FALSE),"")</f>
        <v>Dominique</v>
      </c>
      <c r="C60" t="str">
        <f>IFERROR(VLOOKUP(Tableau2[NOM],Tableau5[],COLUMN(Tableau5[Nom de la société]),FALSE),"")</f>
        <v>STG</v>
      </c>
      <c r="D60" t="str">
        <f>IFERROR(VLOOKUP(Tableau2[NOM],Tableau5[],COLUMN(Tableau5[Nom du manager]),FALSE),"")</f>
        <v>XUEREB</v>
      </c>
      <c r="E60" t="s">
        <v>1333</v>
      </c>
      <c r="F60" s="291">
        <v>43608</v>
      </c>
      <c r="G60" s="296" t="s">
        <v>258</v>
      </c>
      <c r="H60" s="62" t="str">
        <f>Tableau2[[#This Row],[NOM]]&amp;Tableau2[[#This Row],[Intitulé formation]]</f>
        <v>COMBERisques chimiques</v>
      </c>
    </row>
    <row r="61" spans="1:8" x14ac:dyDescent="0.25">
      <c r="A61" t="s">
        <v>974</v>
      </c>
      <c r="B61" t="str">
        <f>IFERROR(VLOOKUP(Tableau2[NOM],Tableau5[],COLUMN(Tableau5[Prénom]),FALSE),"")</f>
        <v>Sebastien</v>
      </c>
      <c r="C61" t="str">
        <f>IFERROR(VLOOKUP(Tableau2[NOM],Tableau5[],COLUMN(Tableau5[Nom de la société]),FALSE),"")</f>
        <v>STG</v>
      </c>
      <c r="D61" t="str">
        <f>IFERROR(VLOOKUP(Tableau2[NOM],Tableau5[],COLUMN(Tableau5[Nom du manager]),FALSE),"")</f>
        <v>BUISSON</v>
      </c>
      <c r="E61" t="s">
        <v>1323</v>
      </c>
      <c r="F61" s="291" t="s">
        <v>1492</v>
      </c>
      <c r="G61" s="296" t="s">
        <v>257</v>
      </c>
      <c r="H61" s="62" t="str">
        <f>Tableau2[[#This Row],[NOM]]&amp;Tableau2[[#This Row],[Intitulé formation]]</f>
        <v>COPPOLAGestes et postures</v>
      </c>
    </row>
    <row r="62" spans="1:8" x14ac:dyDescent="0.25">
      <c r="A62" t="s">
        <v>974</v>
      </c>
      <c r="B62" t="str">
        <f>IFERROR(VLOOKUP(Tableau2[NOM],Tableau5[],COLUMN(Tableau5[Prénom]),FALSE),"")</f>
        <v>Sebastien</v>
      </c>
      <c r="C62" t="str">
        <f>IFERROR(VLOOKUP(Tableau2[NOM],Tableau5[],COLUMN(Tableau5[Nom de la société]),FALSE),"")</f>
        <v>STG</v>
      </c>
      <c r="D62" t="str">
        <f>IFERROR(VLOOKUP(Tableau2[NOM],Tableau5[],COLUMN(Tableau5[Nom du manager]),FALSE),"")</f>
        <v>BUISSON</v>
      </c>
      <c r="E62" t="s">
        <v>1326</v>
      </c>
      <c r="F62" s="291">
        <v>43506</v>
      </c>
      <c r="G62" s="296" t="s">
        <v>257</v>
      </c>
      <c r="H62" s="62" t="str">
        <f>Tableau2[[#This Row],[NOM]]&amp;Tableau2[[#This Row],[Intitulé formation]]</f>
        <v>COPPOLAIncendie</v>
      </c>
    </row>
    <row r="63" spans="1:8" x14ac:dyDescent="0.25">
      <c r="A63" t="s">
        <v>524</v>
      </c>
      <c r="B63" t="str">
        <f>IFERROR(VLOOKUP(Tableau2[NOM],Tableau5[],COLUMN(Tableau5[Prénom]),FALSE),"")</f>
        <v>Gisele</v>
      </c>
      <c r="C63" t="str">
        <f>IFERROR(VLOOKUP(Tableau2[NOM],Tableau5[],COLUMN(Tableau5[Nom de la société]),FALSE),"")</f>
        <v>Aub.</v>
      </c>
      <c r="D63" t="str">
        <f>IFERROR(VLOOKUP(Tableau2[NOM],Tableau5[],COLUMN(Tableau5[Nom du manager]),FALSE),"")</f>
        <v>SENEPART</v>
      </c>
      <c r="E63" t="s">
        <v>1323</v>
      </c>
      <c r="F63" s="291">
        <v>43541</v>
      </c>
      <c r="G63" s="296" t="s">
        <v>257</v>
      </c>
      <c r="H63" s="62" t="str">
        <f>Tableau2[[#This Row],[NOM]]&amp;Tableau2[[#This Row],[Intitulé formation]]</f>
        <v>COSTEGestes et postures</v>
      </c>
    </row>
    <row r="64" spans="1:8" x14ac:dyDescent="0.25">
      <c r="A64" t="s">
        <v>524</v>
      </c>
      <c r="B64" t="str">
        <f>IFERROR(VLOOKUP(Tableau2[NOM],Tableau5[],COLUMN(Tableau5[Prénom]),FALSE),"")</f>
        <v>Gisele</v>
      </c>
      <c r="C64" t="str">
        <f>IFERROR(VLOOKUP(Tableau2[NOM],Tableau5[],COLUMN(Tableau5[Nom de la société]),FALSE),"")</f>
        <v>Aub.</v>
      </c>
      <c r="D64" t="str">
        <f>IFERROR(VLOOKUP(Tableau2[NOM],Tableau5[],COLUMN(Tableau5[Nom du manager]),FALSE),"")</f>
        <v>SENEPART</v>
      </c>
      <c r="E64" t="s">
        <v>1326</v>
      </c>
      <c r="F64" s="291">
        <v>42701</v>
      </c>
      <c r="H64" s="62" t="str">
        <f>Tableau2[[#This Row],[NOM]]&amp;Tableau2[[#This Row],[Intitulé formation]]</f>
        <v>COSTEIncendie</v>
      </c>
    </row>
    <row r="65" spans="1:8" x14ac:dyDescent="0.25">
      <c r="A65" t="s">
        <v>977</v>
      </c>
      <c r="B65" t="str">
        <f>IFERROR(VLOOKUP(Tableau2[NOM],Tableau5[],COLUMN(Tableau5[Prénom]),FALSE),"")</f>
        <v>Adriano</v>
      </c>
      <c r="C65" t="str">
        <f>IFERROR(VLOOKUP(Tableau2[NOM],Tableau5[],COLUMN(Tableau5[Nom de la société]),FALSE),"")</f>
        <v>STG</v>
      </c>
      <c r="D65" t="str">
        <f>IFERROR(VLOOKUP(Tableau2[NOM],Tableau5[],COLUMN(Tableau5[Nom du manager]),FALSE),"")</f>
        <v>XUEREB</v>
      </c>
      <c r="E65" t="s">
        <v>1323</v>
      </c>
      <c r="F65" s="291">
        <v>42826</v>
      </c>
      <c r="H65" s="62" t="str">
        <f>Tableau2[[#This Row],[NOM]]&amp;Tableau2[[#This Row],[Intitulé formation]]</f>
        <v>COUTOGestes et postures</v>
      </c>
    </row>
    <row r="66" spans="1:8" x14ac:dyDescent="0.25">
      <c r="A66" t="s">
        <v>977</v>
      </c>
      <c r="B66" t="str">
        <f>IFERROR(VLOOKUP(Tableau2[NOM],Tableau5[],COLUMN(Tableau5[Prénom]),FALSE),"")</f>
        <v>Adriano</v>
      </c>
      <c r="C66" t="str">
        <f>IFERROR(VLOOKUP(Tableau2[NOM],Tableau5[],COLUMN(Tableau5[Nom de la société]),FALSE),"")</f>
        <v>STG</v>
      </c>
      <c r="D66" t="str">
        <f>IFERROR(VLOOKUP(Tableau2[NOM],Tableau5[],COLUMN(Tableau5[Nom du manager]),FALSE),"")</f>
        <v>XUEREB</v>
      </c>
      <c r="E66" t="s">
        <v>1462</v>
      </c>
      <c r="F66" s="291">
        <v>43739</v>
      </c>
      <c r="G66" s="296" t="s">
        <v>260</v>
      </c>
      <c r="H66" s="62" t="str">
        <f>Tableau2[[#This Row],[NOM]]&amp;Tableau2[[#This Row],[Intitulé formation]]</f>
        <v>COUTOPont roulant</v>
      </c>
    </row>
    <row r="67" spans="1:8" x14ac:dyDescent="0.25">
      <c r="A67" t="s">
        <v>528</v>
      </c>
      <c r="B67" t="str">
        <f>IFERROR(VLOOKUP(Tableau2[NOM],Tableau5[],COLUMN(Tableau5[Prénom]),FALSE),"")</f>
        <v>Jean-Louis</v>
      </c>
      <c r="C67" t="str">
        <f>IFERROR(VLOOKUP(Tableau2[NOM],Tableau5[],COLUMN(Tableau5[Nom de la société]),FALSE),"")</f>
        <v>Aub.</v>
      </c>
      <c r="D67" t="str">
        <f>IFERROR(VLOOKUP(Tableau2[NOM],Tableau5[],COLUMN(Tableau5[Nom du manager]),FALSE),"")</f>
        <v>ALIX</v>
      </c>
      <c r="E67" t="s">
        <v>1323</v>
      </c>
      <c r="F67" s="291">
        <v>43407</v>
      </c>
      <c r="G67" s="296" t="s">
        <v>260</v>
      </c>
      <c r="H67" s="62" t="str">
        <f>Tableau2[[#This Row],[NOM]]&amp;Tableau2[[#This Row],[Intitulé formation]]</f>
        <v>CRUSGestes et postures</v>
      </c>
    </row>
    <row r="68" spans="1:8" x14ac:dyDescent="0.25">
      <c r="A68" t="s">
        <v>539</v>
      </c>
      <c r="B68" t="str">
        <f>IFERROR(VLOOKUP(Tableau2[NOM],Tableau5[],COLUMN(Tableau5[Prénom]),FALSE),"")</f>
        <v>Gerald</v>
      </c>
      <c r="C68" t="str">
        <f>IFERROR(VLOOKUP(Tableau2[NOM],Tableau5[],COLUMN(Tableau5[Nom de la société]),FALSE),"")</f>
        <v>Aub.</v>
      </c>
      <c r="D68" t="str">
        <f>IFERROR(VLOOKUP(Tableau2[NOM],Tableau5[],COLUMN(Tableau5[Nom du manager]),FALSE),"")</f>
        <v>ALIX</v>
      </c>
      <c r="E68" t="s">
        <v>1323</v>
      </c>
      <c r="F68" s="291">
        <v>43534</v>
      </c>
      <c r="G68" s="296" t="s">
        <v>257</v>
      </c>
      <c r="H68" s="62" t="str">
        <f>Tableau2[[#This Row],[NOM]]&amp;Tableau2[[#This Row],[Intitulé formation]]</f>
        <v>DALLANEGRAGestes et postures</v>
      </c>
    </row>
    <row r="69" spans="1:8" x14ac:dyDescent="0.25">
      <c r="A69" t="s">
        <v>539</v>
      </c>
      <c r="B69" t="str">
        <f>IFERROR(VLOOKUP(Tableau2[NOM],Tableau5[],COLUMN(Tableau5[Prénom]),FALSE),"")</f>
        <v>Gerald</v>
      </c>
      <c r="C69" t="str">
        <f>IFERROR(VLOOKUP(Tableau2[NOM],Tableau5[],COLUMN(Tableau5[Nom de la société]),FALSE),"")</f>
        <v>Aub.</v>
      </c>
      <c r="D69" t="str">
        <f>IFERROR(VLOOKUP(Tableau2[NOM],Tableau5[],COLUMN(Tableau5[Nom du manager]),FALSE),"")</f>
        <v>ALIX</v>
      </c>
      <c r="E69" t="s">
        <v>1326</v>
      </c>
      <c r="F69" s="291">
        <v>43625</v>
      </c>
      <c r="G69" s="296" t="s">
        <v>258</v>
      </c>
      <c r="H69" s="62" t="str">
        <f>Tableau2[[#This Row],[NOM]]&amp;Tableau2[[#This Row],[Intitulé formation]]</f>
        <v>DALLANEGRAIncendie</v>
      </c>
    </row>
    <row r="70" spans="1:8" x14ac:dyDescent="0.25">
      <c r="A70" t="s">
        <v>493</v>
      </c>
      <c r="B70" t="str">
        <f>IFERROR(VLOOKUP(Tableau2[NOM],Tableau5[],COLUMN(Tableau5[Prénom]),FALSE),"")</f>
        <v>Olivier</v>
      </c>
      <c r="C70" t="str">
        <f>IFERROR(VLOOKUP(Tableau2[NOM],Tableau5[],COLUMN(Tableau5[Nom de la société]),FALSE),"")</f>
        <v>Aub.</v>
      </c>
      <c r="D70" t="str">
        <f>IFERROR(VLOOKUP(Tableau2[NOM],Tableau5[],COLUMN(Tableau5[Nom du manager]),FALSE),"")</f>
        <v>CHATAIGNER</v>
      </c>
      <c r="E70" t="s">
        <v>1326</v>
      </c>
      <c r="F70" s="291" t="s">
        <v>518</v>
      </c>
      <c r="H70" s="62" t="str">
        <f>Tableau2[[#This Row],[NOM]]&amp;Tableau2[[#This Row],[Intitulé formation]]</f>
        <v>DARDAREIncendie</v>
      </c>
    </row>
    <row r="71" spans="1:8" x14ac:dyDescent="0.25">
      <c r="A71" t="s">
        <v>991</v>
      </c>
      <c r="B71" t="str">
        <f>IFERROR(VLOOKUP(Tableau2[NOM],Tableau5[],COLUMN(Tableau5[Prénom]),FALSE),"")</f>
        <v>Brahim</v>
      </c>
      <c r="C71" t="str">
        <f>IFERROR(VLOOKUP(Tableau2[NOM],Tableau5[],COLUMN(Tableau5[Nom de la société]),FALSE),"")</f>
        <v>STG</v>
      </c>
      <c r="D71" t="str">
        <f>IFERROR(VLOOKUP(Tableau2[NOM],Tableau5[],COLUMN(Tableau5[Nom du manager]),FALSE),"")</f>
        <v>XUEREB</v>
      </c>
      <c r="E71" t="s">
        <v>1326</v>
      </c>
      <c r="F71" s="291" t="s">
        <v>518</v>
      </c>
      <c r="H71" s="62" t="str">
        <f>Tableau2[[#This Row],[NOM]]&amp;Tableau2[[#This Row],[Intitulé formation]]</f>
        <v>DJELLOULIIncendie</v>
      </c>
    </row>
    <row r="72" spans="1:8" x14ac:dyDescent="0.25">
      <c r="A72" t="s">
        <v>568</v>
      </c>
      <c r="B72" t="str">
        <f>IFERROR(VLOOKUP(Tableau2[NOM],Tableau5[],COLUMN(Tableau5[Prénom]),FALSE),"")</f>
        <v>Nicolas</v>
      </c>
      <c r="C72" t="str">
        <f>IFERROR(VLOOKUP(Tableau2[NOM],Tableau5[],COLUMN(Tableau5[Nom de la société]),FALSE),"")</f>
        <v>Aub.</v>
      </c>
      <c r="D72" t="str">
        <f>IFERROR(VLOOKUP(Tableau2[NOM],Tableau5[],COLUMN(Tableau5[Nom du manager]),FALSE),"")</f>
        <v>DARDARE</v>
      </c>
      <c r="E72" t="s">
        <v>1326</v>
      </c>
      <c r="F72" s="291" t="s">
        <v>518</v>
      </c>
      <c r="H72" s="62" t="str">
        <f>Tableau2[[#This Row],[NOM]]&amp;Tableau2[[#This Row],[Intitulé formation]]</f>
        <v>DUBREUILIncendie</v>
      </c>
    </row>
    <row r="73" spans="1:8" x14ac:dyDescent="0.25">
      <c r="A73" t="s">
        <v>575</v>
      </c>
      <c r="B73" t="str">
        <f>IFERROR(VLOOKUP(Tableau2[NOM],Tableau5[],COLUMN(Tableau5[Prénom]),FALSE),"")</f>
        <v>Remi</v>
      </c>
      <c r="C73" t="str">
        <f>IFERROR(VLOOKUP(Tableau2[NOM],Tableau5[],COLUMN(Tableau5[Nom de la société]),FALSE),"")</f>
        <v>Aub.</v>
      </c>
      <c r="D73" t="str">
        <f>IFERROR(VLOOKUP(Tableau2[NOM],Tableau5[],COLUMN(Tableau5[Nom du manager]),FALSE),"")</f>
        <v>SAVY</v>
      </c>
      <c r="E73" t="s">
        <v>1323</v>
      </c>
      <c r="F73" s="291">
        <v>43541</v>
      </c>
      <c r="G73" s="296" t="s">
        <v>257</v>
      </c>
      <c r="H73" s="62" t="str">
        <f>Tableau2[[#This Row],[NOM]]&amp;Tableau2[[#This Row],[Intitulé formation]]</f>
        <v>DUCROSGestes et postures</v>
      </c>
    </row>
    <row r="74" spans="1:8" x14ac:dyDescent="0.25">
      <c r="A74" t="s">
        <v>575</v>
      </c>
      <c r="B74" t="str">
        <f>IFERROR(VLOOKUP(Tableau2[NOM],Tableau5[],COLUMN(Tableau5[Prénom]),FALSE),"")</f>
        <v>Remi</v>
      </c>
      <c r="C74" t="str">
        <f>IFERROR(VLOOKUP(Tableau2[NOM],Tableau5[],COLUMN(Tableau5[Nom de la société]),FALSE),"")</f>
        <v>Aub.</v>
      </c>
      <c r="D74" t="str">
        <f>IFERROR(VLOOKUP(Tableau2[NOM],Tableau5[],COLUMN(Tableau5[Nom du manager]),FALSE),"")</f>
        <v>SAVY</v>
      </c>
      <c r="E74" t="s">
        <v>1326</v>
      </c>
      <c r="F74" s="291">
        <v>43625</v>
      </c>
      <c r="G74" s="296" t="s">
        <v>258</v>
      </c>
      <c r="H74" s="62" t="str">
        <f>Tableau2[[#This Row],[NOM]]&amp;Tableau2[[#This Row],[Intitulé formation]]</f>
        <v>DUCROSIncendie</v>
      </c>
    </row>
    <row r="75" spans="1:8" x14ac:dyDescent="0.25">
      <c r="A75" t="s">
        <v>575</v>
      </c>
      <c r="B75" t="str">
        <f>IFERROR(VLOOKUP(Tableau2[NOM],Tableau5[],COLUMN(Tableau5[Prénom]),FALSE),"")</f>
        <v>Remi</v>
      </c>
      <c r="C75" t="str">
        <f>IFERROR(VLOOKUP(Tableau2[NOM],Tableau5[],COLUMN(Tableau5[Nom de la société]),FALSE),"")</f>
        <v>Aub.</v>
      </c>
      <c r="D75" t="str">
        <f>IFERROR(VLOOKUP(Tableau2[NOM],Tableau5[],COLUMN(Tableau5[Nom du manager]),FALSE),"")</f>
        <v>SAVY</v>
      </c>
      <c r="E75" t="s">
        <v>1333</v>
      </c>
      <c r="F75" s="291">
        <v>43742</v>
      </c>
      <c r="G75" s="296" t="s">
        <v>260</v>
      </c>
      <c r="H75" s="62" t="str">
        <f>Tableau2[[#This Row],[NOM]]&amp;Tableau2[[#This Row],[Intitulé formation]]</f>
        <v>DUCROSRisques chimiques</v>
      </c>
    </row>
    <row r="76" spans="1:8" x14ac:dyDescent="0.25">
      <c r="A76" t="s">
        <v>579</v>
      </c>
      <c r="B76" t="str">
        <f>IFERROR(VLOOKUP(Tableau2[NOM],Tableau5[],COLUMN(Tableau5[Prénom]),FALSE),"")</f>
        <v>Gilles</v>
      </c>
      <c r="C76" t="str">
        <f>IFERROR(VLOOKUP(Tableau2[NOM],Tableau5[],COLUMN(Tableau5[Nom de la société]),FALSE),"")</f>
        <v>Aub.</v>
      </c>
      <c r="D76" t="str">
        <f>IFERROR(VLOOKUP(Tableau2[NOM],Tableau5[],COLUMN(Tableau5[Nom du manager]),FALSE),"")</f>
        <v>FELDER</v>
      </c>
      <c r="E76" t="s">
        <v>1323</v>
      </c>
      <c r="F76" s="291" t="s">
        <v>1492</v>
      </c>
      <c r="G76" s="296" t="s">
        <v>257</v>
      </c>
      <c r="H76" s="62" t="str">
        <f>Tableau2[[#This Row],[NOM]]&amp;Tableau2[[#This Row],[Intitulé formation]]</f>
        <v>DUNYGestes et postures</v>
      </c>
    </row>
    <row r="77" spans="1:8" x14ac:dyDescent="0.25">
      <c r="A77" t="s">
        <v>583</v>
      </c>
      <c r="B77" t="str">
        <f>IFERROR(VLOOKUP(Tableau2[NOM],Tableau5[],COLUMN(Tableau5[Prénom]),FALSE),"")</f>
        <v>Jerome</v>
      </c>
      <c r="C77" t="str">
        <f>IFERROR(VLOOKUP(Tableau2[NOM],Tableau5[],COLUMN(Tableau5[Nom de la société]),FALSE),"")</f>
        <v>Aub.</v>
      </c>
      <c r="D77" t="str">
        <f>IFERROR(VLOOKUP(Tableau2[NOM],Tableau5[],COLUMN(Tableau5[Nom du manager]),FALSE),"")</f>
        <v>SENEPART</v>
      </c>
      <c r="E77" t="s">
        <v>1326</v>
      </c>
      <c r="F77" s="291">
        <v>43625</v>
      </c>
      <c r="G77" s="296" t="s">
        <v>258</v>
      </c>
      <c r="H77" s="62" t="str">
        <f>Tableau2[[#This Row],[NOM]]&amp;Tableau2[[#This Row],[Intitulé formation]]</f>
        <v>DUPLANIncendie</v>
      </c>
    </row>
    <row r="78" spans="1:8" x14ac:dyDescent="0.25">
      <c r="A78" t="s">
        <v>587</v>
      </c>
      <c r="B78" t="str">
        <f>IFERROR(VLOOKUP(Tableau2[NOM],Tableau5[],COLUMN(Tableau5[Prénom]),FALSE),"")</f>
        <v>Guy</v>
      </c>
      <c r="C78" t="str">
        <f>IFERROR(VLOOKUP(Tableau2[NOM],Tableau5[],COLUMN(Tableau5[Nom de la société]),FALSE),"")</f>
        <v>Aub.</v>
      </c>
      <c r="D78" t="str">
        <f>IFERROR(VLOOKUP(Tableau2[NOM],Tableau5[],COLUMN(Tableau5[Nom du manager]),FALSE),"")</f>
        <v>ALIX</v>
      </c>
      <c r="E78" t="s">
        <v>1326</v>
      </c>
      <c r="F78" s="291">
        <v>43506</v>
      </c>
      <c r="G78" s="296" t="s">
        <v>257</v>
      </c>
      <c r="H78" s="62" t="str">
        <f>Tableau2[[#This Row],[NOM]]&amp;Tableau2[[#This Row],[Intitulé formation]]</f>
        <v>DURANDIncendie</v>
      </c>
    </row>
    <row r="79" spans="1:8" x14ac:dyDescent="0.25">
      <c r="A79" t="s">
        <v>591</v>
      </c>
      <c r="B79" t="str">
        <f>IFERROR(VLOOKUP(Tableau2[NOM],Tableau5[],COLUMN(Tableau5[Prénom]),FALSE),"")</f>
        <v>Michel</v>
      </c>
      <c r="C79" t="str">
        <f>IFERROR(VLOOKUP(Tableau2[NOM],Tableau5[],COLUMN(Tableau5[Nom de la société]),FALSE),"")</f>
        <v>Aub.</v>
      </c>
      <c r="D79" t="str">
        <f>IFERROR(VLOOKUP(Tableau2[NOM],Tableau5[],COLUMN(Tableau5[Nom du manager]),FALSE),"")</f>
        <v>DARDARE</v>
      </c>
      <c r="E79" t="s">
        <v>1326</v>
      </c>
      <c r="F79" s="291">
        <v>43624</v>
      </c>
      <c r="G79" s="296" t="s">
        <v>258</v>
      </c>
      <c r="H79" s="62" t="str">
        <f>Tableau2[[#This Row],[NOM]]&amp;Tableau2[[#This Row],[Intitulé formation]]</f>
        <v>DURIEUIncendie</v>
      </c>
    </row>
    <row r="80" spans="1:8" x14ac:dyDescent="0.25">
      <c r="A80" t="s">
        <v>1107</v>
      </c>
      <c r="B80" t="str">
        <f>IFERROR(VLOOKUP(Tableau2[NOM],Tableau5[],COLUMN(Tableau5[Prénom]),FALSE),"")</f>
        <v>Mohamed</v>
      </c>
      <c r="C80" t="str">
        <f>IFERROR(VLOOKUP(Tableau2[NOM],Tableau5[],COLUMN(Tableau5[Nom de la société]),FALSE),"")</f>
        <v>Lattes</v>
      </c>
      <c r="D80" t="str">
        <f>IFERROR(VLOOKUP(Tableau2[NOM],Tableau5[],COLUMN(Tableau5[Nom du manager]),FALSE),"")</f>
        <v>VERNE</v>
      </c>
      <c r="E80" t="s">
        <v>1323</v>
      </c>
      <c r="F80" s="291">
        <v>43718</v>
      </c>
      <c r="G80" s="296" t="s">
        <v>259</v>
      </c>
      <c r="H80" s="62" t="str">
        <f>Tableau2[[#This Row],[NOM]]&amp;Tableau2[[#This Row],[Intitulé formation]]</f>
        <v>ENNAOUIGestes et postures</v>
      </c>
    </row>
    <row r="81" spans="1:8" x14ac:dyDescent="0.25">
      <c r="A81" t="s">
        <v>1107</v>
      </c>
      <c r="B81" t="str">
        <f>IFERROR(VLOOKUP(Tableau2[NOM],Tableau5[],COLUMN(Tableau5[Prénom]),FALSE),"")</f>
        <v>Mohamed</v>
      </c>
      <c r="C81" t="str">
        <f>IFERROR(VLOOKUP(Tableau2[NOM],Tableau5[],COLUMN(Tableau5[Nom de la société]),FALSE),"")</f>
        <v>Lattes</v>
      </c>
      <c r="D81" t="str">
        <f>IFERROR(VLOOKUP(Tableau2[NOM],Tableau5[],COLUMN(Tableau5[Nom du manager]),FALSE),"")</f>
        <v>VERNE</v>
      </c>
      <c r="E81" t="s">
        <v>1333</v>
      </c>
      <c r="F81" s="291">
        <v>43553</v>
      </c>
      <c r="G81" s="296" t="s">
        <v>257</v>
      </c>
      <c r="H81" s="62" t="str">
        <f>Tableau2[[#This Row],[NOM]]&amp;Tableau2[[#This Row],[Intitulé formation]]</f>
        <v>ENNAOUIRisques chimiques</v>
      </c>
    </row>
    <row r="82" spans="1:8" x14ac:dyDescent="0.25">
      <c r="A82" t="s">
        <v>594</v>
      </c>
      <c r="B82" t="str">
        <f>IFERROR(VLOOKUP(Tableau2[NOM],Tableau5[],COLUMN(Tableau5[Prénom]),FALSE),"")</f>
        <v>Frederic</v>
      </c>
      <c r="C82" t="str">
        <f>IFERROR(VLOOKUP(Tableau2[NOM],Tableau5[],COLUMN(Tableau5[Nom de la société]),FALSE),"")</f>
        <v>Aub.</v>
      </c>
      <c r="D82" t="str">
        <f>IFERROR(VLOOKUP(Tableau2[NOM],Tableau5[],COLUMN(Tableau5[Nom du manager]),FALSE),"")</f>
        <v>SAVY</v>
      </c>
      <c r="E82" t="s">
        <v>1323</v>
      </c>
      <c r="F82" s="291" t="s">
        <v>1492</v>
      </c>
      <c r="G82" s="296" t="s">
        <v>257</v>
      </c>
      <c r="H82" s="62" t="str">
        <f>Tableau2[[#This Row],[NOM]]&amp;Tableau2[[#This Row],[Intitulé formation]]</f>
        <v>ESCLANGONGestes et postures</v>
      </c>
    </row>
    <row r="83" spans="1:8" x14ac:dyDescent="0.25">
      <c r="A83" t="s">
        <v>594</v>
      </c>
      <c r="B83" t="str">
        <f>IFERROR(VLOOKUP(Tableau2[NOM],Tableau5[],COLUMN(Tableau5[Prénom]),FALSE),"")</f>
        <v>Frederic</v>
      </c>
      <c r="C83" t="str">
        <f>IFERROR(VLOOKUP(Tableau2[NOM],Tableau5[],COLUMN(Tableau5[Nom de la société]),FALSE),"")</f>
        <v>Aub.</v>
      </c>
      <c r="D83" t="str">
        <f>IFERROR(VLOOKUP(Tableau2[NOM],Tableau5[],COLUMN(Tableau5[Nom du manager]),FALSE),"")</f>
        <v>SAVY</v>
      </c>
      <c r="E83" t="s">
        <v>1326</v>
      </c>
      <c r="F83" s="291">
        <v>43625</v>
      </c>
      <c r="G83" s="296" t="s">
        <v>258</v>
      </c>
      <c r="H83" s="62" t="str">
        <f>Tableau2[[#This Row],[NOM]]&amp;Tableau2[[#This Row],[Intitulé formation]]</f>
        <v>ESCLANGONIncendie</v>
      </c>
    </row>
    <row r="84" spans="1:8" x14ac:dyDescent="0.25">
      <c r="A84" t="s">
        <v>594</v>
      </c>
      <c r="B84" t="str">
        <f>IFERROR(VLOOKUP(Tableau2[NOM],Tableau5[],COLUMN(Tableau5[Prénom]),FALSE),"")</f>
        <v>Frederic</v>
      </c>
      <c r="C84" t="str">
        <f>IFERROR(VLOOKUP(Tableau2[NOM],Tableau5[],COLUMN(Tableau5[Nom de la société]),FALSE),"")</f>
        <v>Aub.</v>
      </c>
      <c r="D84" t="str">
        <f>IFERROR(VLOOKUP(Tableau2[NOM],Tableau5[],COLUMN(Tableau5[Nom du manager]),FALSE),"")</f>
        <v>SAVY</v>
      </c>
      <c r="E84" t="s">
        <v>1333</v>
      </c>
      <c r="F84" s="291">
        <v>43773</v>
      </c>
      <c r="G84" s="296" t="s">
        <v>260</v>
      </c>
      <c r="H84" s="62" t="str">
        <f>Tableau2[[#This Row],[NOM]]&amp;Tableau2[[#This Row],[Intitulé formation]]</f>
        <v>ESCLANGONRisques chimiques</v>
      </c>
    </row>
    <row r="85" spans="1:8" x14ac:dyDescent="0.25">
      <c r="A85" t="s">
        <v>599</v>
      </c>
      <c r="B85" t="str">
        <f>IFERROR(VLOOKUP(Tableau2[NOM],Tableau5[],COLUMN(Tableau5[Prénom]),FALSE),"")</f>
        <v>Manuel</v>
      </c>
      <c r="C85" t="str">
        <f>IFERROR(VLOOKUP(Tableau2[NOM],Tableau5[],COLUMN(Tableau5[Nom de la société]),FALSE),"")</f>
        <v>Aub.</v>
      </c>
      <c r="D85" t="str">
        <f>IFERROR(VLOOKUP(Tableau2[NOM],Tableau5[],COLUMN(Tableau5[Nom du manager]),FALSE),"")</f>
        <v>ALIX</v>
      </c>
      <c r="E85" t="s">
        <v>1326</v>
      </c>
      <c r="F85" s="291">
        <v>43625</v>
      </c>
      <c r="G85" s="296" t="s">
        <v>258</v>
      </c>
      <c r="H85" s="62" t="str">
        <f>Tableau2[[#This Row],[NOM]]&amp;Tableau2[[#This Row],[Intitulé formation]]</f>
        <v>ESTEBANIncendie</v>
      </c>
    </row>
    <row r="86" spans="1:8" x14ac:dyDescent="0.25">
      <c r="A86" t="s">
        <v>127</v>
      </c>
      <c r="B86" t="str">
        <f>IFERROR(VLOOKUP(Tableau2[NOM],Tableau5[],COLUMN(Tableau5[Prénom]),FALSE),"")</f>
        <v>Patrick</v>
      </c>
      <c r="C86" t="str">
        <f>IFERROR(VLOOKUP(Tableau2[NOM],Tableau5[],COLUMN(Tableau5[Nom de la société]),FALSE),"")</f>
        <v>Aub.</v>
      </c>
      <c r="D86" t="str">
        <f>IFERROR(VLOOKUP(Tableau2[NOM],Tableau5[],COLUMN(Tableau5[Nom du manager]),FALSE),"")</f>
        <v>PIFFAUT</v>
      </c>
      <c r="E86" t="s">
        <v>1326</v>
      </c>
      <c r="F86" s="291">
        <v>42084</v>
      </c>
      <c r="H86" s="62" t="str">
        <f>Tableau2[[#This Row],[NOM]]&amp;Tableau2[[#This Row],[Intitulé formation]]</f>
        <v>ETIENNEIncendie</v>
      </c>
    </row>
    <row r="87" spans="1:8" x14ac:dyDescent="0.25">
      <c r="A87" t="s">
        <v>516</v>
      </c>
      <c r="B87" t="str">
        <f>IFERROR(VLOOKUP(Tableau2[NOM],Tableau5[],COLUMN(Tableau5[Prénom]),FALSE),"")</f>
        <v>Martin</v>
      </c>
      <c r="C87" t="str">
        <f>IFERROR(VLOOKUP(Tableau2[NOM],Tableau5[],COLUMN(Tableau5[Nom de la société]),FALSE),"")</f>
        <v>Aub.</v>
      </c>
      <c r="D87" t="str">
        <f>IFERROR(VLOOKUP(Tableau2[NOM],Tableau5[],COLUMN(Tableau5[Nom du manager]),FALSE),"")</f>
        <v>CHATAIGNER</v>
      </c>
      <c r="E87" t="s">
        <v>1323</v>
      </c>
      <c r="F87" s="291" t="s">
        <v>1492</v>
      </c>
      <c r="G87" s="296" t="s">
        <v>257</v>
      </c>
      <c r="H87" s="62" t="str">
        <f>Tableau2[[#This Row],[NOM]]&amp;Tableau2[[#This Row],[Intitulé formation]]</f>
        <v>FELDERGestes et postures</v>
      </c>
    </row>
    <row r="88" spans="1:8" x14ac:dyDescent="0.25">
      <c r="A88" t="s">
        <v>616</v>
      </c>
      <c r="B88" t="str">
        <f>IFERROR(VLOOKUP(Tableau2[NOM],Tableau5[],COLUMN(Tableau5[Prénom]),FALSE),"")</f>
        <v>Christian</v>
      </c>
      <c r="C88" t="str">
        <f>IFERROR(VLOOKUP(Tableau2[NOM],Tableau5[],COLUMN(Tableau5[Nom de la société]),FALSE),"")</f>
        <v>Aub.</v>
      </c>
      <c r="D88" t="str">
        <f>IFERROR(VLOOKUP(Tableau2[NOM],Tableau5[],COLUMN(Tableau5[Nom du manager]),FALSE),"")</f>
        <v>SAVY</v>
      </c>
      <c r="E88" t="s">
        <v>1323</v>
      </c>
      <c r="F88" s="291">
        <v>43543</v>
      </c>
      <c r="G88" s="296" t="s">
        <v>257</v>
      </c>
      <c r="H88" s="62" t="str">
        <f>Tableau2[[#This Row],[NOM]]&amp;Tableau2[[#This Row],[Intitulé formation]]</f>
        <v>FERREROGestes et postures</v>
      </c>
    </row>
    <row r="89" spans="1:8" x14ac:dyDescent="0.25">
      <c r="A89" t="s">
        <v>616</v>
      </c>
      <c r="B89" t="str">
        <f>IFERROR(VLOOKUP(Tableau2[NOM],Tableau5[],COLUMN(Tableau5[Prénom]),FALSE),"")</f>
        <v>Christian</v>
      </c>
      <c r="C89" t="str">
        <f>IFERROR(VLOOKUP(Tableau2[NOM],Tableau5[],COLUMN(Tableau5[Nom de la société]),FALSE),"")</f>
        <v>Aub.</v>
      </c>
      <c r="D89" t="str">
        <f>IFERROR(VLOOKUP(Tableau2[NOM],Tableau5[],COLUMN(Tableau5[Nom du manager]),FALSE),"")</f>
        <v>SAVY</v>
      </c>
      <c r="E89" t="s">
        <v>1333</v>
      </c>
      <c r="F89" s="291">
        <v>43742</v>
      </c>
      <c r="G89" s="296" t="s">
        <v>260</v>
      </c>
      <c r="H89" s="62" t="str">
        <f>Tableau2[[#This Row],[NOM]]&amp;Tableau2[[#This Row],[Intitulé formation]]</f>
        <v>FERRERORisques chimiques</v>
      </c>
    </row>
    <row r="90" spans="1:8" x14ac:dyDescent="0.25">
      <c r="A90" t="s">
        <v>619</v>
      </c>
      <c r="B90" t="str">
        <f>IFERROR(VLOOKUP(Tableau2[NOM],Tableau5[],COLUMN(Tableau5[Prénom]),FALSE),"")</f>
        <v>Gael</v>
      </c>
      <c r="C90" t="str">
        <f>IFERROR(VLOOKUP(Tableau2[NOM],Tableau5[],COLUMN(Tableau5[Nom de la société]),FALSE),"")</f>
        <v>Aub.</v>
      </c>
      <c r="D90" t="str">
        <f>IFERROR(VLOOKUP(Tableau2[NOM],Tableau5[],COLUMN(Tableau5[Nom du manager]),FALSE),"")</f>
        <v>SAVY</v>
      </c>
      <c r="E90" t="s">
        <v>1323</v>
      </c>
      <c r="F90" s="291">
        <v>43718</v>
      </c>
      <c r="G90" s="296" t="s">
        <v>259</v>
      </c>
      <c r="H90" s="62" t="str">
        <f>Tableau2[[#This Row],[NOM]]&amp;Tableau2[[#This Row],[Intitulé formation]]</f>
        <v>FONTAINEGestes et postures</v>
      </c>
    </row>
    <row r="91" spans="1:8" x14ac:dyDescent="0.25">
      <c r="A91" t="s">
        <v>619</v>
      </c>
      <c r="B91" t="str">
        <f>IFERROR(VLOOKUP(Tableau2[NOM],Tableau5[],COLUMN(Tableau5[Prénom]),FALSE),"")</f>
        <v>Gael</v>
      </c>
      <c r="C91" t="str">
        <f>IFERROR(VLOOKUP(Tableau2[NOM],Tableau5[],COLUMN(Tableau5[Nom de la société]),FALSE),"")</f>
        <v>Aub.</v>
      </c>
      <c r="D91" t="str">
        <f>IFERROR(VLOOKUP(Tableau2[NOM],Tableau5[],COLUMN(Tableau5[Nom du manager]),FALSE),"")</f>
        <v>SAVY</v>
      </c>
      <c r="E91" t="s">
        <v>1333</v>
      </c>
      <c r="F91" s="291">
        <v>43553</v>
      </c>
      <c r="G91" s="296" t="s">
        <v>257</v>
      </c>
      <c r="H91" s="62" t="str">
        <f>Tableau2[[#This Row],[NOM]]&amp;Tableau2[[#This Row],[Intitulé formation]]</f>
        <v>FONTAINERisques chimiques</v>
      </c>
    </row>
    <row r="92" spans="1:8" x14ac:dyDescent="0.25">
      <c r="A92" t="s">
        <v>623</v>
      </c>
      <c r="B92" t="str">
        <f>IFERROR(VLOOKUP(Tableau2[NOM],Tableau5[],COLUMN(Tableau5[Prénom]),FALSE),"")</f>
        <v>Romuald</v>
      </c>
      <c r="C92" t="str">
        <f>IFERROR(VLOOKUP(Tableau2[NOM],Tableau5[],COLUMN(Tableau5[Nom de la société]),FALSE),"")</f>
        <v>Aub.</v>
      </c>
      <c r="D92" t="str">
        <f>IFERROR(VLOOKUP(Tableau2[NOM],Tableau5[],COLUMN(Tableau5[Nom du manager]),FALSE),"")</f>
        <v>ALIX</v>
      </c>
      <c r="E92" t="s">
        <v>1326</v>
      </c>
      <c r="F92" s="291">
        <v>43625</v>
      </c>
      <c r="G92" s="296" t="s">
        <v>258</v>
      </c>
      <c r="H92" s="62" t="str">
        <f>Tableau2[[#This Row],[NOM]]&amp;Tableau2[[#This Row],[Intitulé formation]]</f>
        <v>FONTIBUSIncendie</v>
      </c>
    </row>
    <row r="93" spans="1:8" x14ac:dyDescent="0.25">
      <c r="A93" t="s">
        <v>355</v>
      </c>
      <c r="B93" t="str">
        <f>IFERROR(VLOOKUP(Tableau2[NOM],Tableau5[],COLUMN(Tableau5[Prénom]),FALSE),"")</f>
        <v>Cecile</v>
      </c>
      <c r="C93" t="str">
        <f>IFERROR(VLOOKUP(Tableau2[NOM],Tableau5[],COLUMN(Tableau5[Nom de la société]),FALSE),"")</f>
        <v>STG</v>
      </c>
      <c r="D93" t="str">
        <f>IFERROR(VLOOKUP(Tableau2[NOM],Tableau5[],COLUMN(Tableau5[Nom du manager]),FALSE),"")</f>
        <v>CHATAIGNER</v>
      </c>
      <c r="E93" t="s">
        <v>1326</v>
      </c>
      <c r="F93" s="291" t="s">
        <v>518</v>
      </c>
      <c r="H93" s="62" t="str">
        <f>Tableau2[[#This Row],[NOM]]&amp;Tableau2[[#This Row],[Intitulé formation]]</f>
        <v>FOUASSIERIncendie</v>
      </c>
    </row>
    <row r="94" spans="1:8" x14ac:dyDescent="0.25">
      <c r="A94" t="s">
        <v>627</v>
      </c>
      <c r="B94" t="str">
        <f>IFERROR(VLOOKUP(Tableau2[NOM],Tableau5[],COLUMN(Tableau5[Prénom]),FALSE),"")</f>
        <v>Catherine</v>
      </c>
      <c r="C94" t="str">
        <f>IFERROR(VLOOKUP(Tableau2[NOM],Tableau5[],COLUMN(Tableau5[Nom de la société]),FALSE),"")</f>
        <v>Aub.</v>
      </c>
      <c r="D94" t="str">
        <f>IFERROR(VLOOKUP(Tableau2[NOM],Tableau5[],COLUMN(Tableau5[Nom du manager]),FALSE),"")</f>
        <v>SENEPART</v>
      </c>
      <c r="E94" t="s">
        <v>1326</v>
      </c>
      <c r="F94" s="291">
        <v>43625</v>
      </c>
      <c r="G94" s="296" t="s">
        <v>258</v>
      </c>
      <c r="H94" s="62" t="str">
        <f>Tableau2[[#This Row],[NOM]]&amp;Tableau2[[#This Row],[Intitulé formation]]</f>
        <v>FOURELIncendie</v>
      </c>
    </row>
    <row r="95" spans="1:8" x14ac:dyDescent="0.25">
      <c r="A95" t="s">
        <v>637</v>
      </c>
      <c r="B95" t="str">
        <f>IFERROR(VLOOKUP(Tableau2[NOM],Tableau5[],COLUMN(Tableau5[Prénom]),FALSE),"")</f>
        <v>Maria</v>
      </c>
      <c r="C95" t="str">
        <f>IFERROR(VLOOKUP(Tableau2[NOM],Tableau5[],COLUMN(Tableau5[Nom de la société]),FALSE),"")</f>
        <v>Aub.</v>
      </c>
      <c r="D95" t="str">
        <f>IFERROR(VLOOKUP(Tableau2[NOM],Tableau5[],COLUMN(Tableau5[Nom du manager]),FALSE),"")</f>
        <v>CHATAIGNER</v>
      </c>
      <c r="E95" t="s">
        <v>1326</v>
      </c>
      <c r="F95" s="291" t="s">
        <v>518</v>
      </c>
      <c r="H95" s="62" t="str">
        <f>Tableau2[[#This Row],[NOM]]&amp;Tableau2[[#This Row],[Intitulé formation]]</f>
        <v>FROLOVA RIVASIIncendie</v>
      </c>
    </row>
    <row r="96" spans="1:8" x14ac:dyDescent="0.25">
      <c r="A96" t="s">
        <v>422</v>
      </c>
      <c r="B96" t="str">
        <f>IFERROR(VLOOKUP(Tableau2[NOM],Tableau5[],COLUMN(Tableau5[Prénom]),FALSE),"")</f>
        <v>Teofilo</v>
      </c>
      <c r="C96" t="str">
        <f>IFERROR(VLOOKUP(Tableau2[NOM],Tableau5[],COLUMN(Tableau5[Nom de la société]),FALSE),"")</f>
        <v>Aub.</v>
      </c>
      <c r="D96" t="str">
        <f>IFERROR(VLOOKUP(Tableau2[NOM],Tableau5[],COLUMN(Tableau5[Nom du manager]),FALSE),"")</f>
        <v>DARDARE</v>
      </c>
      <c r="E96" t="s">
        <v>1326</v>
      </c>
      <c r="F96" s="291">
        <v>43625</v>
      </c>
      <c r="G96" s="296" t="s">
        <v>258</v>
      </c>
      <c r="H96" s="62" t="str">
        <f>Tableau2[[#This Row],[NOM]]&amp;Tableau2[[#This Row],[Intitulé formation]]</f>
        <v>FUENTESIncendie</v>
      </c>
    </row>
    <row r="97" spans="1:8" x14ac:dyDescent="0.25">
      <c r="A97" t="s">
        <v>649</v>
      </c>
      <c r="B97" t="str">
        <f>IFERROR(VLOOKUP(Tableau2[NOM],Tableau5[],COLUMN(Tableau5[Prénom]),FALSE),"")</f>
        <v>Alain</v>
      </c>
      <c r="C97" t="str">
        <f>IFERROR(VLOOKUP(Tableau2[NOM],Tableau5[],COLUMN(Tableau5[Nom de la société]),FALSE),"")</f>
        <v>Aub.</v>
      </c>
      <c r="D97" t="str">
        <f>IFERROR(VLOOKUP(Tableau2[NOM],Tableau5[],COLUMN(Tableau5[Nom du manager]),FALSE),"")</f>
        <v>RICCARDI</v>
      </c>
      <c r="E97" t="s">
        <v>1326</v>
      </c>
      <c r="F97" s="291">
        <v>43625</v>
      </c>
      <c r="G97" s="296" t="s">
        <v>258</v>
      </c>
      <c r="H97" s="62" t="str">
        <f>Tableau2[[#This Row],[NOM]]&amp;Tableau2[[#This Row],[Intitulé formation]]</f>
        <v>GAILLARDIncendie</v>
      </c>
    </row>
    <row r="98" spans="1:8" x14ac:dyDescent="0.25">
      <c r="A98" t="s">
        <v>656</v>
      </c>
      <c r="B98" t="str">
        <f>IFERROR(VLOOKUP(Tableau2[NOM],Tableau5[],COLUMN(Tableau5[Prénom]),FALSE),"")</f>
        <v>Mickael</v>
      </c>
      <c r="C98" t="str">
        <f>IFERROR(VLOOKUP(Tableau2[NOM],Tableau5[],COLUMN(Tableau5[Nom de la société]),FALSE),"")</f>
        <v>Aub.</v>
      </c>
      <c r="D98" t="str">
        <f>IFERROR(VLOOKUP(Tableau2[NOM],Tableau5[],COLUMN(Tableau5[Nom du manager]),FALSE),"")</f>
        <v>SENEPART</v>
      </c>
      <c r="E98" t="s">
        <v>1326</v>
      </c>
      <c r="F98" s="291">
        <v>43625</v>
      </c>
      <c r="G98" s="296" t="s">
        <v>258</v>
      </c>
      <c r="H98" s="62" t="str">
        <f>Tableau2[[#This Row],[NOM]]&amp;Tableau2[[#This Row],[Intitulé formation]]</f>
        <v>GARCIAIncendie</v>
      </c>
    </row>
    <row r="99" spans="1:8" x14ac:dyDescent="0.25">
      <c r="A99" t="s">
        <v>659</v>
      </c>
      <c r="B99" t="str">
        <f>IFERROR(VLOOKUP(Tableau2[NOM],Tableau5[],COLUMN(Tableau5[Prénom]),FALSE),"")</f>
        <v>Laurent</v>
      </c>
      <c r="C99" t="str">
        <f>IFERROR(VLOOKUP(Tableau2[NOM],Tableau5[],COLUMN(Tableau5[Nom de la société]),FALSE),"")</f>
        <v>Aub.</v>
      </c>
      <c r="D99" t="str">
        <f>IFERROR(VLOOKUP(Tableau2[NOM],Tableau5[],COLUMN(Tableau5[Nom du manager]),FALSE),"")</f>
        <v>SENEPART</v>
      </c>
      <c r="E99" t="s">
        <v>1326</v>
      </c>
      <c r="F99" s="291">
        <v>43625</v>
      </c>
      <c r="G99" s="296" t="s">
        <v>258</v>
      </c>
      <c r="H99" s="62" t="str">
        <f>Tableau2[[#This Row],[NOM]]&amp;Tableau2[[#This Row],[Intitulé formation]]</f>
        <v>GAUTHIERIncendie</v>
      </c>
    </row>
    <row r="100" spans="1:8" x14ac:dyDescent="0.25">
      <c r="A100" t="s">
        <v>1001</v>
      </c>
      <c r="B100" t="str">
        <f>IFERROR(VLOOKUP(Tableau2[NOM],Tableau5[],COLUMN(Tableau5[Prénom]),FALSE),"")</f>
        <v>Frederic</v>
      </c>
      <c r="C100" t="str">
        <f>IFERROR(VLOOKUP(Tableau2[NOM],Tableau5[],COLUMN(Tableau5[Nom de la société]),FALSE),"")</f>
        <v>STG</v>
      </c>
      <c r="D100" t="str">
        <f>IFERROR(VLOOKUP(Tableau2[NOM],Tableau5[],COLUMN(Tableau5[Nom du manager]),FALSE),"")</f>
        <v>XUEREB</v>
      </c>
      <c r="E100" t="s">
        <v>1323</v>
      </c>
      <c r="F100" s="291">
        <v>43071</v>
      </c>
      <c r="H100" s="62" t="str">
        <f>Tableau2[[#This Row],[NOM]]&amp;Tableau2[[#This Row],[Intitulé formation]]</f>
        <v>GAYATGestes et postures</v>
      </c>
    </row>
    <row r="101" spans="1:8" x14ac:dyDescent="0.25">
      <c r="A101" t="s">
        <v>1001</v>
      </c>
      <c r="B101" t="str">
        <f>IFERROR(VLOOKUP(Tableau2[NOM],Tableau5[],COLUMN(Tableau5[Prénom]),FALSE),"")</f>
        <v>Frederic</v>
      </c>
      <c r="C101" t="str">
        <f>IFERROR(VLOOKUP(Tableau2[NOM],Tableau5[],COLUMN(Tableau5[Nom de la société]),FALSE),"")</f>
        <v>STG</v>
      </c>
      <c r="D101" t="str">
        <f>IFERROR(VLOOKUP(Tableau2[NOM],Tableau5[],COLUMN(Tableau5[Nom du manager]),FALSE),"")</f>
        <v>XUEREB</v>
      </c>
      <c r="E101" t="s">
        <v>1326</v>
      </c>
      <c r="F101" s="291">
        <v>43506</v>
      </c>
      <c r="G101" s="296" t="s">
        <v>257</v>
      </c>
      <c r="H101" s="62" t="str">
        <f>Tableau2[[#This Row],[NOM]]&amp;Tableau2[[#This Row],[Intitulé formation]]</f>
        <v>GAYATIncendie</v>
      </c>
    </row>
    <row r="102" spans="1:8" x14ac:dyDescent="0.25">
      <c r="A102" t="s">
        <v>1001</v>
      </c>
      <c r="B102" t="str">
        <f>IFERROR(VLOOKUP(Tableau2[NOM],Tableau5[],COLUMN(Tableau5[Prénom]),FALSE),"")</f>
        <v>Frederic</v>
      </c>
      <c r="C102" t="str">
        <f>IFERROR(VLOOKUP(Tableau2[NOM],Tableau5[],COLUMN(Tableau5[Nom de la société]),FALSE),"")</f>
        <v>STG</v>
      </c>
      <c r="D102" t="str">
        <f>IFERROR(VLOOKUP(Tableau2[NOM],Tableau5[],COLUMN(Tableau5[Nom du manager]),FALSE),"")</f>
        <v>XUEREB</v>
      </c>
      <c r="E102" t="s">
        <v>1462</v>
      </c>
      <c r="F102" s="291">
        <v>43751</v>
      </c>
      <c r="G102" s="296" t="s">
        <v>260</v>
      </c>
      <c r="H102" s="62" t="str">
        <f>Tableau2[[#This Row],[NOM]]&amp;Tableau2[[#This Row],[Intitulé formation]]</f>
        <v>GAYATPont roulant</v>
      </c>
    </row>
    <row r="103" spans="1:8" x14ac:dyDescent="0.25">
      <c r="A103" t="s">
        <v>662</v>
      </c>
      <c r="B103" t="str">
        <f>IFERROR(VLOOKUP(Tableau2[NOM],Tableau5[],COLUMN(Tableau5[Prénom]),FALSE),"")</f>
        <v>Ouali</v>
      </c>
      <c r="C103" t="str">
        <f>IFERROR(VLOOKUP(Tableau2[NOM],Tableau5[],COLUMN(Tableau5[Nom de la société]),FALSE),"")</f>
        <v>Aub.</v>
      </c>
      <c r="D103" t="str">
        <f>IFERROR(VLOOKUP(Tableau2[NOM],Tableau5[],COLUMN(Tableau5[Nom du manager]),FALSE),"")</f>
        <v>DARDARE</v>
      </c>
      <c r="E103" t="s">
        <v>1326</v>
      </c>
      <c r="F103" s="291">
        <v>43625</v>
      </c>
      <c r="G103" s="296" t="s">
        <v>258</v>
      </c>
      <c r="H103" s="62" t="str">
        <f>Tableau2[[#This Row],[NOM]]&amp;Tableau2[[#This Row],[Intitulé formation]]</f>
        <v>GHERSAIncendie</v>
      </c>
    </row>
    <row r="104" spans="1:8" x14ac:dyDescent="0.25">
      <c r="A104" t="s">
        <v>666</v>
      </c>
      <c r="B104" t="str">
        <f>IFERROR(VLOOKUP(Tableau2[NOM],Tableau5[],COLUMN(Tableau5[Prénom]),FALSE),"")</f>
        <v>Thierry</v>
      </c>
      <c r="C104" t="str">
        <f>IFERROR(VLOOKUP(Tableau2[NOM],Tableau5[],COLUMN(Tableau5[Nom de la société]),FALSE),"")</f>
        <v>Aub.</v>
      </c>
      <c r="D104" t="str">
        <f>IFERROR(VLOOKUP(Tableau2[NOM],Tableau5[],COLUMN(Tableau5[Nom du manager]),FALSE),"")</f>
        <v>PIFFAUT</v>
      </c>
      <c r="E104" t="s">
        <v>1326</v>
      </c>
      <c r="F104" s="291">
        <v>43625</v>
      </c>
      <c r="G104" s="296" t="s">
        <v>258</v>
      </c>
      <c r="H104" s="62" t="str">
        <f>Tableau2[[#This Row],[NOM]]&amp;Tableau2[[#This Row],[Intitulé formation]]</f>
        <v>GINESTEIncendie</v>
      </c>
    </row>
    <row r="105" spans="1:8" x14ac:dyDescent="0.25">
      <c r="A105" t="s">
        <v>1011</v>
      </c>
      <c r="B105" t="str">
        <f>IFERROR(VLOOKUP(Tableau2[NOM],Tableau5[],COLUMN(Tableau5[Prénom]),FALSE),"")</f>
        <v>Thierry</v>
      </c>
      <c r="C105" t="str">
        <f>IFERROR(VLOOKUP(Tableau2[NOM],Tableau5[],COLUMN(Tableau5[Nom de la société]),FALSE),"")</f>
        <v>STG</v>
      </c>
      <c r="D105" t="str">
        <f>IFERROR(VLOOKUP(Tableau2[NOM],Tableau5[],COLUMN(Tableau5[Nom du manager]),FALSE),"")</f>
        <v>BUISSON</v>
      </c>
      <c r="E105" t="s">
        <v>1323</v>
      </c>
      <c r="F105" s="291">
        <v>42658</v>
      </c>
      <c r="H105" s="62" t="str">
        <f>Tableau2[[#This Row],[NOM]]&amp;Tableau2[[#This Row],[Intitulé formation]]</f>
        <v>GOURBATGestes et postures</v>
      </c>
    </row>
    <row r="106" spans="1:8" x14ac:dyDescent="0.25">
      <c r="A106" t="s">
        <v>672</v>
      </c>
      <c r="B106" t="str">
        <f>IFERROR(VLOOKUP(Tableau2[NOM],Tableau5[],COLUMN(Tableau5[Prénom]),FALSE),"")</f>
        <v>Pierre</v>
      </c>
      <c r="C106" t="str">
        <f>IFERROR(VLOOKUP(Tableau2[NOM],Tableau5[],COLUMN(Tableau5[Nom de la société]),FALSE),"")</f>
        <v>Aub.</v>
      </c>
      <c r="D106" t="str">
        <f>IFERROR(VLOOKUP(Tableau2[NOM],Tableau5[],COLUMN(Tableau5[Nom du manager]),FALSE),"")</f>
        <v>SAVY</v>
      </c>
      <c r="E106" t="s">
        <v>1333</v>
      </c>
      <c r="F106" s="291">
        <v>43742</v>
      </c>
      <c r="G106" s="296" t="s">
        <v>260</v>
      </c>
      <c r="H106" s="62" t="str">
        <f>Tableau2[[#This Row],[NOM]]&amp;Tableau2[[#This Row],[Intitulé formation]]</f>
        <v>GRABARZRisques chimiques</v>
      </c>
    </row>
    <row r="107" spans="1:8" x14ac:dyDescent="0.25">
      <c r="A107" t="s">
        <v>1029</v>
      </c>
      <c r="B107" t="str">
        <f>IFERROR(VLOOKUP(Tableau2[NOM],Tableau5[],COLUMN(Tableau5[Prénom]),FALSE),"")</f>
        <v>Eric</v>
      </c>
      <c r="C107" t="str">
        <f>IFERROR(VLOOKUP(Tableau2[NOM],Tableau5[],COLUMN(Tableau5[Nom de la société]),FALSE),"")</f>
        <v>STG</v>
      </c>
      <c r="D107" t="str">
        <f>IFERROR(VLOOKUP(Tableau2[NOM],Tableau5[],COLUMN(Tableau5[Nom du manager]),FALSE),"")</f>
        <v>XUEREB</v>
      </c>
      <c r="E107" t="s">
        <v>1323</v>
      </c>
      <c r="F107" s="291">
        <v>42812</v>
      </c>
      <c r="H107" s="62" t="str">
        <f>Tableau2[[#This Row],[NOM]]&amp;Tableau2[[#This Row],[Intitulé formation]]</f>
        <v>GRANGIERGestes et postures</v>
      </c>
    </row>
    <row r="108" spans="1:8" x14ac:dyDescent="0.25">
      <c r="A108" t="s">
        <v>1029</v>
      </c>
      <c r="B108" t="str">
        <f>IFERROR(VLOOKUP(Tableau2[NOM],Tableau5[],COLUMN(Tableau5[Prénom]),FALSE),"")</f>
        <v>Eric</v>
      </c>
      <c r="C108" t="str">
        <f>IFERROR(VLOOKUP(Tableau2[NOM],Tableau5[],COLUMN(Tableau5[Nom de la société]),FALSE),"")</f>
        <v>STG</v>
      </c>
      <c r="D108" t="str">
        <f>IFERROR(VLOOKUP(Tableau2[NOM],Tableau5[],COLUMN(Tableau5[Nom du manager]),FALSE),"")</f>
        <v>XUEREB</v>
      </c>
      <c r="E108" t="s">
        <v>1333</v>
      </c>
      <c r="F108" s="291">
        <v>43608</v>
      </c>
      <c r="G108" s="296" t="s">
        <v>258</v>
      </c>
      <c r="H108" s="62" t="str">
        <f>Tableau2[[#This Row],[NOM]]&amp;Tableau2[[#This Row],[Intitulé formation]]</f>
        <v>GRANGIERRisques chimiques</v>
      </c>
    </row>
    <row r="109" spans="1:8" x14ac:dyDescent="0.25">
      <c r="A109" t="s">
        <v>1032</v>
      </c>
      <c r="B109" t="str">
        <f>IFERROR(VLOOKUP(Tableau2[NOM],Tableau5[],COLUMN(Tableau5[Prénom]),FALSE),"")</f>
        <v>Christophe</v>
      </c>
      <c r="C109" t="str">
        <f>IFERROR(VLOOKUP(Tableau2[NOM],Tableau5[],COLUMN(Tableau5[Nom de la société]),FALSE),"")</f>
        <v>STG</v>
      </c>
      <c r="D109" t="str">
        <f>IFERROR(VLOOKUP(Tableau2[NOM],Tableau5[],COLUMN(Tableau5[Nom du manager]),FALSE),"")</f>
        <v>XUEREB</v>
      </c>
      <c r="E109" t="s">
        <v>1323</v>
      </c>
      <c r="F109" s="291" t="s">
        <v>1492</v>
      </c>
      <c r="H109" s="62" t="str">
        <f>Tableau2[[#This Row],[NOM]]&amp;Tableau2[[#This Row],[Intitulé formation]]</f>
        <v>GREPPATGestes et postures</v>
      </c>
    </row>
    <row r="110" spans="1:8" x14ac:dyDescent="0.25">
      <c r="A110" t="s">
        <v>682</v>
      </c>
      <c r="B110" t="str">
        <f>IFERROR(VLOOKUP(Tableau2[NOM],Tableau5[],COLUMN(Tableau5[Prénom]),FALSE),"")</f>
        <v>Bernard</v>
      </c>
      <c r="C110" t="str">
        <f>IFERROR(VLOOKUP(Tableau2[NOM],Tableau5[],COLUMN(Tableau5[Nom de la société]),FALSE),"")</f>
        <v>Aub.</v>
      </c>
      <c r="D110" t="str">
        <f>IFERROR(VLOOKUP(Tableau2[NOM],Tableau5[],COLUMN(Tableau5[Nom du manager]),FALSE),"")</f>
        <v>FUENTES</v>
      </c>
      <c r="E110" t="s">
        <v>1326</v>
      </c>
      <c r="F110" s="291">
        <v>43624</v>
      </c>
      <c r="G110" s="296" t="s">
        <v>258</v>
      </c>
      <c r="H110" s="62" t="str">
        <f>Tableau2[[#This Row],[NOM]]&amp;Tableau2[[#This Row],[Intitulé formation]]</f>
        <v>GUILHONIncendie</v>
      </c>
    </row>
    <row r="111" spans="1:8" x14ac:dyDescent="0.25">
      <c r="A111" t="s">
        <v>682</v>
      </c>
      <c r="B111" t="str">
        <f>IFERROR(VLOOKUP(Tableau2[NOM],Tableau5[],COLUMN(Tableau5[Prénom]),FALSE),"")</f>
        <v>Bernard</v>
      </c>
      <c r="C111" t="str">
        <f>IFERROR(VLOOKUP(Tableau2[NOM],Tableau5[],COLUMN(Tableau5[Nom de la société]),FALSE),"")</f>
        <v>Aub.</v>
      </c>
      <c r="D111" t="str">
        <f>IFERROR(VLOOKUP(Tableau2[NOM],Tableau5[],COLUMN(Tableau5[Nom du manager]),FALSE),"")</f>
        <v>FUENTES</v>
      </c>
      <c r="E111" t="s">
        <v>1333</v>
      </c>
      <c r="F111" s="291">
        <v>43742</v>
      </c>
      <c r="G111" s="296" t="s">
        <v>260</v>
      </c>
      <c r="H111" s="62" t="str">
        <f>Tableau2[[#This Row],[NOM]]&amp;Tableau2[[#This Row],[Intitulé formation]]</f>
        <v>GUILHONRisques chimiques</v>
      </c>
    </row>
    <row r="112" spans="1:8" x14ac:dyDescent="0.25">
      <c r="A112" t="s">
        <v>1039</v>
      </c>
      <c r="B112" t="str">
        <f>IFERROR(VLOOKUP(Tableau2[NOM],Tableau5[],COLUMN(Tableau5[Prénom]),FALSE),"")</f>
        <v>Michel</v>
      </c>
      <c r="C112" t="str">
        <f>IFERROR(VLOOKUP(Tableau2[NOM],Tableau5[],COLUMN(Tableau5[Nom de la société]),FALSE),"")</f>
        <v>STG</v>
      </c>
      <c r="D112" t="str">
        <f>IFERROR(VLOOKUP(Tableau2[NOM],Tableau5[],COLUMN(Tableau5[Nom du manager]),FALSE),"")</f>
        <v>XUEREB</v>
      </c>
      <c r="E112" t="s">
        <v>1323</v>
      </c>
      <c r="F112" s="291">
        <v>42812</v>
      </c>
      <c r="H112" s="62" t="str">
        <f>Tableau2[[#This Row],[NOM]]&amp;Tableau2[[#This Row],[Intitulé formation]]</f>
        <v>GUILLAUDGestes et postures</v>
      </c>
    </row>
    <row r="113" spans="1:8" x14ac:dyDescent="0.25">
      <c r="A113" t="s">
        <v>1039</v>
      </c>
      <c r="B113" t="str">
        <f>IFERROR(VLOOKUP(Tableau2[NOM],Tableau5[],COLUMN(Tableau5[Prénom]),FALSE),"")</f>
        <v>Michel</v>
      </c>
      <c r="C113" t="str">
        <f>IFERROR(VLOOKUP(Tableau2[NOM],Tableau5[],COLUMN(Tableau5[Nom de la société]),FALSE),"")</f>
        <v>STG</v>
      </c>
      <c r="D113" t="str">
        <f>IFERROR(VLOOKUP(Tableau2[NOM],Tableau5[],COLUMN(Tableau5[Nom du manager]),FALSE),"")</f>
        <v>XUEREB</v>
      </c>
      <c r="E113" t="s">
        <v>1326</v>
      </c>
      <c r="F113" s="291">
        <v>43506</v>
      </c>
      <c r="G113" s="296" t="s">
        <v>257</v>
      </c>
      <c r="H113" s="62" t="str">
        <f>Tableau2[[#This Row],[NOM]]&amp;Tableau2[[#This Row],[Intitulé formation]]</f>
        <v>GUILLAUDIncendie</v>
      </c>
    </row>
    <row r="114" spans="1:8" x14ac:dyDescent="0.25">
      <c r="A114" t="s">
        <v>1092</v>
      </c>
      <c r="B114" t="str">
        <f>IFERROR(VLOOKUP(Tableau2[NOM],Tableau5[],COLUMN(Tableau5[Prénom]),FALSE),"")</f>
        <v>Pascal</v>
      </c>
      <c r="C114" t="str">
        <f>IFERROR(VLOOKUP(Tableau2[NOM],Tableau5[],COLUMN(Tableau5[Nom de la société]),FALSE),"")</f>
        <v>Lattes</v>
      </c>
      <c r="D114" t="str">
        <f>IFERROR(VLOOKUP(Tableau2[NOM],Tableau5[],COLUMN(Tableau5[Nom du manager]),FALSE),"")</f>
        <v>VERNE</v>
      </c>
      <c r="E114" t="s">
        <v>1323</v>
      </c>
      <c r="F114" s="291">
        <v>43718</v>
      </c>
      <c r="G114" s="296" t="s">
        <v>259</v>
      </c>
      <c r="H114" s="62" t="str">
        <f>Tableau2[[#This Row],[NOM]]&amp;Tableau2[[#This Row],[Intitulé formation]]</f>
        <v>HAUTOTGestes et postures</v>
      </c>
    </row>
    <row r="115" spans="1:8" x14ac:dyDescent="0.25">
      <c r="A115" t="s">
        <v>688</v>
      </c>
      <c r="B115" t="str">
        <f>IFERROR(VLOOKUP(Tableau2[NOM],Tableau5[],COLUMN(Tableau5[Prénom]),FALSE),"")</f>
        <v>Marjorie</v>
      </c>
      <c r="C115" t="str">
        <f>IFERROR(VLOOKUP(Tableau2[NOM],Tableau5[],COLUMN(Tableau5[Nom de la société]),FALSE),"")</f>
        <v>Aub.</v>
      </c>
      <c r="D115" t="str">
        <f>IFERROR(VLOOKUP(Tableau2[NOM],Tableau5[],COLUMN(Tableau5[Nom du manager]),FALSE),"")</f>
        <v>ALIX</v>
      </c>
      <c r="E115" t="s">
        <v>1326</v>
      </c>
      <c r="F115" s="291">
        <v>43625</v>
      </c>
      <c r="G115" s="296" t="s">
        <v>258</v>
      </c>
      <c r="H115" s="62" t="str">
        <f>Tableau2[[#This Row],[NOM]]&amp;Tableau2[[#This Row],[Intitulé formation]]</f>
        <v>HERITIERIncendie</v>
      </c>
    </row>
    <row r="116" spans="1:8" x14ac:dyDescent="0.25">
      <c r="A116" t="s">
        <v>1165</v>
      </c>
      <c r="B116" t="str">
        <f>IFERROR(VLOOKUP(Tableau2[NOM],Tableau5[],COLUMN(Tableau5[Prénom]),FALSE),"")</f>
        <v>Pierre</v>
      </c>
      <c r="C116" t="str">
        <f>IFERROR(VLOOKUP(Tableau2[NOM],Tableau5[],COLUMN(Tableau5[Nom de la société]),FALSE),"")</f>
        <v>STG</v>
      </c>
      <c r="D116" t="str">
        <f>IFERROR(VLOOKUP(Tableau2[NOM],Tableau5[],COLUMN(Tableau5[Nom du manager]),FALSE),"")</f>
        <v>XUEREB</v>
      </c>
      <c r="E116" t="s">
        <v>1326</v>
      </c>
      <c r="F116" s="291">
        <v>42782</v>
      </c>
      <c r="G116" s="296" t="s">
        <v>257</v>
      </c>
      <c r="H116" s="62" t="str">
        <f>Tableau2[[#This Row],[NOM]]&amp;Tableau2[[#This Row],[Intitulé formation]]</f>
        <v>HERNANDEZIncendie</v>
      </c>
    </row>
    <row r="117" spans="1:8" x14ac:dyDescent="0.25">
      <c r="A117" t="s">
        <v>1064</v>
      </c>
      <c r="B117" t="str">
        <f>IFERROR(VLOOKUP(Tableau2[NOM],Tableau5[],COLUMN(Tableau5[Prénom]),FALSE),"")</f>
        <v>Ludovic</v>
      </c>
      <c r="C117" t="str">
        <f>IFERROR(VLOOKUP(Tableau2[NOM],Tableau5[],COLUMN(Tableau5[Nom de la société]),FALSE),"")</f>
        <v>Lattes</v>
      </c>
      <c r="D117" t="str">
        <f>IFERROR(VLOOKUP(Tableau2[NOM],Tableau5[],COLUMN(Tableau5[Nom du manager]),FALSE),"")</f>
        <v>VERNE</v>
      </c>
      <c r="E117" t="s">
        <v>1333</v>
      </c>
      <c r="F117" s="291">
        <v>43623</v>
      </c>
      <c r="G117" s="296" t="s">
        <v>258</v>
      </c>
      <c r="H117" s="62" t="str">
        <f>Tableau2[[#This Row],[NOM]]&amp;Tableau2[[#This Row],[Intitulé formation]]</f>
        <v>HIPPOLITERisques chimiques</v>
      </c>
    </row>
    <row r="118" spans="1:8" x14ac:dyDescent="0.25">
      <c r="A118" t="s">
        <v>715</v>
      </c>
      <c r="B118" t="str">
        <f>IFERROR(VLOOKUP(Tableau2[NOM],Tableau5[],COLUMN(Tableau5[Prénom]),FALSE),"")</f>
        <v>Jean-Claude</v>
      </c>
      <c r="C118" t="str">
        <f>IFERROR(VLOOKUP(Tableau2[NOM],Tableau5[],COLUMN(Tableau5[Nom de la société]),FALSE),"")</f>
        <v>Aub.</v>
      </c>
      <c r="D118" t="str">
        <f>IFERROR(VLOOKUP(Tableau2[NOM],Tableau5[],COLUMN(Tableau5[Nom du manager]),FALSE),"")</f>
        <v>ALIX</v>
      </c>
      <c r="E118" t="s">
        <v>1326</v>
      </c>
      <c r="F118" s="291">
        <v>43625</v>
      </c>
      <c r="G118" s="296" t="s">
        <v>258</v>
      </c>
      <c r="H118" s="62" t="str">
        <f>Tableau2[[#This Row],[NOM]]&amp;Tableau2[[#This Row],[Intitulé formation]]</f>
        <v>KRASOUSKYIncendie</v>
      </c>
    </row>
    <row r="119" spans="1:8" x14ac:dyDescent="0.25">
      <c r="A119" t="s">
        <v>718</v>
      </c>
      <c r="B119" t="str">
        <f>IFERROR(VLOOKUP(Tableau2[NOM],Tableau5[],COLUMN(Tableau5[Prénom]),FALSE),"")</f>
        <v>Aurelie</v>
      </c>
      <c r="C119" t="str">
        <f>IFERROR(VLOOKUP(Tableau2[NOM],Tableau5[],COLUMN(Tableau5[Nom de la société]),FALSE),"")</f>
        <v>Aub.</v>
      </c>
      <c r="D119" t="str">
        <f>IFERROR(VLOOKUP(Tableau2[NOM],Tableau5[],COLUMN(Tableau5[Nom du manager]),FALSE),"")</f>
        <v>SENEPART</v>
      </c>
      <c r="E119" t="s">
        <v>1326</v>
      </c>
      <c r="F119" s="291">
        <v>43625</v>
      </c>
      <c r="G119" s="296" t="s">
        <v>258</v>
      </c>
      <c r="H119" s="62" t="str">
        <f>Tableau2[[#This Row],[NOM]]&amp;Tableau2[[#This Row],[Intitulé formation]]</f>
        <v>LACLAVEREIncendie</v>
      </c>
    </row>
    <row r="120" spans="1:8" x14ac:dyDescent="0.25">
      <c r="A120" t="s">
        <v>722</v>
      </c>
      <c r="B120" t="str">
        <f>IFERROR(VLOOKUP(Tableau2[NOM],Tableau5[],COLUMN(Tableau5[Prénom]),FALSE),"")</f>
        <v>Thierry</v>
      </c>
      <c r="C120" t="str">
        <f>IFERROR(VLOOKUP(Tableau2[NOM],Tableau5[],COLUMN(Tableau5[Nom de la société]),FALSE),"")</f>
        <v>Aub.</v>
      </c>
      <c r="D120" t="str">
        <f>IFERROR(VLOOKUP(Tableau2[NOM],Tableau5[],COLUMN(Tableau5[Nom du manager]),FALSE),"")</f>
        <v>SENEPART</v>
      </c>
      <c r="E120" t="s">
        <v>1326</v>
      </c>
      <c r="F120" s="291">
        <v>43625</v>
      </c>
      <c r="G120" s="296" t="s">
        <v>258</v>
      </c>
      <c r="H120" s="62" t="str">
        <f>Tableau2[[#This Row],[NOM]]&amp;Tableau2[[#This Row],[Intitulé formation]]</f>
        <v>LACOMBEIncendie</v>
      </c>
    </row>
    <row r="121" spans="1:8" x14ac:dyDescent="0.25">
      <c r="A121" t="s">
        <v>1335</v>
      </c>
      <c r="B121" t="str">
        <f>IFERROR(VLOOKUP(Tableau2[NOM],Tableau5[],COLUMN(Tableau5[Prénom]),FALSE),"")</f>
        <v>Bernard</v>
      </c>
      <c r="C121" t="str">
        <f>IFERROR(VLOOKUP(Tableau2[NOM],Tableau5[],COLUMN(Tableau5[Nom de la société]),FALSE),"")</f>
        <v>Aub.</v>
      </c>
      <c r="D121" t="str">
        <f>IFERROR(VLOOKUP(Tableau2[NOM],Tableau5[],COLUMN(Tableau5[Nom du manager]),FALSE),"")</f>
        <v>SAVY</v>
      </c>
      <c r="E121" t="s">
        <v>1323</v>
      </c>
      <c r="F121" s="291">
        <v>43407</v>
      </c>
      <c r="G121" s="296" t="s">
        <v>260</v>
      </c>
      <c r="H121" s="62" t="str">
        <f>Tableau2[[#This Row],[NOM]]&amp;Tableau2[[#This Row],[Intitulé formation]]</f>
        <v>LACOURBGestes et postures</v>
      </c>
    </row>
    <row r="122" spans="1:8" x14ac:dyDescent="0.25">
      <c r="A122" t="s">
        <v>1334</v>
      </c>
      <c r="B122" t="str">
        <f>IFERROR(VLOOKUP(Tableau2[NOM],Tableau5[],COLUMN(Tableau5[Prénom]),FALSE),"")</f>
        <v>Raphael</v>
      </c>
      <c r="C122" t="str">
        <f>IFERROR(VLOOKUP(Tableau2[NOM],Tableau5[],COLUMN(Tableau5[Nom de la société]),FALSE),"")</f>
        <v>Aub.</v>
      </c>
      <c r="D122" t="str">
        <f>IFERROR(VLOOKUP(Tableau2[NOM],Tableau5[],COLUMN(Tableau5[Nom du manager]),FALSE),"")</f>
        <v>RICCARDI</v>
      </c>
      <c r="E122" t="s">
        <v>1326</v>
      </c>
      <c r="F122" s="291">
        <v>43625</v>
      </c>
      <c r="G122" s="296" t="s">
        <v>258</v>
      </c>
      <c r="H122" s="62" t="str">
        <f>Tableau2[[#This Row],[NOM]]&amp;Tableau2[[#This Row],[Intitulé formation]]</f>
        <v>LACOURRIncendie</v>
      </c>
    </row>
    <row r="123" spans="1:8" x14ac:dyDescent="0.25">
      <c r="A123" t="s">
        <v>1335</v>
      </c>
      <c r="B123" t="str">
        <f>IFERROR(VLOOKUP(Tableau2[NOM],Tableau5[],COLUMN(Tableau5[Prénom]),FALSE),"")</f>
        <v>Bernard</v>
      </c>
      <c r="C123" t="str">
        <f>IFERROR(VLOOKUP(Tableau2[NOM],Tableau5[],COLUMN(Tableau5[Nom de la société]),FALSE),"")</f>
        <v>Aub.</v>
      </c>
      <c r="D123" t="str">
        <f>IFERROR(VLOOKUP(Tableau2[NOM],Tableau5[],COLUMN(Tableau5[Nom du manager]),FALSE),"")</f>
        <v>SAVY</v>
      </c>
      <c r="E123" t="s">
        <v>1333</v>
      </c>
      <c r="F123" s="291">
        <v>43742</v>
      </c>
      <c r="G123" s="296" t="s">
        <v>260</v>
      </c>
      <c r="H123" s="62" t="str">
        <f>Tableau2[[#This Row],[NOM]]&amp;Tableau2[[#This Row],[Intitulé formation]]</f>
        <v>LACOURBRisques chimiques</v>
      </c>
    </row>
    <row r="124" spans="1:8" x14ac:dyDescent="0.25">
      <c r="A124" t="s">
        <v>733</v>
      </c>
      <c r="B124" t="str">
        <f>IFERROR(VLOOKUP(Tableau2[NOM],Tableau5[],COLUMN(Tableau5[Prénom]),FALSE),"")</f>
        <v>Bruno</v>
      </c>
      <c r="C124" t="str">
        <f>IFERROR(VLOOKUP(Tableau2[NOM],Tableau5[],COLUMN(Tableau5[Nom de la société]),FALSE),"")</f>
        <v>Aub.</v>
      </c>
      <c r="D124" t="str">
        <f>IFERROR(VLOOKUP(Tableau2[NOM],Tableau5[],COLUMN(Tableau5[Nom du manager]),FALSE),"")</f>
        <v>PIFFAUT</v>
      </c>
      <c r="E124" t="s">
        <v>1333</v>
      </c>
      <c r="F124" s="291">
        <v>42824</v>
      </c>
      <c r="G124" s="296" t="s">
        <v>257</v>
      </c>
      <c r="H124" s="62" t="str">
        <f>Tableau2[[#This Row],[NOM]]&amp;Tableau2[[#This Row],[Intitulé formation]]</f>
        <v>LADETRisques chimiques</v>
      </c>
    </row>
    <row r="125" spans="1:8" x14ac:dyDescent="0.25">
      <c r="A125" t="s">
        <v>737</v>
      </c>
      <c r="B125" t="str">
        <f>IFERROR(VLOOKUP(Tableau2[NOM],Tableau5[],COLUMN(Tableau5[Prénom]),FALSE),"")</f>
        <v>Fabienne</v>
      </c>
      <c r="C125" t="str">
        <f>IFERROR(VLOOKUP(Tableau2[NOM],Tableau5[],COLUMN(Tableau5[Nom de la société]),FALSE),"")</f>
        <v>Aub.</v>
      </c>
      <c r="D125" t="str">
        <f>IFERROR(VLOOKUP(Tableau2[NOM],Tableau5[],COLUMN(Tableau5[Nom du manager]),FALSE),"")</f>
        <v>DARDARE</v>
      </c>
      <c r="E125" t="s">
        <v>1326</v>
      </c>
      <c r="F125" s="291">
        <v>43625</v>
      </c>
      <c r="G125" s="296" t="s">
        <v>258</v>
      </c>
      <c r="H125" s="62" t="str">
        <f>Tableau2[[#This Row],[NOM]]&amp;Tableau2[[#This Row],[Intitulé formation]]</f>
        <v>LANDRAUDIncendie</v>
      </c>
    </row>
    <row r="126" spans="1:8" x14ac:dyDescent="0.25">
      <c r="A126" t="s">
        <v>737</v>
      </c>
      <c r="B126" t="str">
        <f>IFERROR(VLOOKUP(Tableau2[NOM],Tableau5[],COLUMN(Tableau5[Prénom]),FALSE),"")</f>
        <v>Fabienne</v>
      </c>
      <c r="C126" t="str">
        <f>IFERROR(VLOOKUP(Tableau2[NOM],Tableau5[],COLUMN(Tableau5[Nom de la société]),FALSE),"")</f>
        <v>Aub.</v>
      </c>
      <c r="D126" t="str">
        <f>IFERROR(VLOOKUP(Tableau2[NOM],Tableau5[],COLUMN(Tableau5[Nom du manager]),FALSE),"")</f>
        <v>DARDARE</v>
      </c>
      <c r="E126" t="s">
        <v>1333</v>
      </c>
      <c r="F126" s="291">
        <v>43773</v>
      </c>
      <c r="G126" s="296" t="s">
        <v>260</v>
      </c>
      <c r="H126" s="62" t="str">
        <f>Tableau2[[#This Row],[NOM]]&amp;Tableau2[[#This Row],[Intitulé formation]]</f>
        <v>LANDRAUDRisques chimiques</v>
      </c>
    </row>
    <row r="127" spans="1:8" x14ac:dyDescent="0.25">
      <c r="A127" t="s">
        <v>744</v>
      </c>
      <c r="B127" t="str">
        <f>IFERROR(VLOOKUP(Tableau2[NOM],Tableau5[],COLUMN(Tableau5[Prénom]),FALSE),"")</f>
        <v>Frederic</v>
      </c>
      <c r="C127" t="str">
        <f>IFERROR(VLOOKUP(Tableau2[NOM],Tableau5[],COLUMN(Tableau5[Nom de la société]),FALSE),"")</f>
        <v>Aub.</v>
      </c>
      <c r="D127" t="str">
        <f>IFERROR(VLOOKUP(Tableau2[NOM],Tableau5[],COLUMN(Tableau5[Nom du manager]),FALSE),"")</f>
        <v>SENEPART</v>
      </c>
      <c r="E127" t="s">
        <v>1323</v>
      </c>
      <c r="F127" s="291">
        <v>43541</v>
      </c>
      <c r="G127" s="296" t="s">
        <v>257</v>
      </c>
      <c r="H127" s="62" t="str">
        <f>Tableau2[[#This Row],[NOM]]&amp;Tableau2[[#This Row],[Intitulé formation]]</f>
        <v>LARCHEVEQUEGestes et postures</v>
      </c>
    </row>
    <row r="128" spans="1:8" x14ac:dyDescent="0.25">
      <c r="A128" t="s">
        <v>744</v>
      </c>
      <c r="B128" t="str">
        <f>IFERROR(VLOOKUP(Tableau2[NOM],Tableau5[],COLUMN(Tableau5[Prénom]),FALSE),"")</f>
        <v>Frederic</v>
      </c>
      <c r="C128" t="str">
        <f>IFERROR(VLOOKUP(Tableau2[NOM],Tableau5[],COLUMN(Tableau5[Nom de la société]),FALSE),"")</f>
        <v>Aub.</v>
      </c>
      <c r="D128" t="str">
        <f>IFERROR(VLOOKUP(Tableau2[NOM],Tableau5[],COLUMN(Tableau5[Nom du manager]),FALSE),"")</f>
        <v>SENEPART</v>
      </c>
      <c r="E128" t="s">
        <v>1326</v>
      </c>
      <c r="F128" s="291">
        <v>43625</v>
      </c>
      <c r="G128" s="296" t="s">
        <v>258</v>
      </c>
      <c r="H128" s="62" t="str">
        <f>Tableau2[[#This Row],[NOM]]&amp;Tableau2[[#This Row],[Intitulé formation]]</f>
        <v>LARCHEVEQUEIncendie</v>
      </c>
    </row>
    <row r="129" spans="1:8" x14ac:dyDescent="0.25">
      <c r="A129" t="s">
        <v>1180</v>
      </c>
      <c r="B129" t="str">
        <f>IFERROR(VLOOKUP(Tableau2[NOM],Tableau5[],COLUMN(Tableau5[Prénom]),FALSE),"")</f>
        <v>Xavier</v>
      </c>
      <c r="C129" t="str">
        <f>IFERROR(VLOOKUP(Tableau2[NOM],Tableau5[],COLUMN(Tableau5[Nom de la société]),FALSE),"")</f>
        <v>STG</v>
      </c>
      <c r="D129" t="str">
        <f>IFERROR(VLOOKUP(Tableau2[NOM],Tableau5[],COLUMN(Tableau5[Nom du manager]),FALSE),"")</f>
        <v>FOUASSIER</v>
      </c>
      <c r="E129" t="s">
        <v>1326</v>
      </c>
      <c r="F129" s="291">
        <v>42331</v>
      </c>
      <c r="G129" s="296" t="s">
        <v>260</v>
      </c>
      <c r="H129" s="62" t="str">
        <f>Tableau2[[#This Row],[NOM]]&amp;Tableau2[[#This Row],[Intitulé formation]]</f>
        <v>LATOURREIncendie</v>
      </c>
    </row>
    <row r="130" spans="1:8" x14ac:dyDescent="0.25">
      <c r="A130" t="s">
        <v>122</v>
      </c>
      <c r="B130" t="str">
        <f>IFERROR(VLOOKUP(Tableau2[NOM],Tableau5[],COLUMN(Tableau5[Prénom]),FALSE),"")</f>
        <v>Jean-Pierre</v>
      </c>
      <c r="C130" t="str">
        <f>IFERROR(VLOOKUP(Tableau2[NOM],Tableau5[],COLUMN(Tableau5[Nom de la société]),FALSE),"")</f>
        <v>Lattes</v>
      </c>
      <c r="D130" t="str">
        <f>IFERROR(VLOOKUP(Tableau2[NOM],Tableau5[],COLUMN(Tableau5[Nom du manager]),FALSE),"")</f>
        <v>JACKEL</v>
      </c>
      <c r="E130" t="s">
        <v>1323</v>
      </c>
      <c r="F130" s="291">
        <v>43733</v>
      </c>
      <c r="G130" s="296" t="s">
        <v>259</v>
      </c>
      <c r="H130" s="62" t="str">
        <f>Tableau2[[#This Row],[NOM]]&amp;Tableau2[[#This Row],[Intitulé formation]]</f>
        <v>LAURENTGestes et postures</v>
      </c>
    </row>
    <row r="131" spans="1:8" x14ac:dyDescent="0.25">
      <c r="A131" t="s">
        <v>122</v>
      </c>
      <c r="B131" t="str">
        <f>IFERROR(VLOOKUP(Tableau2[NOM],Tableau5[],COLUMN(Tableau5[Prénom]),FALSE),"")</f>
        <v>Jean-Pierre</v>
      </c>
      <c r="C131" t="str">
        <f>IFERROR(VLOOKUP(Tableau2[NOM],Tableau5[],COLUMN(Tableau5[Nom de la société]),FALSE),"")</f>
        <v>Lattes</v>
      </c>
      <c r="D131" t="str">
        <f>IFERROR(VLOOKUP(Tableau2[NOM],Tableau5[],COLUMN(Tableau5[Nom du manager]),FALSE),"")</f>
        <v>JACKEL</v>
      </c>
      <c r="E131" t="s">
        <v>1462</v>
      </c>
      <c r="F131" s="291">
        <v>43816</v>
      </c>
      <c r="G131" s="296" t="s">
        <v>260</v>
      </c>
      <c r="H131" s="62" t="str">
        <f>Tableau2[[#This Row],[NOM]]&amp;Tableau2[[#This Row],[Intitulé formation]]</f>
        <v>LAURENTPont roulant</v>
      </c>
    </row>
    <row r="132" spans="1:8" x14ac:dyDescent="0.25">
      <c r="A132" t="s">
        <v>1184</v>
      </c>
      <c r="B132" t="str">
        <f>IFERROR(VLOOKUP(Tableau2[NOM],Tableau5[],COLUMN(Tableau5[Prénom]),FALSE),"")</f>
        <v>Didier</v>
      </c>
      <c r="C132" t="str">
        <f>IFERROR(VLOOKUP(Tableau2[NOM],Tableau5[],COLUMN(Tableau5[Nom de la société]),FALSE),"")</f>
        <v>STG</v>
      </c>
      <c r="D132" t="str">
        <f>IFERROR(VLOOKUP(Tableau2[NOM],Tableau5[],COLUMN(Tableau5[Nom du manager]),FALSE),"")</f>
        <v>FOUASSIER</v>
      </c>
      <c r="E132" t="s">
        <v>1326</v>
      </c>
      <c r="F132" s="291">
        <v>43506</v>
      </c>
      <c r="G132" s="296" t="s">
        <v>257</v>
      </c>
      <c r="H132" s="62" t="str">
        <f>Tableau2[[#This Row],[NOM]]&amp;Tableau2[[#This Row],[Intitulé formation]]</f>
        <v>LAUWERSIncendie</v>
      </c>
    </row>
    <row r="133" spans="1:8" x14ac:dyDescent="0.25">
      <c r="A133" t="s">
        <v>1189</v>
      </c>
      <c r="B133" t="str">
        <f>IFERROR(VLOOKUP(Tableau2[NOM],Tableau5[],COLUMN(Tableau5[Prénom]),FALSE),"")</f>
        <v xml:space="preserve">Julie </v>
      </c>
      <c r="C133" t="str">
        <f>IFERROR(VLOOKUP(Tableau2[NOM],Tableau5[],COLUMN(Tableau5[Nom de la société]),FALSE),"")</f>
        <v>STG</v>
      </c>
      <c r="D133" t="str">
        <f>IFERROR(VLOOKUP(Tableau2[NOM],Tableau5[],COLUMN(Tableau5[Nom du manager]),FALSE),"")</f>
        <v>XUEREB</v>
      </c>
      <c r="E133" t="s">
        <v>1326</v>
      </c>
      <c r="F133" s="291">
        <v>43506</v>
      </c>
      <c r="G133" s="296" t="s">
        <v>257</v>
      </c>
      <c r="H133" s="62" t="str">
        <f>Tableau2[[#This Row],[NOM]]&amp;Tableau2[[#This Row],[Intitulé formation]]</f>
        <v>LAVALLEEIncendie</v>
      </c>
    </row>
    <row r="134" spans="1:8" x14ac:dyDescent="0.25">
      <c r="A134" t="s">
        <v>1193</v>
      </c>
      <c r="B134" t="str">
        <f>IFERROR(VLOOKUP(Tableau2[NOM],Tableau5[],COLUMN(Tableau5[Prénom]),FALSE),"")</f>
        <v>Stephane</v>
      </c>
      <c r="C134" t="str">
        <f>IFERROR(VLOOKUP(Tableau2[NOM],Tableau5[],COLUMN(Tableau5[Nom de la société]),FALSE),"")</f>
        <v>STG</v>
      </c>
      <c r="D134" t="str">
        <f>IFERROR(VLOOKUP(Tableau2[NOM],Tableau5[],COLUMN(Tableau5[Nom du manager]),FALSE),"")</f>
        <v>XUEREB</v>
      </c>
      <c r="E134" t="s">
        <v>1323</v>
      </c>
      <c r="F134" s="291" t="s">
        <v>1492</v>
      </c>
      <c r="G134" s="296" t="s">
        <v>258</v>
      </c>
      <c r="H134" s="62" t="str">
        <f>Tableau2[[#This Row],[NOM]]&amp;Tableau2[[#This Row],[Intitulé formation]]</f>
        <v>LEBLANCGestes et postures</v>
      </c>
    </row>
    <row r="135" spans="1:8" x14ac:dyDescent="0.25">
      <c r="A135" t="s">
        <v>752</v>
      </c>
      <c r="B135" t="str">
        <f>IFERROR(VLOOKUP(Tableau2[NOM],Tableau5[],COLUMN(Tableau5[Prénom]),FALSE),"")</f>
        <v>Patricia</v>
      </c>
      <c r="C135" t="str">
        <f>IFERROR(VLOOKUP(Tableau2[NOM],Tableau5[],COLUMN(Tableau5[Nom de la société]),FALSE),"")</f>
        <v>Aub.</v>
      </c>
      <c r="D135" t="str">
        <f>IFERROR(VLOOKUP(Tableau2[NOM],Tableau5[],COLUMN(Tableau5[Nom du manager]),FALSE),"")</f>
        <v>SENEPART</v>
      </c>
      <c r="E135" t="s">
        <v>1326</v>
      </c>
      <c r="F135" s="291">
        <v>42783</v>
      </c>
      <c r="G135" s="296" t="s">
        <v>257</v>
      </c>
      <c r="H135" s="62" t="str">
        <f>Tableau2[[#This Row],[NOM]]&amp;Tableau2[[#This Row],[Intitulé formation]]</f>
        <v>LEBREIncendie</v>
      </c>
    </row>
    <row r="136" spans="1:8" x14ac:dyDescent="0.25">
      <c r="A136" t="s">
        <v>132</v>
      </c>
      <c r="B136" t="str">
        <f>IFERROR(VLOOKUP(Tableau2[NOM],Tableau5[],COLUMN(Tableau5[Prénom]),FALSE),"")</f>
        <v>Bastien</v>
      </c>
      <c r="C136" t="str">
        <f>IFERROR(VLOOKUP(Tableau2[NOM],Tableau5[],COLUMN(Tableau5[Nom de la société]),FALSE),"")</f>
        <v>Aub.</v>
      </c>
      <c r="D136" t="str">
        <f>IFERROR(VLOOKUP(Tableau2[NOM],Tableau5[],COLUMN(Tableau5[Nom du manager]),FALSE),"")</f>
        <v>SENEPART</v>
      </c>
      <c r="E136" t="s">
        <v>1326</v>
      </c>
      <c r="F136" s="291">
        <v>43625</v>
      </c>
      <c r="G136" s="296" t="s">
        <v>258</v>
      </c>
      <c r="H136" s="62" t="str">
        <f>Tableau2[[#This Row],[NOM]]&amp;Tableau2[[#This Row],[Intitulé formation]]</f>
        <v>LEFEBVREIncendie</v>
      </c>
    </row>
    <row r="137" spans="1:8" x14ac:dyDescent="0.25">
      <c r="A137" t="s">
        <v>758</v>
      </c>
      <c r="B137" t="str">
        <f>IFERROR(VLOOKUP(Tableau2[NOM],Tableau5[],COLUMN(Tableau5[Prénom]),FALSE),"")</f>
        <v>Harold</v>
      </c>
      <c r="C137" t="str">
        <f>IFERROR(VLOOKUP(Tableau2[NOM],Tableau5[],COLUMN(Tableau5[Nom de la société]),FALSE),"")</f>
        <v>Aub.</v>
      </c>
      <c r="D137" t="str">
        <f>IFERROR(VLOOKUP(Tableau2[NOM],Tableau5[],COLUMN(Tableau5[Nom du manager]),FALSE),"")</f>
        <v>FUENTES</v>
      </c>
      <c r="E137" t="s">
        <v>1326</v>
      </c>
      <c r="F137" s="291">
        <v>43625</v>
      </c>
      <c r="G137" s="296" t="s">
        <v>258</v>
      </c>
      <c r="H137" s="62" t="str">
        <f>Tableau2[[#This Row],[NOM]]&amp;Tableau2[[#This Row],[Intitulé formation]]</f>
        <v>LEFRONTIncendie</v>
      </c>
    </row>
    <row r="138" spans="1:8" x14ac:dyDescent="0.25">
      <c r="A138" t="s">
        <v>1131</v>
      </c>
      <c r="B138" t="str">
        <f>IFERROR(VLOOKUP(Tableau2[NOM],Tableau5[],COLUMN(Tableau5[Prénom]),FALSE),"")</f>
        <v>Roxane</v>
      </c>
      <c r="C138" t="str">
        <f>IFERROR(VLOOKUP(Tableau2[NOM],Tableau5[],COLUMN(Tableau5[Nom de la société]),FALSE),"")</f>
        <v>Lattes</v>
      </c>
      <c r="D138" t="str">
        <f>IFERROR(VLOOKUP(Tableau2[NOM],Tableau5[],COLUMN(Tableau5[Nom du manager]),FALSE),"")</f>
        <v>VERNE</v>
      </c>
      <c r="E138" t="s">
        <v>1323</v>
      </c>
      <c r="F138" s="291">
        <v>43733</v>
      </c>
      <c r="G138" s="296" t="s">
        <v>259</v>
      </c>
      <c r="H138" s="62" t="str">
        <f>Tableau2[[#This Row],[NOM]]&amp;Tableau2[[#This Row],[Intitulé formation]]</f>
        <v>LEGAGNEUXGestes et postures</v>
      </c>
    </row>
    <row r="139" spans="1:8" x14ac:dyDescent="0.25">
      <c r="A139" t="s">
        <v>767</v>
      </c>
      <c r="B139" t="str">
        <f>IFERROR(VLOOKUP(Tableau2[NOM],Tableau5[],COLUMN(Tableau5[Prénom]),FALSE),"")</f>
        <v>Philippe</v>
      </c>
      <c r="C139" t="str">
        <f>IFERROR(VLOOKUP(Tableau2[NOM],Tableau5[],COLUMN(Tableau5[Nom de la société]),FALSE),"")</f>
        <v>Aub.</v>
      </c>
      <c r="D139" t="str">
        <f>IFERROR(VLOOKUP(Tableau2[NOM],Tableau5[],COLUMN(Tableau5[Nom du manager]),FALSE),"")</f>
        <v>SENEPART</v>
      </c>
      <c r="E139" t="s">
        <v>1326</v>
      </c>
      <c r="F139" s="291">
        <v>43625</v>
      </c>
      <c r="G139" s="296" t="s">
        <v>258</v>
      </c>
      <c r="H139" s="62" t="str">
        <f>Tableau2[[#This Row],[NOM]]&amp;Tableau2[[#This Row],[Intitulé formation]]</f>
        <v>LOYRIONIncendie</v>
      </c>
    </row>
    <row r="140" spans="1:8" x14ac:dyDescent="0.25">
      <c r="A140" t="s">
        <v>770</v>
      </c>
      <c r="B140" t="str">
        <f>IFERROR(VLOOKUP(Tableau2[NOM],Tableau5[],COLUMN(Tableau5[Prénom]),FALSE),"")</f>
        <v>Stephane</v>
      </c>
      <c r="C140" t="str">
        <f>IFERROR(VLOOKUP(Tableau2[NOM],Tableau5[],COLUMN(Tableau5[Nom de la société]),FALSE),"")</f>
        <v>Aub.</v>
      </c>
      <c r="D140" t="str">
        <f>IFERROR(VLOOKUP(Tableau2[NOM],Tableau5[],COLUMN(Tableau5[Nom du manager]),FALSE),"")</f>
        <v>SENEPART</v>
      </c>
      <c r="E140" t="s">
        <v>1323</v>
      </c>
      <c r="F140" s="291">
        <v>43534</v>
      </c>
      <c r="G140" s="296" t="s">
        <v>257</v>
      </c>
      <c r="H140" s="62" t="str">
        <f>Tableau2[[#This Row],[NOM]]&amp;Tableau2[[#This Row],[Intitulé formation]]</f>
        <v>LURIEGestes et postures</v>
      </c>
    </row>
    <row r="141" spans="1:8" x14ac:dyDescent="0.25">
      <c r="A141" t="s">
        <v>770</v>
      </c>
      <c r="B141" t="str">
        <f>IFERROR(VLOOKUP(Tableau2[NOM],Tableau5[],COLUMN(Tableau5[Prénom]),FALSE),"")</f>
        <v>Stephane</v>
      </c>
      <c r="C141" t="str">
        <f>IFERROR(VLOOKUP(Tableau2[NOM],Tableau5[],COLUMN(Tableau5[Nom de la société]),FALSE),"")</f>
        <v>Aub.</v>
      </c>
      <c r="D141" t="str">
        <f>IFERROR(VLOOKUP(Tableau2[NOM],Tableau5[],COLUMN(Tableau5[Nom du manager]),FALSE),"")</f>
        <v>SENEPART</v>
      </c>
      <c r="E141" t="s">
        <v>1326</v>
      </c>
      <c r="F141" s="291">
        <v>43625</v>
      </c>
      <c r="G141" s="296" t="s">
        <v>258</v>
      </c>
      <c r="H141" s="62" t="str">
        <f>Tableau2[[#This Row],[NOM]]&amp;Tableau2[[#This Row],[Intitulé formation]]</f>
        <v>LURIEIncendie</v>
      </c>
    </row>
    <row r="142" spans="1:8" x14ac:dyDescent="0.25">
      <c r="A142" t="s">
        <v>1127</v>
      </c>
      <c r="B142" t="str">
        <f>IFERROR(VLOOKUP(Tableau2[NOM],Tableau5[],COLUMN(Tableau5[Prénom]),FALSE),"")</f>
        <v>Francis</v>
      </c>
      <c r="C142" t="str">
        <f>IFERROR(VLOOKUP(Tableau2[NOM],Tableau5[],COLUMN(Tableau5[Nom de la société]),FALSE),"")</f>
        <v>Lattes</v>
      </c>
      <c r="D142" t="str">
        <f>IFERROR(VLOOKUP(Tableau2[NOM],Tableau5[],COLUMN(Tableau5[Nom du manager]),FALSE),"")</f>
        <v>VERNE</v>
      </c>
      <c r="E142" t="s">
        <v>1323</v>
      </c>
      <c r="F142" s="291" t="s">
        <v>1492</v>
      </c>
      <c r="G142" s="296" t="s">
        <v>260</v>
      </c>
      <c r="H142" s="62" t="str">
        <f>Tableau2[[#This Row],[NOM]]&amp;Tableau2[[#This Row],[Intitulé formation]]</f>
        <v>MANGEOLLEGestes et postures</v>
      </c>
    </row>
    <row r="143" spans="1:8" x14ac:dyDescent="0.25">
      <c r="A143" t="s">
        <v>776</v>
      </c>
      <c r="B143" t="str">
        <f>IFERROR(VLOOKUP(Tableau2[NOM],Tableau5[],COLUMN(Tableau5[Prénom]),FALSE),"")</f>
        <v>Dominique</v>
      </c>
      <c r="C143" t="str">
        <f>IFERROR(VLOOKUP(Tableau2[NOM],Tableau5[],COLUMN(Tableau5[Nom de la société]),FALSE),"")</f>
        <v>Aub.</v>
      </c>
      <c r="D143" t="str">
        <f>IFERROR(VLOOKUP(Tableau2[NOM],Tableau5[],COLUMN(Tableau5[Nom du manager]),FALSE),"")</f>
        <v>ALIX</v>
      </c>
      <c r="E143" t="s">
        <v>1323</v>
      </c>
      <c r="F143" s="291">
        <v>43541</v>
      </c>
      <c r="G143" s="296" t="s">
        <v>257</v>
      </c>
      <c r="H143" s="62" t="str">
        <f>Tableau2[[#This Row],[NOM]]&amp;Tableau2[[#This Row],[Intitulé formation]]</f>
        <v>MARTINGestes et postures</v>
      </c>
    </row>
    <row r="144" spans="1:8" x14ac:dyDescent="0.25">
      <c r="A144" t="s">
        <v>776</v>
      </c>
      <c r="B144" t="str">
        <f>IFERROR(VLOOKUP(Tableau2[NOM],Tableau5[],COLUMN(Tableau5[Prénom]),FALSE),"")</f>
        <v>Dominique</v>
      </c>
      <c r="C144" t="str">
        <f>IFERROR(VLOOKUP(Tableau2[NOM],Tableau5[],COLUMN(Tableau5[Nom de la société]),FALSE),"")</f>
        <v>Aub.</v>
      </c>
      <c r="D144" t="str">
        <f>IFERROR(VLOOKUP(Tableau2[NOM],Tableau5[],COLUMN(Tableau5[Nom du manager]),FALSE),"")</f>
        <v>ALIX</v>
      </c>
      <c r="E144" t="s">
        <v>1326</v>
      </c>
      <c r="F144" s="291">
        <v>43625</v>
      </c>
      <c r="G144" s="296" t="s">
        <v>258</v>
      </c>
      <c r="H144" s="62" t="str">
        <f>Tableau2[[#This Row],[NOM]]&amp;Tableau2[[#This Row],[Intitulé formation]]</f>
        <v>MARTINIncendie</v>
      </c>
    </row>
    <row r="145" spans="1:8" x14ac:dyDescent="0.25">
      <c r="A145" t="s">
        <v>784</v>
      </c>
      <c r="B145" t="str">
        <f>IFERROR(VLOOKUP(Tableau2[NOM],Tableau5[],COLUMN(Tableau5[Prénom]),FALSE),"")</f>
        <v>Jacky</v>
      </c>
      <c r="C145" t="str">
        <f>IFERROR(VLOOKUP(Tableau2[NOM],Tableau5[],COLUMN(Tableau5[Nom de la société]),FALSE),"")</f>
        <v>Aub.</v>
      </c>
      <c r="D145" t="str">
        <f>IFERROR(VLOOKUP(Tableau2[NOM],Tableau5[],COLUMN(Tableau5[Nom du manager]),FALSE),"")</f>
        <v>ALIX</v>
      </c>
      <c r="E145" t="s">
        <v>1326</v>
      </c>
      <c r="F145" s="291">
        <v>43625</v>
      </c>
      <c r="G145" s="296" t="s">
        <v>258</v>
      </c>
      <c r="H145" s="62" t="str">
        <f>Tableau2[[#This Row],[NOM]]&amp;Tableau2[[#This Row],[Intitulé formation]]</f>
        <v>MASMEJEANIncendie</v>
      </c>
    </row>
    <row r="146" spans="1:8" x14ac:dyDescent="0.25">
      <c r="A146" t="s">
        <v>1200</v>
      </c>
      <c r="B146" t="str">
        <f>IFERROR(VLOOKUP(Tableau2[NOM],Tableau5[],COLUMN(Tableau5[Prénom]),FALSE),"")</f>
        <v>Romain</v>
      </c>
      <c r="C146" t="str">
        <f>IFERROR(VLOOKUP(Tableau2[NOM],Tableau5[],COLUMN(Tableau5[Nom de la société]),FALSE),"")</f>
        <v>STG</v>
      </c>
      <c r="D146" t="str">
        <f>IFERROR(VLOOKUP(Tableau2[NOM],Tableau5[],COLUMN(Tableau5[Nom du manager]),FALSE),"")</f>
        <v>FOUASSIER</v>
      </c>
      <c r="E146" t="s">
        <v>1326</v>
      </c>
      <c r="F146" s="291" t="s">
        <v>518</v>
      </c>
      <c r="H146" s="62" t="str">
        <f>Tableau2[[#This Row],[NOM]]&amp;Tableau2[[#This Row],[Intitulé formation]]</f>
        <v>MENANTEAUIncendie</v>
      </c>
    </row>
    <row r="147" spans="1:8" x14ac:dyDescent="0.25">
      <c r="A147" t="s">
        <v>103</v>
      </c>
      <c r="B147" t="str">
        <f>IFERROR(VLOOKUP(Tableau2[NOM],Tableau5[],COLUMN(Tableau5[Prénom]),FALSE),"")</f>
        <v>Clement</v>
      </c>
      <c r="C147" t="str">
        <f>IFERROR(VLOOKUP(Tableau2[NOM],Tableau5[],COLUMN(Tableau5[Nom de la société]),FALSE),"")</f>
        <v>STG</v>
      </c>
      <c r="D147" t="str">
        <f>IFERROR(VLOOKUP(Tableau2[NOM],Tableau5[],COLUMN(Tableau5[Nom du manager]),FALSE),"")</f>
        <v>FOUASSIER</v>
      </c>
      <c r="E147" t="s">
        <v>1326</v>
      </c>
      <c r="F147" s="291" t="s">
        <v>518</v>
      </c>
      <c r="H147" s="62" t="str">
        <f>Tableau2[[#This Row],[NOM]]&amp;Tableau2[[#This Row],[Intitulé formation]]</f>
        <v>MICHELIncendie</v>
      </c>
    </row>
    <row r="148" spans="1:8" x14ac:dyDescent="0.25">
      <c r="A148" t="s">
        <v>1210</v>
      </c>
      <c r="B148" t="str">
        <f>IFERROR(VLOOKUP(Tableau2[NOM],Tableau5[],COLUMN(Tableau5[Prénom]),FALSE),"")</f>
        <v>Jonathan</v>
      </c>
      <c r="C148" t="str">
        <f>IFERROR(VLOOKUP(Tableau2[NOM],Tableau5[],COLUMN(Tableau5[Nom de la société]),FALSE),"")</f>
        <v>STG</v>
      </c>
      <c r="D148" t="str">
        <f>IFERROR(VLOOKUP(Tableau2[NOM],Tableau5[],COLUMN(Tableau5[Nom du manager]),FALSE),"")</f>
        <v>XUEREB</v>
      </c>
      <c r="E148" t="s">
        <v>1326</v>
      </c>
      <c r="F148" s="291">
        <v>43506</v>
      </c>
      <c r="G148" s="296" t="s">
        <v>258</v>
      </c>
      <c r="H148" s="62" t="str">
        <f>Tableau2[[#This Row],[NOM]]&amp;Tableau2[[#This Row],[Intitulé formation]]</f>
        <v>MOLLIERIncendie</v>
      </c>
    </row>
    <row r="149" spans="1:8" x14ac:dyDescent="0.25">
      <c r="A149" t="s">
        <v>800</v>
      </c>
      <c r="B149" t="str">
        <f>IFERROR(VLOOKUP(Tableau2[NOM],Tableau5[],COLUMN(Tableau5[Prénom]),FALSE),"")</f>
        <v>Christophe</v>
      </c>
      <c r="C149" t="str">
        <f>IFERROR(VLOOKUP(Tableau2[NOM],Tableau5[],COLUMN(Tableau5[Nom de la société]),FALSE),"")</f>
        <v>Aub.</v>
      </c>
      <c r="D149" t="str">
        <f>IFERROR(VLOOKUP(Tableau2[NOM],Tableau5[],COLUMN(Tableau5[Nom du manager]),FALSE),"")</f>
        <v>RICCARDI</v>
      </c>
      <c r="E149" t="s">
        <v>1326</v>
      </c>
      <c r="F149" s="291">
        <v>43625</v>
      </c>
      <c r="G149" s="296" t="s">
        <v>258</v>
      </c>
      <c r="H149" s="62" t="str">
        <f>Tableau2[[#This Row],[NOM]]&amp;Tableau2[[#This Row],[Intitulé formation]]</f>
        <v>MOULINIncendie</v>
      </c>
    </row>
    <row r="150" spans="1:8" x14ac:dyDescent="0.25">
      <c r="A150" t="s">
        <v>1215</v>
      </c>
      <c r="B150" t="str">
        <f>IFERROR(VLOOKUP(Tableau2[NOM],Tableau5[],COLUMN(Tableau5[Prénom]),FALSE),"")</f>
        <v>Johnattan</v>
      </c>
      <c r="C150" t="str">
        <f>IFERROR(VLOOKUP(Tableau2[NOM],Tableau5[],COLUMN(Tableau5[Nom de la société]),FALSE),"")</f>
        <v>STG</v>
      </c>
      <c r="D150" t="str">
        <f>IFERROR(VLOOKUP(Tableau2[NOM],Tableau5[],COLUMN(Tableau5[Nom du manager]),FALSE),"")</f>
        <v>XUEREB</v>
      </c>
      <c r="E150" t="s">
        <v>1326</v>
      </c>
      <c r="F150" s="291">
        <v>43506</v>
      </c>
      <c r="G150" s="296" t="s">
        <v>257</v>
      </c>
      <c r="H150" s="62" t="str">
        <f>Tableau2[[#This Row],[NOM]]&amp;Tableau2[[#This Row],[Intitulé formation]]</f>
        <v>NAVIZETIncendie</v>
      </c>
    </row>
    <row r="151" spans="1:8" x14ac:dyDescent="0.25">
      <c r="A151" t="s">
        <v>1215</v>
      </c>
      <c r="B151" t="str">
        <f>IFERROR(VLOOKUP(Tableau2[NOM],Tableau5[],COLUMN(Tableau5[Prénom]),FALSE),"")</f>
        <v>Johnattan</v>
      </c>
      <c r="C151" t="str">
        <f>IFERROR(VLOOKUP(Tableau2[NOM],Tableau5[],COLUMN(Tableau5[Nom de la société]),FALSE),"")</f>
        <v>STG</v>
      </c>
      <c r="D151" t="str">
        <f>IFERROR(VLOOKUP(Tableau2[NOM],Tableau5[],COLUMN(Tableau5[Nom du manager]),FALSE),"")</f>
        <v>XUEREB</v>
      </c>
      <c r="E151" t="s">
        <v>1333</v>
      </c>
      <c r="F151" s="291">
        <v>43608</v>
      </c>
      <c r="G151" s="296" t="s">
        <v>258</v>
      </c>
      <c r="H151" s="62" t="str">
        <f>Tableau2[[#This Row],[NOM]]&amp;Tableau2[[#This Row],[Intitulé formation]]</f>
        <v>NAVIZETRisques chimiques</v>
      </c>
    </row>
    <row r="152" spans="1:8" x14ac:dyDescent="0.25">
      <c r="A152" t="s">
        <v>810</v>
      </c>
      <c r="B152" t="str">
        <f>IFERROR(VLOOKUP(Tableau2[NOM],Tableau5[],COLUMN(Tableau5[Prénom]),FALSE),"")</f>
        <v>Gregory</v>
      </c>
      <c r="C152" t="str">
        <f>IFERROR(VLOOKUP(Tableau2[NOM],Tableau5[],COLUMN(Tableau5[Nom de la société]),FALSE),"")</f>
        <v>Aub.</v>
      </c>
      <c r="D152" t="str">
        <f>IFERROR(VLOOKUP(Tableau2[NOM],Tableau5[],COLUMN(Tableau5[Nom du manager]),FALSE),"")</f>
        <v>PIFFAUT</v>
      </c>
      <c r="E152" t="s">
        <v>1323</v>
      </c>
      <c r="F152" s="291" t="s">
        <v>1492</v>
      </c>
      <c r="H152" s="62" t="str">
        <f>Tableau2[[#This Row],[NOM]]&amp;Tableau2[[#This Row],[Intitulé formation]]</f>
        <v>NEGREGestes et postures</v>
      </c>
    </row>
    <row r="153" spans="1:8" x14ac:dyDescent="0.25">
      <c r="A153" t="s">
        <v>810</v>
      </c>
      <c r="B153" t="str">
        <f>IFERROR(VLOOKUP(Tableau2[NOM],Tableau5[],COLUMN(Tableau5[Prénom]),FALSE),"")</f>
        <v>Gregory</v>
      </c>
      <c r="C153" t="str">
        <f>IFERROR(VLOOKUP(Tableau2[NOM],Tableau5[],COLUMN(Tableau5[Nom de la société]),FALSE),"")</f>
        <v>Aub.</v>
      </c>
      <c r="D153" t="str">
        <f>IFERROR(VLOOKUP(Tableau2[NOM],Tableau5[],COLUMN(Tableau5[Nom du manager]),FALSE),"")</f>
        <v>PIFFAUT</v>
      </c>
      <c r="E153" t="s">
        <v>1326</v>
      </c>
      <c r="F153" s="291" t="s">
        <v>518</v>
      </c>
      <c r="H153" s="62" t="str">
        <f>Tableau2[[#This Row],[NOM]]&amp;Tableau2[[#This Row],[Intitulé formation]]</f>
        <v>NEGREIncendie</v>
      </c>
    </row>
    <row r="154" spans="1:8" x14ac:dyDescent="0.25">
      <c r="A154" t="s">
        <v>100</v>
      </c>
      <c r="B154" t="str">
        <f>IFERROR(VLOOKUP(Tableau2[NOM],Tableau5[],COLUMN(Tableau5[Prénom]),FALSE),"")</f>
        <v>Gregory</v>
      </c>
      <c r="C154" t="str">
        <f>IFERROR(VLOOKUP(Tableau2[NOM],Tableau5[],COLUMN(Tableau5[Nom de la société]),FALSE),"")</f>
        <v>STG</v>
      </c>
      <c r="D154" t="str">
        <f>IFERROR(VLOOKUP(Tableau2[NOM],Tableau5[],COLUMN(Tableau5[Nom du manager]),FALSE),"")</f>
        <v>XUEREB</v>
      </c>
      <c r="E154" t="s">
        <v>1326</v>
      </c>
      <c r="F154" s="291">
        <v>43506</v>
      </c>
      <c r="G154" s="296" t="s">
        <v>257</v>
      </c>
      <c r="H154" s="62" t="str">
        <f>Tableau2[[#This Row],[NOM]]&amp;Tableau2[[#This Row],[Intitulé formation]]</f>
        <v>NICOLASIncendie</v>
      </c>
    </row>
    <row r="155" spans="1:8" x14ac:dyDescent="0.25">
      <c r="A155" t="s">
        <v>822</v>
      </c>
      <c r="B155" t="str">
        <f>IFERROR(VLOOKUP(Tableau2[NOM],Tableau5[],COLUMN(Tableau5[Prénom]),FALSE),"")</f>
        <v>Richard</v>
      </c>
      <c r="C155" t="str">
        <f>IFERROR(VLOOKUP(Tableau2[NOM],Tableau5[],COLUMN(Tableau5[Nom de la société]),FALSE),"")</f>
        <v>Aub.</v>
      </c>
      <c r="D155" t="str">
        <f>IFERROR(VLOOKUP(Tableau2[NOM],Tableau5[],COLUMN(Tableau5[Nom du manager]),FALSE),"")</f>
        <v>ALIX</v>
      </c>
      <c r="E155" t="s">
        <v>1323</v>
      </c>
      <c r="F155" s="291">
        <v>43352</v>
      </c>
      <c r="G155" s="296" t="s">
        <v>259</v>
      </c>
      <c r="H155" s="62" t="str">
        <f>Tableau2[[#This Row],[NOM]]&amp;Tableau2[[#This Row],[Intitulé formation]]</f>
        <v>NOUISGestes et postures</v>
      </c>
    </row>
    <row r="156" spans="1:8" x14ac:dyDescent="0.25">
      <c r="A156" t="s">
        <v>1223</v>
      </c>
      <c r="B156" t="str">
        <f>IFERROR(VLOOKUP(Tableau2[NOM],Tableau5[],COLUMN(Tableau5[Prénom]),FALSE),"")</f>
        <v>Ghislaine</v>
      </c>
      <c r="C156" t="str">
        <f>IFERROR(VLOOKUP(Tableau2[NOM],Tableau5[],COLUMN(Tableau5[Nom de la société]),FALSE),"")</f>
        <v>STG</v>
      </c>
      <c r="D156" t="str">
        <f>IFERROR(VLOOKUP(Tableau2[NOM],Tableau5[],COLUMN(Tableau5[Nom du manager]),FALSE),"")</f>
        <v>FOUASSIER</v>
      </c>
      <c r="E156" t="s">
        <v>1326</v>
      </c>
      <c r="F156" s="291">
        <v>43506</v>
      </c>
      <c r="G156" s="296" t="s">
        <v>257</v>
      </c>
      <c r="H156" s="62" t="str">
        <f>Tableau2[[#This Row],[NOM]]&amp;Tableau2[[#This Row],[Intitulé formation]]</f>
        <v>NURYIncendie</v>
      </c>
    </row>
    <row r="157" spans="1:8" x14ac:dyDescent="0.25">
      <c r="A157" t="s">
        <v>1223</v>
      </c>
      <c r="B157" t="str">
        <f>IFERROR(VLOOKUP(Tableau2[NOM],Tableau5[],COLUMN(Tableau5[Prénom]),FALSE),"")</f>
        <v>Ghislaine</v>
      </c>
      <c r="C157" t="str">
        <f>IFERROR(VLOOKUP(Tableau2[NOM],Tableau5[],COLUMN(Tableau5[Nom de la société]),FALSE),"")</f>
        <v>STG</v>
      </c>
      <c r="D157" t="str">
        <f>IFERROR(VLOOKUP(Tableau2[NOM],Tableau5[],COLUMN(Tableau5[Nom du manager]),FALSE),"")</f>
        <v>FOUASSIER</v>
      </c>
      <c r="E157" t="s">
        <v>1333</v>
      </c>
      <c r="F157" s="291">
        <v>42791</v>
      </c>
      <c r="G157" s="296" t="s">
        <v>257</v>
      </c>
      <c r="H157" s="62" t="str">
        <f>Tableau2[[#This Row],[NOM]]&amp;Tableau2[[#This Row],[Intitulé formation]]</f>
        <v>NURYRisques chimiques</v>
      </c>
    </row>
    <row r="158" spans="1:8" x14ac:dyDescent="0.25">
      <c r="A158" t="s">
        <v>1230</v>
      </c>
      <c r="B158" t="str">
        <f>IFERROR(VLOOKUP(Tableau2[NOM],Tableau5[],COLUMN(Tableau5[Prénom]),FALSE),"")</f>
        <v>Thomas</v>
      </c>
      <c r="C158" t="str">
        <f>IFERROR(VLOOKUP(Tableau2[NOM],Tableau5[],COLUMN(Tableau5[Nom de la société]),FALSE),"")</f>
        <v>STG</v>
      </c>
      <c r="D158" t="str">
        <f>IFERROR(VLOOKUP(Tableau2[NOM],Tableau5[],COLUMN(Tableau5[Nom du manager]),FALSE),"")</f>
        <v>XUEREB</v>
      </c>
      <c r="E158" t="s">
        <v>1323</v>
      </c>
      <c r="F158" s="291" t="s">
        <v>1492</v>
      </c>
      <c r="H158" s="62" t="str">
        <f>Tableau2[[#This Row],[NOM]]&amp;Tableau2[[#This Row],[Intitulé formation]]</f>
        <v>ORTUNOGestes et postures</v>
      </c>
    </row>
    <row r="159" spans="1:8" x14ac:dyDescent="0.25">
      <c r="A159" t="s">
        <v>1237</v>
      </c>
      <c r="B159" t="str">
        <f>IFERROR(VLOOKUP(Tableau2[NOM],Tableau5[],COLUMN(Tableau5[Prénom]),FALSE),"")</f>
        <v>Lionel</v>
      </c>
      <c r="C159" t="str">
        <f>IFERROR(VLOOKUP(Tableau2[NOM],Tableau5[],COLUMN(Tableau5[Nom de la société]),FALSE),"")</f>
        <v>STG</v>
      </c>
      <c r="D159" t="str">
        <f>IFERROR(VLOOKUP(Tableau2[NOM],Tableau5[],COLUMN(Tableau5[Nom du manager]),FALSE),"")</f>
        <v>XUEREB</v>
      </c>
      <c r="E159" t="s">
        <v>1326</v>
      </c>
      <c r="F159" s="291" t="s">
        <v>518</v>
      </c>
      <c r="H159" s="62" t="str">
        <f>Tableau2[[#This Row],[NOM]]&amp;Tableau2[[#This Row],[Intitulé formation]]</f>
        <v>PATRASIncendie</v>
      </c>
    </row>
    <row r="160" spans="1:8" x14ac:dyDescent="0.25">
      <c r="A160" t="s">
        <v>829</v>
      </c>
      <c r="B160" t="str">
        <f>IFERROR(VLOOKUP(Tableau2[NOM],Tableau5[],COLUMN(Tableau5[Prénom]),FALSE),"")</f>
        <v>Eliseu</v>
      </c>
      <c r="C160" t="str">
        <f>IFERROR(VLOOKUP(Tableau2[NOM],Tableau5[],COLUMN(Tableau5[Nom de la société]),FALSE),"")</f>
        <v>Aub.</v>
      </c>
      <c r="D160" t="str">
        <f>IFERROR(VLOOKUP(Tableau2[NOM],Tableau5[],COLUMN(Tableau5[Nom du manager]),FALSE),"")</f>
        <v>ALIX</v>
      </c>
      <c r="E160" t="s">
        <v>1326</v>
      </c>
      <c r="F160" s="291">
        <v>43625</v>
      </c>
      <c r="G160" s="296" t="s">
        <v>258</v>
      </c>
      <c r="H160" s="62" t="str">
        <f>Tableau2[[#This Row],[NOM]]&amp;Tableau2[[#This Row],[Intitulé formation]]</f>
        <v>PEREIRAIncendie</v>
      </c>
    </row>
    <row r="161" spans="1:8" x14ac:dyDescent="0.25">
      <c r="A161" t="s">
        <v>833</v>
      </c>
      <c r="B161" t="str">
        <f>IFERROR(VLOOKUP(Tableau2[NOM],Tableau5[],COLUMN(Tableau5[Prénom]),FALSE),"")</f>
        <v>Nicolas</v>
      </c>
      <c r="C161" t="str">
        <f>IFERROR(VLOOKUP(Tableau2[NOM],Tableau5[],COLUMN(Tableau5[Nom de la société]),FALSE),"")</f>
        <v>Aub.</v>
      </c>
      <c r="D161" t="str">
        <f>IFERROR(VLOOKUP(Tableau2[NOM],Tableau5[],COLUMN(Tableau5[Nom du manager]),FALSE),"")</f>
        <v>SENEPART</v>
      </c>
      <c r="E161" t="s">
        <v>1326</v>
      </c>
      <c r="F161" s="291">
        <v>43625</v>
      </c>
      <c r="G161" s="296" t="s">
        <v>258</v>
      </c>
      <c r="H161" s="62" t="str">
        <f>Tableau2[[#This Row],[NOM]]&amp;Tableau2[[#This Row],[Intitulé formation]]</f>
        <v>PEYTIERIncendie</v>
      </c>
    </row>
    <row r="162" spans="1:8" x14ac:dyDescent="0.25">
      <c r="A162" t="s">
        <v>833</v>
      </c>
      <c r="B162" t="str">
        <f>IFERROR(VLOOKUP(Tableau2[NOM],Tableau5[],COLUMN(Tableau5[Prénom]),FALSE),"")</f>
        <v>Nicolas</v>
      </c>
      <c r="C162" t="str">
        <f>IFERROR(VLOOKUP(Tableau2[NOM],Tableau5[],COLUMN(Tableau5[Nom de la société]),FALSE),"")</f>
        <v>Aub.</v>
      </c>
      <c r="D162" t="str">
        <f>IFERROR(VLOOKUP(Tableau2[NOM],Tableau5[],COLUMN(Tableau5[Nom du manager]),FALSE),"")</f>
        <v>SENEPART</v>
      </c>
      <c r="E162" t="s">
        <v>1333</v>
      </c>
      <c r="F162" s="291">
        <v>43742</v>
      </c>
      <c r="G162" s="296" t="s">
        <v>260</v>
      </c>
      <c r="H162" s="62" t="str">
        <f>Tableau2[[#This Row],[NOM]]&amp;Tableau2[[#This Row],[Intitulé formation]]</f>
        <v>PEYTIERRisques chimiques</v>
      </c>
    </row>
    <row r="163" spans="1:8" x14ac:dyDescent="0.25">
      <c r="A163" t="s">
        <v>836</v>
      </c>
      <c r="B163" t="str">
        <f>IFERROR(VLOOKUP(Tableau2[NOM],Tableau5[],COLUMN(Tableau5[Prénom]),FALSE),"")</f>
        <v>Thierry</v>
      </c>
      <c r="C163" t="str">
        <f>IFERROR(VLOOKUP(Tableau2[NOM],Tableau5[],COLUMN(Tableau5[Nom de la société]),FALSE),"")</f>
        <v>Aub.</v>
      </c>
      <c r="D163" t="str">
        <f>IFERROR(VLOOKUP(Tableau2[NOM],Tableau5[],COLUMN(Tableau5[Nom du manager]),FALSE),"")</f>
        <v>DARDARE</v>
      </c>
      <c r="E163" t="s">
        <v>1326</v>
      </c>
      <c r="F163" s="291">
        <v>43625</v>
      </c>
      <c r="G163" s="296" t="s">
        <v>258</v>
      </c>
      <c r="H163" s="62" t="str">
        <f>Tableau2[[#This Row],[NOM]]&amp;Tableau2[[#This Row],[Intitulé formation]]</f>
        <v>PICOLLETIncendie</v>
      </c>
    </row>
    <row r="164" spans="1:8" x14ac:dyDescent="0.25">
      <c r="A164" t="s">
        <v>836</v>
      </c>
      <c r="B164" t="str">
        <f>IFERROR(VLOOKUP(Tableau2[NOM],Tableau5[],COLUMN(Tableau5[Prénom]),FALSE),"")</f>
        <v>Thierry</v>
      </c>
      <c r="C164" t="str">
        <f>IFERROR(VLOOKUP(Tableau2[NOM],Tableau5[],COLUMN(Tableau5[Nom de la société]),FALSE),"")</f>
        <v>Aub.</v>
      </c>
      <c r="D164" t="str">
        <f>IFERROR(VLOOKUP(Tableau2[NOM],Tableau5[],COLUMN(Tableau5[Nom du manager]),FALSE),"")</f>
        <v>DARDARE</v>
      </c>
      <c r="E164" t="s">
        <v>1333</v>
      </c>
      <c r="F164" s="291">
        <v>42825</v>
      </c>
      <c r="G164" s="296" t="s">
        <v>257</v>
      </c>
      <c r="H164" s="62" t="str">
        <f>Tableau2[[#This Row],[NOM]]&amp;Tableau2[[#This Row],[Intitulé formation]]</f>
        <v>PICOLLETRisques chimiques</v>
      </c>
    </row>
    <row r="165" spans="1:8" x14ac:dyDescent="0.25">
      <c r="A165" t="s">
        <v>849</v>
      </c>
      <c r="B165" t="str">
        <f>IFERROR(VLOOKUP(Tableau2[NOM],Tableau5[],COLUMN(Tableau5[Prénom]),FALSE),"")</f>
        <v>Stephane</v>
      </c>
      <c r="C165" t="str">
        <f>IFERROR(VLOOKUP(Tableau2[NOM],Tableau5[],COLUMN(Tableau5[Nom de la société]),FALSE),"")</f>
        <v>Aub.</v>
      </c>
      <c r="D165" t="str">
        <f>IFERROR(VLOOKUP(Tableau2[NOM],Tableau5[],COLUMN(Tableau5[Nom du manager]),FALSE),"")</f>
        <v>ALIX</v>
      </c>
      <c r="E165" t="s">
        <v>1326</v>
      </c>
      <c r="F165" s="291">
        <v>43625</v>
      </c>
      <c r="G165" s="296" t="s">
        <v>258</v>
      </c>
      <c r="H165" s="62" t="str">
        <f>Tableau2[[#This Row],[NOM]]&amp;Tableau2[[#This Row],[Intitulé formation]]</f>
        <v>PIQIncendie</v>
      </c>
    </row>
    <row r="166" spans="1:8" x14ac:dyDescent="0.25">
      <c r="A166" t="s">
        <v>324</v>
      </c>
      <c r="B166" t="str">
        <f>IFERROR(VLOOKUP(Tableau2[NOM],Tableau5[],COLUMN(Tableau5[Prénom]),FALSE),"")</f>
        <v>Laurence</v>
      </c>
      <c r="C166" t="str">
        <f>IFERROR(VLOOKUP(Tableau2[NOM],Tableau5[],COLUMN(Tableau5[Nom de la société]),FALSE),"")</f>
        <v>Lattes</v>
      </c>
      <c r="D166" t="str">
        <f>IFERROR(VLOOKUP(Tableau2[NOM],Tableau5[],COLUMN(Tableau5[Nom du manager]),FALSE),"")</f>
        <v>VERNE</v>
      </c>
      <c r="E166" t="s">
        <v>1323</v>
      </c>
      <c r="F166" s="291">
        <v>43718</v>
      </c>
      <c r="G166" s="296" t="s">
        <v>259</v>
      </c>
      <c r="H166" s="62" t="str">
        <f>Tableau2[[#This Row],[NOM]]&amp;Tableau2[[#This Row],[Intitulé formation]]</f>
        <v>POINTGestes et postures</v>
      </c>
    </row>
    <row r="167" spans="1:8" x14ac:dyDescent="0.25">
      <c r="A167" t="s">
        <v>856</v>
      </c>
      <c r="B167" t="str">
        <f>IFERROR(VLOOKUP(Tableau2[NOM],Tableau5[],COLUMN(Tableau5[Prénom]),FALSE),"")</f>
        <v>Claude</v>
      </c>
      <c r="C167" t="str">
        <f>IFERROR(VLOOKUP(Tableau2[NOM],Tableau5[],COLUMN(Tableau5[Nom de la société]),FALSE),"")</f>
        <v>Aub.</v>
      </c>
      <c r="D167" t="str">
        <f>IFERROR(VLOOKUP(Tableau2[NOM],Tableau5[],COLUMN(Tableau5[Nom du manager]),FALSE),"")</f>
        <v>HAON</v>
      </c>
      <c r="E167" t="s">
        <v>1326</v>
      </c>
      <c r="F167" s="291">
        <v>43625</v>
      </c>
      <c r="G167" s="296" t="s">
        <v>258</v>
      </c>
      <c r="H167" s="62" t="str">
        <f>Tableau2[[#This Row],[NOM]]&amp;Tableau2[[#This Row],[Intitulé formation]]</f>
        <v>PONTALIncendie</v>
      </c>
    </row>
    <row r="168" spans="1:8" x14ac:dyDescent="0.25">
      <c r="A168" t="s">
        <v>859</v>
      </c>
      <c r="B168" t="str">
        <f>IFERROR(VLOOKUP(Tableau2[NOM],Tableau5[],COLUMN(Tableau5[Prénom]),FALSE),"")</f>
        <v>Laurent</v>
      </c>
      <c r="C168" t="str">
        <f>IFERROR(VLOOKUP(Tableau2[NOM],Tableau5[],COLUMN(Tableau5[Nom de la société]),FALSE),"")</f>
        <v>Aub.</v>
      </c>
      <c r="D168" t="str">
        <f>IFERROR(VLOOKUP(Tableau2[NOM],Tableau5[],COLUMN(Tableau5[Nom du manager]),FALSE),"")</f>
        <v>SENEPART</v>
      </c>
      <c r="E168" t="s">
        <v>1326</v>
      </c>
      <c r="F168" s="291">
        <v>43625</v>
      </c>
      <c r="G168" s="296" t="s">
        <v>258</v>
      </c>
      <c r="H168" s="62" t="str">
        <f>Tableau2[[#This Row],[NOM]]&amp;Tableau2[[#This Row],[Intitulé formation]]</f>
        <v>POUGETIncendie</v>
      </c>
    </row>
    <row r="169" spans="1:8" x14ac:dyDescent="0.25">
      <c r="A169" t="s">
        <v>1246</v>
      </c>
      <c r="B169" t="str">
        <f>IFERROR(VLOOKUP(Tableau2[NOM],Tableau5[],COLUMN(Tableau5[Prénom]),FALSE),"")</f>
        <v>Nicolas</v>
      </c>
      <c r="C169" t="str">
        <f>IFERROR(VLOOKUP(Tableau2[NOM],Tableau5[],COLUMN(Tableau5[Nom de la société]),FALSE),"")</f>
        <v>STG</v>
      </c>
      <c r="D169" t="str">
        <f>IFERROR(VLOOKUP(Tableau2[NOM],Tableau5[],COLUMN(Tableau5[Nom du manager]),FALSE),"")</f>
        <v>FOUASSIER</v>
      </c>
      <c r="E169" t="s">
        <v>1326</v>
      </c>
      <c r="F169" s="291">
        <v>43506</v>
      </c>
      <c r="G169" s="296" t="s">
        <v>257</v>
      </c>
      <c r="H169" s="62" t="str">
        <f>Tableau2[[#This Row],[NOM]]&amp;Tableau2[[#This Row],[Intitulé formation]]</f>
        <v>PRALONGIncendie</v>
      </c>
    </row>
    <row r="170" spans="1:8" x14ac:dyDescent="0.25">
      <c r="A170" t="s">
        <v>1099</v>
      </c>
      <c r="B170" t="str">
        <f>IFERROR(VLOOKUP(Tableau2[NOM],Tableau5[],COLUMN(Tableau5[Prénom]),FALSE),"")</f>
        <v>Jean-Marc</v>
      </c>
      <c r="C170" t="str">
        <f>IFERROR(VLOOKUP(Tableau2[NOM],Tableau5[],COLUMN(Tableau5[Nom de la société]),FALSE),"")</f>
        <v>Lattes</v>
      </c>
      <c r="D170" t="str">
        <f>IFERROR(VLOOKUP(Tableau2[NOM],Tableau5[],COLUMN(Tableau5[Nom du manager]),FALSE),"")</f>
        <v>VERNE</v>
      </c>
      <c r="E170" t="s">
        <v>1323</v>
      </c>
      <c r="F170" s="291">
        <v>43733</v>
      </c>
      <c r="G170" s="296" t="s">
        <v>259</v>
      </c>
      <c r="H170" s="62" t="str">
        <f>Tableau2[[#This Row],[NOM]]&amp;Tableau2[[#This Row],[Intitulé formation]]</f>
        <v>PRIEURGestes et postures</v>
      </c>
    </row>
    <row r="171" spans="1:8" x14ac:dyDescent="0.25">
      <c r="A171" t="s">
        <v>868</v>
      </c>
      <c r="B171" t="str">
        <f>IFERROR(VLOOKUP(Tableau2[NOM],Tableau5[],COLUMN(Tableau5[Prénom]),FALSE),"")</f>
        <v>Jean-Marie</v>
      </c>
      <c r="C171" t="str">
        <f>IFERROR(VLOOKUP(Tableau2[NOM],Tableau5[],COLUMN(Tableau5[Nom de la société]),FALSE),"")</f>
        <v>Aub.</v>
      </c>
      <c r="D171" t="str">
        <f>IFERROR(VLOOKUP(Tableau2[NOM],Tableau5[],COLUMN(Tableau5[Nom du manager]),FALSE),"")</f>
        <v>FUENTES</v>
      </c>
      <c r="E171" t="s">
        <v>1323</v>
      </c>
      <c r="F171" s="291">
        <v>43534</v>
      </c>
      <c r="G171" s="296" t="s">
        <v>257</v>
      </c>
      <c r="H171" s="62" t="str">
        <f>Tableau2[[#This Row],[NOM]]&amp;Tableau2[[#This Row],[Intitulé formation]]</f>
        <v>RAVINETGestes et postures</v>
      </c>
    </row>
    <row r="172" spans="1:8" x14ac:dyDescent="0.25">
      <c r="A172" t="s">
        <v>868</v>
      </c>
      <c r="B172" t="str">
        <f>IFERROR(VLOOKUP(Tableau2[NOM],Tableau5[],COLUMN(Tableau5[Prénom]),FALSE),"")</f>
        <v>Jean-Marie</v>
      </c>
      <c r="C172" t="str">
        <f>IFERROR(VLOOKUP(Tableau2[NOM],Tableau5[],COLUMN(Tableau5[Nom de la société]),FALSE),"")</f>
        <v>Aub.</v>
      </c>
      <c r="D172" t="str">
        <f>IFERROR(VLOOKUP(Tableau2[NOM],Tableau5[],COLUMN(Tableau5[Nom du manager]),FALSE),"")</f>
        <v>FUENTES</v>
      </c>
      <c r="E172" t="s">
        <v>1326</v>
      </c>
      <c r="F172" s="291">
        <v>43625</v>
      </c>
      <c r="G172" s="296" t="s">
        <v>258</v>
      </c>
      <c r="H172" s="62" t="str">
        <f>Tableau2[[#This Row],[NOM]]&amp;Tableau2[[#This Row],[Intitulé formation]]</f>
        <v>RAVINETIncendie</v>
      </c>
    </row>
    <row r="173" spans="1:8" x14ac:dyDescent="0.25">
      <c r="A173" t="s">
        <v>1103</v>
      </c>
      <c r="B173" t="str">
        <f>IFERROR(VLOOKUP(Tableau2[NOM],Tableau5[],COLUMN(Tableau5[Prénom]),FALSE),"")</f>
        <v>Laurent</v>
      </c>
      <c r="C173" t="str">
        <f>IFERROR(VLOOKUP(Tableau2[NOM],Tableau5[],COLUMN(Tableau5[Nom de la société]),FALSE),"")</f>
        <v>Lattes</v>
      </c>
      <c r="D173" t="str">
        <f>IFERROR(VLOOKUP(Tableau2[NOM],Tableau5[],COLUMN(Tableau5[Nom du manager]),FALSE),"")</f>
        <v>VERNE</v>
      </c>
      <c r="E173" t="s">
        <v>1323</v>
      </c>
      <c r="F173" s="291">
        <v>43733</v>
      </c>
      <c r="G173" s="296" t="s">
        <v>259</v>
      </c>
      <c r="H173" s="62" t="str">
        <f>Tableau2[[#This Row],[NOM]]&amp;Tableau2[[#This Row],[Intitulé formation]]</f>
        <v>REVERTEGestes et postures</v>
      </c>
    </row>
    <row r="174" spans="1:8" x14ac:dyDescent="0.25">
      <c r="A174" t="s">
        <v>1052</v>
      </c>
      <c r="B174" t="str">
        <f>IFERROR(VLOOKUP(Tableau2[NOM],Tableau5[],COLUMN(Tableau5[Prénom]),FALSE),"")</f>
        <v>Mohamed</v>
      </c>
      <c r="C174" t="str">
        <f>IFERROR(VLOOKUP(Tableau2[NOM],Tableau5[],COLUMN(Tableau5[Nom de la société]),FALSE),"")</f>
        <v>Lattes</v>
      </c>
      <c r="D174" t="str">
        <f>IFERROR(VLOOKUP(Tableau2[NOM],Tableau5[],COLUMN(Tableau5[Nom du manager]),FALSE),"")</f>
        <v>VERNE</v>
      </c>
      <c r="E174" t="s">
        <v>1323</v>
      </c>
      <c r="F174" s="291">
        <v>43733</v>
      </c>
      <c r="G174" s="296" t="s">
        <v>259</v>
      </c>
      <c r="H174" s="62" t="str">
        <f>Tableau2[[#This Row],[NOM]]&amp;Tableau2[[#This Row],[Intitulé formation]]</f>
        <v>RGOUAIGestes et postures</v>
      </c>
    </row>
    <row r="175" spans="1:8" x14ac:dyDescent="0.25">
      <c r="A175" t="s">
        <v>1052</v>
      </c>
      <c r="B175" t="str">
        <f>IFERROR(VLOOKUP(Tableau2[NOM],Tableau5[],COLUMN(Tableau5[Prénom]),FALSE),"")</f>
        <v>Mohamed</v>
      </c>
      <c r="C175" t="str">
        <f>IFERROR(VLOOKUP(Tableau2[NOM],Tableau5[],COLUMN(Tableau5[Nom de la société]),FALSE),"")</f>
        <v>Lattes</v>
      </c>
      <c r="D175" t="str">
        <f>IFERROR(VLOOKUP(Tableau2[NOM],Tableau5[],COLUMN(Tableau5[Nom du manager]),FALSE),"")</f>
        <v>VERNE</v>
      </c>
      <c r="E175" t="s">
        <v>1333</v>
      </c>
      <c r="F175" s="291">
        <v>43623</v>
      </c>
      <c r="G175" s="296" t="s">
        <v>258</v>
      </c>
      <c r="H175" s="62" t="str">
        <f>Tableau2[[#This Row],[NOM]]&amp;Tableau2[[#This Row],[Intitulé formation]]</f>
        <v>RGOUAIRisques chimiques</v>
      </c>
    </row>
    <row r="176" spans="1:8" x14ac:dyDescent="0.25">
      <c r="A176" t="s">
        <v>1119</v>
      </c>
      <c r="B176" t="str">
        <f>IFERROR(VLOOKUP(Tableau2[NOM],Tableau5[],COLUMN(Tableau5[Prénom]),FALSE),"")</f>
        <v>Michel</v>
      </c>
      <c r="C176" t="str">
        <f>IFERROR(VLOOKUP(Tableau2[NOM],Tableau5[],COLUMN(Tableau5[Nom de la société]),FALSE),"")</f>
        <v>Lattes</v>
      </c>
      <c r="D176" t="str">
        <f>IFERROR(VLOOKUP(Tableau2[NOM],Tableau5[],COLUMN(Tableau5[Nom du manager]),FALSE),"")</f>
        <v>VERNE</v>
      </c>
      <c r="E176" t="s">
        <v>1323</v>
      </c>
      <c r="F176" s="291">
        <v>43816</v>
      </c>
      <c r="G176" s="296" t="s">
        <v>260</v>
      </c>
      <c r="H176" s="62" t="str">
        <f>Tableau2[[#This Row],[NOM]]&amp;Tableau2[[#This Row],[Intitulé formation]]</f>
        <v>RISUENOGestes et postures</v>
      </c>
    </row>
    <row r="177" spans="1:8" x14ac:dyDescent="0.25">
      <c r="A177" t="s">
        <v>877</v>
      </c>
      <c r="B177" t="str">
        <f>IFERROR(VLOOKUP(Tableau2[NOM],Tableau5[],COLUMN(Tableau5[Prénom]),FALSE),"")</f>
        <v>Thierry</v>
      </c>
      <c r="C177" t="str">
        <f>IFERROR(VLOOKUP(Tableau2[NOM],Tableau5[],COLUMN(Tableau5[Nom de la société]),FALSE),"")</f>
        <v>Aub.</v>
      </c>
      <c r="D177" t="str">
        <f>IFERROR(VLOOKUP(Tableau2[NOM],Tableau5[],COLUMN(Tableau5[Nom du manager]),FALSE),"")</f>
        <v>ALIX</v>
      </c>
      <c r="E177" t="s">
        <v>1326</v>
      </c>
      <c r="F177" s="291">
        <v>43716</v>
      </c>
      <c r="G177" s="296" t="s">
        <v>259</v>
      </c>
      <c r="H177" s="62" t="str">
        <f>Tableau2[[#This Row],[NOM]]&amp;Tableau2[[#This Row],[Intitulé formation]]</f>
        <v>ROMANIncendie</v>
      </c>
    </row>
    <row r="178" spans="1:8" x14ac:dyDescent="0.25">
      <c r="A178" t="s">
        <v>1074</v>
      </c>
      <c r="B178" t="str">
        <f>IFERROR(VLOOKUP(Tableau2[NOM],Tableau5[],COLUMN(Tableau5[Prénom]),FALSE),"")</f>
        <v>Alain</v>
      </c>
      <c r="C178" t="str">
        <f>IFERROR(VLOOKUP(Tableau2[NOM],Tableau5[],COLUMN(Tableau5[Nom de la société]),FALSE),"")</f>
        <v>Lattes</v>
      </c>
      <c r="D178" t="str">
        <f>IFERROR(VLOOKUP(Tableau2[NOM],Tableau5[],COLUMN(Tableau5[Nom du manager]),FALSE),"")</f>
        <v>VERNE</v>
      </c>
      <c r="E178" t="s">
        <v>1323</v>
      </c>
      <c r="F178" s="291">
        <v>43816</v>
      </c>
      <c r="G178" s="296" t="s">
        <v>260</v>
      </c>
      <c r="H178" s="62" t="str">
        <f>Tableau2[[#This Row],[NOM]]&amp;Tableau2[[#This Row],[Intitulé formation]]</f>
        <v>ROUCHEGestes et postures</v>
      </c>
    </row>
    <row r="179" spans="1:8" x14ac:dyDescent="0.25">
      <c r="A179" t="s">
        <v>1061</v>
      </c>
      <c r="B179" t="str">
        <f>IFERROR(VLOOKUP(Tableau2[NOM],Tableau5[],COLUMN(Tableau5[Prénom]),FALSE),"")</f>
        <v>Christian</v>
      </c>
      <c r="C179" t="str">
        <f>IFERROR(VLOOKUP(Tableau2[NOM],Tableau5[],COLUMN(Tableau5[Nom de la société]),FALSE),"")</f>
        <v>Lattes</v>
      </c>
      <c r="D179" t="str">
        <f>IFERROR(VLOOKUP(Tableau2[NOM],Tableau5[],COLUMN(Tableau5[Nom du manager]),FALSE),"")</f>
        <v>JACKEL</v>
      </c>
      <c r="E179" t="s">
        <v>1462</v>
      </c>
      <c r="F179" s="291">
        <v>43400</v>
      </c>
      <c r="G179" s="296" t="s">
        <v>260</v>
      </c>
      <c r="H179" s="62" t="str">
        <f>Tableau2[[#This Row],[NOM]]&amp;Tableau2[[#This Row],[Intitulé formation]]</f>
        <v>RUGGIEROPont roulant</v>
      </c>
    </row>
    <row r="180" spans="1:8" x14ac:dyDescent="0.25">
      <c r="A180" t="s">
        <v>1123</v>
      </c>
      <c r="B180" t="str">
        <f>IFERROR(VLOOKUP(Tableau2[NOM],Tableau5[],COLUMN(Tableau5[Prénom]),FALSE),"")</f>
        <v>Albert</v>
      </c>
      <c r="C180" t="str">
        <f>IFERROR(VLOOKUP(Tableau2[NOM],Tableau5[],COLUMN(Tableau5[Nom de la société]),FALSE),"")</f>
        <v>Lattes</v>
      </c>
      <c r="D180" t="str">
        <f>IFERROR(VLOOKUP(Tableau2[NOM],Tableau5[],COLUMN(Tableau5[Nom du manager]),FALSE),"")</f>
        <v>VERNE</v>
      </c>
      <c r="E180" t="s">
        <v>1323</v>
      </c>
      <c r="F180" s="291">
        <v>43718</v>
      </c>
      <c r="G180" s="296" t="s">
        <v>259</v>
      </c>
      <c r="H180" s="62" t="str">
        <f>Tableau2[[#This Row],[NOM]]&amp;Tableau2[[#This Row],[Intitulé formation]]</f>
        <v>SALAGestes et postures</v>
      </c>
    </row>
    <row r="181" spans="1:8" x14ac:dyDescent="0.25">
      <c r="A181" t="s">
        <v>1249</v>
      </c>
      <c r="B181" t="str">
        <f>IFERROR(VLOOKUP(Tableau2[NOM],Tableau5[],COLUMN(Tableau5[Prénom]),FALSE),"")</f>
        <v>Jean-Christophe</v>
      </c>
      <c r="C181" t="str">
        <f>IFERROR(VLOOKUP(Tableau2[NOM],Tableau5[],COLUMN(Tableau5[Nom de la société]),FALSE),"")</f>
        <v>STG</v>
      </c>
      <c r="D181" t="str">
        <f>IFERROR(VLOOKUP(Tableau2[NOM],Tableau5[],COLUMN(Tableau5[Nom du manager]),FALSE),"")</f>
        <v>FOUASSIER</v>
      </c>
      <c r="E181" t="s">
        <v>1323</v>
      </c>
      <c r="F181" s="291" t="s">
        <v>1492</v>
      </c>
      <c r="H181" s="62" t="str">
        <f>Tableau2[[#This Row],[NOM]]&amp;Tableau2[[#This Row],[Intitulé formation]]</f>
        <v>SAVARREGestes et postures</v>
      </c>
    </row>
    <row r="182" spans="1:8" x14ac:dyDescent="0.25">
      <c r="A182" t="s">
        <v>1249</v>
      </c>
      <c r="B182" t="str">
        <f>IFERROR(VLOOKUP(Tableau2[NOM],Tableau5[],COLUMN(Tableau5[Prénom]),FALSE),"")</f>
        <v>Jean-Christophe</v>
      </c>
      <c r="C182" t="str">
        <f>IFERROR(VLOOKUP(Tableau2[NOM],Tableau5[],COLUMN(Tableau5[Nom de la société]),FALSE),"")</f>
        <v>STG</v>
      </c>
      <c r="D182" t="str">
        <f>IFERROR(VLOOKUP(Tableau2[NOM],Tableau5[],COLUMN(Tableau5[Nom du manager]),FALSE),"")</f>
        <v>FOUASSIER</v>
      </c>
      <c r="E182" t="s">
        <v>1326</v>
      </c>
      <c r="F182" s="291">
        <v>43506</v>
      </c>
      <c r="G182" s="296" t="s">
        <v>257</v>
      </c>
      <c r="H182" s="62" t="str">
        <f>Tableau2[[#This Row],[NOM]]&amp;Tableau2[[#This Row],[Intitulé formation]]</f>
        <v>SAVARREIncendie</v>
      </c>
    </row>
    <row r="183" spans="1:8" x14ac:dyDescent="0.25">
      <c r="A183" t="s">
        <v>895</v>
      </c>
      <c r="B183" t="str">
        <f>IFERROR(VLOOKUP(Tableau2[NOM],Tableau5[],COLUMN(Tableau5[Prénom]),FALSE),"")</f>
        <v>Eric</v>
      </c>
      <c r="C183" t="str">
        <f>IFERROR(VLOOKUP(Tableau2[NOM],Tableau5[],COLUMN(Tableau5[Nom de la société]),FALSE),"")</f>
        <v>Aub.</v>
      </c>
      <c r="D183" t="str">
        <f>IFERROR(VLOOKUP(Tableau2[NOM],Tableau5[],COLUMN(Tableau5[Nom du manager]),FALSE),"")</f>
        <v>DARDARE</v>
      </c>
      <c r="E183" t="s">
        <v>1326</v>
      </c>
      <c r="F183" s="291">
        <v>43625</v>
      </c>
      <c r="G183" s="296" t="s">
        <v>258</v>
      </c>
      <c r="H183" s="62" t="str">
        <f>Tableau2[[#This Row],[NOM]]&amp;Tableau2[[#This Row],[Intitulé formation]]</f>
        <v>SCHILLINGERIncendie</v>
      </c>
    </row>
    <row r="184" spans="1:8" x14ac:dyDescent="0.25">
      <c r="A184" t="s">
        <v>1254</v>
      </c>
      <c r="B184" t="str">
        <f>IFERROR(VLOOKUP(Tableau2[NOM],Tableau5[],COLUMN(Tableau5[Prénom]),FALSE),"")</f>
        <v>Sylvain</v>
      </c>
      <c r="C184" t="str">
        <f>IFERROR(VLOOKUP(Tableau2[NOM],Tableau5[],COLUMN(Tableau5[Nom de la société]),FALSE),"")</f>
        <v>STG</v>
      </c>
      <c r="D184" t="str">
        <f>IFERROR(VLOOKUP(Tableau2[NOM],Tableau5[],COLUMN(Tableau5[Nom du manager]),FALSE),"")</f>
        <v>BUISSON</v>
      </c>
      <c r="E184" t="s">
        <v>1326</v>
      </c>
      <c r="F184" s="291">
        <v>43506</v>
      </c>
      <c r="G184" s="296" t="s">
        <v>257</v>
      </c>
      <c r="H184" s="62" t="str">
        <f>Tableau2[[#This Row],[NOM]]&amp;Tableau2[[#This Row],[Intitulé formation]]</f>
        <v>SCOLASTICAIncendie</v>
      </c>
    </row>
    <row r="185" spans="1:8" x14ac:dyDescent="0.25">
      <c r="A185" t="s">
        <v>409</v>
      </c>
      <c r="B185" t="str">
        <f>IFERROR(VLOOKUP(Tableau2[NOM],Tableau5[],COLUMN(Tableau5[Prénom]),FALSE),"")</f>
        <v>Laurence</v>
      </c>
      <c r="C185" t="str">
        <f>IFERROR(VLOOKUP(Tableau2[NOM],Tableau5[],COLUMN(Tableau5[Nom de la société]),FALSE),"")</f>
        <v>Aub.</v>
      </c>
      <c r="D185" t="str">
        <f>IFERROR(VLOOKUP(Tableau2[NOM],Tableau5[],COLUMN(Tableau5[Nom du manager]),FALSE),"")</f>
        <v>CHATAIGNER</v>
      </c>
      <c r="E185" t="s">
        <v>1326</v>
      </c>
      <c r="F185" s="291">
        <v>43714</v>
      </c>
      <c r="G185" s="296" t="s">
        <v>259</v>
      </c>
      <c r="H185" s="62" t="str">
        <f>Tableau2[[#This Row],[NOM]]&amp;Tableau2[[#This Row],[Intitulé formation]]</f>
        <v>SENEPARTIncendie</v>
      </c>
    </row>
    <row r="186" spans="1:8" x14ac:dyDescent="0.25">
      <c r="A186" t="s">
        <v>904</v>
      </c>
      <c r="B186" t="str">
        <f>IFERROR(VLOOKUP(Tableau2[NOM],Tableau5[],COLUMN(Tableau5[Prénom]),FALSE),"")</f>
        <v>Christian</v>
      </c>
      <c r="C186" t="str">
        <f>IFERROR(VLOOKUP(Tableau2[NOM],Tableau5[],COLUMN(Tableau5[Nom de la société]),FALSE),"")</f>
        <v>Aub.</v>
      </c>
      <c r="D186" t="str">
        <f>IFERROR(VLOOKUP(Tableau2[NOM],Tableau5[],COLUMN(Tableau5[Nom du manager]),FALSE),"")</f>
        <v>SAVY</v>
      </c>
      <c r="E186" t="s">
        <v>1323</v>
      </c>
      <c r="F186" s="291">
        <v>43541</v>
      </c>
      <c r="G186" s="296" t="s">
        <v>257</v>
      </c>
      <c r="H186" s="62" t="str">
        <f>Tableau2[[#This Row],[NOM]]&amp;Tableau2[[#This Row],[Intitulé formation]]</f>
        <v>SERREGestes et postures</v>
      </c>
    </row>
    <row r="187" spans="1:8" x14ac:dyDescent="0.25">
      <c r="A187" t="s">
        <v>904</v>
      </c>
      <c r="B187" t="str">
        <f>IFERROR(VLOOKUP(Tableau2[NOM],Tableau5[],COLUMN(Tableau5[Prénom]),FALSE),"")</f>
        <v>Christian</v>
      </c>
      <c r="C187" t="str">
        <f>IFERROR(VLOOKUP(Tableau2[NOM],Tableau5[],COLUMN(Tableau5[Nom de la société]),FALSE),"")</f>
        <v>Aub.</v>
      </c>
      <c r="D187" t="str">
        <f>IFERROR(VLOOKUP(Tableau2[NOM],Tableau5[],COLUMN(Tableau5[Nom du manager]),FALSE),"")</f>
        <v>SAVY</v>
      </c>
      <c r="E187" t="s">
        <v>1326</v>
      </c>
      <c r="F187" s="291">
        <v>43625</v>
      </c>
      <c r="G187" s="296" t="s">
        <v>258</v>
      </c>
      <c r="H187" s="62" t="str">
        <f>Tableau2[[#This Row],[NOM]]&amp;Tableau2[[#This Row],[Intitulé formation]]</f>
        <v>SERREIncendie</v>
      </c>
    </row>
    <row r="188" spans="1:8" x14ac:dyDescent="0.25">
      <c r="A188" t="s">
        <v>904</v>
      </c>
      <c r="B188" t="str">
        <f>IFERROR(VLOOKUP(Tableau2[NOM],Tableau5[],COLUMN(Tableau5[Prénom]),FALSE),"")</f>
        <v>Christian</v>
      </c>
      <c r="C188" t="str">
        <f>IFERROR(VLOOKUP(Tableau2[NOM],Tableau5[],COLUMN(Tableau5[Nom de la société]),FALSE),"")</f>
        <v>Aub.</v>
      </c>
      <c r="D188" t="str">
        <f>IFERROR(VLOOKUP(Tableau2[NOM],Tableau5[],COLUMN(Tableau5[Nom du manager]),FALSE),"")</f>
        <v>SAVY</v>
      </c>
      <c r="E188" t="s">
        <v>1333</v>
      </c>
      <c r="F188" s="291">
        <v>43154</v>
      </c>
      <c r="G188" s="296" t="s">
        <v>257</v>
      </c>
      <c r="H188" s="62" t="str">
        <f>Tableau2[[#This Row],[NOM]]&amp;Tableau2[[#This Row],[Intitulé formation]]</f>
        <v>SERRERisques chimiques</v>
      </c>
    </row>
    <row r="189" spans="1:8" x14ac:dyDescent="0.25">
      <c r="A189" t="s">
        <v>1258</v>
      </c>
      <c r="B189" t="str">
        <f>IFERROR(VLOOKUP(Tableau2[NOM],Tableau5[],COLUMN(Tableau5[Prénom]),FALSE),"")</f>
        <v>Steeve</v>
      </c>
      <c r="C189" t="str">
        <f>IFERROR(VLOOKUP(Tableau2[NOM],Tableau5[],COLUMN(Tableau5[Nom de la société]),FALSE),"")</f>
        <v>STG</v>
      </c>
      <c r="D189" t="str">
        <f>IFERROR(VLOOKUP(Tableau2[NOM],Tableau5[],COLUMN(Tableau5[Nom du manager]),FALSE),"")</f>
        <v>XUEREB</v>
      </c>
      <c r="E189" t="s">
        <v>1326</v>
      </c>
      <c r="F189" s="291">
        <v>43506</v>
      </c>
      <c r="G189" s="296" t="s">
        <v>257</v>
      </c>
      <c r="H189" s="62" t="str">
        <f>Tableau2[[#This Row],[NOM]]&amp;Tableau2[[#This Row],[Intitulé formation]]</f>
        <v>SIMIAN-MERMIERIncendie</v>
      </c>
    </row>
    <row r="190" spans="1:8" x14ac:dyDescent="0.25">
      <c r="A190" t="s">
        <v>1258</v>
      </c>
      <c r="B190" t="str">
        <f>IFERROR(VLOOKUP(Tableau2[NOM],Tableau5[],COLUMN(Tableau5[Prénom]),FALSE),"")</f>
        <v>Steeve</v>
      </c>
      <c r="C190" t="str">
        <f>IFERROR(VLOOKUP(Tableau2[NOM],Tableau5[],COLUMN(Tableau5[Nom de la société]),FALSE),"")</f>
        <v>STG</v>
      </c>
      <c r="D190" t="str">
        <f>IFERROR(VLOOKUP(Tableau2[NOM],Tableau5[],COLUMN(Tableau5[Nom du manager]),FALSE),"")</f>
        <v>XUEREB</v>
      </c>
      <c r="E190" t="s">
        <v>1462</v>
      </c>
      <c r="F190" s="291">
        <v>43739</v>
      </c>
      <c r="G190" s="296" t="s">
        <v>260</v>
      </c>
      <c r="H190" s="62" t="str">
        <f>Tableau2[[#This Row],[NOM]]&amp;Tableau2[[#This Row],[Intitulé formation]]</f>
        <v>SIMIAN-MERMIERPont roulant</v>
      </c>
    </row>
    <row r="191" spans="1:8" x14ac:dyDescent="0.25">
      <c r="A191" t="s">
        <v>1258</v>
      </c>
      <c r="B191" t="str">
        <f>IFERROR(VLOOKUP(Tableau2[NOM],Tableau5[],COLUMN(Tableau5[Prénom]),FALSE),"")</f>
        <v>Steeve</v>
      </c>
      <c r="C191" t="str">
        <f>IFERROR(VLOOKUP(Tableau2[NOM],Tableau5[],COLUMN(Tableau5[Nom de la société]),FALSE),"")</f>
        <v>STG</v>
      </c>
      <c r="D191" t="str">
        <f>IFERROR(VLOOKUP(Tableau2[NOM],Tableau5[],COLUMN(Tableau5[Nom du manager]),FALSE),"")</f>
        <v>XUEREB</v>
      </c>
      <c r="E191" t="s">
        <v>1333</v>
      </c>
      <c r="F191" s="291">
        <v>43608</v>
      </c>
      <c r="G191" s="296" t="s">
        <v>258</v>
      </c>
      <c r="H191" s="62" t="str">
        <f>Tableau2[[#This Row],[NOM]]&amp;Tableau2[[#This Row],[Intitulé formation]]</f>
        <v>SIMIAN-MERMIERRisques chimiques</v>
      </c>
    </row>
    <row r="192" spans="1:8" x14ac:dyDescent="0.25">
      <c r="A192" t="s">
        <v>907</v>
      </c>
      <c r="B192" t="str">
        <f>IFERROR(VLOOKUP(Tableau2[NOM],Tableau5[],COLUMN(Tableau5[Prénom]),FALSE),"")</f>
        <v>Gilles</v>
      </c>
      <c r="C192" t="str">
        <f>IFERROR(VLOOKUP(Tableau2[NOM],Tableau5[],COLUMN(Tableau5[Nom de la société]),FALSE),"")</f>
        <v>Aub.</v>
      </c>
      <c r="D192" t="str">
        <f>IFERROR(VLOOKUP(Tableau2[NOM],Tableau5[],COLUMN(Tableau5[Nom du manager]),FALSE),"")</f>
        <v>PIFFAUT</v>
      </c>
      <c r="E192" t="s">
        <v>1326</v>
      </c>
      <c r="F192" s="291">
        <v>43625</v>
      </c>
      <c r="G192" s="296" t="s">
        <v>258</v>
      </c>
      <c r="H192" s="62" t="str">
        <f>Tableau2[[#This Row],[NOM]]&amp;Tableau2[[#This Row],[Intitulé formation]]</f>
        <v>SINACORIIncendie</v>
      </c>
    </row>
    <row r="193" spans="1:8" x14ac:dyDescent="0.25">
      <c r="A193" t="s">
        <v>911</v>
      </c>
      <c r="B193" t="str">
        <f>IFERROR(VLOOKUP(Tableau2[NOM],Tableau5[],COLUMN(Tableau5[Prénom]),FALSE),"")</f>
        <v>Stephane</v>
      </c>
      <c r="C193" t="str">
        <f>IFERROR(VLOOKUP(Tableau2[NOM],Tableau5[],COLUMN(Tableau5[Nom de la société]),FALSE),"")</f>
        <v>Aub.</v>
      </c>
      <c r="D193" t="str">
        <f>IFERROR(VLOOKUP(Tableau2[NOM],Tableau5[],COLUMN(Tableau5[Nom du manager]),FALSE),"")</f>
        <v>SENEPART</v>
      </c>
      <c r="E193" t="s">
        <v>1326</v>
      </c>
      <c r="F193" s="291">
        <v>43624</v>
      </c>
      <c r="G193" s="296" t="s">
        <v>258</v>
      </c>
      <c r="H193" s="62" t="str">
        <f>Tableau2[[#This Row],[NOM]]&amp;Tableau2[[#This Row],[Intitulé formation]]</f>
        <v>SOUCHEIncendie</v>
      </c>
    </row>
    <row r="194" spans="1:8" x14ac:dyDescent="0.25">
      <c r="A194" t="s">
        <v>1267</v>
      </c>
      <c r="B194" t="str">
        <f>IFERROR(VLOOKUP(Tableau2[NOM],Tableau5[],COLUMN(Tableau5[Prénom]),FALSE),"")</f>
        <v>Vincent</v>
      </c>
      <c r="C194" t="str">
        <f>IFERROR(VLOOKUP(Tableau2[NOM],Tableau5[],COLUMN(Tableau5[Nom de la société]),FALSE),"")</f>
        <v>STG</v>
      </c>
      <c r="D194" t="str">
        <f>IFERROR(VLOOKUP(Tableau2[NOM],Tableau5[],COLUMN(Tableau5[Nom du manager]),FALSE),"")</f>
        <v>FOUASSIER</v>
      </c>
      <c r="E194" t="s">
        <v>1326</v>
      </c>
      <c r="F194" s="291" t="s">
        <v>518</v>
      </c>
      <c r="H194" s="62" t="str">
        <f>Tableau2[[#This Row],[NOM]]&amp;Tableau2[[#This Row],[Intitulé formation]]</f>
        <v>TAYACIncendie</v>
      </c>
    </row>
    <row r="195" spans="1:8" x14ac:dyDescent="0.25">
      <c r="A195" t="s">
        <v>1273</v>
      </c>
      <c r="B195" t="str">
        <f>IFERROR(VLOOKUP(Tableau2[NOM],Tableau5[],COLUMN(Tableau5[Prénom]),FALSE),"")</f>
        <v>Jonathan</v>
      </c>
      <c r="C195" t="str">
        <f>IFERROR(VLOOKUP(Tableau2[NOM],Tableau5[],COLUMN(Tableau5[Nom de la société]),FALSE),"")</f>
        <v>STG</v>
      </c>
      <c r="D195" t="str">
        <f>IFERROR(VLOOKUP(Tableau2[NOM],Tableau5[],COLUMN(Tableau5[Nom du manager]),FALSE),"")</f>
        <v>XUEREB</v>
      </c>
      <c r="E195" t="s">
        <v>1323</v>
      </c>
      <c r="F195" s="291" t="s">
        <v>1492</v>
      </c>
      <c r="H195" s="62" t="str">
        <f>Tableau2[[#This Row],[NOM]]&amp;Tableau2[[#This Row],[Intitulé formation]]</f>
        <v>TESSONNIERGestes et postures</v>
      </c>
    </row>
    <row r="196" spans="1:8" x14ac:dyDescent="0.25">
      <c r="A196" t="s">
        <v>1273</v>
      </c>
      <c r="B196" t="str">
        <f>IFERROR(VLOOKUP(Tableau2[NOM],Tableau5[],COLUMN(Tableau5[Prénom]),FALSE),"")</f>
        <v>Jonathan</v>
      </c>
      <c r="C196" t="str">
        <f>IFERROR(VLOOKUP(Tableau2[NOM],Tableau5[],COLUMN(Tableau5[Nom de la société]),FALSE),"")</f>
        <v>STG</v>
      </c>
      <c r="D196" t="str">
        <f>IFERROR(VLOOKUP(Tableau2[NOM],Tableau5[],COLUMN(Tableau5[Nom du manager]),FALSE),"")</f>
        <v>XUEREB</v>
      </c>
      <c r="E196" t="s">
        <v>1326</v>
      </c>
      <c r="F196" s="291" t="s">
        <v>518</v>
      </c>
      <c r="H196" s="62" t="str">
        <f>Tableau2[[#This Row],[NOM]]&amp;Tableau2[[#This Row],[Intitulé formation]]</f>
        <v>TESSONNIERIncendie</v>
      </c>
    </row>
    <row r="197" spans="1:8" x14ac:dyDescent="0.25">
      <c r="A197" t="s">
        <v>1327</v>
      </c>
      <c r="B197" t="str">
        <f>IFERROR(VLOOKUP(Tableau2[NOM],Tableau5[],COLUMN(Tableau5[Prénom]),FALSE),"")</f>
        <v>Jean-Jacques</v>
      </c>
      <c r="C197" t="str">
        <f>IFERROR(VLOOKUP(Tableau2[NOM],Tableau5[],COLUMN(Tableau5[Nom de la société]),FALSE),"")</f>
        <v>Aub.</v>
      </c>
      <c r="D197" t="str">
        <f>IFERROR(VLOOKUP(Tableau2[NOM],Tableau5[],COLUMN(Tableau5[Nom du manager]),FALSE),"")</f>
        <v>SENEPART</v>
      </c>
      <c r="E197" t="s">
        <v>1323</v>
      </c>
      <c r="F197" s="291">
        <v>43261</v>
      </c>
      <c r="G197" s="296" t="s">
        <v>258</v>
      </c>
      <c r="H197" s="62" t="str">
        <f>Tableau2[[#This Row],[NOM]]&amp;Tableau2[[#This Row],[Intitulé formation]]</f>
        <v>TEYSSIERJJGestes et postures</v>
      </c>
    </row>
    <row r="198" spans="1:8" x14ac:dyDescent="0.25">
      <c r="A198" t="s">
        <v>1328</v>
      </c>
      <c r="B198" t="str">
        <f>IFERROR(VLOOKUP(Tableau2[NOM],Tableau5[],COLUMN(Tableau5[Prénom]),FALSE),"")</f>
        <v>Sylvie</v>
      </c>
      <c r="C198" t="str">
        <f>IFERROR(VLOOKUP(Tableau2[NOM],Tableau5[],COLUMN(Tableau5[Nom de la société]),FALSE),"")</f>
        <v>Aub.</v>
      </c>
      <c r="D198" t="str">
        <f>IFERROR(VLOOKUP(Tableau2[NOM],Tableau5[],COLUMN(Tableau5[Nom du manager]),FALSE),"")</f>
        <v>RICCARDI</v>
      </c>
      <c r="E198" t="s">
        <v>1326</v>
      </c>
      <c r="F198" s="291">
        <v>43625</v>
      </c>
      <c r="G198" s="296" t="s">
        <v>258</v>
      </c>
      <c r="H198" s="62" t="str">
        <f>Tableau2[[#This Row],[NOM]]&amp;Tableau2[[#This Row],[Intitulé formation]]</f>
        <v>TEYSSIERSIncendie</v>
      </c>
    </row>
    <row r="199" spans="1:8" x14ac:dyDescent="0.25">
      <c r="A199" t="s">
        <v>1276</v>
      </c>
      <c r="B199" t="str">
        <f>IFERROR(VLOOKUP(Tableau2[NOM],Tableau5[],COLUMN(Tableau5[Prénom]),FALSE),"")</f>
        <v>Patrick</v>
      </c>
      <c r="C199" t="str">
        <f>IFERROR(VLOOKUP(Tableau2[NOM],Tableau5[],COLUMN(Tableau5[Nom de la société]),FALSE),"")</f>
        <v>STG</v>
      </c>
      <c r="D199" t="str">
        <f>IFERROR(VLOOKUP(Tableau2[NOM],Tableau5[],COLUMN(Tableau5[Nom du manager]),FALSE),"")</f>
        <v>FOUASSIER</v>
      </c>
      <c r="E199" t="s">
        <v>1326</v>
      </c>
      <c r="F199" s="291" t="s">
        <v>518</v>
      </c>
      <c r="H199" s="62" t="str">
        <f>Tableau2[[#This Row],[NOM]]&amp;Tableau2[[#This Row],[Intitulé formation]]</f>
        <v>VACCHIANIIncendie</v>
      </c>
    </row>
    <row r="200" spans="1:8" x14ac:dyDescent="0.25">
      <c r="A200" t="s">
        <v>1227</v>
      </c>
      <c r="B200" t="str">
        <f>IFERROR(VLOOKUP(Tableau2[NOM],Tableau5[],COLUMN(Tableau5[Prénom]),FALSE),"")</f>
        <v>Bruno</v>
      </c>
      <c r="C200" t="str">
        <f>IFERROR(VLOOKUP(Tableau2[NOM],Tableau5[],COLUMN(Tableau5[Nom de la société]),FALSE),"")</f>
        <v>Aub.</v>
      </c>
      <c r="D200" t="str">
        <f>IFERROR(VLOOKUP(Tableau2[NOM],Tableau5[],COLUMN(Tableau5[Nom du manager]),FALSE),"")</f>
        <v>ALIX</v>
      </c>
      <c r="E200" t="s">
        <v>1326</v>
      </c>
      <c r="F200" s="291">
        <v>43625</v>
      </c>
      <c r="G200" s="296" t="s">
        <v>258</v>
      </c>
      <c r="H200" s="62" t="str">
        <f>Tableau2[[#This Row],[NOM]]&amp;Tableau2[[#This Row],[Intitulé formation]]</f>
        <v>VANIERIncendie</v>
      </c>
    </row>
    <row r="201" spans="1:8" x14ac:dyDescent="0.25">
      <c r="A201" t="s">
        <v>1280</v>
      </c>
      <c r="B201" t="str">
        <f>IFERROR(VLOOKUP(Tableau2[NOM],Tableau5[],COLUMN(Tableau5[Prénom]),FALSE),"")</f>
        <v>Michael</v>
      </c>
      <c r="C201" t="str">
        <f>IFERROR(VLOOKUP(Tableau2[NOM],Tableau5[],COLUMN(Tableau5[Nom de la société]),FALSE),"")</f>
        <v>STG</v>
      </c>
      <c r="D201" t="str">
        <f>IFERROR(VLOOKUP(Tableau2[NOM],Tableau5[],COLUMN(Tableau5[Nom du manager]),FALSE),"")</f>
        <v>XUEREB</v>
      </c>
      <c r="E201" t="s">
        <v>1323</v>
      </c>
      <c r="F201" s="291" t="s">
        <v>1492</v>
      </c>
      <c r="H201" s="62" t="str">
        <f>Tableau2[[#This Row],[NOM]]&amp;Tableau2[[#This Row],[Intitulé formation]]</f>
        <v>VANONIGestes et postures</v>
      </c>
    </row>
    <row r="202" spans="1:8" x14ac:dyDescent="0.25">
      <c r="A202" t="s">
        <v>1096</v>
      </c>
      <c r="B202" t="str">
        <f>IFERROR(VLOOKUP(Tableau2[NOM],Tableau5[],COLUMN(Tableau5[Prénom]),FALSE),"")</f>
        <v>Olivier</v>
      </c>
      <c r="C202" t="str">
        <f>IFERROR(VLOOKUP(Tableau2[NOM],Tableau5[],COLUMN(Tableau5[Nom de la société]),FALSE),"")</f>
        <v>Lattes</v>
      </c>
      <c r="D202" t="str">
        <f>IFERROR(VLOOKUP(Tableau2[NOM],Tableau5[],COLUMN(Tableau5[Nom du manager]),FALSE),"")</f>
        <v>VERNE</v>
      </c>
      <c r="E202" t="s">
        <v>1323</v>
      </c>
      <c r="F202" s="291">
        <v>43733</v>
      </c>
      <c r="G202" s="296" t="s">
        <v>259</v>
      </c>
      <c r="H202" s="62" t="str">
        <f>Tableau2[[#This Row],[NOM]]&amp;Tableau2[[#This Row],[Intitulé formation]]</f>
        <v>VERANTGestes et postures</v>
      </c>
    </row>
    <row r="203" spans="1:8" x14ac:dyDescent="0.25">
      <c r="A203" t="s">
        <v>1331</v>
      </c>
      <c r="B203" t="str">
        <f>IFERROR(VLOOKUP(Tableau2[NOM],Tableau5[],COLUMN(Tableau5[Prénom]),FALSE),"")</f>
        <v>David</v>
      </c>
      <c r="C203" t="str">
        <f>IFERROR(VLOOKUP(Tableau2[NOM],Tableau5[],COLUMN(Tableau5[Nom de la société]),FALSE),"")</f>
        <v>Aub.</v>
      </c>
      <c r="D203" t="str">
        <f>IFERROR(VLOOKUP(Tableau2[NOM],Tableau5[],COLUMN(Tableau5[Nom du manager]),FALSE),"")</f>
        <v>SAVY</v>
      </c>
      <c r="E203" t="s">
        <v>1326</v>
      </c>
      <c r="F203" s="291">
        <v>43625</v>
      </c>
      <c r="G203" s="296" t="s">
        <v>258</v>
      </c>
      <c r="H203" s="62" t="str">
        <f>Tableau2[[#This Row],[NOM]]&amp;Tableau2[[#This Row],[Intitulé formation]]</f>
        <v>VERNETLOGIncendie</v>
      </c>
    </row>
    <row r="204" spans="1:8" x14ac:dyDescent="0.25">
      <c r="A204" t="s">
        <v>1284</v>
      </c>
      <c r="B204" t="str">
        <f>IFERROR(VLOOKUP(Tableau2[NOM],Tableau5[],COLUMN(Tableau5[Prénom]),FALSE),"")</f>
        <v>Frederic</v>
      </c>
      <c r="C204" t="str">
        <f>IFERROR(VLOOKUP(Tableau2[NOM],Tableau5[],COLUMN(Tableau5[Nom de la société]),FALSE),"")</f>
        <v>STG</v>
      </c>
      <c r="D204" t="str">
        <f>IFERROR(VLOOKUP(Tableau2[NOM],Tableau5[],COLUMN(Tableau5[Nom du manager]),FALSE),"")</f>
        <v>XUEREB</v>
      </c>
      <c r="E204" t="s">
        <v>1326</v>
      </c>
      <c r="F204" s="291">
        <v>43506</v>
      </c>
      <c r="G204" s="296" t="s">
        <v>257</v>
      </c>
      <c r="H204" s="62" t="str">
        <f>Tableau2[[#This Row],[NOM]]&amp;Tableau2[[#This Row],[Intitulé formation]]</f>
        <v>VILLEGASIncendie</v>
      </c>
    </row>
    <row r="205" spans="1:8" x14ac:dyDescent="0.25">
      <c r="A205" t="s">
        <v>1284</v>
      </c>
      <c r="B205" t="str">
        <f>IFERROR(VLOOKUP(Tableau2[NOM],Tableau5[],COLUMN(Tableau5[Prénom]),FALSE),"")</f>
        <v>Frederic</v>
      </c>
      <c r="C205" t="str">
        <f>IFERROR(VLOOKUP(Tableau2[NOM],Tableau5[],COLUMN(Tableau5[Nom de la société]),FALSE),"")</f>
        <v>STG</v>
      </c>
      <c r="D205" t="str">
        <f>IFERROR(VLOOKUP(Tableau2[NOM],Tableau5[],COLUMN(Tableau5[Nom du manager]),FALSE),"")</f>
        <v>XUEREB</v>
      </c>
      <c r="E205" t="s">
        <v>1333</v>
      </c>
      <c r="F205" s="291" t="s">
        <v>1451</v>
      </c>
      <c r="H205" s="62" t="str">
        <f>Tableau2[[#This Row],[NOM]]&amp;Tableau2[[#This Row],[Intitulé formation]]</f>
        <v>VILLEGASRisques chimiques</v>
      </c>
    </row>
    <row r="206" spans="1:8" x14ac:dyDescent="0.25">
      <c r="A206" t="s">
        <v>1047</v>
      </c>
      <c r="B206" t="str">
        <f>IFERROR(VLOOKUP(Tableau2[NOM],Tableau5[],COLUMN(Tableau5[Prénom]),FALSE),"")</f>
        <v>Jean-Paul</v>
      </c>
      <c r="C206" t="str">
        <f>IFERROR(VLOOKUP(Tableau2[NOM],Tableau5[],COLUMN(Tableau5[Nom de la société]),FALSE),"")</f>
        <v>Lattes</v>
      </c>
      <c r="D206" t="str">
        <f>IFERROR(VLOOKUP(Tableau2[NOM],Tableau5[],COLUMN(Tableau5[Nom du manager]),FALSE),"")</f>
        <v>VERNE</v>
      </c>
      <c r="E206" t="s">
        <v>1323</v>
      </c>
      <c r="F206" s="291">
        <v>43816</v>
      </c>
      <c r="G206" s="296" t="s">
        <v>260</v>
      </c>
      <c r="H206" s="62" t="str">
        <f>Tableau2[[#This Row],[NOM]]&amp;Tableau2[[#This Row],[Intitulé formation]]</f>
        <v>WAGONGestes et postures</v>
      </c>
    </row>
    <row r="207" spans="1:8" x14ac:dyDescent="0.25">
      <c r="A207" t="s">
        <v>294</v>
      </c>
      <c r="B207" t="str">
        <f>IFERROR(VLOOKUP(Tableau2[NOM],Tableau5[],COLUMN(Tableau5[Prénom]),FALSE),"")</f>
        <v>Gregory</v>
      </c>
      <c r="C207" t="str">
        <f>IFERROR(VLOOKUP(Tableau2[NOM],Tableau5[],COLUMN(Tableau5[Nom de la société]),FALSE),"")</f>
        <v>STG</v>
      </c>
      <c r="D207" t="str">
        <f>IFERROR(VLOOKUP(Tableau2[NOM],Tableau5[],COLUMN(Tableau5[Nom du manager]),FALSE),"")</f>
        <v>FOUASSIER</v>
      </c>
      <c r="E207" t="s">
        <v>1326</v>
      </c>
      <c r="F207" s="291" t="s">
        <v>518</v>
      </c>
      <c r="H207" s="62" t="str">
        <f>Tableau2[[#This Row],[NOM]]&amp;Tableau2[[#This Row],[Intitulé formation]]</f>
        <v>XUEREBIncendie</v>
      </c>
    </row>
    <row r="208" spans="1:8" x14ac:dyDescent="0.25">
      <c r="A208" t="s">
        <v>1302</v>
      </c>
      <c r="B208" t="str">
        <f>IFERROR(VLOOKUP(Tableau2[NOM],Tableau5[],COLUMN(Tableau5[Prénom]),FALSE),"")</f>
        <v>Sabine</v>
      </c>
      <c r="C208" t="str">
        <f>IFERROR(VLOOKUP(Tableau2[NOM],Tableau5[],COLUMN(Tableau5[Nom de la société]),FALSE),"")</f>
        <v>Aub.</v>
      </c>
      <c r="D208" t="str">
        <f>IFERROR(VLOOKUP(Tableau2[NOM],Tableau5[],COLUMN(Tableau5[Nom du manager]),FALSE),"")</f>
        <v>CHATAIGNER</v>
      </c>
      <c r="E208" t="s">
        <v>1326</v>
      </c>
      <c r="F208" s="291">
        <v>43625</v>
      </c>
      <c r="G208" s="296" t="s">
        <v>258</v>
      </c>
      <c r="H208" s="62" t="str">
        <f>Tableau2[[#This Row],[NOM]]&amp;Tableau2[[#This Row],[Intitulé formation]]</f>
        <v>ZAGARIncendie</v>
      </c>
    </row>
    <row r="209" spans="1:8" x14ac:dyDescent="0.25">
      <c r="A209" t="s">
        <v>1310</v>
      </c>
      <c r="B209" t="str">
        <f>IFERROR(VLOOKUP(Tableau2[NOM],Tableau5[],COLUMN(Tableau5[Prénom]),FALSE),"")</f>
        <v>Jean-Luc</v>
      </c>
      <c r="C209" t="str">
        <f>IFERROR(VLOOKUP(Tableau2[NOM],Tableau5[],COLUMN(Tableau5[Nom de la société]),FALSE),"")</f>
        <v>Aub.</v>
      </c>
      <c r="D209" t="str">
        <f>IFERROR(VLOOKUP(Tableau2[NOM],Tableau5[],COLUMN(Tableau5[Nom du manager]),FALSE),"")</f>
        <v>SENEPART</v>
      </c>
      <c r="E209" t="s">
        <v>1323</v>
      </c>
      <c r="F209" s="291">
        <v>43541</v>
      </c>
      <c r="G209" s="296" t="s">
        <v>257</v>
      </c>
      <c r="H209" s="62" t="str">
        <f>Tableau2[[#This Row],[NOM]]&amp;Tableau2[[#This Row],[Intitulé formation]]</f>
        <v>ZAMORAGestes et postures</v>
      </c>
    </row>
    <row r="210" spans="1:8" x14ac:dyDescent="0.25">
      <c r="A210" t="s">
        <v>1310</v>
      </c>
      <c r="B210" t="str">
        <f>IFERROR(VLOOKUP(Tableau2[NOM],Tableau5[],COLUMN(Tableau5[Prénom]),FALSE),"")</f>
        <v>Jean-Luc</v>
      </c>
      <c r="C210" t="str">
        <f>IFERROR(VLOOKUP(Tableau2[NOM],Tableau5[],COLUMN(Tableau5[Nom de la société]),FALSE),"")</f>
        <v>Aub.</v>
      </c>
      <c r="D210" t="str">
        <f>IFERROR(VLOOKUP(Tableau2[NOM],Tableau5[],COLUMN(Tableau5[Nom du manager]),FALSE),"")</f>
        <v>SENEPART</v>
      </c>
      <c r="E210" t="s">
        <v>1326</v>
      </c>
      <c r="F210" s="291">
        <v>43625</v>
      </c>
      <c r="G210" s="296" t="s">
        <v>258</v>
      </c>
      <c r="H210" s="62" t="str">
        <f>Tableau2[[#This Row],[NOM]]&amp;Tableau2[[#This Row],[Intitulé formation]]</f>
        <v>ZAMORAIncendie</v>
      </c>
    </row>
    <row r="211" spans="1:8" x14ac:dyDescent="0.25">
      <c r="A211" t="s">
        <v>1313</v>
      </c>
      <c r="B211" t="str">
        <f>IFERROR(VLOOKUP(Tableau2[NOM],Tableau5[],COLUMN(Tableau5[Prénom]),FALSE),"")</f>
        <v>Larbi</v>
      </c>
      <c r="C211" t="str">
        <f>IFERROR(VLOOKUP(Tableau2[NOM],Tableau5[],COLUMN(Tableau5[Nom de la société]),FALSE),"")</f>
        <v>STG</v>
      </c>
      <c r="D211" t="str">
        <f>IFERROR(VLOOKUP(Tableau2[NOM],Tableau5[],COLUMN(Tableau5[Nom du manager]),FALSE),"")</f>
        <v>XUEREB</v>
      </c>
      <c r="E211" t="s">
        <v>1326</v>
      </c>
      <c r="F211" s="291">
        <v>43506</v>
      </c>
      <c r="G211" s="296" t="s">
        <v>257</v>
      </c>
      <c r="H211" s="62" t="str">
        <f>Tableau2[[#This Row],[NOM]]&amp;Tableau2[[#This Row],[Intitulé formation]]</f>
        <v>ZAYOUTIncendie</v>
      </c>
    </row>
    <row r="212" spans="1:8" x14ac:dyDescent="0.25">
      <c r="A212" t="s">
        <v>1004</v>
      </c>
      <c r="B212" t="str">
        <f>IFERROR(VLOOKUP(Tableau2[NOM],Tableau5[],COLUMN(Tableau5[Prénom]),FALSE),"")</f>
        <v>Serge</v>
      </c>
      <c r="C212" t="str">
        <f>IFERROR(VLOOKUP(Tableau2[NOM],Tableau5[],COLUMN(Tableau5[Nom de la société]),FALSE),"")</f>
        <v>STG</v>
      </c>
      <c r="D212" t="str">
        <f>IFERROR(VLOOKUP(Tableau2[NOM],Tableau5[],COLUMN(Tableau5[Nom du manager]),FALSE),"")</f>
        <v>FOUASSIER</v>
      </c>
      <c r="E212" t="s">
        <v>1337</v>
      </c>
      <c r="F212" s="291">
        <v>43565</v>
      </c>
      <c r="G212" s="296" t="s">
        <v>258</v>
      </c>
      <c r="H212" s="62" t="str">
        <f>Tableau2[[#This Row],[NOM]]&amp;Tableau2[[#This Row],[Intitulé formation]]</f>
        <v>GENNARORecyclage CACES3</v>
      </c>
    </row>
    <row r="213" spans="1:8" x14ac:dyDescent="0.25">
      <c r="A213" t="s">
        <v>1246</v>
      </c>
      <c r="B213" t="str">
        <f>IFERROR(VLOOKUP(Tableau2[NOM],Tableau5[],COLUMN(Tableau5[Prénom]),FALSE),"")</f>
        <v>Nicolas</v>
      </c>
      <c r="C213" t="str">
        <f>IFERROR(VLOOKUP(Tableau2[NOM],Tableau5[],COLUMN(Tableau5[Nom de la société]),FALSE),"")</f>
        <v>STG</v>
      </c>
      <c r="D213" t="str">
        <f>IFERROR(VLOOKUP(Tableau2[NOM],Tableau5[],COLUMN(Tableau5[Nom du manager]),FALSE),"")</f>
        <v>FOUASSIER</v>
      </c>
      <c r="E213" t="s">
        <v>1337</v>
      </c>
      <c r="F213" s="291">
        <v>43768</v>
      </c>
      <c r="G213" s="296" t="s">
        <v>260</v>
      </c>
      <c r="H213" s="62" t="str">
        <f>Tableau2[[#This Row],[NOM]]&amp;Tableau2[[#This Row],[Intitulé formation]]</f>
        <v>PRALONGRecyclage CACES3</v>
      </c>
    </row>
    <row r="214" spans="1:8" x14ac:dyDescent="0.25">
      <c r="A214" t="s">
        <v>1330</v>
      </c>
      <c r="B214" t="str">
        <f>IFERROR(VLOOKUP(Tableau2[NOM],Tableau5[],COLUMN(Tableau5[Prénom]),FALSE),"")</f>
        <v>Jean-Luc</v>
      </c>
      <c r="C214" t="str">
        <f>IFERROR(VLOOKUP(Tableau2[NOM],Tableau5[],COLUMN(Tableau5[Nom de la société]),FALSE),"")</f>
        <v>Aub.</v>
      </c>
      <c r="D214" t="str">
        <f>IFERROR(VLOOKUP(Tableau2[NOM],Tableau5[],COLUMN(Tableau5[Nom du manager]),FALSE),"")</f>
        <v>PIFFAUT</v>
      </c>
      <c r="E214" t="s">
        <v>1337</v>
      </c>
      <c r="F214" s="291">
        <v>43565</v>
      </c>
      <c r="G214" s="296" t="s">
        <v>258</v>
      </c>
      <c r="H214" s="62" t="str">
        <f>Tableau2[[#This Row],[NOM]]&amp;Tableau2[[#This Row],[Intitulé formation]]</f>
        <v>ARNAUDJLRecyclage CACES3</v>
      </c>
    </row>
    <row r="215" spans="1:8" x14ac:dyDescent="0.25">
      <c r="A215" t="s">
        <v>575</v>
      </c>
      <c r="B215" t="str">
        <f>IFERROR(VLOOKUP(Tableau2[NOM],Tableau5[],COLUMN(Tableau5[Prénom]),FALSE),"")</f>
        <v>Remi</v>
      </c>
      <c r="C215" t="str">
        <f>IFERROR(VLOOKUP(Tableau2[NOM],Tableau5[],COLUMN(Tableau5[Nom de la société]),FALSE),"")</f>
        <v>Aub.</v>
      </c>
      <c r="D215" t="str">
        <f>IFERROR(VLOOKUP(Tableau2[NOM],Tableau5[],COLUMN(Tableau5[Nom du manager]),FALSE),"")</f>
        <v>SAVY</v>
      </c>
      <c r="E215" t="s">
        <v>1338</v>
      </c>
      <c r="F215" s="291">
        <v>43565</v>
      </c>
      <c r="G215" s="296" t="s">
        <v>258</v>
      </c>
      <c r="H215" s="62" t="str">
        <f>Tableau2[[#This Row],[NOM]]&amp;Tableau2[[#This Row],[Intitulé formation]]</f>
        <v>DUCROSRecyclage CACES3 5</v>
      </c>
    </row>
    <row r="216" spans="1:8" x14ac:dyDescent="0.25">
      <c r="A216" t="s">
        <v>619</v>
      </c>
      <c r="B216" t="str">
        <f>IFERROR(VLOOKUP(Tableau2[NOM],Tableau5[],COLUMN(Tableau5[Prénom]),FALSE),"")</f>
        <v>Gael</v>
      </c>
      <c r="C216" t="str">
        <f>IFERROR(VLOOKUP(Tableau2[NOM],Tableau5[],COLUMN(Tableau5[Nom de la société]),FALSE),"")</f>
        <v>Aub.</v>
      </c>
      <c r="D216" t="str">
        <f>IFERROR(VLOOKUP(Tableau2[NOM],Tableau5[],COLUMN(Tableau5[Nom du manager]),FALSE),"")</f>
        <v>SAVY</v>
      </c>
      <c r="E216" t="s">
        <v>1338</v>
      </c>
      <c r="F216" s="291">
        <v>43565</v>
      </c>
      <c r="G216" s="296" t="s">
        <v>258</v>
      </c>
      <c r="H216" s="62" t="str">
        <f>Tableau2[[#This Row],[NOM]]&amp;Tableau2[[#This Row],[Intitulé formation]]</f>
        <v>FONTAINERecyclage CACES3 5</v>
      </c>
    </row>
    <row r="217" spans="1:8" x14ac:dyDescent="0.25">
      <c r="A217" t="s">
        <v>733</v>
      </c>
      <c r="B217" t="str">
        <f>IFERROR(VLOOKUP(Tableau2[NOM],Tableau5[],COLUMN(Tableau5[Prénom]),FALSE),"")</f>
        <v>Bruno</v>
      </c>
      <c r="C217" t="str">
        <f>IFERROR(VLOOKUP(Tableau2[NOM],Tableau5[],COLUMN(Tableau5[Nom de la société]),FALSE),"")</f>
        <v>Aub.</v>
      </c>
      <c r="D217" t="str">
        <f>IFERROR(VLOOKUP(Tableau2[NOM],Tableau5[],COLUMN(Tableau5[Nom du manager]),FALSE),"")</f>
        <v>PIFFAUT</v>
      </c>
      <c r="E217" t="s">
        <v>1338</v>
      </c>
      <c r="F217" s="291">
        <v>43716</v>
      </c>
      <c r="G217" s="296" t="s">
        <v>259</v>
      </c>
      <c r="H217" s="62" t="str">
        <f>Tableau2[[#This Row],[NOM]]&amp;Tableau2[[#This Row],[Intitulé formation]]</f>
        <v>LADETRecyclage CACES3 5</v>
      </c>
    </row>
    <row r="218" spans="1:8" x14ac:dyDescent="0.25">
      <c r="A218" t="s">
        <v>904</v>
      </c>
      <c r="B218" t="str">
        <f>IFERROR(VLOOKUP(Tableau2[NOM],Tableau5[],COLUMN(Tableau5[Prénom]),FALSE),"")</f>
        <v>Christian</v>
      </c>
      <c r="C218" t="str">
        <f>IFERROR(VLOOKUP(Tableau2[NOM],Tableau5[],COLUMN(Tableau5[Nom de la société]),FALSE),"")</f>
        <v>Aub.</v>
      </c>
      <c r="D218" t="str">
        <f>IFERROR(VLOOKUP(Tableau2[NOM],Tableau5[],COLUMN(Tableau5[Nom du manager]),FALSE),"")</f>
        <v>SAVY</v>
      </c>
      <c r="E218" t="s">
        <v>1338</v>
      </c>
      <c r="F218" s="291">
        <v>43572</v>
      </c>
      <c r="G218" s="296" t="s">
        <v>258</v>
      </c>
      <c r="H218" s="62" t="str">
        <f>Tableau2[[#This Row],[NOM]]&amp;Tableau2[[#This Row],[Intitulé formation]]</f>
        <v>SERRERecyclage CACES3 5</v>
      </c>
    </row>
    <row r="219" spans="1:8" x14ac:dyDescent="0.25">
      <c r="A219" t="s">
        <v>616</v>
      </c>
      <c r="B219" t="str">
        <f>IFERROR(VLOOKUP(Tableau2[NOM],Tableau5[],COLUMN(Tableau5[Prénom]),FALSE),"")</f>
        <v>Christian</v>
      </c>
      <c r="C219" t="str">
        <f>IFERROR(VLOOKUP(Tableau2[NOM],Tableau5[],COLUMN(Tableau5[Nom de la société]),FALSE),"")</f>
        <v>Aub.</v>
      </c>
      <c r="D219" t="str">
        <f>IFERROR(VLOOKUP(Tableau2[NOM],Tableau5[],COLUMN(Tableau5[Nom du manager]),FALSE),"")</f>
        <v>SAVY</v>
      </c>
      <c r="E219" t="s">
        <v>1336</v>
      </c>
      <c r="F219" s="291">
        <v>43711</v>
      </c>
      <c r="G219" s="296" t="s">
        <v>259</v>
      </c>
      <c r="H219" s="62" t="str">
        <f>Tableau2[[#This Row],[NOM]]&amp;Tableau2[[#This Row],[Intitulé formation]]</f>
        <v>FERRERORecyclage CACES2</v>
      </c>
    </row>
    <row r="220" spans="1:8" x14ac:dyDescent="0.25">
      <c r="A220" t="s">
        <v>1335</v>
      </c>
      <c r="B220" t="str">
        <f>IFERROR(VLOOKUP(Tableau2[NOM],Tableau5[],COLUMN(Tableau5[Prénom]),FALSE),"")</f>
        <v>Bernard</v>
      </c>
      <c r="C220" t="str">
        <f>IFERROR(VLOOKUP(Tableau2[NOM],Tableau5[],COLUMN(Tableau5[Nom de la société]),FALSE),"")</f>
        <v>Aub.</v>
      </c>
      <c r="D220" t="str">
        <f>IFERROR(VLOOKUP(Tableau2[NOM],Tableau5[],COLUMN(Tableau5[Nom du manager]),FALSE),"")</f>
        <v>SAVY</v>
      </c>
      <c r="E220" t="s">
        <v>1336</v>
      </c>
      <c r="F220" s="291">
        <v>43711</v>
      </c>
      <c r="G220" s="296" t="s">
        <v>259</v>
      </c>
      <c r="H220" s="62" t="str">
        <f>Tableau2[[#This Row],[NOM]]&amp;Tableau2[[#This Row],[Intitulé formation]]</f>
        <v>LACOURBRecyclage CACES2</v>
      </c>
    </row>
    <row r="221" spans="1:8" x14ac:dyDescent="0.25">
      <c r="A221" t="s">
        <v>862</v>
      </c>
      <c r="B221" t="str">
        <f>IFERROR(VLOOKUP(Tableau2[NOM],Tableau5[],COLUMN(Tableau5[Prénom]),FALSE),"")</f>
        <v>Stephane</v>
      </c>
      <c r="C221" t="str">
        <f>IFERROR(VLOOKUP(Tableau2[NOM],Tableau5[],COLUMN(Tableau5[Nom de la société]),FALSE),"")</f>
        <v>Aub.</v>
      </c>
      <c r="D221" t="str">
        <f>IFERROR(VLOOKUP(Tableau2[NOM],Tableau5[],COLUMN(Tableau5[Nom du manager]),FALSE),"")</f>
        <v>SAVY</v>
      </c>
      <c r="E221" t="s">
        <v>1336</v>
      </c>
      <c r="F221" s="291">
        <v>43711</v>
      </c>
      <c r="G221" s="296" t="s">
        <v>259</v>
      </c>
      <c r="H221" s="62" t="str">
        <f>Tableau2[[#This Row],[NOM]]&amp;Tableau2[[#This Row],[Intitulé formation]]</f>
        <v>PRONIERRecyclage CACES2</v>
      </c>
    </row>
    <row r="222" spans="1:8" x14ac:dyDescent="0.25">
      <c r="A222" t="s">
        <v>1334</v>
      </c>
      <c r="B222" t="str">
        <f>IFERROR(VLOOKUP(Tableau2[NOM],Tableau5[],COLUMN(Tableau5[Prénom]),FALSE),"")</f>
        <v>Raphael</v>
      </c>
      <c r="C222" t="str">
        <f>IFERROR(VLOOKUP(Tableau2[NOM],Tableau5[],COLUMN(Tableau5[Nom de la société]),FALSE),"")</f>
        <v>Aub.</v>
      </c>
      <c r="D222" t="str">
        <f>IFERROR(VLOOKUP(Tableau2[NOM],Tableau5[],COLUMN(Tableau5[Nom du manager]),FALSE),"")</f>
        <v>RICCARDI</v>
      </c>
      <c r="E222" t="s">
        <v>1336</v>
      </c>
      <c r="F222" s="291">
        <v>43712</v>
      </c>
      <c r="G222" s="296" t="s">
        <v>259</v>
      </c>
      <c r="H222" s="62" t="str">
        <f>Tableau2[[#This Row],[NOM]]&amp;Tableau2[[#This Row],[Intitulé formation]]</f>
        <v>LACOURRRecyclage CACES2</v>
      </c>
    </row>
  </sheetData>
  <dataValidations count="2">
    <dataValidation type="list" allowBlank="1" showInputMessage="1" showErrorMessage="1" sqref="A2:A222">
      <formula1>noms</formula1>
    </dataValidation>
    <dataValidation type="list" allowBlank="1" showInputMessage="1" showErrorMessage="1" sqref="E2:E222">
      <formula1>Intitulé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H223"/>
  <sheetViews>
    <sheetView zoomScale="80" zoomScaleNormal="80" workbookViewId="0">
      <selection activeCell="A3" sqref="A3"/>
    </sheetView>
  </sheetViews>
  <sheetFormatPr baseColWidth="10" defaultColWidth="16.5703125" defaultRowHeight="15" x14ac:dyDescent="0.25"/>
  <cols>
    <col min="1" max="1" width="24" customWidth="1"/>
    <col min="4" max="4" width="19" customWidth="1"/>
    <col min="5" max="5" width="18.7109375" customWidth="1"/>
    <col min="6" max="6" width="19" customWidth="1"/>
    <col min="7" max="7" width="24.7109375" customWidth="1"/>
    <col min="8" max="8" width="39.28515625" customWidth="1"/>
  </cols>
  <sheetData>
    <row r="2" spans="1:8" ht="29.1" customHeight="1" thickBot="1" x14ac:dyDescent="0.3">
      <c r="A2" s="270" t="s">
        <v>1447</v>
      </c>
      <c r="B2" s="271" t="s">
        <v>1448</v>
      </c>
      <c r="C2" s="271" t="s">
        <v>1321</v>
      </c>
      <c r="D2" s="272" t="s">
        <v>1449</v>
      </c>
      <c r="E2" s="271" t="s">
        <v>1458</v>
      </c>
      <c r="F2" s="271" t="s">
        <v>1459</v>
      </c>
      <c r="G2" s="271" t="s">
        <v>1460</v>
      </c>
      <c r="H2" s="281" t="s">
        <v>1500</v>
      </c>
    </row>
    <row r="3" spans="1:8" x14ac:dyDescent="0.25">
      <c r="A3" s="249" t="s">
        <v>278</v>
      </c>
      <c r="B3" s="256" t="s">
        <v>1350</v>
      </c>
      <c r="C3" s="250" t="s">
        <v>1454</v>
      </c>
      <c r="D3" s="257" t="s">
        <v>280</v>
      </c>
      <c r="E3" s="251" t="s">
        <v>1326</v>
      </c>
      <c r="F3" s="258">
        <v>43625</v>
      </c>
      <c r="G3" s="252" t="s">
        <v>258</v>
      </c>
      <c r="H3" t="str">
        <f>Tableau9[[#This Row],[NOM]]&amp;Tableau9[[#This Row],[Intitulé formation]]</f>
        <v>AIT HELLALIncendie</v>
      </c>
    </row>
    <row r="4" spans="1:8" x14ac:dyDescent="0.25">
      <c r="A4" s="253" t="s">
        <v>292</v>
      </c>
      <c r="B4" s="239" t="s">
        <v>1353</v>
      </c>
      <c r="C4" s="240" t="s">
        <v>1450</v>
      </c>
      <c r="D4" s="241" t="s">
        <v>294</v>
      </c>
      <c r="E4" s="238" t="s">
        <v>1326</v>
      </c>
      <c r="F4" s="244">
        <v>43506</v>
      </c>
      <c r="G4" s="254" t="s">
        <v>257</v>
      </c>
      <c r="H4" t="str">
        <f>Tableau9[[#This Row],[NOM]]&amp;Tableau9[[#This Row],[Intitulé formation]]</f>
        <v>ALVESIncendie</v>
      </c>
    </row>
    <row r="5" spans="1:8" x14ac:dyDescent="0.25">
      <c r="A5" s="253" t="s">
        <v>292</v>
      </c>
      <c r="B5" s="239" t="s">
        <v>1353</v>
      </c>
      <c r="C5" s="240" t="s">
        <v>1450</v>
      </c>
      <c r="D5" s="241" t="s">
        <v>294</v>
      </c>
      <c r="E5" s="238" t="s">
        <v>1462</v>
      </c>
      <c r="F5" s="244">
        <v>43739</v>
      </c>
      <c r="G5" s="254" t="s">
        <v>260</v>
      </c>
      <c r="H5" t="str">
        <f>Tableau9[[#This Row],[NOM]]&amp;Tableau9[[#This Row],[Intitulé formation]]</f>
        <v>ALVESPont roulant</v>
      </c>
    </row>
    <row r="6" spans="1:8" x14ac:dyDescent="0.25">
      <c r="A6" s="253" t="s">
        <v>292</v>
      </c>
      <c r="B6" s="239" t="s">
        <v>1353</v>
      </c>
      <c r="C6" s="240" t="s">
        <v>1450</v>
      </c>
      <c r="D6" s="241" t="s">
        <v>294</v>
      </c>
      <c r="E6" s="242" t="s">
        <v>1333</v>
      </c>
      <c r="F6" s="238" t="s">
        <v>1451</v>
      </c>
      <c r="G6" s="254"/>
      <c r="H6" t="str">
        <f>Tableau9[[#This Row],[NOM]]&amp;Tableau9[[#This Row],[Intitulé formation]]</f>
        <v>ALVESRisques chimiques</v>
      </c>
    </row>
    <row r="7" spans="1:8" x14ac:dyDescent="0.25">
      <c r="A7" s="253" t="s">
        <v>312</v>
      </c>
      <c r="B7" s="246" t="s">
        <v>1354</v>
      </c>
      <c r="C7" s="240" t="s">
        <v>1454</v>
      </c>
      <c r="D7" s="243" t="s">
        <v>364</v>
      </c>
      <c r="E7" s="238" t="s">
        <v>1326</v>
      </c>
      <c r="F7" s="244">
        <v>43625</v>
      </c>
      <c r="G7" s="254" t="s">
        <v>258</v>
      </c>
      <c r="H7" t="str">
        <f>Tableau9[[#This Row],[NOM]]&amp;Tableau9[[#This Row],[Intitulé formation]]</f>
        <v>ARNAUDIncendie</v>
      </c>
    </row>
    <row r="8" spans="1:8" x14ac:dyDescent="0.25">
      <c r="A8" s="253" t="s">
        <v>312</v>
      </c>
      <c r="B8" s="246" t="s">
        <v>1355</v>
      </c>
      <c r="C8" s="240" t="s">
        <v>1454</v>
      </c>
      <c r="D8" s="243" t="s">
        <v>313</v>
      </c>
      <c r="E8" s="238" t="s">
        <v>1326</v>
      </c>
      <c r="F8" s="260">
        <v>42084</v>
      </c>
      <c r="G8" s="254" t="s">
        <v>257</v>
      </c>
      <c r="H8" t="str">
        <f>Tableau9[[#This Row],[NOM]]&amp;Tableau9[[#This Row],[Intitulé formation]]</f>
        <v>ARNAUDIncendie</v>
      </c>
    </row>
    <row r="9" spans="1:8" x14ac:dyDescent="0.25">
      <c r="A9" s="253" t="s">
        <v>305</v>
      </c>
      <c r="B9" s="243" t="s">
        <v>1100</v>
      </c>
      <c r="C9" s="240" t="s">
        <v>1450</v>
      </c>
      <c r="D9" s="241" t="s">
        <v>294</v>
      </c>
      <c r="E9" s="238" t="s">
        <v>1326</v>
      </c>
      <c r="F9" s="244">
        <v>43506</v>
      </c>
      <c r="G9" s="254" t="s">
        <v>257</v>
      </c>
      <c r="H9" t="str">
        <f>Tableau9[[#This Row],[NOM]]&amp;Tableau9[[#This Row],[Intitulé formation]]</f>
        <v>ARNAUD JOUFFREYIncendie</v>
      </c>
    </row>
    <row r="10" spans="1:8" x14ac:dyDescent="0.25">
      <c r="A10" s="253" t="s">
        <v>305</v>
      </c>
      <c r="B10" s="243" t="s">
        <v>1100</v>
      </c>
      <c r="C10" s="240" t="s">
        <v>1450</v>
      </c>
      <c r="D10" s="241" t="s">
        <v>294</v>
      </c>
      <c r="E10" s="242" t="s">
        <v>1333</v>
      </c>
      <c r="F10" s="244">
        <v>43608</v>
      </c>
      <c r="G10" s="254" t="s">
        <v>258</v>
      </c>
      <c r="H10" t="str">
        <f>Tableau9[[#This Row],[NOM]]&amp;Tableau9[[#This Row],[Intitulé formation]]</f>
        <v>ARNAUD JOUFFREYRisques chimiques</v>
      </c>
    </row>
    <row r="11" spans="1:8" x14ac:dyDescent="0.25">
      <c r="A11" s="253" t="s">
        <v>389</v>
      </c>
      <c r="B11" s="246" t="s">
        <v>1495</v>
      </c>
      <c r="C11" s="240" t="s">
        <v>1454</v>
      </c>
      <c r="D11" s="243" t="s">
        <v>364</v>
      </c>
      <c r="E11" s="238" t="s">
        <v>1323</v>
      </c>
      <c r="F11" s="244">
        <v>43541</v>
      </c>
      <c r="G11" s="254" t="s">
        <v>257</v>
      </c>
      <c r="H11" t="str">
        <f>Tableau9[[#This Row],[NOM]]&amp;Tableau9[[#This Row],[Intitulé formation]]</f>
        <v>AUBERTGestes et postures</v>
      </c>
    </row>
    <row r="12" spans="1:8" x14ac:dyDescent="0.25">
      <c r="A12" s="253" t="s">
        <v>395</v>
      </c>
      <c r="B12" s="246" t="s">
        <v>1354</v>
      </c>
      <c r="C12" s="240" t="s">
        <v>1454</v>
      </c>
      <c r="D12" s="243" t="s">
        <v>256</v>
      </c>
      <c r="E12" s="238" t="s">
        <v>1326</v>
      </c>
      <c r="F12" s="244">
        <v>42084</v>
      </c>
      <c r="G12" s="254" t="s">
        <v>257</v>
      </c>
      <c r="H12" t="str">
        <f>Tableau9[[#This Row],[NOM]]&amp;Tableau9[[#This Row],[Intitulé formation]]</f>
        <v>AVOUACIncendie</v>
      </c>
    </row>
    <row r="13" spans="1:8" x14ac:dyDescent="0.25">
      <c r="A13" s="253" t="s">
        <v>403</v>
      </c>
      <c r="B13" s="246" t="s">
        <v>1357</v>
      </c>
      <c r="C13" s="240" t="s">
        <v>1454</v>
      </c>
      <c r="D13" s="243" t="s">
        <v>280</v>
      </c>
      <c r="E13" s="238" t="s">
        <v>1323</v>
      </c>
      <c r="F13" s="244">
        <v>42102</v>
      </c>
      <c r="G13" s="254" t="s">
        <v>258</v>
      </c>
      <c r="H13" t="str">
        <f>Tableau9[[#This Row],[NOM]]&amp;Tableau9[[#This Row],[Intitulé formation]]</f>
        <v>AYGLONGestes et postures</v>
      </c>
    </row>
    <row r="14" spans="1:8" x14ac:dyDescent="0.25">
      <c r="A14" s="253" t="s">
        <v>917</v>
      </c>
      <c r="B14" s="239" t="s">
        <v>1359</v>
      </c>
      <c r="C14" s="240" t="s">
        <v>1450</v>
      </c>
      <c r="D14" s="241" t="s">
        <v>294</v>
      </c>
      <c r="E14" s="238" t="s">
        <v>1326</v>
      </c>
      <c r="F14" s="244">
        <v>43506</v>
      </c>
      <c r="G14" s="254" t="s">
        <v>257</v>
      </c>
      <c r="H14" t="str">
        <f>Tableau9[[#This Row],[NOM]]&amp;Tableau9[[#This Row],[Intitulé formation]]</f>
        <v>BARAZZUTTIIncendie</v>
      </c>
    </row>
    <row r="15" spans="1:8" x14ac:dyDescent="0.25">
      <c r="A15" s="253" t="s">
        <v>917</v>
      </c>
      <c r="B15" s="239" t="s">
        <v>1359</v>
      </c>
      <c r="C15" s="240" t="s">
        <v>1450</v>
      </c>
      <c r="D15" s="245" t="s">
        <v>294</v>
      </c>
      <c r="E15" s="242" t="s">
        <v>1333</v>
      </c>
      <c r="F15" s="244">
        <v>43608</v>
      </c>
      <c r="G15" s="254" t="s">
        <v>258</v>
      </c>
      <c r="H15" t="str">
        <f>Tableau9[[#This Row],[NOM]]&amp;Tableau9[[#This Row],[Intitulé formation]]</f>
        <v>BARAZZUTTIRisques chimiques</v>
      </c>
    </row>
    <row r="16" spans="1:8" x14ac:dyDescent="0.25">
      <c r="A16" s="253" t="s">
        <v>407</v>
      </c>
      <c r="B16" s="246" t="s">
        <v>1479</v>
      </c>
      <c r="C16" s="240" t="s">
        <v>1454</v>
      </c>
      <c r="D16" s="243" t="s">
        <v>409</v>
      </c>
      <c r="E16" s="238" t="s">
        <v>1326</v>
      </c>
      <c r="F16" s="244">
        <v>43625</v>
      </c>
      <c r="G16" s="254" t="s">
        <v>258</v>
      </c>
      <c r="H16" t="str">
        <f>Tableau9[[#This Row],[NOM]]&amp;Tableau9[[#This Row],[Intitulé formation]]</f>
        <v>BARBERAIncendie</v>
      </c>
    </row>
    <row r="17" spans="1:8" x14ac:dyDescent="0.25">
      <c r="A17" s="253" t="s">
        <v>420</v>
      </c>
      <c r="B17" s="246" t="s">
        <v>1363</v>
      </c>
      <c r="C17" s="240" t="s">
        <v>1454</v>
      </c>
      <c r="D17" s="248" t="s">
        <v>422</v>
      </c>
      <c r="E17" s="238" t="s">
        <v>1323</v>
      </c>
      <c r="F17" s="244">
        <v>43541</v>
      </c>
      <c r="G17" s="254" t="s">
        <v>257</v>
      </c>
      <c r="H17" t="str">
        <f>Tableau9[[#This Row],[NOM]]&amp;Tableau9[[#This Row],[Intitulé formation]]</f>
        <v>BEAUMELGestes et postures</v>
      </c>
    </row>
    <row r="18" spans="1:8" x14ac:dyDescent="0.25">
      <c r="A18" s="253" t="s">
        <v>1140</v>
      </c>
      <c r="B18" s="246" t="s">
        <v>1053</v>
      </c>
      <c r="C18" s="240" t="s">
        <v>1317</v>
      </c>
      <c r="D18" s="243" t="s">
        <v>326</v>
      </c>
      <c r="E18" s="242" t="s">
        <v>1333</v>
      </c>
      <c r="F18" s="244">
        <v>43553</v>
      </c>
      <c r="G18" s="254" t="s">
        <v>257</v>
      </c>
      <c r="H18" t="str">
        <f>Tableau9[[#This Row],[NOM]]&amp;Tableau9[[#This Row],[Intitulé formation]]</f>
        <v>BEN AMARRisques chimiques</v>
      </c>
    </row>
    <row r="19" spans="1:8" x14ac:dyDescent="0.25">
      <c r="A19" s="253" t="s">
        <v>923</v>
      </c>
      <c r="B19" s="239" t="s">
        <v>924</v>
      </c>
      <c r="C19" s="240" t="s">
        <v>1450</v>
      </c>
      <c r="D19" s="241" t="s">
        <v>294</v>
      </c>
      <c r="E19" s="238" t="s">
        <v>1326</v>
      </c>
      <c r="F19" s="244" t="s">
        <v>518</v>
      </c>
      <c r="G19" s="254"/>
      <c r="H19" t="str">
        <f>Tableau9[[#This Row],[NOM]]&amp;Tableau9[[#This Row],[Intitulé formation]]</f>
        <v>BENASSIIncendie</v>
      </c>
    </row>
    <row r="20" spans="1:8" x14ac:dyDescent="0.25">
      <c r="A20" s="253" t="s">
        <v>430</v>
      </c>
      <c r="B20" s="246" t="s">
        <v>1053</v>
      </c>
      <c r="C20" s="240" t="s">
        <v>1454</v>
      </c>
      <c r="D20" s="243" t="s">
        <v>409</v>
      </c>
      <c r="E20" s="238" t="s">
        <v>1323</v>
      </c>
      <c r="F20" s="244">
        <v>43534</v>
      </c>
      <c r="G20" s="254" t="s">
        <v>257</v>
      </c>
      <c r="H20" t="str">
        <f>Tableau9[[#This Row],[NOM]]&amp;Tableau9[[#This Row],[Intitulé formation]]</f>
        <v>BENCHEIKHGestes et postures</v>
      </c>
    </row>
    <row r="21" spans="1:8" x14ac:dyDescent="0.25">
      <c r="A21" s="253" t="s">
        <v>430</v>
      </c>
      <c r="B21" s="246" t="s">
        <v>1053</v>
      </c>
      <c r="C21" s="240" t="s">
        <v>1454</v>
      </c>
      <c r="D21" s="243" t="s">
        <v>409</v>
      </c>
      <c r="E21" s="238" t="s">
        <v>1326</v>
      </c>
      <c r="F21" s="244">
        <v>43625</v>
      </c>
      <c r="G21" s="254" t="s">
        <v>258</v>
      </c>
      <c r="H21" t="str">
        <f>Tableau9[[#This Row],[NOM]]&amp;Tableau9[[#This Row],[Intitulé formation]]</f>
        <v>BENCHEIKHIncendie</v>
      </c>
    </row>
    <row r="22" spans="1:8" x14ac:dyDescent="0.25">
      <c r="A22" s="253" t="s">
        <v>430</v>
      </c>
      <c r="B22" s="246" t="s">
        <v>1053</v>
      </c>
      <c r="C22" s="240" t="s">
        <v>1454</v>
      </c>
      <c r="D22" s="243" t="s">
        <v>409</v>
      </c>
      <c r="E22" s="242" t="s">
        <v>1333</v>
      </c>
      <c r="F22" s="244">
        <v>43742</v>
      </c>
      <c r="G22" s="254" t="s">
        <v>260</v>
      </c>
      <c r="H22" t="str">
        <f>Tableau9[[#This Row],[NOM]]&amp;Tableau9[[#This Row],[Intitulé formation]]</f>
        <v>BENCHEIKHRisques chimiques</v>
      </c>
    </row>
    <row r="23" spans="1:8" x14ac:dyDescent="0.25">
      <c r="A23" s="262" t="s">
        <v>1464</v>
      </c>
      <c r="B23" s="259" t="s">
        <v>1465</v>
      </c>
      <c r="C23" s="240" t="s">
        <v>1450</v>
      </c>
      <c r="D23" s="241" t="s">
        <v>294</v>
      </c>
      <c r="E23" s="238" t="s">
        <v>1326</v>
      </c>
      <c r="F23" s="244">
        <v>43506</v>
      </c>
      <c r="G23" s="254" t="s">
        <v>257</v>
      </c>
      <c r="H23" t="str">
        <f>Tableau9[[#This Row],[NOM]]&amp;Tableau9[[#This Row],[Intitulé formation]]</f>
        <v>BEN-MALEKIncendie</v>
      </c>
    </row>
    <row r="24" spans="1:8" x14ac:dyDescent="0.25">
      <c r="A24" s="262" t="s">
        <v>1466</v>
      </c>
      <c r="B24" s="259" t="s">
        <v>1467</v>
      </c>
      <c r="C24" s="240" t="s">
        <v>1450</v>
      </c>
      <c r="D24" s="241" t="s">
        <v>294</v>
      </c>
      <c r="E24" s="238" t="s">
        <v>1326</v>
      </c>
      <c r="F24" s="244">
        <v>43506</v>
      </c>
      <c r="G24" s="254" t="s">
        <v>257</v>
      </c>
      <c r="H24" t="str">
        <f>Tableau9[[#This Row],[NOM]]&amp;Tableau9[[#This Row],[Intitulé formation]]</f>
        <v>BEYLEIncendie</v>
      </c>
    </row>
    <row r="25" spans="1:8" x14ac:dyDescent="0.25">
      <c r="A25" s="253" t="s">
        <v>435</v>
      </c>
      <c r="B25" s="246" t="s">
        <v>1366</v>
      </c>
      <c r="C25" s="240" t="s">
        <v>1454</v>
      </c>
      <c r="D25" s="248" t="s">
        <v>364</v>
      </c>
      <c r="E25" s="238" t="s">
        <v>1323</v>
      </c>
      <c r="F25" s="244">
        <v>43534</v>
      </c>
      <c r="G25" s="254" t="s">
        <v>257</v>
      </c>
      <c r="H25" t="str">
        <f>Tableau9[[#This Row],[NOM]]&amp;Tableau9[[#This Row],[Intitulé formation]]</f>
        <v>BLACHONGestes et postures</v>
      </c>
    </row>
    <row r="26" spans="1:8" x14ac:dyDescent="0.25">
      <c r="A26" s="253" t="s">
        <v>435</v>
      </c>
      <c r="B26" s="246" t="s">
        <v>1366</v>
      </c>
      <c r="C26" s="240" t="s">
        <v>1454</v>
      </c>
      <c r="D26" s="248" t="s">
        <v>364</v>
      </c>
      <c r="E26" s="238" t="s">
        <v>1326</v>
      </c>
      <c r="F26" s="244">
        <v>43625</v>
      </c>
      <c r="G26" s="254" t="s">
        <v>258</v>
      </c>
      <c r="H26" t="str">
        <f>Tableau9[[#This Row],[NOM]]&amp;Tableau9[[#This Row],[Intitulé formation]]</f>
        <v>BLACHONIncendie</v>
      </c>
    </row>
    <row r="27" spans="1:8" x14ac:dyDescent="0.25">
      <c r="A27" s="253" t="s">
        <v>440</v>
      </c>
      <c r="B27" s="246" t="s">
        <v>1120</v>
      </c>
      <c r="C27" s="240" t="s">
        <v>1454</v>
      </c>
      <c r="D27" s="243" t="s">
        <v>364</v>
      </c>
      <c r="E27" s="238" t="s">
        <v>1323</v>
      </c>
      <c r="F27" s="244">
        <v>43543</v>
      </c>
      <c r="G27" s="254" t="s">
        <v>257</v>
      </c>
      <c r="H27" t="str">
        <f>Tableau9[[#This Row],[NOM]]&amp;Tableau9[[#This Row],[Intitulé formation]]</f>
        <v>BLAYEGestes et postures</v>
      </c>
    </row>
    <row r="28" spans="1:8" x14ac:dyDescent="0.25">
      <c r="A28" s="253" t="s">
        <v>440</v>
      </c>
      <c r="B28" s="246" t="s">
        <v>1120</v>
      </c>
      <c r="C28" s="240" t="s">
        <v>1454</v>
      </c>
      <c r="D28" s="243" t="s">
        <v>364</v>
      </c>
      <c r="E28" s="238" t="s">
        <v>1326</v>
      </c>
      <c r="F28" s="244">
        <v>43625</v>
      </c>
      <c r="G28" s="254" t="s">
        <v>258</v>
      </c>
      <c r="H28" t="str">
        <f>Tableau9[[#This Row],[NOM]]&amp;Tableau9[[#This Row],[Intitulé formation]]</f>
        <v>BLAYEIncendie</v>
      </c>
    </row>
    <row r="29" spans="1:8" x14ac:dyDescent="0.25">
      <c r="A29" s="253" t="s">
        <v>1468</v>
      </c>
      <c r="B29" s="239" t="s">
        <v>929</v>
      </c>
      <c r="C29" s="240" t="s">
        <v>1450</v>
      </c>
      <c r="D29" s="241" t="s">
        <v>294</v>
      </c>
      <c r="E29" s="238" t="s">
        <v>1326</v>
      </c>
      <c r="F29" s="244" t="s">
        <v>518</v>
      </c>
      <c r="G29" s="254"/>
      <c r="H29" t="str">
        <f>Tableau9[[#This Row],[NOM]]&amp;Tableau9[[#This Row],[Intitulé formation]]</f>
        <v>BOISSONIncendie</v>
      </c>
    </row>
    <row r="30" spans="1:8" x14ac:dyDescent="0.25">
      <c r="A30" s="253" t="s">
        <v>1057</v>
      </c>
      <c r="B30" s="246" t="s">
        <v>233</v>
      </c>
      <c r="C30" s="240" t="s">
        <v>1317</v>
      </c>
      <c r="D30" s="243" t="s">
        <v>326</v>
      </c>
      <c r="E30" s="238" t="s">
        <v>1323</v>
      </c>
      <c r="F30" s="244" t="s">
        <v>1492</v>
      </c>
      <c r="G30" s="254" t="s">
        <v>259</v>
      </c>
      <c r="H30" t="str">
        <f>Tableau9[[#This Row],[NOM]]&amp;Tableau9[[#This Row],[Intitulé formation]]</f>
        <v>BONAFOUSGestes et postures</v>
      </c>
    </row>
    <row r="31" spans="1:8" x14ac:dyDescent="0.25">
      <c r="A31" s="253" t="s">
        <v>1157</v>
      </c>
      <c r="B31" s="246" t="s">
        <v>1158</v>
      </c>
      <c r="C31" s="240" t="s">
        <v>1317</v>
      </c>
      <c r="D31" s="243" t="s">
        <v>326</v>
      </c>
      <c r="E31" s="238" t="s">
        <v>1323</v>
      </c>
      <c r="F31" s="244" t="s">
        <v>1492</v>
      </c>
      <c r="G31" s="254" t="s">
        <v>259</v>
      </c>
      <c r="H31" t="str">
        <f>Tableau9[[#This Row],[NOM]]&amp;Tableau9[[#This Row],[Intitulé formation]]</f>
        <v>BONNELGestes et postures</v>
      </c>
    </row>
    <row r="32" spans="1:8" x14ac:dyDescent="0.25">
      <c r="A32" s="253" t="s">
        <v>1157</v>
      </c>
      <c r="B32" s="246" t="s">
        <v>1158</v>
      </c>
      <c r="C32" s="240" t="s">
        <v>1317</v>
      </c>
      <c r="D32" s="243" t="s">
        <v>326</v>
      </c>
      <c r="E32" s="242" t="s">
        <v>1333</v>
      </c>
      <c r="F32" s="244">
        <v>43251</v>
      </c>
      <c r="G32" s="254" t="s">
        <v>258</v>
      </c>
      <c r="H32" t="str">
        <f>Tableau9[[#This Row],[NOM]]&amp;Tableau9[[#This Row],[Intitulé formation]]</f>
        <v>BONNELRisques chimiques</v>
      </c>
    </row>
    <row r="33" spans="1:8" x14ac:dyDescent="0.25">
      <c r="A33" s="253" t="s">
        <v>460</v>
      </c>
      <c r="B33" s="246" t="s">
        <v>1367</v>
      </c>
      <c r="C33" s="240" t="s">
        <v>1454</v>
      </c>
      <c r="D33" s="243" t="s">
        <v>280</v>
      </c>
      <c r="E33" s="238" t="s">
        <v>1326</v>
      </c>
      <c r="F33" s="244">
        <v>43625</v>
      </c>
      <c r="G33" s="254" t="s">
        <v>258</v>
      </c>
      <c r="H33" t="str">
        <f>Tableau9[[#This Row],[NOM]]&amp;Tableau9[[#This Row],[Intitulé formation]]</f>
        <v>BOUCHIERIncendie</v>
      </c>
    </row>
    <row r="34" spans="1:8" x14ac:dyDescent="0.25">
      <c r="A34" s="253" t="s">
        <v>464</v>
      </c>
      <c r="B34" s="246" t="s">
        <v>1368</v>
      </c>
      <c r="C34" s="240" t="s">
        <v>1454</v>
      </c>
      <c r="D34" s="243" t="s">
        <v>1461</v>
      </c>
      <c r="E34" s="242" t="s">
        <v>1333</v>
      </c>
      <c r="F34" s="244">
        <v>43742</v>
      </c>
      <c r="G34" s="254" t="s">
        <v>260</v>
      </c>
      <c r="H34" t="str">
        <f>Tableau9[[#This Row],[NOM]]&amp;Tableau9[[#This Row],[Intitulé formation]]</f>
        <v>BOUDIERRisques chimiques</v>
      </c>
    </row>
    <row r="35" spans="1:8" x14ac:dyDescent="0.25">
      <c r="A35" s="253" t="s">
        <v>468</v>
      </c>
      <c r="B35" s="246" t="s">
        <v>1104</v>
      </c>
      <c r="C35" s="240" t="s">
        <v>1454</v>
      </c>
      <c r="D35" s="243" t="s">
        <v>409</v>
      </c>
      <c r="E35" s="238" t="s">
        <v>1326</v>
      </c>
      <c r="F35" s="244">
        <v>43625</v>
      </c>
      <c r="G35" s="254" t="s">
        <v>258</v>
      </c>
      <c r="H35" t="str">
        <f>Tableau9[[#This Row],[NOM]]&amp;Tableau9[[#This Row],[Intitulé formation]]</f>
        <v>BOULOGNEIncendie</v>
      </c>
    </row>
    <row r="36" spans="1:8" x14ac:dyDescent="0.25">
      <c r="A36" s="253" t="s">
        <v>933</v>
      </c>
      <c r="B36" s="239" t="s">
        <v>995</v>
      </c>
      <c r="C36" s="240" t="s">
        <v>1450</v>
      </c>
      <c r="D36" s="241" t="s">
        <v>294</v>
      </c>
      <c r="E36" s="238" t="s">
        <v>1326</v>
      </c>
      <c r="F36" s="244">
        <v>43506</v>
      </c>
      <c r="G36" s="254" t="s">
        <v>257</v>
      </c>
      <c r="H36" t="str">
        <f>Tableau9[[#This Row],[NOM]]&amp;Tableau9[[#This Row],[Intitulé formation]]</f>
        <v>BOUQUETIncendie</v>
      </c>
    </row>
    <row r="37" spans="1:8" x14ac:dyDescent="0.25">
      <c r="A37" s="253" t="s">
        <v>471</v>
      </c>
      <c r="B37" s="246" t="s">
        <v>1185</v>
      </c>
      <c r="C37" s="240" t="s">
        <v>1454</v>
      </c>
      <c r="D37" s="243" t="s">
        <v>409</v>
      </c>
      <c r="E37" s="238" t="s">
        <v>1323</v>
      </c>
      <c r="F37" s="244">
        <v>43534</v>
      </c>
      <c r="G37" s="254" t="s">
        <v>257</v>
      </c>
      <c r="H37" t="str">
        <f>Tableau9[[#This Row],[NOM]]&amp;Tableau9[[#This Row],[Intitulé formation]]</f>
        <v>BRANJONNEAUGestes et postures</v>
      </c>
    </row>
    <row r="38" spans="1:8" x14ac:dyDescent="0.25">
      <c r="A38" s="253" t="s">
        <v>937</v>
      </c>
      <c r="B38" s="239" t="s">
        <v>1369</v>
      </c>
      <c r="C38" s="240" t="s">
        <v>1450</v>
      </c>
      <c r="D38" s="245" t="s">
        <v>294</v>
      </c>
      <c r="E38" s="238" t="s">
        <v>1323</v>
      </c>
      <c r="F38" s="244" t="s">
        <v>1492</v>
      </c>
      <c r="G38" s="254" t="s">
        <v>258</v>
      </c>
      <c r="H38" t="str">
        <f>Tableau9[[#This Row],[NOM]]&amp;Tableau9[[#This Row],[Intitulé formation]]</f>
        <v>BRISARDGestes et postures</v>
      </c>
    </row>
    <row r="39" spans="1:8" x14ac:dyDescent="0.25">
      <c r="A39" s="253" t="s">
        <v>937</v>
      </c>
      <c r="B39" s="239" t="s">
        <v>1369</v>
      </c>
      <c r="C39" s="240" t="s">
        <v>1450</v>
      </c>
      <c r="D39" s="241" t="s">
        <v>294</v>
      </c>
      <c r="E39" s="238" t="s">
        <v>1326</v>
      </c>
      <c r="F39" s="244" t="s">
        <v>518</v>
      </c>
      <c r="G39" s="254"/>
      <c r="H39" t="str">
        <f>Tableau9[[#This Row],[NOM]]&amp;Tableau9[[#This Row],[Intitulé formation]]</f>
        <v>BRISARDIncendie</v>
      </c>
    </row>
    <row r="40" spans="1:8" x14ac:dyDescent="0.25">
      <c r="A40" s="253" t="s">
        <v>942</v>
      </c>
      <c r="B40" s="239" t="s">
        <v>924</v>
      </c>
      <c r="C40" s="240" t="s">
        <v>1450</v>
      </c>
      <c r="D40" s="241" t="s">
        <v>294</v>
      </c>
      <c r="E40" s="238" t="s">
        <v>1326</v>
      </c>
      <c r="F40" s="244">
        <v>43506</v>
      </c>
      <c r="G40" s="254" t="s">
        <v>257</v>
      </c>
      <c r="H40" t="str">
        <f>Tableau9[[#This Row],[NOM]]&amp;Tableau9[[#This Row],[Intitulé formation]]</f>
        <v>BRUNIncendie</v>
      </c>
    </row>
    <row r="41" spans="1:8" x14ac:dyDescent="0.25">
      <c r="A41" s="253" t="s">
        <v>942</v>
      </c>
      <c r="B41" s="239" t="s">
        <v>924</v>
      </c>
      <c r="C41" s="240" t="s">
        <v>1450</v>
      </c>
      <c r="D41" s="245" t="s">
        <v>294</v>
      </c>
      <c r="E41" s="242" t="s">
        <v>1333</v>
      </c>
      <c r="F41" s="244">
        <v>43608</v>
      </c>
      <c r="G41" s="254" t="s">
        <v>258</v>
      </c>
      <c r="H41" t="str">
        <f>Tableau9[[#This Row],[NOM]]&amp;Tableau9[[#This Row],[Intitulé formation]]</f>
        <v>BRUNRisques chimiques</v>
      </c>
    </row>
    <row r="42" spans="1:8" x14ac:dyDescent="0.25">
      <c r="A42" s="253" t="s">
        <v>948</v>
      </c>
      <c r="B42" s="239" t="s">
        <v>949</v>
      </c>
      <c r="C42" s="240" t="s">
        <v>1450</v>
      </c>
      <c r="D42" s="245" t="s">
        <v>355</v>
      </c>
      <c r="E42" s="238" t="s">
        <v>1326</v>
      </c>
      <c r="F42" s="244">
        <v>43506</v>
      </c>
      <c r="G42" s="254" t="s">
        <v>257</v>
      </c>
      <c r="H42" t="str">
        <f>Tableau9[[#This Row],[NOM]]&amp;Tableau9[[#This Row],[Intitulé formation]]</f>
        <v>BUISSONIncendie</v>
      </c>
    </row>
    <row r="43" spans="1:8" x14ac:dyDescent="0.25">
      <c r="A43" s="253" t="s">
        <v>953</v>
      </c>
      <c r="B43" s="239" t="s">
        <v>1469</v>
      </c>
      <c r="C43" s="240" t="s">
        <v>1450</v>
      </c>
      <c r="D43" s="245" t="s">
        <v>294</v>
      </c>
      <c r="E43" s="238" t="s">
        <v>1326</v>
      </c>
      <c r="F43" s="244">
        <v>43506</v>
      </c>
      <c r="G43" s="254" t="s">
        <v>257</v>
      </c>
      <c r="H43" t="str">
        <f>Tableau9[[#This Row],[NOM]]&amp;Tableau9[[#This Row],[Intitulé formation]]</f>
        <v>BUNELIncendie</v>
      </c>
    </row>
    <row r="44" spans="1:8" x14ac:dyDescent="0.25">
      <c r="A44" s="253" t="s">
        <v>1146</v>
      </c>
      <c r="B44" s="246" t="s">
        <v>982</v>
      </c>
      <c r="C44" s="240" t="s">
        <v>1317</v>
      </c>
      <c r="D44" s="243" t="s">
        <v>326</v>
      </c>
      <c r="E44" s="238" t="s">
        <v>1323</v>
      </c>
      <c r="F44" s="244">
        <v>43816</v>
      </c>
      <c r="G44" s="254" t="s">
        <v>260</v>
      </c>
      <c r="H44" t="str">
        <f>Tableau9[[#This Row],[NOM]]&amp;Tableau9[[#This Row],[Intitulé formation]]</f>
        <v>CABANEGestes et postures</v>
      </c>
    </row>
    <row r="45" spans="1:8" x14ac:dyDescent="0.25">
      <c r="A45" s="262" t="s">
        <v>1325</v>
      </c>
      <c r="B45" s="259" t="s">
        <v>1347</v>
      </c>
      <c r="C45" s="240" t="s">
        <v>1450</v>
      </c>
      <c r="D45" s="241" t="s">
        <v>355</v>
      </c>
      <c r="E45" s="238" t="s">
        <v>1326</v>
      </c>
      <c r="F45" s="244" t="s">
        <v>518</v>
      </c>
      <c r="G45" s="254"/>
      <c r="H45" t="str">
        <f>Tableau9[[#This Row],[NOM]]&amp;Tableau9[[#This Row],[Intitulé formation]]</f>
        <v>CAIANIIncendie</v>
      </c>
    </row>
    <row r="46" spans="1:8" x14ac:dyDescent="0.25">
      <c r="A46" s="253" t="s">
        <v>477</v>
      </c>
      <c r="B46" s="246" t="s">
        <v>1453</v>
      </c>
      <c r="C46" s="240" t="s">
        <v>1454</v>
      </c>
      <c r="D46" s="243" t="s">
        <v>364</v>
      </c>
      <c r="E46" s="238" t="s">
        <v>1326</v>
      </c>
      <c r="F46" s="244">
        <v>43625</v>
      </c>
      <c r="G46" s="254" t="s">
        <v>258</v>
      </c>
      <c r="H46" t="str">
        <f>Tableau9[[#This Row],[NOM]]&amp;Tableau9[[#This Row],[Intitulé formation]]</f>
        <v>CEYSSONIncendie</v>
      </c>
    </row>
    <row r="47" spans="1:8" x14ac:dyDescent="0.25">
      <c r="A47" s="253" t="s">
        <v>481</v>
      </c>
      <c r="B47" s="246" t="s">
        <v>1469</v>
      </c>
      <c r="C47" s="240" t="s">
        <v>1454</v>
      </c>
      <c r="D47" s="243" t="s">
        <v>409</v>
      </c>
      <c r="E47" s="238" t="s">
        <v>1326</v>
      </c>
      <c r="F47" s="244">
        <v>43625</v>
      </c>
      <c r="G47" s="254" t="s">
        <v>258</v>
      </c>
      <c r="H47" t="str">
        <f>Tableau9[[#This Row],[NOM]]&amp;Tableau9[[#This Row],[Intitulé formation]]</f>
        <v>CHABERTIncendie</v>
      </c>
    </row>
    <row r="48" spans="1:8" x14ac:dyDescent="0.25">
      <c r="A48" s="253" t="s">
        <v>489</v>
      </c>
      <c r="B48" s="246" t="s">
        <v>1374</v>
      </c>
      <c r="C48" s="240" t="s">
        <v>1454</v>
      </c>
      <c r="D48" s="243" t="s">
        <v>280</v>
      </c>
      <c r="E48" s="238" t="s">
        <v>1323</v>
      </c>
      <c r="F48" s="244">
        <v>43352</v>
      </c>
      <c r="G48" s="254" t="s">
        <v>259</v>
      </c>
      <c r="H48" t="str">
        <f>Tableau9[[#This Row],[NOM]]&amp;Tableau9[[#This Row],[Intitulé formation]]</f>
        <v>CHAMBONGestes et postures</v>
      </c>
    </row>
    <row r="49" spans="1:8" x14ac:dyDescent="0.25">
      <c r="A49" s="253" t="s">
        <v>489</v>
      </c>
      <c r="B49" s="246" t="s">
        <v>1374</v>
      </c>
      <c r="C49" s="240" t="s">
        <v>1454</v>
      </c>
      <c r="D49" s="243" t="s">
        <v>280</v>
      </c>
      <c r="E49" s="242" t="s">
        <v>1333</v>
      </c>
      <c r="F49" s="244">
        <v>43154</v>
      </c>
      <c r="G49" s="254" t="s">
        <v>257</v>
      </c>
      <c r="H49" t="str">
        <f>Tableau9[[#This Row],[NOM]]&amp;Tableau9[[#This Row],[Intitulé formation]]</f>
        <v>CHAMBONRisques chimiques</v>
      </c>
    </row>
    <row r="50" spans="1:8" x14ac:dyDescent="0.25">
      <c r="A50" s="253" t="s">
        <v>501</v>
      </c>
      <c r="B50" s="246" t="s">
        <v>1005</v>
      </c>
      <c r="C50" s="240" t="s">
        <v>1454</v>
      </c>
      <c r="D50" s="243" t="s">
        <v>409</v>
      </c>
      <c r="E50" s="238" t="s">
        <v>1326</v>
      </c>
      <c r="F50" s="244">
        <v>43625</v>
      </c>
      <c r="G50" s="254" t="s">
        <v>258</v>
      </c>
      <c r="H50" t="str">
        <f>Tableau9[[#This Row],[NOM]]&amp;Tableau9[[#This Row],[Intitulé formation]]</f>
        <v>CHANIOLIncendie</v>
      </c>
    </row>
    <row r="51" spans="1:8" x14ac:dyDescent="0.25">
      <c r="A51" s="253" t="s">
        <v>505</v>
      </c>
      <c r="B51" s="246" t="s">
        <v>1043</v>
      </c>
      <c r="C51" s="240" t="s">
        <v>1454</v>
      </c>
      <c r="D51" s="248" t="s">
        <v>422</v>
      </c>
      <c r="E51" s="238" t="s">
        <v>1323</v>
      </c>
      <c r="F51" s="244">
        <v>43543</v>
      </c>
      <c r="G51" s="254" t="s">
        <v>257</v>
      </c>
      <c r="H51" t="str">
        <f>Tableau9[[#This Row],[NOM]]&amp;Tableau9[[#This Row],[Intitulé formation]]</f>
        <v>CHAREYREGestes et postures</v>
      </c>
    </row>
    <row r="52" spans="1:8" x14ac:dyDescent="0.25">
      <c r="A52" s="253" t="s">
        <v>505</v>
      </c>
      <c r="B52" s="246" t="s">
        <v>1043</v>
      </c>
      <c r="C52" s="240" t="s">
        <v>1454</v>
      </c>
      <c r="D52" s="248" t="s">
        <v>422</v>
      </c>
      <c r="E52" s="238" t="s">
        <v>1326</v>
      </c>
      <c r="F52" s="244">
        <v>43625</v>
      </c>
      <c r="G52" s="254" t="s">
        <v>258</v>
      </c>
      <c r="H52" t="str">
        <f>Tableau9[[#This Row],[NOM]]&amp;Tableau9[[#This Row],[Intitulé formation]]</f>
        <v>CHAREYREIncendie</v>
      </c>
    </row>
    <row r="53" spans="1:8" x14ac:dyDescent="0.25">
      <c r="A53" s="253" t="s">
        <v>963</v>
      </c>
      <c r="B53" s="239" t="s">
        <v>1376</v>
      </c>
      <c r="C53" s="240" t="s">
        <v>1450</v>
      </c>
      <c r="D53" s="241" t="s">
        <v>294</v>
      </c>
      <c r="E53" s="238" t="s">
        <v>1326</v>
      </c>
      <c r="F53" s="244">
        <v>43506</v>
      </c>
      <c r="G53" s="254" t="s">
        <v>257</v>
      </c>
      <c r="H53" t="str">
        <f>Tableau9[[#This Row],[NOM]]&amp;Tableau9[[#This Row],[Intitulé formation]]</f>
        <v>CHENAVASIncendie</v>
      </c>
    </row>
    <row r="54" spans="1:8" x14ac:dyDescent="0.25">
      <c r="A54" s="253" t="s">
        <v>963</v>
      </c>
      <c r="B54" s="239" t="s">
        <v>1376</v>
      </c>
      <c r="C54" s="240" t="s">
        <v>1450</v>
      </c>
      <c r="D54" s="241" t="s">
        <v>294</v>
      </c>
      <c r="E54" s="238" t="s">
        <v>1462</v>
      </c>
      <c r="F54" s="244">
        <v>43739</v>
      </c>
      <c r="G54" s="254" t="s">
        <v>260</v>
      </c>
      <c r="H54" t="str">
        <f>Tableau9[[#This Row],[NOM]]&amp;Tableau9[[#This Row],[Intitulé formation]]</f>
        <v>CHENAVASPont roulant</v>
      </c>
    </row>
    <row r="55" spans="1:8" x14ac:dyDescent="0.25">
      <c r="A55" s="253" t="s">
        <v>966</v>
      </c>
      <c r="B55" s="239" t="s">
        <v>1374</v>
      </c>
      <c r="C55" s="240" t="s">
        <v>1450</v>
      </c>
      <c r="D55" s="241" t="s">
        <v>948</v>
      </c>
      <c r="E55" s="238" t="s">
        <v>1326</v>
      </c>
      <c r="F55" s="244">
        <v>43506</v>
      </c>
      <c r="G55" s="254" t="s">
        <v>257</v>
      </c>
      <c r="H55" t="str">
        <f>Tableau9[[#This Row],[NOM]]&amp;Tableau9[[#This Row],[Intitulé formation]]</f>
        <v>CHENAVIERIncendie</v>
      </c>
    </row>
    <row r="56" spans="1:8" x14ac:dyDescent="0.25">
      <c r="A56" s="253" t="s">
        <v>511</v>
      </c>
      <c r="B56" s="247" t="s">
        <v>1455</v>
      </c>
      <c r="C56" s="240" t="s">
        <v>1454</v>
      </c>
      <c r="D56" s="243" t="s">
        <v>379</v>
      </c>
      <c r="E56" s="238" t="s">
        <v>1326</v>
      </c>
      <c r="F56" s="244">
        <v>43625</v>
      </c>
      <c r="G56" s="254" t="s">
        <v>258</v>
      </c>
      <c r="H56" t="str">
        <f>Tableau9[[#This Row],[NOM]]&amp;Tableau9[[#This Row],[Intitulé formation]]</f>
        <v>CHOMBARTIncendie</v>
      </c>
    </row>
    <row r="57" spans="1:8" x14ac:dyDescent="0.25">
      <c r="A57" s="253" t="s">
        <v>511</v>
      </c>
      <c r="B57" s="247" t="s">
        <v>1455</v>
      </c>
      <c r="C57" s="240" t="s">
        <v>1454</v>
      </c>
      <c r="D57" s="243" t="s">
        <v>379</v>
      </c>
      <c r="E57" s="242" t="s">
        <v>1333</v>
      </c>
      <c r="F57" s="244">
        <v>43773</v>
      </c>
      <c r="G57" s="254" t="s">
        <v>260</v>
      </c>
      <c r="H57" t="str">
        <f>Tableau9[[#This Row],[NOM]]&amp;Tableau9[[#This Row],[Intitulé formation]]</f>
        <v>CHOMBARTRisques chimiques</v>
      </c>
    </row>
    <row r="58" spans="1:8" x14ac:dyDescent="0.25">
      <c r="A58" s="253" t="s">
        <v>1143</v>
      </c>
      <c r="B58" s="246" t="s">
        <v>1482</v>
      </c>
      <c r="C58" s="240" t="s">
        <v>1317</v>
      </c>
      <c r="D58" s="243" t="s">
        <v>326</v>
      </c>
      <c r="E58" s="238" t="s">
        <v>1323</v>
      </c>
      <c r="F58" s="244">
        <v>43733</v>
      </c>
      <c r="G58" s="254" t="s">
        <v>259</v>
      </c>
      <c r="H58" t="str">
        <f>Tableau9[[#This Row],[NOM]]&amp;Tableau9[[#This Row],[Intitulé formation]]</f>
        <v>CLAVELGestes et postures</v>
      </c>
    </row>
    <row r="59" spans="1:8" x14ac:dyDescent="0.25">
      <c r="A59" s="253" t="s">
        <v>970</v>
      </c>
      <c r="B59" s="239" t="s">
        <v>1357</v>
      </c>
      <c r="C59" s="240" t="s">
        <v>1450</v>
      </c>
      <c r="D59" s="245" t="s">
        <v>294</v>
      </c>
      <c r="E59" s="238" t="s">
        <v>1323</v>
      </c>
      <c r="F59" s="244">
        <v>43071</v>
      </c>
      <c r="G59" s="254"/>
      <c r="H59" t="str">
        <f>Tableau9[[#This Row],[NOM]]&amp;Tableau9[[#This Row],[Intitulé formation]]</f>
        <v>COMBEGestes et postures</v>
      </c>
    </row>
    <row r="60" spans="1:8" x14ac:dyDescent="0.25">
      <c r="A60" s="253" t="s">
        <v>970</v>
      </c>
      <c r="B60" s="239" t="s">
        <v>1357</v>
      </c>
      <c r="C60" s="240" t="s">
        <v>1450</v>
      </c>
      <c r="D60" s="245" t="s">
        <v>294</v>
      </c>
      <c r="E60" s="238" t="s">
        <v>1326</v>
      </c>
      <c r="F60" s="244">
        <v>43506</v>
      </c>
      <c r="G60" s="254" t="s">
        <v>257</v>
      </c>
      <c r="H60" t="str">
        <f>Tableau9[[#This Row],[NOM]]&amp;Tableau9[[#This Row],[Intitulé formation]]</f>
        <v>COMBEIncendie</v>
      </c>
    </row>
    <row r="61" spans="1:8" x14ac:dyDescent="0.25">
      <c r="A61" s="253" t="s">
        <v>970</v>
      </c>
      <c r="B61" s="239" t="s">
        <v>1357</v>
      </c>
      <c r="C61" s="240" t="s">
        <v>1450</v>
      </c>
      <c r="D61" s="245" t="s">
        <v>294</v>
      </c>
      <c r="E61" s="242" t="s">
        <v>1333</v>
      </c>
      <c r="F61" s="244">
        <v>43608</v>
      </c>
      <c r="G61" s="254" t="s">
        <v>258</v>
      </c>
      <c r="H61" t="str">
        <f>Tableau9[[#This Row],[NOM]]&amp;Tableau9[[#This Row],[Intitulé formation]]</f>
        <v>COMBERisques chimiques</v>
      </c>
    </row>
    <row r="62" spans="1:8" x14ac:dyDescent="0.25">
      <c r="A62" s="262" t="s">
        <v>974</v>
      </c>
      <c r="B62" s="259" t="s">
        <v>1470</v>
      </c>
      <c r="C62" s="240" t="s">
        <v>1450</v>
      </c>
      <c r="D62" s="241" t="s">
        <v>948</v>
      </c>
      <c r="E62" s="238" t="s">
        <v>1323</v>
      </c>
      <c r="F62" s="244" t="s">
        <v>1492</v>
      </c>
      <c r="G62" s="254" t="s">
        <v>257</v>
      </c>
      <c r="H62" t="str">
        <f>Tableau9[[#This Row],[NOM]]&amp;Tableau9[[#This Row],[Intitulé formation]]</f>
        <v>COPPOLAGestes et postures</v>
      </c>
    </row>
    <row r="63" spans="1:8" x14ac:dyDescent="0.25">
      <c r="A63" s="262" t="s">
        <v>974</v>
      </c>
      <c r="B63" s="259" t="s">
        <v>1470</v>
      </c>
      <c r="C63" s="240" t="s">
        <v>1450</v>
      </c>
      <c r="D63" s="241" t="s">
        <v>948</v>
      </c>
      <c r="E63" s="238" t="s">
        <v>1326</v>
      </c>
      <c r="F63" s="244">
        <v>43506</v>
      </c>
      <c r="G63" s="254" t="s">
        <v>257</v>
      </c>
      <c r="H63" t="str">
        <f>Tableau9[[#This Row],[NOM]]&amp;Tableau9[[#This Row],[Intitulé formation]]</f>
        <v>COPPOLAIncendie</v>
      </c>
    </row>
    <row r="64" spans="1:8" x14ac:dyDescent="0.25">
      <c r="A64" s="253" t="s">
        <v>524</v>
      </c>
      <c r="B64" s="246" t="s">
        <v>1480</v>
      </c>
      <c r="C64" s="240" t="s">
        <v>1454</v>
      </c>
      <c r="D64" s="243" t="s">
        <v>409</v>
      </c>
      <c r="E64" s="238" t="s">
        <v>1323</v>
      </c>
      <c r="F64" s="244">
        <v>43541</v>
      </c>
      <c r="G64" s="254" t="s">
        <v>257</v>
      </c>
      <c r="H64" t="str">
        <f>Tableau9[[#This Row],[NOM]]&amp;Tableau9[[#This Row],[Intitulé formation]]</f>
        <v>COSTEGestes et postures</v>
      </c>
    </row>
    <row r="65" spans="1:8" x14ac:dyDescent="0.25">
      <c r="A65" s="253" t="s">
        <v>524</v>
      </c>
      <c r="B65" s="246" t="s">
        <v>1480</v>
      </c>
      <c r="C65" s="240" t="s">
        <v>1454</v>
      </c>
      <c r="D65" s="243" t="s">
        <v>409</v>
      </c>
      <c r="E65" s="238" t="s">
        <v>1326</v>
      </c>
      <c r="F65" s="244">
        <v>42701</v>
      </c>
      <c r="G65" s="254"/>
      <c r="H65" t="str">
        <f>Tableau9[[#This Row],[NOM]]&amp;Tableau9[[#This Row],[Intitulé formation]]</f>
        <v>COSTEIncendie</v>
      </c>
    </row>
    <row r="66" spans="1:8" x14ac:dyDescent="0.25">
      <c r="A66" s="253" t="s">
        <v>1463</v>
      </c>
      <c r="B66" s="239" t="s">
        <v>1382</v>
      </c>
      <c r="C66" s="240" t="s">
        <v>1450</v>
      </c>
      <c r="D66" s="241" t="s">
        <v>294</v>
      </c>
      <c r="E66" s="238" t="s">
        <v>1323</v>
      </c>
      <c r="F66" s="244">
        <v>42826</v>
      </c>
      <c r="G66" s="254"/>
      <c r="H66" t="str">
        <f>Tableau9[[#This Row],[NOM]]&amp;Tableau9[[#This Row],[Intitulé formation]]</f>
        <v>COUTO Gestes et postures</v>
      </c>
    </row>
    <row r="67" spans="1:8" x14ac:dyDescent="0.25">
      <c r="A67" s="253" t="s">
        <v>1463</v>
      </c>
      <c r="B67" s="239" t="s">
        <v>1382</v>
      </c>
      <c r="C67" s="240" t="s">
        <v>1450</v>
      </c>
      <c r="D67" s="241" t="s">
        <v>294</v>
      </c>
      <c r="E67" s="238" t="s">
        <v>1462</v>
      </c>
      <c r="F67" s="244">
        <v>43739</v>
      </c>
      <c r="G67" s="254" t="s">
        <v>260</v>
      </c>
      <c r="H67" t="str">
        <f>Tableau9[[#This Row],[NOM]]&amp;Tableau9[[#This Row],[Intitulé formation]]</f>
        <v>COUTO Pont roulant</v>
      </c>
    </row>
    <row r="68" spans="1:8" x14ac:dyDescent="0.25">
      <c r="A68" s="253" t="s">
        <v>528</v>
      </c>
      <c r="B68" s="246" t="s">
        <v>1383</v>
      </c>
      <c r="C68" s="240" t="s">
        <v>1454</v>
      </c>
      <c r="D68" s="243" t="s">
        <v>280</v>
      </c>
      <c r="E68" s="238" t="s">
        <v>1323</v>
      </c>
      <c r="F68" s="244">
        <v>43407</v>
      </c>
      <c r="G68" s="254" t="s">
        <v>260</v>
      </c>
      <c r="H68" t="str">
        <f>Tableau9[[#This Row],[NOM]]&amp;Tableau9[[#This Row],[Intitulé formation]]</f>
        <v>CRUSGestes et postures</v>
      </c>
    </row>
    <row r="69" spans="1:8" x14ac:dyDescent="0.25">
      <c r="A69" s="253" t="s">
        <v>539</v>
      </c>
      <c r="B69" s="246" t="s">
        <v>1481</v>
      </c>
      <c r="C69" s="240" t="s">
        <v>1454</v>
      </c>
      <c r="D69" s="243" t="s">
        <v>280</v>
      </c>
      <c r="E69" s="238" t="s">
        <v>1323</v>
      </c>
      <c r="F69" s="244">
        <v>43534</v>
      </c>
      <c r="G69" s="254" t="s">
        <v>257</v>
      </c>
      <c r="H69" t="str">
        <f>Tableau9[[#This Row],[NOM]]&amp;Tableau9[[#This Row],[Intitulé formation]]</f>
        <v>DALLANEGRAGestes et postures</v>
      </c>
    </row>
    <row r="70" spans="1:8" x14ac:dyDescent="0.25">
      <c r="A70" s="253" t="s">
        <v>539</v>
      </c>
      <c r="B70" s="246" t="s">
        <v>1481</v>
      </c>
      <c r="C70" s="240" t="s">
        <v>1454</v>
      </c>
      <c r="D70" s="243" t="s">
        <v>280</v>
      </c>
      <c r="E70" s="238" t="s">
        <v>1326</v>
      </c>
      <c r="F70" s="244">
        <v>43625</v>
      </c>
      <c r="G70" s="254" t="s">
        <v>258</v>
      </c>
      <c r="H70" t="str">
        <f>Tableau9[[#This Row],[NOM]]&amp;Tableau9[[#This Row],[Intitulé formation]]</f>
        <v>DALLANEGRAIncendie</v>
      </c>
    </row>
    <row r="71" spans="1:8" x14ac:dyDescent="0.25">
      <c r="A71" s="253" t="s">
        <v>493</v>
      </c>
      <c r="B71" s="246" t="s">
        <v>1043</v>
      </c>
      <c r="C71" s="240" t="s">
        <v>1454</v>
      </c>
      <c r="D71" s="248" t="s">
        <v>1491</v>
      </c>
      <c r="E71" s="238" t="s">
        <v>1326</v>
      </c>
      <c r="F71" s="244" t="s">
        <v>518</v>
      </c>
      <c r="G71" s="254"/>
      <c r="H71" t="str">
        <f>Tableau9[[#This Row],[NOM]]&amp;Tableau9[[#This Row],[Intitulé formation]]</f>
        <v>DARDAREIncendie</v>
      </c>
    </row>
    <row r="72" spans="1:8" x14ac:dyDescent="0.25">
      <c r="A72" s="253" t="s">
        <v>1471</v>
      </c>
      <c r="B72" s="239" t="s">
        <v>1388</v>
      </c>
      <c r="C72" s="240" t="s">
        <v>1450</v>
      </c>
      <c r="D72" s="245" t="s">
        <v>294</v>
      </c>
      <c r="E72" s="238" t="s">
        <v>1326</v>
      </c>
      <c r="F72" s="244" t="s">
        <v>518</v>
      </c>
      <c r="G72" s="254"/>
      <c r="H72" t="str">
        <f>Tableau9[[#This Row],[NOM]]&amp;Tableau9[[#This Row],[Intitulé formation]]</f>
        <v>DJELLOULI Incendie</v>
      </c>
    </row>
    <row r="73" spans="1:8" x14ac:dyDescent="0.25">
      <c r="A73" s="253" t="s">
        <v>568</v>
      </c>
      <c r="B73" s="246" t="s">
        <v>569</v>
      </c>
      <c r="C73" s="240" t="s">
        <v>1454</v>
      </c>
      <c r="D73" s="243" t="s">
        <v>493</v>
      </c>
      <c r="E73" s="238" t="s">
        <v>1326</v>
      </c>
      <c r="F73" s="244" t="s">
        <v>518</v>
      </c>
      <c r="G73" s="254"/>
      <c r="H73" t="str">
        <f>Tableau9[[#This Row],[NOM]]&amp;Tableau9[[#This Row],[Intitulé formation]]</f>
        <v>DUBREUILIncendie</v>
      </c>
    </row>
    <row r="74" spans="1:8" x14ac:dyDescent="0.25">
      <c r="A74" s="253" t="s">
        <v>575</v>
      </c>
      <c r="B74" s="246" t="s">
        <v>1456</v>
      </c>
      <c r="C74" s="240" t="s">
        <v>1454</v>
      </c>
      <c r="D74" s="243" t="s">
        <v>364</v>
      </c>
      <c r="E74" s="238" t="s">
        <v>1323</v>
      </c>
      <c r="F74" s="244">
        <v>43541</v>
      </c>
      <c r="G74" s="254" t="s">
        <v>257</v>
      </c>
      <c r="H74" t="str">
        <f>Tableau9[[#This Row],[NOM]]&amp;Tableau9[[#This Row],[Intitulé formation]]</f>
        <v>DUCROSGestes et postures</v>
      </c>
    </row>
    <row r="75" spans="1:8" x14ac:dyDescent="0.25">
      <c r="A75" s="253" t="s">
        <v>575</v>
      </c>
      <c r="B75" s="246" t="s">
        <v>1456</v>
      </c>
      <c r="C75" s="240" t="s">
        <v>1454</v>
      </c>
      <c r="D75" s="243" t="s">
        <v>364</v>
      </c>
      <c r="E75" s="238" t="s">
        <v>1326</v>
      </c>
      <c r="F75" s="244">
        <v>43625</v>
      </c>
      <c r="G75" s="254" t="s">
        <v>258</v>
      </c>
      <c r="H75" t="str">
        <f>Tableau9[[#This Row],[NOM]]&amp;Tableau9[[#This Row],[Intitulé formation]]</f>
        <v>DUCROSIncendie</v>
      </c>
    </row>
    <row r="76" spans="1:8" x14ac:dyDescent="0.25">
      <c r="A76" s="253" t="s">
        <v>575</v>
      </c>
      <c r="B76" s="246" t="s">
        <v>1456</v>
      </c>
      <c r="C76" s="240" t="s">
        <v>1454</v>
      </c>
      <c r="D76" s="243" t="s">
        <v>364</v>
      </c>
      <c r="E76" s="242" t="s">
        <v>1333</v>
      </c>
      <c r="F76" s="244">
        <v>43742</v>
      </c>
      <c r="G76" s="254" t="s">
        <v>260</v>
      </c>
      <c r="H76" t="str">
        <f>Tableau9[[#This Row],[NOM]]&amp;Tableau9[[#This Row],[Intitulé formation]]</f>
        <v>DUCROSRisques chimiques</v>
      </c>
    </row>
    <row r="77" spans="1:8" x14ac:dyDescent="0.25">
      <c r="A77" s="253" t="s">
        <v>579</v>
      </c>
      <c r="B77" s="246" t="s">
        <v>1390</v>
      </c>
      <c r="C77" s="240" t="s">
        <v>1454</v>
      </c>
      <c r="D77" s="243" t="s">
        <v>516</v>
      </c>
      <c r="E77" s="238" t="s">
        <v>1323</v>
      </c>
      <c r="F77" s="244" t="s">
        <v>1492</v>
      </c>
      <c r="G77" s="254" t="s">
        <v>257</v>
      </c>
      <c r="H77" t="str">
        <f>Tableau9[[#This Row],[NOM]]&amp;Tableau9[[#This Row],[Intitulé formation]]</f>
        <v>DUNYGestes et postures</v>
      </c>
    </row>
    <row r="78" spans="1:8" x14ac:dyDescent="0.25">
      <c r="A78" s="253" t="s">
        <v>583</v>
      </c>
      <c r="B78" s="246" t="s">
        <v>1482</v>
      </c>
      <c r="C78" s="240" t="s">
        <v>1454</v>
      </c>
      <c r="D78" s="243" t="s">
        <v>409</v>
      </c>
      <c r="E78" s="238" t="s">
        <v>1326</v>
      </c>
      <c r="F78" s="244">
        <v>43625</v>
      </c>
      <c r="G78" s="254" t="s">
        <v>258</v>
      </c>
      <c r="H78" t="str">
        <f>Tableau9[[#This Row],[NOM]]&amp;Tableau9[[#This Row],[Intitulé formation]]</f>
        <v>DUPLANIncendie</v>
      </c>
    </row>
    <row r="79" spans="1:8" x14ac:dyDescent="0.25">
      <c r="A79" s="253" t="s">
        <v>587</v>
      </c>
      <c r="B79" s="239" t="s">
        <v>995</v>
      </c>
      <c r="C79" s="240" t="s">
        <v>1450</v>
      </c>
      <c r="D79" s="241" t="s">
        <v>294</v>
      </c>
      <c r="E79" s="238" t="s">
        <v>1326</v>
      </c>
      <c r="F79" s="244">
        <v>43506</v>
      </c>
      <c r="G79" s="254" t="s">
        <v>257</v>
      </c>
      <c r="H79" t="str">
        <f>Tableau9[[#This Row],[NOM]]&amp;Tableau9[[#This Row],[Intitulé formation]]</f>
        <v>DURANDIncendie</v>
      </c>
    </row>
    <row r="80" spans="1:8" x14ac:dyDescent="0.25">
      <c r="A80" s="253" t="s">
        <v>591</v>
      </c>
      <c r="B80" s="246" t="s">
        <v>1120</v>
      </c>
      <c r="C80" s="240" t="s">
        <v>1454</v>
      </c>
      <c r="D80" s="243" t="s">
        <v>493</v>
      </c>
      <c r="E80" s="238" t="s">
        <v>1326</v>
      </c>
      <c r="F80" s="244">
        <v>43624</v>
      </c>
      <c r="G80" s="254" t="s">
        <v>258</v>
      </c>
      <c r="H80" t="str">
        <f>Tableau9[[#This Row],[NOM]]&amp;Tableau9[[#This Row],[Intitulé formation]]</f>
        <v>DURIEUIncendie</v>
      </c>
    </row>
    <row r="81" spans="1:8" x14ac:dyDescent="0.25">
      <c r="A81" s="253" t="s">
        <v>1107</v>
      </c>
      <c r="B81" s="246" t="s">
        <v>1053</v>
      </c>
      <c r="C81" s="240" t="s">
        <v>1317</v>
      </c>
      <c r="D81" s="243" t="s">
        <v>326</v>
      </c>
      <c r="E81" s="238" t="s">
        <v>1323</v>
      </c>
      <c r="F81" s="244">
        <v>43718</v>
      </c>
      <c r="G81" s="254" t="s">
        <v>259</v>
      </c>
      <c r="H81" t="str">
        <f>Tableau9[[#This Row],[NOM]]&amp;Tableau9[[#This Row],[Intitulé formation]]</f>
        <v>ENNAOUIGestes et postures</v>
      </c>
    </row>
    <row r="82" spans="1:8" x14ac:dyDescent="0.25">
      <c r="A82" s="253" t="s">
        <v>1107</v>
      </c>
      <c r="B82" s="246" t="s">
        <v>1053</v>
      </c>
      <c r="C82" s="240" t="s">
        <v>1317</v>
      </c>
      <c r="D82" s="243" t="s">
        <v>326</v>
      </c>
      <c r="E82" s="242" t="s">
        <v>1333</v>
      </c>
      <c r="F82" s="244">
        <v>43553</v>
      </c>
      <c r="G82" s="254" t="s">
        <v>257</v>
      </c>
      <c r="H82" t="str">
        <f>Tableau9[[#This Row],[NOM]]&amp;Tableau9[[#This Row],[Intitulé formation]]</f>
        <v>ENNAOUIRisques chimiques</v>
      </c>
    </row>
    <row r="83" spans="1:8" x14ac:dyDescent="0.25">
      <c r="A83" s="253" t="s">
        <v>594</v>
      </c>
      <c r="B83" s="245" t="s">
        <v>1453</v>
      </c>
      <c r="C83" s="240" t="s">
        <v>1454</v>
      </c>
      <c r="D83" s="248" t="s">
        <v>422</v>
      </c>
      <c r="E83" s="238" t="s">
        <v>1323</v>
      </c>
      <c r="F83" s="244" t="s">
        <v>1492</v>
      </c>
      <c r="G83" s="254" t="s">
        <v>257</v>
      </c>
      <c r="H83" t="str">
        <f>Tableau9[[#This Row],[NOM]]&amp;Tableau9[[#This Row],[Intitulé formation]]</f>
        <v>ESCLANGONGestes et postures</v>
      </c>
    </row>
    <row r="84" spans="1:8" x14ac:dyDescent="0.25">
      <c r="A84" s="253" t="s">
        <v>594</v>
      </c>
      <c r="B84" s="245" t="s">
        <v>1453</v>
      </c>
      <c r="C84" s="240" t="s">
        <v>1454</v>
      </c>
      <c r="D84" s="248" t="s">
        <v>422</v>
      </c>
      <c r="E84" s="238" t="s">
        <v>1326</v>
      </c>
      <c r="F84" s="244">
        <v>43625</v>
      </c>
      <c r="G84" s="254" t="s">
        <v>258</v>
      </c>
      <c r="H84" t="str">
        <f>Tableau9[[#This Row],[NOM]]&amp;Tableau9[[#This Row],[Intitulé formation]]</f>
        <v>ESCLANGONIncendie</v>
      </c>
    </row>
    <row r="85" spans="1:8" x14ac:dyDescent="0.25">
      <c r="A85" s="253" t="s">
        <v>594</v>
      </c>
      <c r="B85" s="245" t="s">
        <v>1453</v>
      </c>
      <c r="C85" s="240" t="s">
        <v>1454</v>
      </c>
      <c r="D85" s="248" t="s">
        <v>422</v>
      </c>
      <c r="E85" s="242" t="s">
        <v>1333</v>
      </c>
      <c r="F85" s="244">
        <v>43773</v>
      </c>
      <c r="G85" s="254" t="s">
        <v>260</v>
      </c>
      <c r="H85" t="str">
        <f>Tableau9[[#This Row],[NOM]]&amp;Tableau9[[#This Row],[Intitulé formation]]</f>
        <v>ESCLANGONRisques chimiques</v>
      </c>
    </row>
    <row r="86" spans="1:8" x14ac:dyDescent="0.25">
      <c r="A86" s="253" t="s">
        <v>599</v>
      </c>
      <c r="B86" s="245" t="s">
        <v>1392</v>
      </c>
      <c r="C86" s="240" t="s">
        <v>1454</v>
      </c>
      <c r="D86" s="243" t="s">
        <v>280</v>
      </c>
      <c r="E86" s="238" t="s">
        <v>1326</v>
      </c>
      <c r="F86" s="244">
        <v>43625</v>
      </c>
      <c r="G86" s="254" t="s">
        <v>258</v>
      </c>
      <c r="H86" t="str">
        <f>Tableau9[[#This Row],[NOM]]&amp;Tableau9[[#This Row],[Intitulé formation]]</f>
        <v>ESTEBANIncendie</v>
      </c>
    </row>
    <row r="87" spans="1:8" x14ac:dyDescent="0.25">
      <c r="A87" s="253" t="s">
        <v>127</v>
      </c>
      <c r="B87" s="245" t="s">
        <v>1374</v>
      </c>
      <c r="C87" s="240" t="s">
        <v>1454</v>
      </c>
      <c r="D87" s="243" t="s">
        <v>313</v>
      </c>
      <c r="E87" s="238" t="s">
        <v>1326</v>
      </c>
      <c r="F87" s="244">
        <v>42084</v>
      </c>
      <c r="G87" s="254"/>
      <c r="H87" t="str">
        <f>Tableau9[[#This Row],[NOM]]&amp;Tableau9[[#This Row],[Intitulé formation]]</f>
        <v>ETIENNEIncendie</v>
      </c>
    </row>
    <row r="88" spans="1:8" x14ac:dyDescent="0.25">
      <c r="A88" s="262" t="s">
        <v>516</v>
      </c>
      <c r="B88" s="247" t="s">
        <v>517</v>
      </c>
      <c r="C88" s="240" t="s">
        <v>1454</v>
      </c>
      <c r="D88" s="248" t="s">
        <v>1491</v>
      </c>
      <c r="E88" s="238" t="s">
        <v>1323</v>
      </c>
      <c r="F88" s="244" t="s">
        <v>1492</v>
      </c>
      <c r="G88" s="254" t="s">
        <v>257</v>
      </c>
      <c r="H88" t="str">
        <f>Tableau9[[#This Row],[NOM]]&amp;Tableau9[[#This Row],[Intitulé formation]]</f>
        <v>FELDERGestes et postures</v>
      </c>
    </row>
    <row r="89" spans="1:8" x14ac:dyDescent="0.25">
      <c r="A89" s="255" t="s">
        <v>616</v>
      </c>
      <c r="B89" s="246" t="s">
        <v>924</v>
      </c>
      <c r="C89" s="240" t="s">
        <v>1454</v>
      </c>
      <c r="D89" s="243" t="s">
        <v>364</v>
      </c>
      <c r="E89" s="238" t="s">
        <v>1323</v>
      </c>
      <c r="F89" s="244">
        <v>43543</v>
      </c>
      <c r="G89" s="254" t="s">
        <v>257</v>
      </c>
      <c r="H89" t="str">
        <f>Tableau9[[#This Row],[NOM]]&amp;Tableau9[[#This Row],[Intitulé formation]]</f>
        <v>FERREROGestes et postures</v>
      </c>
    </row>
    <row r="90" spans="1:8" x14ac:dyDescent="0.25">
      <c r="A90" s="255" t="s">
        <v>616</v>
      </c>
      <c r="B90" s="246" t="s">
        <v>924</v>
      </c>
      <c r="C90" s="240" t="s">
        <v>1454</v>
      </c>
      <c r="D90" s="243" t="s">
        <v>364</v>
      </c>
      <c r="E90" s="242" t="s">
        <v>1333</v>
      </c>
      <c r="F90" s="244">
        <v>43742</v>
      </c>
      <c r="G90" s="254" t="s">
        <v>260</v>
      </c>
      <c r="H90" t="str">
        <f>Tableau9[[#This Row],[NOM]]&amp;Tableau9[[#This Row],[Intitulé formation]]</f>
        <v>FERRERORisques chimiques</v>
      </c>
    </row>
    <row r="91" spans="1:8" x14ac:dyDescent="0.25">
      <c r="A91" s="253" t="s">
        <v>619</v>
      </c>
      <c r="B91" s="246" t="s">
        <v>924</v>
      </c>
      <c r="C91" s="240" t="s">
        <v>1317</v>
      </c>
      <c r="D91" s="243" t="s">
        <v>326</v>
      </c>
      <c r="E91" s="238" t="s">
        <v>1323</v>
      </c>
      <c r="F91" s="244">
        <v>43718</v>
      </c>
      <c r="G91" s="254" t="s">
        <v>259</v>
      </c>
      <c r="H91" t="str">
        <f>Tableau9[[#This Row],[NOM]]&amp;Tableau9[[#This Row],[Intitulé formation]]</f>
        <v>FONTAINEGestes et postures</v>
      </c>
    </row>
    <row r="92" spans="1:8" x14ac:dyDescent="0.25">
      <c r="A92" s="253" t="s">
        <v>619</v>
      </c>
      <c r="B92" s="246" t="s">
        <v>924</v>
      </c>
      <c r="C92" s="240" t="s">
        <v>1317</v>
      </c>
      <c r="D92" s="243" t="s">
        <v>326</v>
      </c>
      <c r="E92" s="242" t="s">
        <v>1333</v>
      </c>
      <c r="F92" s="244">
        <v>43553</v>
      </c>
      <c r="G92" s="254" t="s">
        <v>257</v>
      </c>
      <c r="H92" t="str">
        <f>Tableau9[[#This Row],[NOM]]&amp;Tableau9[[#This Row],[Intitulé formation]]</f>
        <v>FONTAINERisques chimiques</v>
      </c>
    </row>
    <row r="93" spans="1:8" x14ac:dyDescent="0.25">
      <c r="A93" s="253" t="s">
        <v>623</v>
      </c>
      <c r="B93" s="246" t="s">
        <v>1395</v>
      </c>
      <c r="C93" s="240" t="s">
        <v>1454</v>
      </c>
      <c r="D93" s="243" t="s">
        <v>280</v>
      </c>
      <c r="E93" s="238" t="s">
        <v>1326</v>
      </c>
      <c r="F93" s="244">
        <v>43625</v>
      </c>
      <c r="G93" s="254" t="s">
        <v>258</v>
      </c>
      <c r="H93" t="str">
        <f>Tableau9[[#This Row],[NOM]]&amp;Tableau9[[#This Row],[Intitulé formation]]</f>
        <v>FONTIBUSIncendie</v>
      </c>
    </row>
    <row r="94" spans="1:8" x14ac:dyDescent="0.25">
      <c r="A94" s="253" t="s">
        <v>355</v>
      </c>
      <c r="B94" s="239" t="s">
        <v>1472</v>
      </c>
      <c r="C94" s="240" t="s">
        <v>1450</v>
      </c>
      <c r="D94" s="245" t="s">
        <v>1491</v>
      </c>
      <c r="E94" s="238" t="s">
        <v>1326</v>
      </c>
      <c r="F94" s="244" t="s">
        <v>518</v>
      </c>
      <c r="G94" s="254"/>
      <c r="H94" t="str">
        <f>Tableau9[[#This Row],[NOM]]&amp;Tableau9[[#This Row],[Intitulé formation]]</f>
        <v>FOUASSIERIncendie</v>
      </c>
    </row>
    <row r="95" spans="1:8" x14ac:dyDescent="0.25">
      <c r="A95" s="253" t="s">
        <v>627</v>
      </c>
      <c r="B95" s="246" t="s">
        <v>1396</v>
      </c>
      <c r="C95" s="240" t="s">
        <v>1454</v>
      </c>
      <c r="D95" s="243" t="s">
        <v>409</v>
      </c>
      <c r="E95" s="238" t="s">
        <v>1326</v>
      </c>
      <c r="F95" s="244">
        <v>43625</v>
      </c>
      <c r="G95" s="254" t="s">
        <v>258</v>
      </c>
      <c r="H95" t="str">
        <f>Tableau9[[#This Row],[NOM]]&amp;Tableau9[[#This Row],[Intitulé formation]]</f>
        <v>FOURELIncendie</v>
      </c>
    </row>
    <row r="96" spans="1:8" x14ac:dyDescent="0.25">
      <c r="A96" s="253" t="s">
        <v>1483</v>
      </c>
      <c r="B96" s="246" t="s">
        <v>638</v>
      </c>
      <c r="C96" s="240" t="s">
        <v>1454</v>
      </c>
      <c r="D96" s="243" t="s">
        <v>1491</v>
      </c>
      <c r="E96" s="238" t="s">
        <v>1326</v>
      </c>
      <c r="F96" s="244" t="s">
        <v>518</v>
      </c>
      <c r="G96" s="254"/>
      <c r="H96" t="str">
        <f>Tableau9[[#This Row],[NOM]]&amp;Tableau9[[#This Row],[Intitulé formation]]</f>
        <v>FROLOVA-RIVASIIncendie</v>
      </c>
    </row>
    <row r="97" spans="1:8" x14ac:dyDescent="0.25">
      <c r="A97" s="253" t="s">
        <v>422</v>
      </c>
      <c r="B97" s="246" t="s">
        <v>1484</v>
      </c>
      <c r="C97" s="240" t="s">
        <v>1454</v>
      </c>
      <c r="D97" s="243" t="s">
        <v>493</v>
      </c>
      <c r="E97" s="238" t="s">
        <v>1326</v>
      </c>
      <c r="F97" s="244">
        <v>43625</v>
      </c>
      <c r="G97" s="254" t="s">
        <v>258</v>
      </c>
      <c r="H97" t="str">
        <f>Tableau9[[#This Row],[NOM]]&amp;Tableau9[[#This Row],[Intitulé formation]]</f>
        <v>FUENTESIncendie</v>
      </c>
    </row>
    <row r="98" spans="1:8" x14ac:dyDescent="0.25">
      <c r="A98" s="253" t="s">
        <v>649</v>
      </c>
      <c r="B98" s="246" t="s">
        <v>1075</v>
      </c>
      <c r="C98" s="240" t="s">
        <v>1454</v>
      </c>
      <c r="D98" s="243" t="s">
        <v>256</v>
      </c>
      <c r="E98" s="238" t="s">
        <v>1326</v>
      </c>
      <c r="F98" s="244">
        <v>43625</v>
      </c>
      <c r="G98" s="254" t="s">
        <v>258</v>
      </c>
      <c r="H98" t="str">
        <f>Tableau9[[#This Row],[NOM]]&amp;Tableau9[[#This Row],[Intitulé formation]]</f>
        <v>GAILLARDIncendie</v>
      </c>
    </row>
    <row r="99" spans="1:8" x14ac:dyDescent="0.25">
      <c r="A99" s="253" t="s">
        <v>656</v>
      </c>
      <c r="B99" s="246" t="s">
        <v>1485</v>
      </c>
      <c r="C99" s="240" t="s">
        <v>1454</v>
      </c>
      <c r="D99" s="243" t="s">
        <v>409</v>
      </c>
      <c r="E99" s="238" t="s">
        <v>1326</v>
      </c>
      <c r="F99" s="244">
        <v>43625</v>
      </c>
      <c r="G99" s="254" t="s">
        <v>258</v>
      </c>
      <c r="H99" t="str">
        <f>Tableau9[[#This Row],[NOM]]&amp;Tableau9[[#This Row],[Intitulé formation]]</f>
        <v>GARCIAIncendie</v>
      </c>
    </row>
    <row r="100" spans="1:8" x14ac:dyDescent="0.25">
      <c r="A100" s="253" t="s">
        <v>659</v>
      </c>
      <c r="B100" s="246" t="s">
        <v>1104</v>
      </c>
      <c r="C100" s="240" t="s">
        <v>1454</v>
      </c>
      <c r="D100" s="243" t="s">
        <v>409</v>
      </c>
      <c r="E100" s="238" t="s">
        <v>1326</v>
      </c>
      <c r="F100" s="244">
        <v>43625</v>
      </c>
      <c r="G100" s="254" t="s">
        <v>258</v>
      </c>
      <c r="H100" t="str">
        <f>Tableau9[[#This Row],[NOM]]&amp;Tableau9[[#This Row],[Intitulé formation]]</f>
        <v>GAUTHIERIncendie</v>
      </c>
    </row>
    <row r="101" spans="1:8" x14ac:dyDescent="0.25">
      <c r="A101" s="253" t="s">
        <v>1001</v>
      </c>
      <c r="B101" s="239" t="s">
        <v>1453</v>
      </c>
      <c r="C101" s="240" t="s">
        <v>1450</v>
      </c>
      <c r="D101" s="241" t="s">
        <v>294</v>
      </c>
      <c r="E101" s="238" t="s">
        <v>1323</v>
      </c>
      <c r="F101" s="244">
        <v>43071</v>
      </c>
      <c r="G101" s="254"/>
      <c r="H101" t="str">
        <f>Tableau9[[#This Row],[NOM]]&amp;Tableau9[[#This Row],[Intitulé formation]]</f>
        <v>GAYATGestes et postures</v>
      </c>
    </row>
    <row r="102" spans="1:8" x14ac:dyDescent="0.25">
      <c r="A102" s="253" t="s">
        <v>1001</v>
      </c>
      <c r="B102" s="239" t="s">
        <v>1453</v>
      </c>
      <c r="C102" s="240" t="s">
        <v>1450</v>
      </c>
      <c r="D102" s="241" t="s">
        <v>294</v>
      </c>
      <c r="E102" s="238" t="s">
        <v>1326</v>
      </c>
      <c r="F102" s="244">
        <v>43506</v>
      </c>
      <c r="G102" s="254" t="s">
        <v>257</v>
      </c>
      <c r="H102" t="str">
        <f>Tableau9[[#This Row],[NOM]]&amp;Tableau9[[#This Row],[Intitulé formation]]</f>
        <v>GAYATIncendie</v>
      </c>
    </row>
    <row r="103" spans="1:8" x14ac:dyDescent="0.25">
      <c r="A103" s="253" t="s">
        <v>1001</v>
      </c>
      <c r="B103" s="239" t="s">
        <v>1453</v>
      </c>
      <c r="C103" s="240" t="s">
        <v>1450</v>
      </c>
      <c r="D103" s="241" t="s">
        <v>294</v>
      </c>
      <c r="E103" s="238" t="s">
        <v>1462</v>
      </c>
      <c r="F103" s="244">
        <v>43751</v>
      </c>
      <c r="G103" s="254" t="s">
        <v>260</v>
      </c>
      <c r="H103" t="str">
        <f>Tableau9[[#This Row],[NOM]]&amp;Tableau9[[#This Row],[Intitulé formation]]</f>
        <v>GAYATPont roulant</v>
      </c>
    </row>
    <row r="104" spans="1:8" x14ac:dyDescent="0.25">
      <c r="A104" s="253" t="s">
        <v>662</v>
      </c>
      <c r="B104" s="246" t="s">
        <v>1399</v>
      </c>
      <c r="C104" s="240" t="s">
        <v>1454</v>
      </c>
      <c r="D104" s="243" t="s">
        <v>493</v>
      </c>
      <c r="E104" s="238" t="s">
        <v>1326</v>
      </c>
      <c r="F104" s="244">
        <v>43625</v>
      </c>
      <c r="G104" s="254" t="s">
        <v>258</v>
      </c>
      <c r="H104" t="str">
        <f>Tableau9[[#This Row],[NOM]]&amp;Tableau9[[#This Row],[Intitulé formation]]</f>
        <v>GHERSAIncendie</v>
      </c>
    </row>
    <row r="105" spans="1:8" x14ac:dyDescent="0.25">
      <c r="A105" s="253" t="s">
        <v>666</v>
      </c>
      <c r="B105" s="246" t="s">
        <v>1387</v>
      </c>
      <c r="C105" s="240" t="s">
        <v>1454</v>
      </c>
      <c r="D105" s="243" t="s">
        <v>313</v>
      </c>
      <c r="E105" s="238" t="s">
        <v>1326</v>
      </c>
      <c r="F105" s="244">
        <v>43625</v>
      </c>
      <c r="G105" s="254" t="s">
        <v>258</v>
      </c>
      <c r="H105" t="str">
        <f>Tableau9[[#This Row],[NOM]]&amp;Tableau9[[#This Row],[Intitulé formation]]</f>
        <v>GINESTEIncendie</v>
      </c>
    </row>
    <row r="106" spans="1:8" x14ac:dyDescent="0.25">
      <c r="A106" s="253" t="s">
        <v>1011</v>
      </c>
      <c r="B106" s="243" t="s">
        <v>1387</v>
      </c>
      <c r="C106" s="240" t="s">
        <v>1450</v>
      </c>
      <c r="D106" s="241" t="s">
        <v>948</v>
      </c>
      <c r="E106" s="238" t="s">
        <v>1323</v>
      </c>
      <c r="F106" s="244">
        <v>42658</v>
      </c>
      <c r="G106" s="254"/>
      <c r="H106" t="str">
        <f>Tableau9[[#This Row],[NOM]]&amp;Tableau9[[#This Row],[Intitulé formation]]</f>
        <v>GOURBATGestes et postures</v>
      </c>
    </row>
    <row r="107" spans="1:8" x14ac:dyDescent="0.25">
      <c r="A107" s="253" t="s">
        <v>672</v>
      </c>
      <c r="B107" s="246" t="s">
        <v>1400</v>
      </c>
      <c r="C107" s="240" t="s">
        <v>1454</v>
      </c>
      <c r="D107" s="243" t="s">
        <v>364</v>
      </c>
      <c r="E107" s="242" t="s">
        <v>1333</v>
      </c>
      <c r="F107" s="244">
        <v>43742</v>
      </c>
      <c r="G107" s="254" t="s">
        <v>260</v>
      </c>
      <c r="H107" t="str">
        <f>Tableau9[[#This Row],[NOM]]&amp;Tableau9[[#This Row],[Intitulé formation]]</f>
        <v>GRABARZRisques chimiques</v>
      </c>
    </row>
    <row r="108" spans="1:8" x14ac:dyDescent="0.25">
      <c r="A108" s="253" t="s">
        <v>1029</v>
      </c>
      <c r="B108" s="239" t="s">
        <v>1401</v>
      </c>
      <c r="C108" s="240" t="s">
        <v>1450</v>
      </c>
      <c r="D108" s="241" t="s">
        <v>294</v>
      </c>
      <c r="E108" s="238" t="s">
        <v>1323</v>
      </c>
      <c r="F108" s="244">
        <v>42812</v>
      </c>
      <c r="G108" s="254"/>
      <c r="H108" t="str">
        <f>Tableau9[[#This Row],[NOM]]&amp;Tableau9[[#This Row],[Intitulé formation]]</f>
        <v>GRANGIERGestes et postures</v>
      </c>
    </row>
    <row r="109" spans="1:8" x14ac:dyDescent="0.25">
      <c r="A109" s="253" t="s">
        <v>1029</v>
      </c>
      <c r="B109" s="239" t="s">
        <v>1401</v>
      </c>
      <c r="C109" s="240" t="s">
        <v>1450</v>
      </c>
      <c r="D109" s="241" t="s">
        <v>294</v>
      </c>
      <c r="E109" s="242" t="s">
        <v>1333</v>
      </c>
      <c r="F109" s="244">
        <v>43608</v>
      </c>
      <c r="G109" s="254" t="s">
        <v>258</v>
      </c>
      <c r="H109" t="str">
        <f>Tableau9[[#This Row],[NOM]]&amp;Tableau9[[#This Row],[Intitulé formation]]</f>
        <v>GRANGIERRisques chimiques</v>
      </c>
    </row>
    <row r="110" spans="1:8" x14ac:dyDescent="0.25">
      <c r="A110" s="253" t="s">
        <v>1493</v>
      </c>
      <c r="B110" s="239" t="s">
        <v>982</v>
      </c>
      <c r="C110" s="240" t="s">
        <v>1450</v>
      </c>
      <c r="D110" s="245" t="s">
        <v>294</v>
      </c>
      <c r="E110" s="238" t="s">
        <v>1323</v>
      </c>
      <c r="F110" s="244" t="s">
        <v>1492</v>
      </c>
      <c r="G110" s="254"/>
      <c r="H110" t="str">
        <f>Tableau9[[#This Row],[NOM]]&amp;Tableau9[[#This Row],[Intitulé formation]]</f>
        <v>GREPPAT ChristopheGestes et postures</v>
      </c>
    </row>
    <row r="111" spans="1:8" x14ac:dyDescent="0.25">
      <c r="A111" s="253" t="s">
        <v>682</v>
      </c>
      <c r="B111" s="246" t="s">
        <v>1402</v>
      </c>
      <c r="C111" s="240" t="s">
        <v>1454</v>
      </c>
      <c r="D111" s="248" t="s">
        <v>422</v>
      </c>
      <c r="E111" s="238" t="s">
        <v>1326</v>
      </c>
      <c r="F111" s="244">
        <v>43624</v>
      </c>
      <c r="G111" s="254" t="s">
        <v>258</v>
      </c>
      <c r="H111" t="str">
        <f>Tableau9[[#This Row],[NOM]]&amp;Tableau9[[#This Row],[Intitulé formation]]</f>
        <v>GUILHONIncendie</v>
      </c>
    </row>
    <row r="112" spans="1:8" x14ac:dyDescent="0.25">
      <c r="A112" s="253" t="s">
        <v>682</v>
      </c>
      <c r="B112" s="246" t="s">
        <v>1402</v>
      </c>
      <c r="C112" s="240" t="s">
        <v>1454</v>
      </c>
      <c r="D112" s="248" t="s">
        <v>422</v>
      </c>
      <c r="E112" s="242" t="s">
        <v>1333</v>
      </c>
      <c r="F112" s="244">
        <v>43742</v>
      </c>
      <c r="G112" s="254" t="s">
        <v>260</v>
      </c>
      <c r="H112" t="str">
        <f>Tableau9[[#This Row],[NOM]]&amp;Tableau9[[#This Row],[Intitulé formation]]</f>
        <v>GUILHONRisques chimiques</v>
      </c>
    </row>
    <row r="113" spans="1:8" x14ac:dyDescent="0.25">
      <c r="A113" s="253" t="s">
        <v>1039</v>
      </c>
      <c r="B113" s="239" t="s">
        <v>1120</v>
      </c>
      <c r="C113" s="240" t="s">
        <v>1450</v>
      </c>
      <c r="D113" s="241" t="s">
        <v>294</v>
      </c>
      <c r="E113" s="238" t="s">
        <v>1323</v>
      </c>
      <c r="F113" s="244">
        <v>42812</v>
      </c>
      <c r="G113" s="254"/>
      <c r="H113" t="str">
        <f>Tableau9[[#This Row],[NOM]]&amp;Tableau9[[#This Row],[Intitulé formation]]</f>
        <v>GUILLAUDGestes et postures</v>
      </c>
    </row>
    <row r="114" spans="1:8" x14ac:dyDescent="0.25">
      <c r="A114" s="253" t="s">
        <v>1039</v>
      </c>
      <c r="B114" s="239" t="s">
        <v>1120</v>
      </c>
      <c r="C114" s="240" t="s">
        <v>1450</v>
      </c>
      <c r="D114" s="241" t="s">
        <v>294</v>
      </c>
      <c r="E114" s="238" t="s">
        <v>1326</v>
      </c>
      <c r="F114" s="244">
        <v>43506</v>
      </c>
      <c r="G114" s="254" t="s">
        <v>257</v>
      </c>
      <c r="H114" t="str">
        <f>Tableau9[[#This Row],[NOM]]&amp;Tableau9[[#This Row],[Intitulé formation]]</f>
        <v>GUILLAUDIncendie</v>
      </c>
    </row>
    <row r="115" spans="1:8" x14ac:dyDescent="0.25">
      <c r="A115" s="253" t="s">
        <v>1092</v>
      </c>
      <c r="B115" s="246" t="s">
        <v>1093</v>
      </c>
      <c r="C115" s="240" t="s">
        <v>1317</v>
      </c>
      <c r="D115" s="243" t="s">
        <v>326</v>
      </c>
      <c r="E115" s="238" t="s">
        <v>1323</v>
      </c>
      <c r="F115" s="244">
        <v>43718</v>
      </c>
      <c r="G115" s="254" t="s">
        <v>259</v>
      </c>
      <c r="H115" t="str">
        <f>Tableau9[[#This Row],[NOM]]&amp;Tableau9[[#This Row],[Intitulé formation]]</f>
        <v>HAUTOTGestes et postures</v>
      </c>
    </row>
    <row r="116" spans="1:8" x14ac:dyDescent="0.25">
      <c r="A116" s="253" t="s">
        <v>688</v>
      </c>
      <c r="B116" s="246" t="s">
        <v>1403</v>
      </c>
      <c r="C116" s="240" t="s">
        <v>1454</v>
      </c>
      <c r="D116" s="243" t="s">
        <v>280</v>
      </c>
      <c r="E116" s="238" t="s">
        <v>1326</v>
      </c>
      <c r="F116" s="244">
        <v>43625</v>
      </c>
      <c r="G116" s="254" t="s">
        <v>258</v>
      </c>
      <c r="H116" t="str">
        <f>Tableau9[[#This Row],[NOM]]&amp;Tableau9[[#This Row],[Intitulé formation]]</f>
        <v>HERITIERIncendie</v>
      </c>
    </row>
    <row r="117" spans="1:8" x14ac:dyDescent="0.25">
      <c r="A117" s="253" t="s">
        <v>1165</v>
      </c>
      <c r="B117" s="239" t="s">
        <v>1400</v>
      </c>
      <c r="C117" s="240" t="s">
        <v>1450</v>
      </c>
      <c r="D117" s="241" t="s">
        <v>294</v>
      </c>
      <c r="E117" s="238" t="s">
        <v>1326</v>
      </c>
      <c r="F117" s="244">
        <v>42782</v>
      </c>
      <c r="G117" s="254" t="s">
        <v>257</v>
      </c>
      <c r="H117" t="str">
        <f>Tableau9[[#This Row],[NOM]]&amp;Tableau9[[#This Row],[Intitulé formation]]</f>
        <v>HERNANDEZIncendie</v>
      </c>
    </row>
    <row r="118" spans="1:8" x14ac:dyDescent="0.25">
      <c r="A118" s="253" t="s">
        <v>1064</v>
      </c>
      <c r="B118" s="246" t="s">
        <v>333</v>
      </c>
      <c r="C118" s="240" t="s">
        <v>1317</v>
      </c>
      <c r="D118" s="243" t="s">
        <v>326</v>
      </c>
      <c r="E118" s="242" t="s">
        <v>1333</v>
      </c>
      <c r="F118" s="244">
        <v>43623</v>
      </c>
      <c r="G118" s="254" t="s">
        <v>258</v>
      </c>
      <c r="H118" t="str">
        <f>Tableau9[[#This Row],[NOM]]&amp;Tableau9[[#This Row],[Intitulé formation]]</f>
        <v>HIPPOLITERisques chimiques</v>
      </c>
    </row>
    <row r="119" spans="1:8" x14ac:dyDescent="0.25">
      <c r="A119" s="253" t="s">
        <v>715</v>
      </c>
      <c r="B119" s="246" t="s">
        <v>1385</v>
      </c>
      <c r="C119" s="240" t="s">
        <v>1454</v>
      </c>
      <c r="D119" s="243" t="s">
        <v>280</v>
      </c>
      <c r="E119" s="238" t="s">
        <v>1326</v>
      </c>
      <c r="F119" s="244">
        <v>43625</v>
      </c>
      <c r="G119" s="254" t="s">
        <v>258</v>
      </c>
      <c r="H119" t="str">
        <f>Tableau9[[#This Row],[NOM]]&amp;Tableau9[[#This Row],[Intitulé formation]]</f>
        <v>KRASOUSKYIncendie</v>
      </c>
    </row>
    <row r="120" spans="1:8" x14ac:dyDescent="0.25">
      <c r="A120" s="253" t="s">
        <v>718</v>
      </c>
      <c r="B120" s="246" t="s">
        <v>1486</v>
      </c>
      <c r="C120" s="240" t="s">
        <v>1454</v>
      </c>
      <c r="D120" s="243" t="s">
        <v>409</v>
      </c>
      <c r="E120" s="238" t="s">
        <v>1326</v>
      </c>
      <c r="F120" s="244">
        <v>43625</v>
      </c>
      <c r="G120" s="254" t="s">
        <v>258</v>
      </c>
      <c r="H120" t="str">
        <f>Tableau9[[#This Row],[NOM]]&amp;Tableau9[[#This Row],[Intitulé formation]]</f>
        <v>LACLAVEREIncendie</v>
      </c>
    </row>
    <row r="121" spans="1:8" x14ac:dyDescent="0.25">
      <c r="A121" s="253" t="s">
        <v>722</v>
      </c>
      <c r="B121" s="246" t="s">
        <v>1387</v>
      </c>
      <c r="C121" s="240" t="s">
        <v>1454</v>
      </c>
      <c r="D121" s="243" t="s">
        <v>409</v>
      </c>
      <c r="E121" s="238" t="s">
        <v>1326</v>
      </c>
      <c r="F121" s="244">
        <v>43625</v>
      </c>
      <c r="G121" s="254" t="s">
        <v>258</v>
      </c>
      <c r="H121" t="str">
        <f>Tableau9[[#This Row],[NOM]]&amp;Tableau9[[#This Row],[Intitulé formation]]</f>
        <v>LACOMBEIncendie</v>
      </c>
    </row>
    <row r="122" spans="1:8" x14ac:dyDescent="0.25">
      <c r="A122" s="253" t="s">
        <v>1457</v>
      </c>
      <c r="B122" s="246" t="s">
        <v>1402</v>
      </c>
      <c r="C122" s="240" t="s">
        <v>1454</v>
      </c>
      <c r="D122" s="243" t="s">
        <v>364</v>
      </c>
      <c r="E122" s="238" t="s">
        <v>1323</v>
      </c>
      <c r="F122" s="244">
        <v>43407</v>
      </c>
      <c r="G122" s="254" t="s">
        <v>260</v>
      </c>
      <c r="H122" t="str">
        <f>Tableau9[[#This Row],[NOM]]&amp;Tableau9[[#This Row],[Intitulé formation]]</f>
        <v>LACOURGestes et postures</v>
      </c>
    </row>
    <row r="123" spans="1:8" x14ac:dyDescent="0.25">
      <c r="A123" s="253" t="s">
        <v>1457</v>
      </c>
      <c r="B123" s="246" t="s">
        <v>1487</v>
      </c>
      <c r="C123" s="240" t="s">
        <v>1454</v>
      </c>
      <c r="D123" s="243" t="s">
        <v>256</v>
      </c>
      <c r="E123" s="238" t="s">
        <v>1326</v>
      </c>
      <c r="F123" s="244">
        <v>43625</v>
      </c>
      <c r="G123" s="254" t="s">
        <v>258</v>
      </c>
      <c r="H123" t="str">
        <f>Tableau9[[#This Row],[NOM]]&amp;Tableau9[[#This Row],[Intitulé formation]]</f>
        <v>LACOURIncendie</v>
      </c>
    </row>
    <row r="124" spans="1:8" x14ac:dyDescent="0.25">
      <c r="A124" s="253" t="s">
        <v>1457</v>
      </c>
      <c r="B124" s="246" t="s">
        <v>1402</v>
      </c>
      <c r="C124" s="240" t="s">
        <v>1454</v>
      </c>
      <c r="D124" s="243" t="s">
        <v>364</v>
      </c>
      <c r="E124" s="242" t="s">
        <v>1333</v>
      </c>
      <c r="F124" s="244">
        <v>43742</v>
      </c>
      <c r="G124" s="254" t="s">
        <v>260</v>
      </c>
      <c r="H124" t="str">
        <f>Tableau9[[#This Row],[NOM]]&amp;Tableau9[[#This Row],[Intitulé formation]]</f>
        <v>LACOURRisques chimiques</v>
      </c>
    </row>
    <row r="125" spans="1:8" x14ac:dyDescent="0.25">
      <c r="A125" s="253" t="s">
        <v>733</v>
      </c>
      <c r="B125" s="246" t="s">
        <v>1409</v>
      </c>
      <c r="C125" s="240" t="s">
        <v>1454</v>
      </c>
      <c r="D125" s="243" t="s">
        <v>1461</v>
      </c>
      <c r="E125" s="242" t="s">
        <v>1333</v>
      </c>
      <c r="F125" s="244">
        <v>42824</v>
      </c>
      <c r="G125" s="254" t="s">
        <v>257</v>
      </c>
      <c r="H125" t="str">
        <f>Tableau9[[#This Row],[NOM]]&amp;Tableau9[[#This Row],[Intitulé formation]]</f>
        <v>LADETRisques chimiques</v>
      </c>
    </row>
    <row r="126" spans="1:8" x14ac:dyDescent="0.25">
      <c r="A126" s="253" t="s">
        <v>737</v>
      </c>
      <c r="B126" s="246" t="s">
        <v>1397</v>
      </c>
      <c r="C126" s="240" t="s">
        <v>1454</v>
      </c>
      <c r="D126" s="248" t="s">
        <v>493</v>
      </c>
      <c r="E126" s="238" t="s">
        <v>1326</v>
      </c>
      <c r="F126" s="244">
        <v>43625</v>
      </c>
      <c r="G126" s="254" t="s">
        <v>258</v>
      </c>
      <c r="H126" t="str">
        <f>Tableau9[[#This Row],[NOM]]&amp;Tableau9[[#This Row],[Intitulé formation]]</f>
        <v>LANDRAUDIncendie</v>
      </c>
    </row>
    <row r="127" spans="1:8" x14ac:dyDescent="0.25">
      <c r="A127" s="253" t="s">
        <v>737</v>
      </c>
      <c r="B127" s="246" t="s">
        <v>1397</v>
      </c>
      <c r="C127" s="240" t="s">
        <v>1454</v>
      </c>
      <c r="D127" s="248" t="s">
        <v>493</v>
      </c>
      <c r="E127" s="242" t="s">
        <v>1333</v>
      </c>
      <c r="F127" s="244">
        <v>43773</v>
      </c>
      <c r="G127" s="254" t="s">
        <v>260</v>
      </c>
      <c r="H127" t="str">
        <f>Tableau9[[#This Row],[NOM]]&amp;Tableau9[[#This Row],[Intitulé formation]]</f>
        <v>LANDRAUDRisques chimiques</v>
      </c>
    </row>
    <row r="128" spans="1:8" x14ac:dyDescent="0.25">
      <c r="A128" s="253" t="s">
        <v>744</v>
      </c>
      <c r="B128" s="246" t="s">
        <v>1453</v>
      </c>
      <c r="C128" s="240" t="s">
        <v>1454</v>
      </c>
      <c r="D128" s="243" t="s">
        <v>409</v>
      </c>
      <c r="E128" s="238" t="s">
        <v>1323</v>
      </c>
      <c r="F128" s="244">
        <v>43541</v>
      </c>
      <c r="G128" s="254" t="s">
        <v>257</v>
      </c>
      <c r="H128" t="str">
        <f>Tableau9[[#This Row],[NOM]]&amp;Tableau9[[#This Row],[Intitulé formation]]</f>
        <v>LARCHEVEQUEGestes et postures</v>
      </c>
    </row>
    <row r="129" spans="1:8" x14ac:dyDescent="0.25">
      <c r="A129" s="253" t="s">
        <v>744</v>
      </c>
      <c r="B129" s="246" t="s">
        <v>1453</v>
      </c>
      <c r="C129" s="240" t="s">
        <v>1454</v>
      </c>
      <c r="D129" s="243" t="s">
        <v>409</v>
      </c>
      <c r="E129" s="238" t="s">
        <v>1326</v>
      </c>
      <c r="F129" s="244">
        <v>43625</v>
      </c>
      <c r="G129" s="254" t="s">
        <v>258</v>
      </c>
      <c r="H129" t="str">
        <f>Tableau9[[#This Row],[NOM]]&amp;Tableau9[[#This Row],[Intitulé formation]]</f>
        <v>LARCHEVEQUEIncendie</v>
      </c>
    </row>
    <row r="130" spans="1:8" x14ac:dyDescent="0.25">
      <c r="A130" s="253" t="s">
        <v>1180</v>
      </c>
      <c r="B130" s="246" t="s">
        <v>1370</v>
      </c>
      <c r="C130" s="261" t="s">
        <v>1450</v>
      </c>
      <c r="D130" s="243" t="s">
        <v>493</v>
      </c>
      <c r="E130" s="238" t="s">
        <v>1326</v>
      </c>
      <c r="F130" s="244">
        <v>42331</v>
      </c>
      <c r="G130" s="254" t="s">
        <v>260</v>
      </c>
      <c r="H130" t="str">
        <f>Tableau9[[#This Row],[NOM]]&amp;Tableau9[[#This Row],[Intitulé formation]]</f>
        <v>LATOURREIncendie</v>
      </c>
    </row>
    <row r="131" spans="1:8" x14ac:dyDescent="0.25">
      <c r="A131" s="253" t="s">
        <v>122</v>
      </c>
      <c r="B131" s="247" t="s">
        <v>234</v>
      </c>
      <c r="C131" s="240" t="s">
        <v>1317</v>
      </c>
      <c r="D131" s="243" t="s">
        <v>332</v>
      </c>
      <c r="E131" s="238" t="s">
        <v>1323</v>
      </c>
      <c r="F131" s="244">
        <v>43733</v>
      </c>
      <c r="G131" s="254" t="s">
        <v>259</v>
      </c>
      <c r="H131" t="str">
        <f>Tableau9[[#This Row],[NOM]]&amp;Tableau9[[#This Row],[Intitulé formation]]</f>
        <v>LAURENTGestes et postures</v>
      </c>
    </row>
    <row r="132" spans="1:8" x14ac:dyDescent="0.25">
      <c r="A132" s="253" t="s">
        <v>122</v>
      </c>
      <c r="B132" s="247" t="s">
        <v>234</v>
      </c>
      <c r="C132" s="240" t="s">
        <v>1317</v>
      </c>
      <c r="D132" s="243" t="s">
        <v>332</v>
      </c>
      <c r="E132" s="238" t="s">
        <v>1462</v>
      </c>
      <c r="F132" s="244">
        <v>43816</v>
      </c>
      <c r="G132" s="254" t="s">
        <v>260</v>
      </c>
      <c r="H132" t="str">
        <f>Tableau9[[#This Row],[NOM]]&amp;Tableau9[[#This Row],[Intitulé formation]]</f>
        <v>LAURENTPont roulant</v>
      </c>
    </row>
    <row r="133" spans="1:8" x14ac:dyDescent="0.25">
      <c r="A133" s="262" t="s">
        <v>1184</v>
      </c>
      <c r="B133" s="259" t="s">
        <v>1185</v>
      </c>
      <c r="C133" s="240" t="s">
        <v>1450</v>
      </c>
      <c r="D133" s="241" t="s">
        <v>355</v>
      </c>
      <c r="E133" s="238" t="s">
        <v>1326</v>
      </c>
      <c r="F133" s="244">
        <v>43506</v>
      </c>
      <c r="G133" s="254" t="s">
        <v>257</v>
      </c>
      <c r="H133" t="str">
        <f>Tableau9[[#This Row],[NOM]]&amp;Tableau9[[#This Row],[Intitulé formation]]</f>
        <v>LAUWERSIncendie</v>
      </c>
    </row>
    <row r="134" spans="1:8" x14ac:dyDescent="0.25">
      <c r="A134" s="262" t="s">
        <v>1189</v>
      </c>
      <c r="B134" s="259" t="s">
        <v>1473</v>
      </c>
      <c r="C134" s="240" t="s">
        <v>1450</v>
      </c>
      <c r="D134" s="245" t="s">
        <v>294</v>
      </c>
      <c r="E134" s="238" t="s">
        <v>1326</v>
      </c>
      <c r="F134" s="244">
        <v>43506</v>
      </c>
      <c r="G134" s="254" t="s">
        <v>257</v>
      </c>
      <c r="H134" t="str">
        <f>Tableau9[[#This Row],[NOM]]&amp;Tableau9[[#This Row],[Intitulé formation]]</f>
        <v>LAVALLEEIncendie</v>
      </c>
    </row>
    <row r="135" spans="1:8" x14ac:dyDescent="0.25">
      <c r="A135" s="253" t="s">
        <v>1193</v>
      </c>
      <c r="B135" s="239" t="s">
        <v>1469</v>
      </c>
      <c r="C135" s="240" t="s">
        <v>1450</v>
      </c>
      <c r="D135" s="245" t="s">
        <v>294</v>
      </c>
      <c r="E135" s="238" t="s">
        <v>1323</v>
      </c>
      <c r="F135" s="244" t="s">
        <v>1492</v>
      </c>
      <c r="G135" s="254" t="s">
        <v>258</v>
      </c>
      <c r="H135" t="str">
        <f>Tableau9[[#This Row],[NOM]]&amp;Tableau9[[#This Row],[Intitulé formation]]</f>
        <v>LEBLANCGestes et postures</v>
      </c>
    </row>
    <row r="136" spans="1:8" x14ac:dyDescent="0.25">
      <c r="A136" s="253" t="s">
        <v>752</v>
      </c>
      <c r="B136" s="246" t="s">
        <v>1412</v>
      </c>
      <c r="C136" s="240" t="s">
        <v>1454</v>
      </c>
      <c r="D136" s="243" t="s">
        <v>409</v>
      </c>
      <c r="E136" s="238" t="s">
        <v>1326</v>
      </c>
      <c r="F136" s="244">
        <v>42783</v>
      </c>
      <c r="G136" s="254" t="s">
        <v>257</v>
      </c>
      <c r="H136" t="str">
        <f>Tableau9[[#This Row],[NOM]]&amp;Tableau9[[#This Row],[Intitulé formation]]</f>
        <v>LEBREIncendie</v>
      </c>
    </row>
    <row r="137" spans="1:8" x14ac:dyDescent="0.25">
      <c r="A137" s="253" t="s">
        <v>132</v>
      </c>
      <c r="B137" s="246" t="s">
        <v>1413</v>
      </c>
      <c r="C137" s="240" t="s">
        <v>1454</v>
      </c>
      <c r="D137" s="248" t="s">
        <v>409</v>
      </c>
      <c r="E137" s="238" t="s">
        <v>1326</v>
      </c>
      <c r="F137" s="244">
        <v>43625</v>
      </c>
      <c r="G137" s="254" t="s">
        <v>258</v>
      </c>
      <c r="H137" t="str">
        <f>Tableau9[[#This Row],[NOM]]&amp;Tableau9[[#This Row],[Intitulé formation]]</f>
        <v>LEFEBVREIncendie</v>
      </c>
    </row>
    <row r="138" spans="1:8" x14ac:dyDescent="0.25">
      <c r="A138" s="253" t="s">
        <v>758</v>
      </c>
      <c r="B138" s="246" t="s">
        <v>1414</v>
      </c>
      <c r="C138" s="240" t="s">
        <v>1454</v>
      </c>
      <c r="D138" s="248" t="s">
        <v>422</v>
      </c>
      <c r="E138" s="238" t="s">
        <v>1326</v>
      </c>
      <c r="F138" s="244">
        <v>43625</v>
      </c>
      <c r="G138" s="254" t="s">
        <v>258</v>
      </c>
      <c r="H138" t="str">
        <f>Tableau9[[#This Row],[NOM]]&amp;Tableau9[[#This Row],[Intitulé formation]]</f>
        <v>LEFRONTIncendie</v>
      </c>
    </row>
    <row r="139" spans="1:8" x14ac:dyDescent="0.25">
      <c r="A139" s="253" t="s">
        <v>1131</v>
      </c>
      <c r="B139" s="246" t="s">
        <v>1132</v>
      </c>
      <c r="C139" s="240" t="s">
        <v>1317</v>
      </c>
      <c r="D139" s="243" t="s">
        <v>326</v>
      </c>
      <c r="E139" s="238" t="s">
        <v>1323</v>
      </c>
      <c r="F139" s="244">
        <v>43733</v>
      </c>
      <c r="G139" s="254" t="s">
        <v>259</v>
      </c>
      <c r="H139" t="str">
        <f>Tableau9[[#This Row],[NOM]]&amp;Tableau9[[#This Row],[Intitulé formation]]</f>
        <v>LEGAGNEUXGestes et postures</v>
      </c>
    </row>
    <row r="140" spans="1:8" x14ac:dyDescent="0.25">
      <c r="A140" s="253" t="s">
        <v>767</v>
      </c>
      <c r="B140" s="246" t="s">
        <v>1416</v>
      </c>
      <c r="C140" s="240" t="s">
        <v>1454</v>
      </c>
      <c r="D140" s="243" t="s">
        <v>364</v>
      </c>
      <c r="E140" s="238" t="s">
        <v>1326</v>
      </c>
      <c r="F140" s="244">
        <v>43625</v>
      </c>
      <c r="G140" s="254" t="s">
        <v>258</v>
      </c>
      <c r="H140" t="str">
        <f>Tableau9[[#This Row],[NOM]]&amp;Tableau9[[#This Row],[Intitulé formation]]</f>
        <v>LOYRIONIncendie</v>
      </c>
    </row>
    <row r="141" spans="1:8" x14ac:dyDescent="0.25">
      <c r="A141" s="253" t="s">
        <v>770</v>
      </c>
      <c r="B141" s="246" t="s">
        <v>1488</v>
      </c>
      <c r="C141" s="240" t="s">
        <v>1454</v>
      </c>
      <c r="D141" s="243" t="s">
        <v>409</v>
      </c>
      <c r="E141" s="238" t="s">
        <v>1323</v>
      </c>
      <c r="F141" s="244">
        <v>43534</v>
      </c>
      <c r="G141" s="254" t="s">
        <v>257</v>
      </c>
      <c r="H141" t="str">
        <f>Tableau9[[#This Row],[NOM]]&amp;Tableau9[[#This Row],[Intitulé formation]]</f>
        <v>LURIEGestes et postures</v>
      </c>
    </row>
    <row r="142" spans="1:8" x14ac:dyDescent="0.25">
      <c r="A142" s="253" t="s">
        <v>770</v>
      </c>
      <c r="B142" s="246" t="s">
        <v>1488</v>
      </c>
      <c r="C142" s="240" t="s">
        <v>1454</v>
      </c>
      <c r="D142" s="243" t="s">
        <v>409</v>
      </c>
      <c r="E142" s="238" t="s">
        <v>1326</v>
      </c>
      <c r="F142" s="244">
        <v>43625</v>
      </c>
      <c r="G142" s="254" t="s">
        <v>258</v>
      </c>
      <c r="H142" t="str">
        <f>Tableau9[[#This Row],[NOM]]&amp;Tableau9[[#This Row],[Intitulé formation]]</f>
        <v>LURIEIncendie</v>
      </c>
    </row>
    <row r="143" spans="1:8" x14ac:dyDescent="0.25">
      <c r="A143" s="253" t="s">
        <v>1127</v>
      </c>
      <c r="B143" s="246" t="s">
        <v>1128</v>
      </c>
      <c r="C143" s="240" t="s">
        <v>1317</v>
      </c>
      <c r="D143" s="243" t="s">
        <v>326</v>
      </c>
      <c r="E143" s="238" t="s">
        <v>1323</v>
      </c>
      <c r="F143" s="244" t="s">
        <v>1492</v>
      </c>
      <c r="G143" s="254" t="s">
        <v>260</v>
      </c>
      <c r="H143" t="str">
        <f>Tableau9[[#This Row],[NOM]]&amp;Tableau9[[#This Row],[Intitulé formation]]</f>
        <v>MANGEOLLEGestes et postures</v>
      </c>
    </row>
    <row r="144" spans="1:8" x14ac:dyDescent="0.25">
      <c r="A144" s="253" t="s">
        <v>776</v>
      </c>
      <c r="B144" s="246" t="s">
        <v>1357</v>
      </c>
      <c r="C144" s="240" t="s">
        <v>1454</v>
      </c>
      <c r="D144" s="243" t="s">
        <v>280</v>
      </c>
      <c r="E144" s="238" t="s">
        <v>1323</v>
      </c>
      <c r="F144" s="244">
        <v>43541</v>
      </c>
      <c r="G144" s="254" t="s">
        <v>257</v>
      </c>
      <c r="H144" t="str">
        <f>Tableau9[[#This Row],[NOM]]&amp;Tableau9[[#This Row],[Intitulé formation]]</f>
        <v>MARTINGestes et postures</v>
      </c>
    </row>
    <row r="145" spans="1:8" x14ac:dyDescent="0.25">
      <c r="A145" s="253" t="s">
        <v>776</v>
      </c>
      <c r="B145" s="246" t="s">
        <v>1402</v>
      </c>
      <c r="C145" s="240" t="s">
        <v>1454</v>
      </c>
      <c r="D145" s="243" t="s">
        <v>256</v>
      </c>
      <c r="E145" s="238" t="s">
        <v>1326</v>
      </c>
      <c r="F145" s="244">
        <v>43625</v>
      </c>
      <c r="G145" s="254" t="s">
        <v>258</v>
      </c>
      <c r="H145" t="str">
        <f>Tableau9[[#This Row],[NOM]]&amp;Tableau9[[#This Row],[Intitulé formation]]</f>
        <v>MARTINIncendie</v>
      </c>
    </row>
    <row r="146" spans="1:8" x14ac:dyDescent="0.25">
      <c r="A146" s="253" t="s">
        <v>784</v>
      </c>
      <c r="B146" s="246" t="s">
        <v>1418</v>
      </c>
      <c r="C146" s="240" t="s">
        <v>1454</v>
      </c>
      <c r="D146" s="243" t="s">
        <v>280</v>
      </c>
      <c r="E146" s="238" t="s">
        <v>1326</v>
      </c>
      <c r="F146" s="244">
        <v>43625</v>
      </c>
      <c r="G146" s="254" t="s">
        <v>258</v>
      </c>
      <c r="H146" t="str">
        <f>Tableau9[[#This Row],[NOM]]&amp;Tableau9[[#This Row],[Intitulé formation]]</f>
        <v>MASMEJEANIncendie</v>
      </c>
    </row>
    <row r="147" spans="1:8" x14ac:dyDescent="0.25">
      <c r="A147" s="253" t="s">
        <v>1200</v>
      </c>
      <c r="B147" s="239" t="s">
        <v>1419</v>
      </c>
      <c r="C147" s="240" t="s">
        <v>1450</v>
      </c>
      <c r="D147" s="241" t="s">
        <v>1325</v>
      </c>
      <c r="E147" s="238" t="s">
        <v>1326</v>
      </c>
      <c r="F147" s="244" t="s">
        <v>518</v>
      </c>
      <c r="G147" s="254"/>
      <c r="H147" t="str">
        <f>Tableau9[[#This Row],[NOM]]&amp;Tableau9[[#This Row],[Intitulé formation]]</f>
        <v>MENANTEAUIncendie</v>
      </c>
    </row>
    <row r="148" spans="1:8" x14ac:dyDescent="0.25">
      <c r="A148" s="262" t="s">
        <v>103</v>
      </c>
      <c r="B148" s="259" t="s">
        <v>1474</v>
      </c>
      <c r="C148" s="240" t="s">
        <v>1450</v>
      </c>
      <c r="D148" s="241" t="s">
        <v>1325</v>
      </c>
      <c r="E148" s="238" t="s">
        <v>1326</v>
      </c>
      <c r="F148" s="244" t="s">
        <v>518</v>
      </c>
      <c r="G148" s="254"/>
      <c r="H148" t="str">
        <f>Tableau9[[#This Row],[NOM]]&amp;Tableau9[[#This Row],[Intitulé formation]]</f>
        <v>MICHELIncendie</v>
      </c>
    </row>
    <row r="149" spans="1:8" x14ac:dyDescent="0.25">
      <c r="A149" s="262" t="s">
        <v>1210</v>
      </c>
      <c r="B149" s="259" t="s">
        <v>1211</v>
      </c>
      <c r="C149" s="240" t="s">
        <v>1450</v>
      </c>
      <c r="D149" s="245" t="s">
        <v>294</v>
      </c>
      <c r="E149" s="238" t="s">
        <v>1326</v>
      </c>
      <c r="F149" s="244">
        <v>43506</v>
      </c>
      <c r="G149" s="254" t="s">
        <v>258</v>
      </c>
      <c r="H149" t="str">
        <f>Tableau9[[#This Row],[NOM]]&amp;Tableau9[[#This Row],[Intitulé formation]]</f>
        <v>MOLLIERIncendie</v>
      </c>
    </row>
    <row r="150" spans="1:8" x14ac:dyDescent="0.25">
      <c r="A150" s="253" t="s">
        <v>800</v>
      </c>
      <c r="B150" s="246" t="s">
        <v>1033</v>
      </c>
      <c r="C150" s="240" t="s">
        <v>1454</v>
      </c>
      <c r="D150" s="243" t="s">
        <v>256</v>
      </c>
      <c r="E150" s="238" t="s">
        <v>1326</v>
      </c>
      <c r="F150" s="244">
        <v>43625</v>
      </c>
      <c r="G150" s="254" t="s">
        <v>258</v>
      </c>
      <c r="H150" t="str">
        <f>Tableau9[[#This Row],[NOM]]&amp;Tableau9[[#This Row],[Intitulé formation]]</f>
        <v>MOULINIncendie</v>
      </c>
    </row>
    <row r="151" spans="1:8" x14ac:dyDescent="0.25">
      <c r="A151" s="253" t="s">
        <v>1215</v>
      </c>
      <c r="B151" s="239" t="s">
        <v>1211</v>
      </c>
      <c r="C151" s="240" t="s">
        <v>1450</v>
      </c>
      <c r="D151" s="245" t="s">
        <v>294</v>
      </c>
      <c r="E151" s="238" t="s">
        <v>1326</v>
      </c>
      <c r="F151" s="244">
        <v>43506</v>
      </c>
      <c r="G151" s="254" t="s">
        <v>257</v>
      </c>
      <c r="H151" t="str">
        <f>Tableau9[[#This Row],[NOM]]&amp;Tableau9[[#This Row],[Intitulé formation]]</f>
        <v>NAVIZETIncendie</v>
      </c>
    </row>
    <row r="152" spans="1:8" x14ac:dyDescent="0.25">
      <c r="A152" s="253" t="s">
        <v>1215</v>
      </c>
      <c r="B152" s="239" t="s">
        <v>1211</v>
      </c>
      <c r="C152" s="240" t="s">
        <v>1450</v>
      </c>
      <c r="D152" s="245" t="s">
        <v>294</v>
      </c>
      <c r="E152" s="242" t="s">
        <v>1333</v>
      </c>
      <c r="F152" s="244">
        <v>43608</v>
      </c>
      <c r="G152" s="254" t="s">
        <v>258</v>
      </c>
      <c r="H152" t="str">
        <f>Tableau9[[#This Row],[NOM]]&amp;Tableau9[[#This Row],[Intitulé formation]]</f>
        <v>NAVIZETRisques chimiques</v>
      </c>
    </row>
    <row r="153" spans="1:8" x14ac:dyDescent="0.25">
      <c r="A153" s="253" t="s">
        <v>810</v>
      </c>
      <c r="B153" s="246" t="s">
        <v>1475</v>
      </c>
      <c r="C153" s="240" t="s">
        <v>1454</v>
      </c>
      <c r="D153" s="243" t="s">
        <v>313</v>
      </c>
      <c r="E153" s="238" t="s">
        <v>1323</v>
      </c>
      <c r="F153" s="244" t="s">
        <v>1492</v>
      </c>
      <c r="G153" s="254"/>
      <c r="H153" t="str">
        <f>Tableau9[[#This Row],[NOM]]&amp;Tableau9[[#This Row],[Intitulé formation]]</f>
        <v>NEGREGestes et postures</v>
      </c>
    </row>
    <row r="154" spans="1:8" x14ac:dyDescent="0.25">
      <c r="A154" s="253" t="s">
        <v>810</v>
      </c>
      <c r="B154" s="246" t="s">
        <v>1475</v>
      </c>
      <c r="C154" s="240" t="s">
        <v>1454</v>
      </c>
      <c r="D154" s="243" t="s">
        <v>313</v>
      </c>
      <c r="E154" s="238" t="s">
        <v>1326</v>
      </c>
      <c r="F154" s="244" t="s">
        <v>518</v>
      </c>
      <c r="G154" s="254"/>
      <c r="H154" t="str">
        <f>Tableau9[[#This Row],[NOM]]&amp;Tableau9[[#This Row],[Intitulé formation]]</f>
        <v>NEGREIncendie</v>
      </c>
    </row>
    <row r="155" spans="1:8" x14ac:dyDescent="0.25">
      <c r="A155" s="262" t="s">
        <v>100</v>
      </c>
      <c r="B155" s="259" t="s">
        <v>1475</v>
      </c>
      <c r="C155" s="240" t="s">
        <v>1450</v>
      </c>
      <c r="D155" s="245" t="s">
        <v>294</v>
      </c>
      <c r="E155" s="238" t="s">
        <v>1326</v>
      </c>
      <c r="F155" s="244">
        <v>43506</v>
      </c>
      <c r="G155" s="254" t="s">
        <v>257</v>
      </c>
      <c r="H155" t="str">
        <f>Tableau9[[#This Row],[NOM]]&amp;Tableau9[[#This Row],[Intitulé formation]]</f>
        <v>NICOLASIncendie</v>
      </c>
    </row>
    <row r="156" spans="1:8" x14ac:dyDescent="0.25">
      <c r="A156" s="253" t="s">
        <v>822</v>
      </c>
      <c r="B156" s="246" t="s">
        <v>1424</v>
      </c>
      <c r="C156" s="240" t="s">
        <v>1454</v>
      </c>
      <c r="D156" s="243" t="s">
        <v>280</v>
      </c>
      <c r="E156" s="238" t="s">
        <v>1323</v>
      </c>
      <c r="F156" s="244">
        <v>43352</v>
      </c>
      <c r="G156" s="254" t="s">
        <v>259</v>
      </c>
      <c r="H156" t="str">
        <f>Tableau9[[#This Row],[NOM]]&amp;Tableau9[[#This Row],[Intitulé formation]]</f>
        <v>NOUISGestes et postures</v>
      </c>
    </row>
    <row r="157" spans="1:8" x14ac:dyDescent="0.25">
      <c r="A157" s="253" t="s">
        <v>1223</v>
      </c>
      <c r="B157" s="239" t="s">
        <v>1425</v>
      </c>
      <c r="C157" s="240" t="s">
        <v>1450</v>
      </c>
      <c r="D157" s="245" t="s">
        <v>256</v>
      </c>
      <c r="E157" s="238" t="s">
        <v>1326</v>
      </c>
      <c r="F157" s="244">
        <v>43506</v>
      </c>
      <c r="G157" s="254" t="s">
        <v>257</v>
      </c>
      <c r="H157" t="str">
        <f>Tableau9[[#This Row],[NOM]]&amp;Tableau9[[#This Row],[Intitulé formation]]</f>
        <v>NURYIncendie</v>
      </c>
    </row>
    <row r="158" spans="1:8" x14ac:dyDescent="0.25">
      <c r="A158" s="253" t="s">
        <v>1223</v>
      </c>
      <c r="B158" s="239" t="s">
        <v>1425</v>
      </c>
      <c r="C158" s="240" t="s">
        <v>1450</v>
      </c>
      <c r="D158" s="245" t="s">
        <v>256</v>
      </c>
      <c r="E158" s="242" t="s">
        <v>1333</v>
      </c>
      <c r="F158" s="244">
        <v>42791</v>
      </c>
      <c r="G158" s="254" t="s">
        <v>257</v>
      </c>
      <c r="H158" t="str">
        <f>Tableau9[[#This Row],[NOM]]&amp;Tableau9[[#This Row],[Intitulé formation]]</f>
        <v>NURYRisques chimiques</v>
      </c>
    </row>
    <row r="159" spans="1:8" x14ac:dyDescent="0.25">
      <c r="A159" s="253" t="s">
        <v>1230</v>
      </c>
      <c r="B159" s="239" t="s">
        <v>1494</v>
      </c>
      <c r="C159" s="240" t="s">
        <v>1450</v>
      </c>
      <c r="D159" s="245" t="s">
        <v>294</v>
      </c>
      <c r="E159" s="238" t="s">
        <v>1323</v>
      </c>
      <c r="F159" s="244" t="s">
        <v>1492</v>
      </c>
      <c r="G159" s="254"/>
      <c r="H159" t="str">
        <f>Tableau9[[#This Row],[NOM]]&amp;Tableau9[[#This Row],[Intitulé formation]]</f>
        <v>ORTUNOGestes et postures</v>
      </c>
    </row>
    <row r="160" spans="1:8" x14ac:dyDescent="0.25">
      <c r="A160" s="253" t="s">
        <v>1237</v>
      </c>
      <c r="B160" s="239" t="s">
        <v>1359</v>
      </c>
      <c r="C160" s="240" t="s">
        <v>1450</v>
      </c>
      <c r="D160" s="245" t="s">
        <v>294</v>
      </c>
      <c r="E160" s="238" t="s">
        <v>1326</v>
      </c>
      <c r="F160" s="244" t="s">
        <v>518</v>
      </c>
      <c r="G160" s="254"/>
      <c r="H160" t="str">
        <f>Tableau9[[#This Row],[NOM]]&amp;Tableau9[[#This Row],[Intitulé formation]]</f>
        <v>PATRASIncendie</v>
      </c>
    </row>
    <row r="161" spans="1:8" x14ac:dyDescent="0.25">
      <c r="A161" s="253" t="s">
        <v>829</v>
      </c>
      <c r="B161" s="246" t="s">
        <v>1427</v>
      </c>
      <c r="C161" s="240" t="s">
        <v>1454</v>
      </c>
      <c r="D161" s="243" t="s">
        <v>280</v>
      </c>
      <c r="E161" s="238" t="s">
        <v>1326</v>
      </c>
      <c r="F161" s="244">
        <v>43625</v>
      </c>
      <c r="G161" s="254" t="s">
        <v>258</v>
      </c>
      <c r="H161" t="str">
        <f>Tableau9[[#This Row],[NOM]]&amp;Tableau9[[#This Row],[Intitulé formation]]</f>
        <v>PEREIRAIncendie</v>
      </c>
    </row>
    <row r="162" spans="1:8" x14ac:dyDescent="0.25">
      <c r="A162" s="253" t="s">
        <v>833</v>
      </c>
      <c r="B162" s="246" t="s">
        <v>569</v>
      </c>
      <c r="C162" s="240" t="s">
        <v>1454</v>
      </c>
      <c r="D162" s="243" t="s">
        <v>409</v>
      </c>
      <c r="E162" s="238" t="s">
        <v>1326</v>
      </c>
      <c r="F162" s="244">
        <v>43625</v>
      </c>
      <c r="G162" s="254" t="s">
        <v>258</v>
      </c>
      <c r="H162" t="str">
        <f>Tableau9[[#This Row],[NOM]]&amp;Tableau9[[#This Row],[Intitulé formation]]</f>
        <v>PEYTIERIncendie</v>
      </c>
    </row>
    <row r="163" spans="1:8" x14ac:dyDescent="0.25">
      <c r="A163" s="253" t="s">
        <v>833</v>
      </c>
      <c r="B163" s="246" t="s">
        <v>569</v>
      </c>
      <c r="C163" s="240" t="s">
        <v>1454</v>
      </c>
      <c r="D163" s="243" t="s">
        <v>409</v>
      </c>
      <c r="E163" s="242" t="s">
        <v>1333</v>
      </c>
      <c r="F163" s="244">
        <v>43742</v>
      </c>
      <c r="G163" s="254" t="s">
        <v>260</v>
      </c>
      <c r="H163" t="str">
        <f>Tableau9[[#This Row],[NOM]]&amp;Tableau9[[#This Row],[Intitulé formation]]</f>
        <v>PEYTIERRisques chimiques</v>
      </c>
    </row>
    <row r="164" spans="1:8" x14ac:dyDescent="0.25">
      <c r="A164" s="253" t="s">
        <v>836</v>
      </c>
      <c r="B164" s="246" t="s">
        <v>1387</v>
      </c>
      <c r="C164" s="240" t="s">
        <v>1454</v>
      </c>
      <c r="D164" s="248" t="s">
        <v>493</v>
      </c>
      <c r="E164" s="238" t="s">
        <v>1326</v>
      </c>
      <c r="F164" s="244">
        <v>43625</v>
      </c>
      <c r="G164" s="254" t="s">
        <v>258</v>
      </c>
      <c r="H164" t="str">
        <f>Tableau9[[#This Row],[NOM]]&amp;Tableau9[[#This Row],[Intitulé formation]]</f>
        <v>PICOLLETIncendie</v>
      </c>
    </row>
    <row r="165" spans="1:8" x14ac:dyDescent="0.25">
      <c r="A165" s="253" t="s">
        <v>836</v>
      </c>
      <c r="B165" s="246" t="s">
        <v>1387</v>
      </c>
      <c r="C165" s="240" t="s">
        <v>1454</v>
      </c>
      <c r="D165" s="248" t="s">
        <v>493</v>
      </c>
      <c r="E165" s="242" t="s">
        <v>1333</v>
      </c>
      <c r="F165" s="244">
        <v>42825</v>
      </c>
      <c r="G165" s="254" t="s">
        <v>257</v>
      </c>
      <c r="H165" t="str">
        <f>Tableau9[[#This Row],[NOM]]&amp;Tableau9[[#This Row],[Intitulé formation]]</f>
        <v>PICOLLETRisques chimiques</v>
      </c>
    </row>
    <row r="166" spans="1:8" x14ac:dyDescent="0.25">
      <c r="A166" s="253" t="s">
        <v>849</v>
      </c>
      <c r="B166" s="246" t="s">
        <v>1469</v>
      </c>
      <c r="C166" s="240" t="s">
        <v>1454</v>
      </c>
      <c r="D166" s="243" t="s">
        <v>280</v>
      </c>
      <c r="E166" s="238" t="s">
        <v>1326</v>
      </c>
      <c r="F166" s="244">
        <v>43625</v>
      </c>
      <c r="G166" s="254" t="s">
        <v>258</v>
      </c>
      <c r="H166" t="str">
        <f>Tableau9[[#This Row],[NOM]]&amp;Tableau9[[#This Row],[Intitulé formation]]</f>
        <v>PIQIncendie</v>
      </c>
    </row>
    <row r="167" spans="1:8" x14ac:dyDescent="0.25">
      <c r="A167" s="253" t="s">
        <v>1496</v>
      </c>
      <c r="B167" s="246" t="s">
        <v>325</v>
      </c>
      <c r="C167" s="240" t="s">
        <v>1317</v>
      </c>
      <c r="D167" s="243" t="s">
        <v>326</v>
      </c>
      <c r="E167" s="238" t="s">
        <v>1323</v>
      </c>
      <c r="F167" s="244">
        <v>43718</v>
      </c>
      <c r="G167" s="254" t="s">
        <v>259</v>
      </c>
      <c r="H167" t="str">
        <f>Tableau9[[#This Row],[NOM]]&amp;Tableau9[[#This Row],[Intitulé formation]]</f>
        <v>POINT Gestes et postures</v>
      </c>
    </row>
    <row r="168" spans="1:8" x14ac:dyDescent="0.25">
      <c r="A168" s="253" t="s">
        <v>856</v>
      </c>
      <c r="B168" s="246" t="s">
        <v>1352</v>
      </c>
      <c r="C168" s="240" t="s">
        <v>1454</v>
      </c>
      <c r="D168" s="243" t="s">
        <v>379</v>
      </c>
      <c r="E168" s="238" t="s">
        <v>1326</v>
      </c>
      <c r="F168" s="244">
        <v>43625</v>
      </c>
      <c r="G168" s="254" t="s">
        <v>258</v>
      </c>
      <c r="H168" t="str">
        <f>Tableau9[[#This Row],[NOM]]&amp;Tableau9[[#This Row],[Intitulé formation]]</f>
        <v>PONTALIncendie</v>
      </c>
    </row>
    <row r="169" spans="1:8" x14ac:dyDescent="0.25">
      <c r="A169" s="253" t="s">
        <v>859</v>
      </c>
      <c r="B169" s="246" t="s">
        <v>1104</v>
      </c>
      <c r="C169" s="240" t="s">
        <v>1454</v>
      </c>
      <c r="D169" s="243" t="s">
        <v>409</v>
      </c>
      <c r="E169" s="238" t="s">
        <v>1326</v>
      </c>
      <c r="F169" s="244">
        <v>43625</v>
      </c>
      <c r="G169" s="254" t="s">
        <v>258</v>
      </c>
      <c r="H169" t="str">
        <f>Tableau9[[#This Row],[NOM]]&amp;Tableau9[[#This Row],[Intitulé formation]]</f>
        <v>POUGETIncendie</v>
      </c>
    </row>
    <row r="170" spans="1:8" x14ac:dyDescent="0.25">
      <c r="A170" s="263" t="s">
        <v>1246</v>
      </c>
      <c r="B170" s="243" t="s">
        <v>569</v>
      </c>
      <c r="C170" s="240" t="s">
        <v>1450</v>
      </c>
      <c r="D170" s="241" t="s">
        <v>1325</v>
      </c>
      <c r="E170" s="238" t="s">
        <v>1326</v>
      </c>
      <c r="F170" s="244">
        <v>43506</v>
      </c>
      <c r="G170" s="254" t="s">
        <v>257</v>
      </c>
      <c r="H170" t="str">
        <f>Tableau9[[#This Row],[NOM]]&amp;Tableau9[[#This Row],[Intitulé formation]]</f>
        <v>PRALONGIncendie</v>
      </c>
    </row>
    <row r="171" spans="1:8" x14ac:dyDescent="0.25">
      <c r="A171" s="253" t="s">
        <v>1099</v>
      </c>
      <c r="B171" s="246" t="s">
        <v>1100</v>
      </c>
      <c r="C171" s="240" t="s">
        <v>1317</v>
      </c>
      <c r="D171" s="243" t="s">
        <v>326</v>
      </c>
      <c r="E171" s="238" t="s">
        <v>1323</v>
      </c>
      <c r="F171" s="244">
        <v>43733</v>
      </c>
      <c r="G171" s="254" t="s">
        <v>259</v>
      </c>
      <c r="H171" t="str">
        <f>Tableau9[[#This Row],[NOM]]&amp;Tableau9[[#This Row],[Intitulé formation]]</f>
        <v>PRIEURGestes et postures</v>
      </c>
    </row>
    <row r="172" spans="1:8" x14ac:dyDescent="0.25">
      <c r="A172" s="253" t="s">
        <v>868</v>
      </c>
      <c r="B172" s="246" t="s">
        <v>1430</v>
      </c>
      <c r="C172" s="240" t="s">
        <v>1454</v>
      </c>
      <c r="D172" s="248" t="s">
        <v>422</v>
      </c>
      <c r="E172" s="238" t="s">
        <v>1323</v>
      </c>
      <c r="F172" s="244">
        <v>43534</v>
      </c>
      <c r="G172" s="254" t="s">
        <v>257</v>
      </c>
      <c r="H172" t="str">
        <f>Tableau9[[#This Row],[NOM]]&amp;Tableau9[[#This Row],[Intitulé formation]]</f>
        <v>RAVINETGestes et postures</v>
      </c>
    </row>
    <row r="173" spans="1:8" x14ac:dyDescent="0.25">
      <c r="A173" s="253" t="s">
        <v>868</v>
      </c>
      <c r="B173" s="246" t="s">
        <v>1430</v>
      </c>
      <c r="C173" s="240" t="s">
        <v>1454</v>
      </c>
      <c r="D173" s="248" t="s">
        <v>422</v>
      </c>
      <c r="E173" s="238" t="s">
        <v>1326</v>
      </c>
      <c r="F173" s="244">
        <v>43625</v>
      </c>
      <c r="G173" s="254" t="s">
        <v>258</v>
      </c>
      <c r="H173" t="str">
        <f>Tableau9[[#This Row],[NOM]]&amp;Tableau9[[#This Row],[Intitulé formation]]</f>
        <v>RAVINETIncendie</v>
      </c>
    </row>
    <row r="174" spans="1:8" x14ac:dyDescent="0.25">
      <c r="A174" s="253" t="s">
        <v>1103</v>
      </c>
      <c r="B174" s="246" t="s">
        <v>1104</v>
      </c>
      <c r="C174" s="240" t="s">
        <v>1317</v>
      </c>
      <c r="D174" s="243" t="s">
        <v>326</v>
      </c>
      <c r="E174" s="238" t="s">
        <v>1323</v>
      </c>
      <c r="F174" s="244">
        <v>43733</v>
      </c>
      <c r="G174" s="254" t="s">
        <v>259</v>
      </c>
      <c r="H174" t="str">
        <f>Tableau9[[#This Row],[NOM]]&amp;Tableau9[[#This Row],[Intitulé formation]]</f>
        <v>REVERTEGestes et postures</v>
      </c>
    </row>
    <row r="175" spans="1:8" x14ac:dyDescent="0.25">
      <c r="A175" s="253" t="s">
        <v>1052</v>
      </c>
      <c r="B175" s="246" t="s">
        <v>1053</v>
      </c>
      <c r="C175" s="240" t="s">
        <v>1317</v>
      </c>
      <c r="D175" s="243" t="s">
        <v>326</v>
      </c>
      <c r="E175" s="238" t="s">
        <v>1323</v>
      </c>
      <c r="F175" s="244">
        <v>43733</v>
      </c>
      <c r="G175" s="254" t="s">
        <v>259</v>
      </c>
      <c r="H175" t="str">
        <f>Tableau9[[#This Row],[NOM]]&amp;Tableau9[[#This Row],[Intitulé formation]]</f>
        <v>RGOUAIGestes et postures</v>
      </c>
    </row>
    <row r="176" spans="1:8" x14ac:dyDescent="0.25">
      <c r="A176" s="253" t="s">
        <v>1052</v>
      </c>
      <c r="B176" s="246" t="s">
        <v>1053</v>
      </c>
      <c r="C176" s="240" t="s">
        <v>1317</v>
      </c>
      <c r="D176" s="243" t="s">
        <v>326</v>
      </c>
      <c r="E176" s="242" t="s">
        <v>1333</v>
      </c>
      <c r="F176" s="244">
        <v>43623</v>
      </c>
      <c r="G176" s="254" t="s">
        <v>258</v>
      </c>
      <c r="H176" t="str">
        <f>Tableau9[[#This Row],[NOM]]&amp;Tableau9[[#This Row],[Intitulé formation]]</f>
        <v>RGOUAIRisques chimiques</v>
      </c>
    </row>
    <row r="177" spans="1:8" x14ac:dyDescent="0.25">
      <c r="A177" s="253" t="s">
        <v>1119</v>
      </c>
      <c r="B177" s="246" t="s">
        <v>1120</v>
      </c>
      <c r="C177" s="240" t="s">
        <v>1317</v>
      </c>
      <c r="D177" s="243" t="s">
        <v>326</v>
      </c>
      <c r="E177" s="238" t="s">
        <v>1323</v>
      </c>
      <c r="F177" s="244">
        <v>43816</v>
      </c>
      <c r="G177" s="254" t="s">
        <v>260</v>
      </c>
      <c r="H177" t="str">
        <f>Tableau9[[#This Row],[NOM]]&amp;Tableau9[[#This Row],[Intitulé formation]]</f>
        <v>RISUENOGestes et postures</v>
      </c>
    </row>
    <row r="178" spans="1:8" x14ac:dyDescent="0.25">
      <c r="A178" s="253" t="s">
        <v>877</v>
      </c>
      <c r="B178" s="246" t="s">
        <v>1387</v>
      </c>
      <c r="C178" s="240" t="s">
        <v>1454</v>
      </c>
      <c r="D178" s="243" t="s">
        <v>280</v>
      </c>
      <c r="E178" s="238" t="s">
        <v>1326</v>
      </c>
      <c r="F178" s="244">
        <v>43716</v>
      </c>
      <c r="G178" s="254" t="s">
        <v>259</v>
      </c>
      <c r="H178" t="str">
        <f>Tableau9[[#This Row],[NOM]]&amp;Tableau9[[#This Row],[Intitulé formation]]</f>
        <v>ROMANIncendie</v>
      </c>
    </row>
    <row r="179" spans="1:8" x14ac:dyDescent="0.25">
      <c r="A179" s="253" t="s">
        <v>1074</v>
      </c>
      <c r="B179" s="246" t="s">
        <v>1075</v>
      </c>
      <c r="C179" s="240" t="s">
        <v>1317</v>
      </c>
      <c r="D179" s="243" t="s">
        <v>326</v>
      </c>
      <c r="E179" s="238" t="s">
        <v>1323</v>
      </c>
      <c r="F179" s="244">
        <v>43816</v>
      </c>
      <c r="G179" s="254" t="s">
        <v>260</v>
      </c>
      <c r="H179" t="str">
        <f>Tableau9[[#This Row],[NOM]]&amp;Tableau9[[#This Row],[Intitulé formation]]</f>
        <v>ROUCHEGestes et postures</v>
      </c>
    </row>
    <row r="180" spans="1:8" x14ac:dyDescent="0.25">
      <c r="A180" s="253" t="s">
        <v>1061</v>
      </c>
      <c r="B180" s="246" t="s">
        <v>924</v>
      </c>
      <c r="C180" s="240" t="s">
        <v>1317</v>
      </c>
      <c r="D180" s="243" t="s">
        <v>332</v>
      </c>
      <c r="E180" s="238" t="s">
        <v>1462</v>
      </c>
      <c r="F180" s="244">
        <v>43400</v>
      </c>
      <c r="G180" s="254" t="s">
        <v>260</v>
      </c>
      <c r="H180" t="str">
        <f>Tableau9[[#This Row],[NOM]]&amp;Tableau9[[#This Row],[Intitulé formation]]</f>
        <v>RUGGIEROPont roulant</v>
      </c>
    </row>
    <row r="181" spans="1:8" x14ac:dyDescent="0.25">
      <c r="A181" s="253" t="s">
        <v>1497</v>
      </c>
      <c r="B181" s="246" t="s">
        <v>1124</v>
      </c>
      <c r="C181" s="240" t="s">
        <v>1317</v>
      </c>
      <c r="D181" s="243" t="s">
        <v>326</v>
      </c>
      <c r="E181" s="238" t="s">
        <v>1323</v>
      </c>
      <c r="F181" s="244">
        <v>43718</v>
      </c>
      <c r="G181" s="254" t="s">
        <v>259</v>
      </c>
      <c r="H181" t="str">
        <f>Tableau9[[#This Row],[NOM]]&amp;Tableau9[[#This Row],[Intitulé formation]]</f>
        <v>SALA Gestes et postures</v>
      </c>
    </row>
    <row r="182" spans="1:8" x14ac:dyDescent="0.25">
      <c r="A182" s="263" t="s">
        <v>1249</v>
      </c>
      <c r="B182" s="243" t="s">
        <v>1476</v>
      </c>
      <c r="C182" s="240" t="s">
        <v>1450</v>
      </c>
      <c r="D182" s="241" t="s">
        <v>1325</v>
      </c>
      <c r="E182" s="238" t="s">
        <v>1323</v>
      </c>
      <c r="F182" s="244" t="s">
        <v>1492</v>
      </c>
      <c r="G182" s="254"/>
      <c r="H182" t="str">
        <f>Tableau9[[#This Row],[NOM]]&amp;Tableau9[[#This Row],[Intitulé formation]]</f>
        <v>SAVARREGestes et postures</v>
      </c>
    </row>
    <row r="183" spans="1:8" x14ac:dyDescent="0.25">
      <c r="A183" s="263" t="s">
        <v>1249</v>
      </c>
      <c r="B183" s="243" t="s">
        <v>1476</v>
      </c>
      <c r="C183" s="240" t="s">
        <v>1450</v>
      </c>
      <c r="D183" s="241" t="s">
        <v>1325</v>
      </c>
      <c r="E183" s="238" t="s">
        <v>1326</v>
      </c>
      <c r="F183" s="244">
        <v>43506</v>
      </c>
      <c r="G183" s="254" t="s">
        <v>257</v>
      </c>
      <c r="H183" t="str">
        <f>Tableau9[[#This Row],[NOM]]&amp;Tableau9[[#This Row],[Intitulé formation]]</f>
        <v>SAVARREIncendie</v>
      </c>
    </row>
    <row r="184" spans="1:8" x14ac:dyDescent="0.25">
      <c r="A184" s="253" t="s">
        <v>895</v>
      </c>
      <c r="B184" s="246" t="s">
        <v>1401</v>
      </c>
      <c r="C184" s="240" t="s">
        <v>1454</v>
      </c>
      <c r="D184" s="243" t="s">
        <v>493</v>
      </c>
      <c r="E184" s="238" t="s">
        <v>1326</v>
      </c>
      <c r="F184" s="244">
        <v>43625</v>
      </c>
      <c r="G184" s="254" t="s">
        <v>258</v>
      </c>
      <c r="H184" t="str">
        <f>Tableau9[[#This Row],[NOM]]&amp;Tableau9[[#This Row],[Intitulé formation]]</f>
        <v>SCHILLINGERIncendie</v>
      </c>
    </row>
    <row r="185" spans="1:8" x14ac:dyDescent="0.25">
      <c r="A185" s="262" t="s">
        <v>1254</v>
      </c>
      <c r="B185" s="259" t="s">
        <v>1433</v>
      </c>
      <c r="C185" s="240" t="s">
        <v>1450</v>
      </c>
      <c r="D185" s="241" t="s">
        <v>1325</v>
      </c>
      <c r="E185" s="238" t="s">
        <v>1326</v>
      </c>
      <c r="F185" s="244">
        <v>43506</v>
      </c>
      <c r="G185" s="254" t="s">
        <v>257</v>
      </c>
      <c r="H185" t="str">
        <f>Tableau9[[#This Row],[NOM]]&amp;Tableau9[[#This Row],[Intitulé formation]]</f>
        <v>SCOLASTICAIncendie</v>
      </c>
    </row>
    <row r="186" spans="1:8" x14ac:dyDescent="0.25">
      <c r="A186" s="253" t="s">
        <v>409</v>
      </c>
      <c r="B186" s="246" t="s">
        <v>325</v>
      </c>
      <c r="C186" s="240" t="s">
        <v>1454</v>
      </c>
      <c r="D186" s="243" t="s">
        <v>1491</v>
      </c>
      <c r="E186" s="238" t="s">
        <v>1326</v>
      </c>
      <c r="F186" s="244">
        <v>43714</v>
      </c>
      <c r="G186" s="254" t="s">
        <v>259</v>
      </c>
      <c r="H186" t="str">
        <f>Tableau9[[#This Row],[NOM]]&amp;Tableau9[[#This Row],[Intitulé formation]]</f>
        <v>SENEPARTIncendie</v>
      </c>
    </row>
    <row r="187" spans="1:8" x14ac:dyDescent="0.25">
      <c r="A187" s="253" t="s">
        <v>904</v>
      </c>
      <c r="B187" s="246" t="s">
        <v>924</v>
      </c>
      <c r="C187" s="240" t="s">
        <v>1454</v>
      </c>
      <c r="D187" s="243" t="s">
        <v>364</v>
      </c>
      <c r="E187" s="238" t="s">
        <v>1323</v>
      </c>
      <c r="F187" s="244">
        <v>43541</v>
      </c>
      <c r="G187" s="254" t="s">
        <v>257</v>
      </c>
      <c r="H187" t="str">
        <f>Tableau9[[#This Row],[NOM]]&amp;Tableau9[[#This Row],[Intitulé formation]]</f>
        <v>SERREGestes et postures</v>
      </c>
    </row>
    <row r="188" spans="1:8" x14ac:dyDescent="0.25">
      <c r="A188" s="253" t="s">
        <v>904</v>
      </c>
      <c r="B188" s="246" t="s">
        <v>924</v>
      </c>
      <c r="C188" s="240" t="s">
        <v>1454</v>
      </c>
      <c r="D188" s="243" t="s">
        <v>364</v>
      </c>
      <c r="E188" s="238" t="s">
        <v>1326</v>
      </c>
      <c r="F188" s="244">
        <v>43625</v>
      </c>
      <c r="G188" s="254" t="s">
        <v>258</v>
      </c>
      <c r="H188" t="str">
        <f>Tableau9[[#This Row],[NOM]]&amp;Tableau9[[#This Row],[Intitulé formation]]</f>
        <v>SERREIncendie</v>
      </c>
    </row>
    <row r="189" spans="1:8" x14ac:dyDescent="0.25">
      <c r="A189" s="253" t="s">
        <v>904</v>
      </c>
      <c r="B189" s="246" t="s">
        <v>924</v>
      </c>
      <c r="C189" s="240" t="s">
        <v>1454</v>
      </c>
      <c r="D189" s="243" t="s">
        <v>364</v>
      </c>
      <c r="E189" s="242" t="s">
        <v>1333</v>
      </c>
      <c r="F189" s="244">
        <v>43154</v>
      </c>
      <c r="G189" s="254" t="s">
        <v>257</v>
      </c>
      <c r="H189" t="str">
        <f>Tableau9[[#This Row],[NOM]]&amp;Tableau9[[#This Row],[Intitulé formation]]</f>
        <v>SERRERisques chimiques</v>
      </c>
    </row>
    <row r="190" spans="1:8" x14ac:dyDescent="0.25">
      <c r="A190" s="253" t="s">
        <v>1452</v>
      </c>
      <c r="B190" s="239" t="s">
        <v>1259</v>
      </c>
      <c r="C190" s="240" t="s">
        <v>1450</v>
      </c>
      <c r="D190" s="241" t="s">
        <v>294</v>
      </c>
      <c r="E190" s="238" t="s">
        <v>1326</v>
      </c>
      <c r="F190" s="244">
        <v>43506</v>
      </c>
      <c r="G190" s="254" t="s">
        <v>257</v>
      </c>
      <c r="H190" t="str">
        <f>Tableau9[[#This Row],[NOM]]&amp;Tableau9[[#This Row],[Intitulé formation]]</f>
        <v>SIMIAN MERMIERIncendie</v>
      </c>
    </row>
    <row r="191" spans="1:8" x14ac:dyDescent="0.25">
      <c r="A191" s="253" t="s">
        <v>1452</v>
      </c>
      <c r="B191" s="239" t="s">
        <v>1259</v>
      </c>
      <c r="C191" s="240" t="s">
        <v>1450</v>
      </c>
      <c r="D191" s="241" t="s">
        <v>294</v>
      </c>
      <c r="E191" s="238" t="s">
        <v>1462</v>
      </c>
      <c r="F191" s="244">
        <v>43739</v>
      </c>
      <c r="G191" s="254" t="s">
        <v>260</v>
      </c>
      <c r="H191" t="str">
        <f>Tableau9[[#This Row],[NOM]]&amp;Tableau9[[#This Row],[Intitulé formation]]</f>
        <v>SIMIAN MERMIERPont roulant</v>
      </c>
    </row>
    <row r="192" spans="1:8" x14ac:dyDescent="0.25">
      <c r="A192" s="253" t="s">
        <v>1452</v>
      </c>
      <c r="B192" s="239" t="s">
        <v>1259</v>
      </c>
      <c r="C192" s="240" t="s">
        <v>1450</v>
      </c>
      <c r="D192" s="241" t="s">
        <v>294</v>
      </c>
      <c r="E192" s="242" t="s">
        <v>1333</v>
      </c>
      <c r="F192" s="244">
        <v>43608</v>
      </c>
      <c r="G192" s="254" t="s">
        <v>258</v>
      </c>
      <c r="H192" t="str">
        <f>Tableau9[[#This Row],[NOM]]&amp;Tableau9[[#This Row],[Intitulé formation]]</f>
        <v>SIMIAN MERMIERRisques chimiques</v>
      </c>
    </row>
    <row r="193" spans="1:8" x14ac:dyDescent="0.25">
      <c r="A193" s="253" t="s">
        <v>907</v>
      </c>
      <c r="B193" s="246" t="s">
        <v>1390</v>
      </c>
      <c r="C193" s="240" t="s">
        <v>1454</v>
      </c>
      <c r="D193" s="248" t="s">
        <v>313</v>
      </c>
      <c r="E193" s="238" t="s">
        <v>1326</v>
      </c>
      <c r="F193" s="244">
        <v>43625</v>
      </c>
      <c r="G193" s="254" t="s">
        <v>258</v>
      </c>
      <c r="H193" t="str">
        <f>Tableau9[[#This Row],[NOM]]&amp;Tableau9[[#This Row],[Intitulé formation]]</f>
        <v>SINACORIIncendie</v>
      </c>
    </row>
    <row r="194" spans="1:8" x14ac:dyDescent="0.25">
      <c r="A194" s="253" t="s">
        <v>911</v>
      </c>
      <c r="B194" s="246" t="s">
        <v>1469</v>
      </c>
      <c r="C194" s="240" t="s">
        <v>1454</v>
      </c>
      <c r="D194" s="243" t="s">
        <v>409</v>
      </c>
      <c r="E194" s="238" t="s">
        <v>1326</v>
      </c>
      <c r="F194" s="244">
        <v>43624</v>
      </c>
      <c r="G194" s="254" t="s">
        <v>258</v>
      </c>
      <c r="H194" t="str">
        <f>Tableau9[[#This Row],[NOM]]&amp;Tableau9[[#This Row],[Intitulé formation]]</f>
        <v>SOUCHEIncendie</v>
      </c>
    </row>
    <row r="195" spans="1:8" x14ac:dyDescent="0.25">
      <c r="A195" s="253" t="s">
        <v>1267</v>
      </c>
      <c r="B195" s="239" t="s">
        <v>1436</v>
      </c>
      <c r="C195" s="240" t="s">
        <v>1450</v>
      </c>
      <c r="D195" s="241" t="s">
        <v>493</v>
      </c>
      <c r="E195" s="238" t="s">
        <v>1326</v>
      </c>
      <c r="F195" s="244" t="s">
        <v>518</v>
      </c>
      <c r="G195" s="254"/>
      <c r="H195" t="str">
        <f>Tableau9[[#This Row],[NOM]]&amp;Tableau9[[#This Row],[Intitulé formation]]</f>
        <v>TAYACIncendie</v>
      </c>
    </row>
    <row r="196" spans="1:8" x14ac:dyDescent="0.25">
      <c r="A196" s="253" t="s">
        <v>1273</v>
      </c>
      <c r="B196" s="239" t="s">
        <v>1477</v>
      </c>
      <c r="C196" s="240" t="s">
        <v>1450</v>
      </c>
      <c r="D196" s="245" t="s">
        <v>294</v>
      </c>
      <c r="E196" s="238" t="s">
        <v>1323</v>
      </c>
      <c r="F196" s="244" t="s">
        <v>1492</v>
      </c>
      <c r="G196" s="254"/>
      <c r="H196" t="str">
        <f>Tableau9[[#This Row],[NOM]]&amp;Tableau9[[#This Row],[Intitulé formation]]</f>
        <v>TESSONNIERGestes et postures</v>
      </c>
    </row>
    <row r="197" spans="1:8" x14ac:dyDescent="0.25">
      <c r="A197" s="253" t="s">
        <v>1273</v>
      </c>
      <c r="B197" s="239" t="s">
        <v>1477</v>
      </c>
      <c r="C197" s="240" t="s">
        <v>1450</v>
      </c>
      <c r="D197" s="245" t="s">
        <v>294</v>
      </c>
      <c r="E197" s="238" t="s">
        <v>1326</v>
      </c>
      <c r="F197" s="244" t="s">
        <v>518</v>
      </c>
      <c r="G197" s="254"/>
      <c r="H197" t="str">
        <f>Tableau9[[#This Row],[NOM]]&amp;Tableau9[[#This Row],[Intitulé formation]]</f>
        <v>TESSONNIERIncendie</v>
      </c>
    </row>
    <row r="198" spans="1:8" x14ac:dyDescent="0.25">
      <c r="A198" s="253" t="s">
        <v>1489</v>
      </c>
      <c r="B198" s="246" t="s">
        <v>1150</v>
      </c>
      <c r="C198" s="240" t="s">
        <v>1454</v>
      </c>
      <c r="D198" s="243" t="s">
        <v>409</v>
      </c>
      <c r="E198" s="238" t="s">
        <v>1323</v>
      </c>
      <c r="F198" s="244">
        <v>43261</v>
      </c>
      <c r="G198" s="254" t="s">
        <v>258</v>
      </c>
      <c r="H198" t="str">
        <f>Tableau9[[#This Row],[NOM]]&amp;Tableau9[[#This Row],[Intitulé formation]]</f>
        <v>TEYSSIERGestes et postures</v>
      </c>
    </row>
    <row r="199" spans="1:8" x14ac:dyDescent="0.25">
      <c r="A199" s="253" t="s">
        <v>1489</v>
      </c>
      <c r="B199" s="246" t="s">
        <v>982</v>
      </c>
      <c r="C199" s="240" t="s">
        <v>1454</v>
      </c>
      <c r="D199" s="243" t="s">
        <v>256</v>
      </c>
      <c r="E199" s="238" t="s">
        <v>1326</v>
      </c>
      <c r="F199" s="244">
        <v>43625</v>
      </c>
      <c r="G199" s="254" t="s">
        <v>258</v>
      </c>
      <c r="H199" t="str">
        <f>Tableau9[[#This Row],[NOM]]&amp;Tableau9[[#This Row],[Intitulé formation]]</f>
        <v>TEYSSIERIncendie</v>
      </c>
    </row>
    <row r="200" spans="1:8" x14ac:dyDescent="0.25">
      <c r="A200" s="253" t="s">
        <v>1276</v>
      </c>
      <c r="B200" s="239" t="s">
        <v>1374</v>
      </c>
      <c r="C200" s="240" t="s">
        <v>1450</v>
      </c>
      <c r="D200" s="245" t="s">
        <v>355</v>
      </c>
      <c r="E200" s="238" t="s">
        <v>1326</v>
      </c>
      <c r="F200" s="244" t="s">
        <v>518</v>
      </c>
      <c r="G200" s="254"/>
      <c r="H200" t="str">
        <f>Tableau9[[#This Row],[NOM]]&amp;Tableau9[[#This Row],[Intitulé formation]]</f>
        <v>VACCHIANIIncendie</v>
      </c>
    </row>
    <row r="201" spans="1:8" x14ac:dyDescent="0.25">
      <c r="A201" s="253" t="s">
        <v>1227</v>
      </c>
      <c r="B201" s="246" t="s">
        <v>1409</v>
      </c>
      <c r="C201" s="240" t="s">
        <v>1454</v>
      </c>
      <c r="D201" s="243" t="s">
        <v>280</v>
      </c>
      <c r="E201" s="238" t="s">
        <v>1326</v>
      </c>
      <c r="F201" s="244">
        <v>43625</v>
      </c>
      <c r="G201" s="254" t="s">
        <v>258</v>
      </c>
      <c r="H201" t="str">
        <f>Tableau9[[#This Row],[NOM]]&amp;Tableau9[[#This Row],[Intitulé formation]]</f>
        <v>VANIERIncendie</v>
      </c>
    </row>
    <row r="202" spans="1:8" x14ac:dyDescent="0.25">
      <c r="A202" s="253" t="s">
        <v>1280</v>
      </c>
      <c r="B202" s="239" t="s">
        <v>1485</v>
      </c>
      <c r="C202" s="240" t="s">
        <v>1450</v>
      </c>
      <c r="D202" s="245" t="s">
        <v>294</v>
      </c>
      <c r="E202" s="238" t="s">
        <v>1323</v>
      </c>
      <c r="F202" s="244" t="s">
        <v>1492</v>
      </c>
      <c r="G202" s="254"/>
      <c r="H202" t="str">
        <f>Tableau9[[#This Row],[NOM]]&amp;Tableau9[[#This Row],[Intitulé formation]]</f>
        <v>VANONIGestes et postures</v>
      </c>
    </row>
    <row r="203" spans="1:8" x14ac:dyDescent="0.25">
      <c r="A203" s="253" t="s">
        <v>1096</v>
      </c>
      <c r="B203" s="246" t="s">
        <v>1043</v>
      </c>
      <c r="C203" s="240" t="s">
        <v>1317</v>
      </c>
      <c r="D203" s="243" t="s">
        <v>326</v>
      </c>
      <c r="E203" s="238" t="s">
        <v>1323</v>
      </c>
      <c r="F203" s="244">
        <v>43733</v>
      </c>
      <c r="G203" s="254" t="s">
        <v>259</v>
      </c>
      <c r="H203" t="str">
        <f>Tableau9[[#This Row],[NOM]]&amp;Tableau9[[#This Row],[Intitulé formation]]</f>
        <v>VERANTGestes et postures</v>
      </c>
    </row>
    <row r="204" spans="1:8" x14ac:dyDescent="0.25">
      <c r="A204" s="253" t="s">
        <v>1490</v>
      </c>
      <c r="B204" s="246" t="s">
        <v>995</v>
      </c>
      <c r="C204" s="240" t="s">
        <v>1454</v>
      </c>
      <c r="D204" s="243" t="s">
        <v>256</v>
      </c>
      <c r="E204" s="238" t="s">
        <v>1326</v>
      </c>
      <c r="F204" s="244">
        <v>43625</v>
      </c>
      <c r="G204" s="254" t="s">
        <v>258</v>
      </c>
      <c r="H204" t="str">
        <f>Tableau9[[#This Row],[NOM]]&amp;Tableau9[[#This Row],[Intitulé formation]]</f>
        <v>VERNETIncendie</v>
      </c>
    </row>
    <row r="205" spans="1:8" x14ac:dyDescent="0.25">
      <c r="A205" s="253" t="s">
        <v>1284</v>
      </c>
      <c r="B205" s="239" t="s">
        <v>1453</v>
      </c>
      <c r="C205" s="240" t="s">
        <v>1450</v>
      </c>
      <c r="D205" s="241" t="s">
        <v>294</v>
      </c>
      <c r="E205" s="238" t="s">
        <v>1326</v>
      </c>
      <c r="F205" s="244">
        <v>43506</v>
      </c>
      <c r="G205" s="254" t="s">
        <v>257</v>
      </c>
      <c r="H205" t="str">
        <f>Tableau9[[#This Row],[NOM]]&amp;Tableau9[[#This Row],[Intitulé formation]]</f>
        <v>VILLEGASIncendie</v>
      </c>
    </row>
    <row r="206" spans="1:8" x14ac:dyDescent="0.25">
      <c r="A206" s="253" t="s">
        <v>1284</v>
      </c>
      <c r="B206" s="239" t="s">
        <v>1453</v>
      </c>
      <c r="C206" s="240" t="s">
        <v>1450</v>
      </c>
      <c r="D206" s="241" t="s">
        <v>294</v>
      </c>
      <c r="E206" s="242" t="s">
        <v>1333</v>
      </c>
      <c r="F206" s="238" t="s">
        <v>1451</v>
      </c>
      <c r="G206" s="254"/>
      <c r="H206" t="str">
        <f>Tableau9[[#This Row],[NOM]]&amp;Tableau9[[#This Row],[Intitulé formation]]</f>
        <v>VILLEGASRisques chimiques</v>
      </c>
    </row>
    <row r="207" spans="1:8" x14ac:dyDescent="0.25">
      <c r="A207" s="253" t="s">
        <v>1498</v>
      </c>
      <c r="B207" s="246" t="s">
        <v>1048</v>
      </c>
      <c r="C207" s="240" t="s">
        <v>1317</v>
      </c>
      <c r="D207" s="243" t="s">
        <v>326</v>
      </c>
      <c r="E207" s="238" t="s">
        <v>1323</v>
      </c>
      <c r="F207" s="244">
        <v>43816</v>
      </c>
      <c r="G207" s="254" t="s">
        <v>260</v>
      </c>
      <c r="H207" t="str">
        <f>Tableau9[[#This Row],[NOM]]&amp;Tableau9[[#This Row],[Intitulé formation]]</f>
        <v>WAGON Gestes et postures</v>
      </c>
    </row>
    <row r="208" spans="1:8" x14ac:dyDescent="0.25">
      <c r="A208" s="253" t="s">
        <v>294</v>
      </c>
      <c r="B208" s="239" t="s">
        <v>295</v>
      </c>
      <c r="C208" s="240" t="s">
        <v>1450</v>
      </c>
      <c r="D208" s="245" t="s">
        <v>355</v>
      </c>
      <c r="E208" s="238" t="s">
        <v>1326</v>
      </c>
      <c r="F208" s="244" t="s">
        <v>518</v>
      </c>
      <c r="G208" s="254"/>
      <c r="H208" t="str">
        <f>Tableau9[[#This Row],[NOM]]&amp;Tableau9[[#This Row],[Intitulé formation]]</f>
        <v>XUEREBIncendie</v>
      </c>
    </row>
    <row r="209" spans="1:8" x14ac:dyDescent="0.25">
      <c r="A209" s="253" t="s">
        <v>1302</v>
      </c>
      <c r="B209" s="246" t="s">
        <v>1441</v>
      </c>
      <c r="C209" s="240" t="s">
        <v>1454</v>
      </c>
      <c r="D209" s="243" t="s">
        <v>1491</v>
      </c>
      <c r="E209" s="238" t="s">
        <v>1326</v>
      </c>
      <c r="F209" s="244">
        <v>43625</v>
      </c>
      <c r="G209" s="254" t="s">
        <v>258</v>
      </c>
      <c r="H209" t="str">
        <f>Tableau9[[#This Row],[NOM]]&amp;Tableau9[[#This Row],[Intitulé formation]]</f>
        <v>ZAGARIncendie</v>
      </c>
    </row>
    <row r="210" spans="1:8" x14ac:dyDescent="0.25">
      <c r="A210" s="253" t="s">
        <v>1310</v>
      </c>
      <c r="B210" s="246" t="s">
        <v>1355</v>
      </c>
      <c r="C210" s="240" t="s">
        <v>1454</v>
      </c>
      <c r="D210" s="243" t="s">
        <v>409</v>
      </c>
      <c r="E210" s="238" t="s">
        <v>1323</v>
      </c>
      <c r="F210" s="244">
        <v>43541</v>
      </c>
      <c r="G210" s="254" t="s">
        <v>257</v>
      </c>
      <c r="H210" t="str">
        <f>Tableau9[[#This Row],[NOM]]&amp;Tableau9[[#This Row],[Intitulé formation]]</f>
        <v>ZAMORAGestes et postures</v>
      </c>
    </row>
    <row r="211" spans="1:8" x14ac:dyDescent="0.25">
      <c r="A211" s="253" t="s">
        <v>1310</v>
      </c>
      <c r="B211" s="246" t="s">
        <v>1355</v>
      </c>
      <c r="C211" s="240" t="s">
        <v>1454</v>
      </c>
      <c r="D211" s="243" t="s">
        <v>409</v>
      </c>
      <c r="E211" s="238" t="s">
        <v>1326</v>
      </c>
      <c r="F211" s="244">
        <v>43625</v>
      </c>
      <c r="G211" s="254" t="s">
        <v>258</v>
      </c>
      <c r="H211" t="str">
        <f>Tableau9[[#This Row],[NOM]]&amp;Tableau9[[#This Row],[Intitulé formation]]</f>
        <v>ZAMORAIncendie</v>
      </c>
    </row>
    <row r="212" spans="1:8" x14ac:dyDescent="0.25">
      <c r="A212" s="239" t="s">
        <v>1313</v>
      </c>
      <c r="B212" s="239" t="s">
        <v>1478</v>
      </c>
      <c r="C212" s="240" t="s">
        <v>1450</v>
      </c>
      <c r="D212" s="245" t="s">
        <v>294</v>
      </c>
      <c r="E212" s="238" t="s">
        <v>1326</v>
      </c>
      <c r="F212" s="244">
        <v>43506</v>
      </c>
      <c r="G212" s="254" t="s">
        <v>257</v>
      </c>
      <c r="H212" t="str">
        <f>Tableau9[[#This Row],[NOM]]&amp;Tableau9[[#This Row],[Intitulé formation]]</f>
        <v>ZAYOUTIncendie</v>
      </c>
    </row>
    <row r="213" spans="1:8" x14ac:dyDescent="0.25">
      <c r="A213" s="239" t="s">
        <v>1004</v>
      </c>
      <c r="B213" s="239" t="s">
        <v>1005</v>
      </c>
      <c r="C213" s="240" t="s">
        <v>1450</v>
      </c>
      <c r="D213" s="241" t="s">
        <v>948</v>
      </c>
      <c r="E213" s="264" t="s">
        <v>1337</v>
      </c>
      <c r="F213" s="265">
        <v>43565</v>
      </c>
      <c r="G213" s="254" t="s">
        <v>258</v>
      </c>
      <c r="H213" t="str">
        <f>Tableau9[[#This Row],[NOM]]&amp;Tableau9[[#This Row],[Intitulé formation]]</f>
        <v>GENNARORecyclage CACES3</v>
      </c>
    </row>
    <row r="214" spans="1:8" x14ac:dyDescent="0.25">
      <c r="A214" s="243" t="s">
        <v>1246</v>
      </c>
      <c r="B214" s="243" t="s">
        <v>569</v>
      </c>
      <c r="C214" s="240" t="s">
        <v>1450</v>
      </c>
      <c r="D214" s="241" t="s">
        <v>1325</v>
      </c>
      <c r="E214" s="264" t="s">
        <v>1337</v>
      </c>
      <c r="F214" s="265">
        <v>43768</v>
      </c>
      <c r="G214" s="254" t="s">
        <v>260</v>
      </c>
      <c r="H214" t="str">
        <f>Tableau9[[#This Row],[NOM]]&amp;Tableau9[[#This Row],[Intitulé formation]]</f>
        <v>PRALONGRecyclage CACES3</v>
      </c>
    </row>
    <row r="215" spans="1:8" x14ac:dyDescent="0.25">
      <c r="A215" s="239" t="s">
        <v>1330</v>
      </c>
      <c r="B215" s="246" t="s">
        <v>1355</v>
      </c>
      <c r="C215" s="240" t="s">
        <v>1454</v>
      </c>
      <c r="D215" s="243" t="s">
        <v>313</v>
      </c>
      <c r="E215" s="264" t="s">
        <v>1337</v>
      </c>
      <c r="F215" s="265">
        <v>43565</v>
      </c>
      <c r="G215" s="254" t="s">
        <v>258</v>
      </c>
      <c r="H215" t="str">
        <f>Tableau9[[#This Row],[NOM]]&amp;Tableau9[[#This Row],[Intitulé formation]]</f>
        <v>ARNAUDJLRecyclage CACES3</v>
      </c>
    </row>
    <row r="216" spans="1:8" x14ac:dyDescent="0.25">
      <c r="A216" s="239" t="s">
        <v>575</v>
      </c>
      <c r="B216" s="246" t="s">
        <v>1456</v>
      </c>
      <c r="C216" s="240" t="s">
        <v>1454</v>
      </c>
      <c r="D216" s="243" t="s">
        <v>364</v>
      </c>
      <c r="E216" s="264" t="s">
        <v>1338</v>
      </c>
      <c r="F216" s="265">
        <v>43565</v>
      </c>
      <c r="G216" s="254" t="s">
        <v>258</v>
      </c>
      <c r="H216" t="str">
        <f>Tableau9[[#This Row],[NOM]]&amp;Tableau9[[#This Row],[Intitulé formation]]</f>
        <v>DUCROSRecyclage CACES3 5</v>
      </c>
    </row>
    <row r="217" spans="1:8" x14ac:dyDescent="0.25">
      <c r="A217" s="239" t="s">
        <v>619</v>
      </c>
      <c r="B217" s="246" t="s">
        <v>1499</v>
      </c>
      <c r="C217" s="240" t="s">
        <v>1454</v>
      </c>
      <c r="D217" s="243" t="s">
        <v>364</v>
      </c>
      <c r="E217" s="264" t="s">
        <v>1338</v>
      </c>
      <c r="F217" s="265">
        <v>43565</v>
      </c>
      <c r="G217" s="254" t="s">
        <v>258</v>
      </c>
      <c r="H217" t="str">
        <f>Tableau9[[#This Row],[NOM]]&amp;Tableau9[[#This Row],[Intitulé formation]]</f>
        <v>FONTAINERecyclage CACES3 5</v>
      </c>
    </row>
    <row r="218" spans="1:8" x14ac:dyDescent="0.25">
      <c r="A218" s="239" t="s">
        <v>733</v>
      </c>
      <c r="B218" s="246" t="s">
        <v>1409</v>
      </c>
      <c r="C218" s="240" t="s">
        <v>1454</v>
      </c>
      <c r="D218" s="243" t="s">
        <v>313</v>
      </c>
      <c r="E218" s="264" t="s">
        <v>1338</v>
      </c>
      <c r="F218" s="265">
        <v>43716</v>
      </c>
      <c r="G218" s="254" t="s">
        <v>259</v>
      </c>
      <c r="H218" t="str">
        <f>Tableau9[[#This Row],[NOM]]&amp;Tableau9[[#This Row],[Intitulé formation]]</f>
        <v>LADETRecyclage CACES3 5</v>
      </c>
    </row>
    <row r="219" spans="1:8" x14ac:dyDescent="0.25">
      <c r="A219" s="239" t="s">
        <v>904</v>
      </c>
      <c r="B219" s="246" t="s">
        <v>924</v>
      </c>
      <c r="C219" s="240" t="s">
        <v>1454</v>
      </c>
      <c r="D219" s="243" t="s">
        <v>364</v>
      </c>
      <c r="E219" s="264" t="s">
        <v>1338</v>
      </c>
      <c r="F219" s="265">
        <v>43572</v>
      </c>
      <c r="G219" s="254" t="s">
        <v>258</v>
      </c>
      <c r="H219" t="str">
        <f>Tableau9[[#This Row],[NOM]]&amp;Tableau9[[#This Row],[Intitulé formation]]</f>
        <v>SERRERecyclage CACES3 5</v>
      </c>
    </row>
    <row r="220" spans="1:8" x14ac:dyDescent="0.25">
      <c r="A220" s="266" t="s">
        <v>616</v>
      </c>
      <c r="B220" s="267" t="s">
        <v>924</v>
      </c>
      <c r="C220" s="268" t="s">
        <v>1454</v>
      </c>
      <c r="D220" s="243" t="s">
        <v>364</v>
      </c>
      <c r="E220" s="268" t="s">
        <v>1336</v>
      </c>
      <c r="F220" s="269">
        <v>43711</v>
      </c>
      <c r="G220" s="254" t="s">
        <v>259</v>
      </c>
      <c r="H220" t="str">
        <f>Tableau9[[#This Row],[NOM]]&amp;Tableau9[[#This Row],[Intitulé formation]]</f>
        <v>FERRERORecyclage CACES2</v>
      </c>
    </row>
    <row r="221" spans="1:8" x14ac:dyDescent="0.25">
      <c r="A221" s="266" t="s">
        <v>1457</v>
      </c>
      <c r="B221" s="267" t="s">
        <v>1402</v>
      </c>
      <c r="C221" s="268" t="s">
        <v>1454</v>
      </c>
      <c r="D221" s="243" t="s">
        <v>364</v>
      </c>
      <c r="E221" s="268" t="s">
        <v>1336</v>
      </c>
      <c r="F221" s="269">
        <v>43711</v>
      </c>
      <c r="G221" s="254" t="s">
        <v>259</v>
      </c>
      <c r="H221" t="str">
        <f>Tableau9[[#This Row],[NOM]]&amp;Tableau9[[#This Row],[Intitulé formation]]</f>
        <v>LACOURRecyclage CACES2</v>
      </c>
    </row>
    <row r="222" spans="1:8" x14ac:dyDescent="0.25">
      <c r="A222" s="266" t="s">
        <v>862</v>
      </c>
      <c r="B222" s="267" t="s">
        <v>1469</v>
      </c>
      <c r="C222" s="268" t="s">
        <v>1454</v>
      </c>
      <c r="D222" s="243" t="s">
        <v>364</v>
      </c>
      <c r="E222" s="268" t="s">
        <v>1336</v>
      </c>
      <c r="F222" s="269">
        <v>43711</v>
      </c>
      <c r="G222" s="254" t="s">
        <v>259</v>
      </c>
      <c r="H222" t="str">
        <f>Tableau9[[#This Row],[NOM]]&amp;Tableau9[[#This Row],[Intitulé formation]]</f>
        <v>PRONIERRecyclage CACES2</v>
      </c>
    </row>
    <row r="223" spans="1:8" x14ac:dyDescent="0.25">
      <c r="A223" s="273" t="s">
        <v>1457</v>
      </c>
      <c r="B223" s="273" t="s">
        <v>1487</v>
      </c>
      <c r="C223" s="274" t="s">
        <v>1454</v>
      </c>
      <c r="D223" s="275" t="s">
        <v>364</v>
      </c>
      <c r="E223" s="276" t="s">
        <v>1336</v>
      </c>
      <c r="F223" s="277">
        <v>43712</v>
      </c>
      <c r="G223" s="278" t="s">
        <v>259</v>
      </c>
      <c r="H223" t="str">
        <f>Tableau9[[#This Row],[NOM]]&amp;Tableau9[[#This Row],[Intitulé formation]]</f>
        <v>LACOURRecyclage CACES2</v>
      </c>
    </row>
  </sheetData>
  <conditionalFormatting sqref="F3:F219">
    <cfRule type="expression" dxfId="32" priority="34" stopIfTrue="1">
      <formula>$G3="3"</formula>
    </cfRule>
    <cfRule type="expression" dxfId="31" priority="35" stopIfTrue="1">
      <formula>$G3="2"</formula>
    </cfRule>
    <cfRule type="expression" dxfId="30" priority="36" stopIfTrue="1">
      <formula>$G3="1"</formula>
    </cfRule>
  </conditionalFormatting>
  <conditionalFormatting sqref="A3:A33">
    <cfRule type="expression" dxfId="29" priority="37" stopIfTrue="1">
      <formula>#REF!=1</formula>
    </cfRule>
  </conditionalFormatting>
  <conditionalFormatting sqref="B3:B33">
    <cfRule type="expression" dxfId="28" priority="38" stopIfTrue="1">
      <formula>#REF!=1</formula>
    </cfRule>
  </conditionalFormatting>
  <conditionalFormatting sqref="A153:A212">
    <cfRule type="expression" dxfId="27" priority="11" stopIfTrue="1">
      <formula>#REF!=1</formula>
    </cfRule>
  </conditionalFormatting>
  <conditionalFormatting sqref="A34:A40">
    <cfRule type="expression" dxfId="26" priority="24" stopIfTrue="1">
      <formula>#REF!=1</formula>
    </cfRule>
  </conditionalFormatting>
  <conditionalFormatting sqref="B34:B40">
    <cfRule type="expression" dxfId="25" priority="25" stopIfTrue="1">
      <formula>#REF!=1</formula>
    </cfRule>
  </conditionalFormatting>
  <conditionalFormatting sqref="E34:E40">
    <cfRule type="expression" dxfId="24" priority="26" stopIfTrue="1">
      <formula>$G34="3"</formula>
    </cfRule>
    <cfRule type="expression" dxfId="23" priority="27" stopIfTrue="1">
      <formula>$G34="2"</formula>
    </cfRule>
    <cfRule type="expression" dxfId="22" priority="28" stopIfTrue="1">
      <formula>$G34="1"</formula>
    </cfRule>
  </conditionalFormatting>
  <conditionalFormatting sqref="F85">
    <cfRule type="expression" dxfId="21" priority="16" stopIfTrue="1">
      <formula>$Z85="3"</formula>
    </cfRule>
    <cfRule type="expression" dxfId="20" priority="17" stopIfTrue="1">
      <formula>$Z85="2"</formula>
    </cfRule>
    <cfRule type="expression" dxfId="19" priority="18" stopIfTrue="1">
      <formula>$Z85="1"</formula>
    </cfRule>
  </conditionalFormatting>
  <conditionalFormatting sqref="A41:A152">
    <cfRule type="expression" dxfId="18" priority="19" stopIfTrue="1">
      <formula>#REF!=1</formula>
    </cfRule>
  </conditionalFormatting>
  <conditionalFormatting sqref="B41:B152">
    <cfRule type="expression" dxfId="17" priority="20" stopIfTrue="1">
      <formula>#REF!=1</formula>
    </cfRule>
  </conditionalFormatting>
  <conditionalFormatting sqref="E41:E152">
    <cfRule type="expression" dxfId="16" priority="21" stopIfTrue="1">
      <formula>$G41="3"</formula>
    </cfRule>
    <cfRule type="expression" dxfId="15" priority="22" stopIfTrue="1">
      <formula>$G41="2"</formula>
    </cfRule>
    <cfRule type="expression" dxfId="14" priority="23" stopIfTrue="1">
      <formula>$G41="1"</formula>
    </cfRule>
  </conditionalFormatting>
  <conditionalFormatting sqref="B153:B212">
    <cfRule type="expression" dxfId="13" priority="12" stopIfTrue="1">
      <formula>#REF!=1</formula>
    </cfRule>
  </conditionalFormatting>
  <conditionalFormatting sqref="E153:E212">
    <cfRule type="expression" dxfId="12" priority="13" stopIfTrue="1">
      <formula>$G153="3"</formula>
    </cfRule>
    <cfRule type="expression" dxfId="11" priority="14" stopIfTrue="1">
      <formula>$G153="2"</formula>
    </cfRule>
    <cfRule type="expression" dxfId="10" priority="15" stopIfTrue="1">
      <formula>$G153="1"</formula>
    </cfRule>
  </conditionalFormatting>
  <conditionalFormatting sqref="E213:E219">
    <cfRule type="expression" dxfId="9" priority="6" stopIfTrue="1">
      <formula>$G213="3"</formula>
    </cfRule>
    <cfRule type="expression" dxfId="8" priority="7" stopIfTrue="1">
      <formula>$G213="2"</formula>
    </cfRule>
    <cfRule type="expression" dxfId="7" priority="8" stopIfTrue="1">
      <formula>$G213="1"</formula>
    </cfRule>
  </conditionalFormatting>
  <conditionalFormatting sqref="A213:A219">
    <cfRule type="expression" dxfId="6" priority="9" stopIfTrue="1">
      <formula>#REF!=1</formula>
    </cfRule>
  </conditionalFormatting>
  <conditionalFormatting sqref="B213:B219">
    <cfRule type="expression" dxfId="5" priority="10" stopIfTrue="1">
      <formula>#REF!=1</formula>
    </cfRule>
  </conditionalFormatting>
  <conditionalFormatting sqref="F220:F223">
    <cfRule type="expression" dxfId="4" priority="1" stopIfTrue="1">
      <formula>$G220="3"</formula>
    </cfRule>
    <cfRule type="expression" dxfId="3" priority="2" stopIfTrue="1">
      <formula>$G220="2"</formula>
    </cfRule>
    <cfRule type="expression" dxfId="2" priority="3" stopIfTrue="1">
      <formula>$G220="1"</formula>
    </cfRule>
  </conditionalFormatting>
  <conditionalFormatting sqref="A220:A222">
    <cfRule type="expression" dxfId="1" priority="4" stopIfTrue="1">
      <formula>#REF!=1</formula>
    </cfRule>
  </conditionalFormatting>
  <conditionalFormatting sqref="B220:B222">
    <cfRule type="expression" dxfId="0" priority="5" stopIfTrue="1">
      <formula>#REF!=1</formula>
    </cfRule>
  </conditionalFormatting>
  <dataValidations count="1">
    <dataValidation type="list" allowBlank="1" showInputMessage="1" showErrorMessage="1" sqref="G3:G223">
      <formula1>Calendrier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11</vt:i4>
      </vt:variant>
    </vt:vector>
  </HeadingPairs>
  <TitlesOfParts>
    <vt:vector size="21" baseType="lpstr">
      <vt:lpstr>Plan 2019 consolidé</vt:lpstr>
      <vt:lpstr>Service</vt:lpstr>
      <vt:lpstr>Tableaux IRP</vt:lpstr>
      <vt:lpstr>Graphiques</vt:lpstr>
      <vt:lpstr>Indicateurs</vt:lpstr>
      <vt:lpstr>Calcul Indicateurs</vt:lpstr>
      <vt:lpstr>Tables</vt:lpstr>
      <vt:lpstr>DATA</vt:lpstr>
      <vt:lpstr>Date Formation</vt:lpstr>
      <vt:lpstr>Ex Date Formation</vt:lpstr>
      <vt:lpstr>Avancement</vt:lpstr>
      <vt:lpstr>Axe_Filieres</vt:lpstr>
      <vt:lpstr>Axe_Note_Cadrage</vt:lpstr>
      <vt:lpstr>Base</vt:lpstr>
      <vt:lpstr>BASEDATA</vt:lpstr>
      <vt:lpstr>BASESERVICE</vt:lpstr>
      <vt:lpstr>Calendrier</vt:lpstr>
      <vt:lpstr>Managers</vt:lpstr>
      <vt:lpstr>Priorité_mger</vt:lpstr>
      <vt:lpstr>Service</vt:lpstr>
      <vt:lpstr>Typologie</vt:lpstr>
    </vt:vector>
  </TitlesOfParts>
  <Company>Alfa Laval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thev</cp:lastModifiedBy>
  <cp:lastPrinted>2011-02-24T10:09:19Z</cp:lastPrinted>
  <dcterms:created xsi:type="dcterms:W3CDTF">2010-11-18T09:56:34Z</dcterms:created>
  <dcterms:modified xsi:type="dcterms:W3CDTF">2019-03-20T11:43:43Z</dcterms:modified>
</cp:coreProperties>
</file>