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040" windowHeight="8490" tabRatio="663" activeTab="3"/>
  </bookViews>
  <sheets>
    <sheet name="Accueil" sheetId="8" r:id="rId1"/>
    <sheet name="Information personnelle" sheetId="1" r:id="rId2"/>
    <sheet name="Calendrier Hôtel" sheetId="3" r:id="rId3"/>
    <sheet name="Calendrier SPA" sheetId="11" r:id="rId4"/>
    <sheet name="Feuil2" sheetId="10" r:id="rId5"/>
    <sheet name="Calendrier Tennis" sheetId="5" r:id="rId6"/>
    <sheet name="Prix" sheetId="7" r:id="rId7"/>
    <sheet name="Fichier Clients" sheetId="6" r:id="rId8"/>
    <sheet name="Facture" sheetId="2" r:id="rId9"/>
    <sheet name="Donnée pour automatisation" sheetId="9" r:id="rId10"/>
  </sheets>
  <externalReferences>
    <externalReference r:id="rId11"/>
    <externalReference r:id="rId12"/>
  </externalReferences>
  <definedNames>
    <definedName name="Année">#REF!</definedName>
    <definedName name="AnnéeCalendrier">'Calendrier Hôtel'!$AJ$20</definedName>
    <definedName name="AnnéeRapport">IF(Année="",YEAR(TODAY()),Année)</definedName>
    <definedName name="CléCongé">[1]Janvier!$B$2</definedName>
    <definedName name="CléMaladie">[1]Janvier!$I$2</definedName>
    <definedName name="CléPersonnalisée1">[1]Janvier!$L$2</definedName>
    <definedName name="CléPersonnalisée2">[1]Janvier!$Q$2</definedName>
    <definedName name="CléPersonnel">[1]Janvier!$E$2</definedName>
    <definedName name="ÉvidencePlanification">'[2]Emploi du temps quotidien'!$B$26</definedName>
    <definedName name="HeureFin">'[2]Intervalles de temps'!$C$8</definedName>
    <definedName name="JourRapport">IF(ValJour="",DAY(TODAY()),#REF!)</definedName>
    <definedName name="ListeHeures">[2]!Heure[Heure]</definedName>
    <definedName name="MoAnnée">#REF!</definedName>
    <definedName name="MoMois">#REF!</definedName>
    <definedName name="MoMoisNum">MONTH(DATEVALUE(" 1"&amp;MoMois))</definedName>
    <definedName name="NomMois" localSheetId="2">'Calendrier Hôtel'!$D$20</definedName>
    <definedName name="NomMois">#REF!</definedName>
    <definedName name="NuméroMois">IF(NomMois="",MONTH(TODAY()),MONTH(1&amp;LEFT(NomMois,3)))</definedName>
    <definedName name="RechercherDateEtHeure">[2]!PlanificateurÉvénements[DATE]&amp;[2]!PlanificateurÉvénements[HEURE]</definedName>
    <definedName name="ValDate">IFERROR(#REF!,"")</definedName>
    <definedName name="ValJour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75" i="11" l="1"/>
  <c r="AG175" i="11"/>
  <c r="AF175" i="11"/>
  <c r="AE175" i="11"/>
  <c r="AD175" i="11"/>
  <c r="AC175" i="11"/>
  <c r="AB175" i="11"/>
  <c r="AA175" i="11"/>
  <c r="Z175" i="11"/>
  <c r="Y175" i="11"/>
  <c r="X175" i="11"/>
  <c r="W175" i="11"/>
  <c r="V175" i="11"/>
  <c r="U175" i="11"/>
  <c r="T175" i="11"/>
  <c r="S175" i="11"/>
  <c r="R175" i="11"/>
  <c r="Q175" i="11"/>
  <c r="P175" i="11"/>
  <c r="O175" i="11"/>
  <c r="N175" i="11"/>
  <c r="M175" i="11"/>
  <c r="L175" i="11"/>
  <c r="K175" i="11"/>
  <c r="J175" i="11"/>
  <c r="I175" i="11"/>
  <c r="H175" i="11"/>
  <c r="G175" i="11"/>
  <c r="F175" i="11"/>
  <c r="E175" i="11"/>
  <c r="D175" i="11"/>
  <c r="AI164" i="11"/>
  <c r="AH161" i="11"/>
  <c r="AG161" i="11"/>
  <c r="AF161" i="11"/>
  <c r="AE161" i="11"/>
  <c r="AD161" i="11"/>
  <c r="AC161" i="11"/>
  <c r="AB161" i="11"/>
  <c r="AA161" i="11"/>
  <c r="Z161" i="11"/>
  <c r="Y161" i="11"/>
  <c r="X161" i="11"/>
  <c r="W161" i="11"/>
  <c r="V161" i="11"/>
  <c r="U161" i="11"/>
  <c r="T161" i="11"/>
  <c r="S161" i="11"/>
  <c r="R161" i="11"/>
  <c r="Q161" i="11"/>
  <c r="P161" i="11"/>
  <c r="O161" i="11"/>
  <c r="N161" i="11"/>
  <c r="M161" i="11"/>
  <c r="L161" i="11"/>
  <c r="K161" i="11"/>
  <c r="J161" i="11"/>
  <c r="I161" i="11"/>
  <c r="H161" i="11"/>
  <c r="G161" i="11"/>
  <c r="F161" i="11"/>
  <c r="E161" i="11"/>
  <c r="D161" i="11"/>
  <c r="AI150" i="11"/>
  <c r="AH147" i="11"/>
  <c r="AG147" i="11"/>
  <c r="AF147" i="11"/>
  <c r="AE147" i="11"/>
  <c r="AD147" i="11"/>
  <c r="AC147" i="11"/>
  <c r="AB147" i="11"/>
  <c r="AA147" i="11"/>
  <c r="Z147" i="11"/>
  <c r="Y147" i="11"/>
  <c r="X147" i="11"/>
  <c r="W147" i="11"/>
  <c r="V147" i="11"/>
  <c r="U147" i="11"/>
  <c r="T147" i="11"/>
  <c r="S147" i="11"/>
  <c r="R147" i="11"/>
  <c r="Q147" i="11"/>
  <c r="P147" i="11"/>
  <c r="O147" i="11"/>
  <c r="N147" i="11"/>
  <c r="M147" i="11"/>
  <c r="L147" i="11"/>
  <c r="K147" i="11"/>
  <c r="J147" i="11"/>
  <c r="I147" i="11"/>
  <c r="H147" i="11"/>
  <c r="G147" i="11"/>
  <c r="F147" i="11"/>
  <c r="E147" i="11"/>
  <c r="D147" i="11"/>
  <c r="AH133" i="11"/>
  <c r="AG133" i="11"/>
  <c r="AF133" i="11"/>
  <c r="AE133" i="11"/>
  <c r="AD133" i="11"/>
  <c r="AC133" i="11"/>
  <c r="AB133" i="11"/>
  <c r="AA133" i="11"/>
  <c r="Z133" i="11"/>
  <c r="Y133" i="11"/>
  <c r="X133" i="11"/>
  <c r="W133" i="11"/>
  <c r="V133" i="11"/>
  <c r="U133" i="11"/>
  <c r="T133" i="11"/>
  <c r="S133" i="11"/>
  <c r="R133" i="11"/>
  <c r="Q133" i="11"/>
  <c r="P133" i="11"/>
  <c r="O133" i="11"/>
  <c r="N133" i="11"/>
  <c r="M133" i="11"/>
  <c r="L133" i="11"/>
  <c r="K133" i="11"/>
  <c r="J133" i="11"/>
  <c r="I133" i="11"/>
  <c r="H133" i="11"/>
  <c r="G133" i="11"/>
  <c r="F133" i="11"/>
  <c r="E133" i="11"/>
  <c r="D133" i="11"/>
  <c r="AI122" i="11"/>
  <c r="AH119" i="11"/>
  <c r="AG119" i="11"/>
  <c r="AF119" i="11"/>
  <c r="AE119" i="11"/>
  <c r="AD119" i="11"/>
  <c r="AC119" i="11"/>
  <c r="AB119" i="11"/>
  <c r="AA119" i="11"/>
  <c r="Z119" i="11"/>
  <c r="Y119" i="11"/>
  <c r="X119" i="11"/>
  <c r="W119" i="11"/>
  <c r="V119" i="11"/>
  <c r="U119" i="11"/>
  <c r="T119" i="11"/>
  <c r="S119" i="11"/>
  <c r="R119" i="11"/>
  <c r="Q119" i="11"/>
  <c r="P119" i="11"/>
  <c r="O119" i="11"/>
  <c r="N119" i="11"/>
  <c r="M119" i="11"/>
  <c r="L119" i="11"/>
  <c r="K119" i="11"/>
  <c r="J119" i="11"/>
  <c r="I119" i="11"/>
  <c r="H119" i="11"/>
  <c r="G119" i="11"/>
  <c r="F119" i="11"/>
  <c r="E119" i="11"/>
  <c r="D119" i="11"/>
  <c r="AH105" i="11"/>
  <c r="AG105" i="11"/>
  <c r="AF105" i="11"/>
  <c r="AE105" i="11"/>
  <c r="AD105" i="11"/>
  <c r="AC105" i="11"/>
  <c r="AB105" i="11"/>
  <c r="AA105" i="11"/>
  <c r="Z105" i="11"/>
  <c r="Y105" i="11"/>
  <c r="X105" i="11"/>
  <c r="W105" i="11"/>
  <c r="V105" i="11"/>
  <c r="U105" i="11"/>
  <c r="T105" i="11"/>
  <c r="S105" i="11"/>
  <c r="R105" i="11"/>
  <c r="Q105" i="11"/>
  <c r="P105" i="11"/>
  <c r="O105" i="11"/>
  <c r="N105" i="11"/>
  <c r="M105" i="11"/>
  <c r="L105" i="11"/>
  <c r="K105" i="11"/>
  <c r="J105" i="11"/>
  <c r="I105" i="11"/>
  <c r="H105" i="11"/>
  <c r="G105" i="11"/>
  <c r="F105" i="11"/>
  <c r="E105" i="11"/>
  <c r="D105" i="11"/>
  <c r="AI94" i="11"/>
  <c r="AH91" i="11"/>
  <c r="AG91" i="11"/>
  <c r="AF91" i="11"/>
  <c r="AE91" i="11"/>
  <c r="AD91" i="11"/>
  <c r="AC91" i="11"/>
  <c r="AB91" i="11"/>
  <c r="AA91" i="11"/>
  <c r="Z91" i="11"/>
  <c r="Y91" i="11"/>
  <c r="X91" i="11"/>
  <c r="W91" i="11"/>
  <c r="V91" i="11"/>
  <c r="U91" i="11"/>
  <c r="T91" i="11"/>
  <c r="S91" i="11"/>
  <c r="R91" i="11"/>
  <c r="Q91" i="11"/>
  <c r="P91" i="11"/>
  <c r="O91" i="11"/>
  <c r="N91" i="11"/>
  <c r="M91" i="11"/>
  <c r="L91" i="11"/>
  <c r="K91" i="11"/>
  <c r="J91" i="11"/>
  <c r="I91" i="11"/>
  <c r="H91" i="11"/>
  <c r="G91" i="11"/>
  <c r="F91" i="11"/>
  <c r="E91" i="11"/>
  <c r="D91" i="11"/>
  <c r="AI80" i="11"/>
  <c r="AH77" i="11"/>
  <c r="AG77" i="11"/>
  <c r="AF77" i="11"/>
  <c r="AE77" i="11"/>
  <c r="AD77" i="11"/>
  <c r="AC77" i="11"/>
  <c r="AB77" i="11"/>
  <c r="AA77" i="11"/>
  <c r="Z77" i="11"/>
  <c r="Y77" i="11"/>
  <c r="X77" i="11"/>
  <c r="W77" i="11"/>
  <c r="V77" i="11"/>
  <c r="U77" i="11"/>
  <c r="T77" i="11"/>
  <c r="S77" i="11"/>
  <c r="R77" i="11"/>
  <c r="Q77" i="11"/>
  <c r="P77" i="11"/>
  <c r="O77" i="11"/>
  <c r="N77" i="11"/>
  <c r="M77" i="11"/>
  <c r="L77" i="11"/>
  <c r="K77" i="11"/>
  <c r="J77" i="11"/>
  <c r="I77" i="11"/>
  <c r="H77" i="11"/>
  <c r="G77" i="11"/>
  <c r="F77" i="11"/>
  <c r="E77" i="11"/>
  <c r="D77" i="11"/>
  <c r="AH63" i="11"/>
  <c r="AG63" i="11"/>
  <c r="AF63" i="11"/>
  <c r="AE63" i="11"/>
  <c r="AD63" i="11"/>
  <c r="AC63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K63" i="11"/>
  <c r="J63" i="11"/>
  <c r="I63" i="11"/>
  <c r="H63" i="11"/>
  <c r="G63" i="11"/>
  <c r="F63" i="11"/>
  <c r="E63" i="11"/>
  <c r="D63" i="11"/>
  <c r="AI52" i="11"/>
  <c r="AH49" i="11"/>
  <c r="AG49" i="11"/>
  <c r="AF49" i="11"/>
  <c r="AE49" i="11"/>
  <c r="AD49" i="11"/>
  <c r="AC49" i="11"/>
  <c r="AB49" i="11"/>
  <c r="AA49" i="11"/>
  <c r="Z49" i="11"/>
  <c r="Y49" i="11"/>
  <c r="X49" i="11"/>
  <c r="W49" i="11"/>
  <c r="V49" i="11"/>
  <c r="U49" i="11"/>
  <c r="T49" i="11"/>
  <c r="S49" i="11"/>
  <c r="R49" i="11"/>
  <c r="Q49" i="11"/>
  <c r="P49" i="11"/>
  <c r="O49" i="11"/>
  <c r="N49" i="11"/>
  <c r="M49" i="11"/>
  <c r="L49" i="11"/>
  <c r="K49" i="11"/>
  <c r="J49" i="11"/>
  <c r="I49" i="11"/>
  <c r="H49" i="11"/>
  <c r="G49" i="11"/>
  <c r="F49" i="11"/>
  <c r="E49" i="11"/>
  <c r="D49" i="11"/>
  <c r="AI38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G35" i="11"/>
  <c r="F35" i="11"/>
  <c r="E35" i="11"/>
  <c r="D35" i="11"/>
  <c r="AF25" i="11"/>
  <c r="AE25" i="11"/>
  <c r="AD25" i="11"/>
  <c r="AC25" i="11"/>
  <c r="AB25" i="11"/>
  <c r="AA25" i="11"/>
  <c r="Z25" i="11"/>
  <c r="Y25" i="11"/>
  <c r="X25" i="11"/>
  <c r="W25" i="11"/>
  <c r="V25" i="11"/>
  <c r="U25" i="11"/>
  <c r="T25" i="11"/>
  <c r="S25" i="11"/>
  <c r="R25" i="11"/>
  <c r="Q25" i="11"/>
  <c r="P25" i="11"/>
  <c r="O25" i="11"/>
  <c r="N25" i="11"/>
  <c r="M25" i="11"/>
  <c r="L25" i="11"/>
  <c r="K25" i="11"/>
  <c r="J25" i="11"/>
  <c r="I25" i="11"/>
  <c r="H25" i="11"/>
  <c r="G25" i="11"/>
  <c r="F25" i="11"/>
  <c r="E25" i="11"/>
  <c r="D25" i="11"/>
  <c r="AI24" i="11"/>
  <c r="AH21" i="11"/>
  <c r="AG21" i="11"/>
  <c r="AF21" i="11"/>
  <c r="AE21" i="11"/>
  <c r="AD21" i="11"/>
  <c r="AC21" i="11"/>
  <c r="AB21" i="11"/>
  <c r="AA21" i="11"/>
  <c r="Z21" i="11"/>
  <c r="Y21" i="11"/>
  <c r="X21" i="11"/>
  <c r="W21" i="11"/>
  <c r="V21" i="11"/>
  <c r="U21" i="11"/>
  <c r="T21" i="11"/>
  <c r="S21" i="11"/>
  <c r="R21" i="11"/>
  <c r="Q21" i="11"/>
  <c r="P21" i="11"/>
  <c r="O21" i="11"/>
  <c r="N21" i="11"/>
  <c r="M21" i="11"/>
  <c r="L21" i="11"/>
  <c r="K21" i="11"/>
  <c r="J21" i="11"/>
  <c r="I21" i="11"/>
  <c r="H21" i="11"/>
  <c r="G21" i="11"/>
  <c r="F21" i="11"/>
  <c r="E21" i="11"/>
  <c r="D21" i="11"/>
  <c r="AH11" i="11"/>
  <c r="AG11" i="11"/>
  <c r="AF11" i="11"/>
  <c r="AE11" i="11"/>
  <c r="AD11" i="11"/>
  <c r="AC11" i="11"/>
  <c r="AB11" i="11"/>
  <c r="AA11" i="11"/>
  <c r="Z11" i="11"/>
  <c r="Y11" i="11"/>
  <c r="X11" i="11"/>
  <c r="W11" i="11"/>
  <c r="V11" i="11"/>
  <c r="U11" i="11"/>
  <c r="T11" i="11"/>
  <c r="S11" i="11"/>
  <c r="R11" i="11"/>
  <c r="Q11" i="11"/>
  <c r="P11" i="11"/>
  <c r="O11" i="11"/>
  <c r="N11" i="11"/>
  <c r="M11" i="11"/>
  <c r="L11" i="11"/>
  <c r="K11" i="11"/>
  <c r="J11" i="11"/>
  <c r="I11" i="11"/>
  <c r="H11" i="11"/>
  <c r="G11" i="11"/>
  <c r="F11" i="11"/>
  <c r="E11" i="11"/>
  <c r="D11" i="11"/>
  <c r="AI285" i="3" l="1"/>
  <c r="AI284" i="3"/>
  <c r="AI283" i="3"/>
  <c r="AI282" i="3"/>
  <c r="AI281" i="3"/>
  <c r="AI280" i="3"/>
  <c r="AI279" i="3"/>
  <c r="AI278" i="3"/>
  <c r="AI277" i="3"/>
  <c r="AI276" i="3"/>
  <c r="AI275" i="3"/>
  <c r="AI274" i="3"/>
  <c r="AI273" i="3"/>
  <c r="AI272" i="3"/>
  <c r="AI271" i="3"/>
  <c r="AI270" i="3"/>
  <c r="AI269" i="3"/>
  <c r="AI268" i="3"/>
  <c r="AI267" i="3"/>
  <c r="AH265" i="3"/>
  <c r="AG265" i="3"/>
  <c r="AF265" i="3"/>
  <c r="AE265" i="3"/>
  <c r="AD265" i="3"/>
  <c r="AC265" i="3"/>
  <c r="AB265" i="3"/>
  <c r="AA265" i="3"/>
  <c r="Z265" i="3"/>
  <c r="Y265" i="3"/>
  <c r="X265" i="3"/>
  <c r="W265" i="3"/>
  <c r="V265" i="3"/>
  <c r="U265" i="3"/>
  <c r="T265" i="3"/>
  <c r="S265" i="3"/>
  <c r="R265" i="3"/>
  <c r="Q265" i="3"/>
  <c r="P265" i="3"/>
  <c r="O265" i="3"/>
  <c r="N265" i="3"/>
  <c r="M265" i="3"/>
  <c r="L265" i="3"/>
  <c r="K265" i="3"/>
  <c r="J265" i="3"/>
  <c r="I265" i="3"/>
  <c r="H265" i="3"/>
  <c r="G265" i="3"/>
  <c r="F265" i="3"/>
  <c r="E265" i="3"/>
  <c r="D265" i="3"/>
  <c r="AI262" i="3"/>
  <c r="AI261" i="3"/>
  <c r="AI260" i="3"/>
  <c r="AI259" i="3"/>
  <c r="AI258" i="3"/>
  <c r="AI257" i="3"/>
  <c r="AI256" i="3"/>
  <c r="AI255" i="3"/>
  <c r="AI254" i="3"/>
  <c r="AI253" i="3"/>
  <c r="AI252" i="3"/>
  <c r="AI251" i="3"/>
  <c r="AI250" i="3"/>
  <c r="AI249" i="3"/>
  <c r="AI248" i="3"/>
  <c r="AI247" i="3"/>
  <c r="AI246" i="3"/>
  <c r="AI245" i="3"/>
  <c r="AI244" i="3"/>
  <c r="AG242" i="3"/>
  <c r="AF242" i="3"/>
  <c r="AE242" i="3"/>
  <c r="AD242" i="3"/>
  <c r="AC242" i="3"/>
  <c r="AB242" i="3"/>
  <c r="AA242" i="3"/>
  <c r="Z242" i="3"/>
  <c r="Y242" i="3"/>
  <c r="X242" i="3"/>
  <c r="W242" i="3"/>
  <c r="V242" i="3"/>
  <c r="U242" i="3"/>
  <c r="T242" i="3"/>
  <c r="S242" i="3"/>
  <c r="R242" i="3"/>
  <c r="Q242" i="3"/>
  <c r="P242" i="3"/>
  <c r="O242" i="3"/>
  <c r="N242" i="3"/>
  <c r="M242" i="3"/>
  <c r="L242" i="3"/>
  <c r="K242" i="3"/>
  <c r="J242" i="3"/>
  <c r="I242" i="3"/>
  <c r="H242" i="3"/>
  <c r="G242" i="3"/>
  <c r="F242" i="3"/>
  <c r="E242" i="3"/>
  <c r="D242" i="3"/>
  <c r="AI239" i="3"/>
  <c r="AI238" i="3"/>
  <c r="AI237" i="3"/>
  <c r="AI236" i="3"/>
  <c r="AI235" i="3"/>
  <c r="AI234" i="3"/>
  <c r="AI233" i="3"/>
  <c r="AI232" i="3"/>
  <c r="AI231" i="3"/>
  <c r="AI230" i="3"/>
  <c r="AI229" i="3"/>
  <c r="AI228" i="3"/>
  <c r="AI227" i="3"/>
  <c r="AI226" i="3"/>
  <c r="AI225" i="3"/>
  <c r="AI224" i="3"/>
  <c r="AI223" i="3"/>
  <c r="AI222" i="3"/>
  <c r="AI221" i="3"/>
  <c r="AH219" i="3"/>
  <c r="AG219" i="3"/>
  <c r="AF219" i="3"/>
  <c r="AE219" i="3"/>
  <c r="AD219" i="3"/>
  <c r="AC219" i="3"/>
  <c r="AB219" i="3"/>
  <c r="AA219" i="3"/>
  <c r="Z219" i="3"/>
  <c r="Y219" i="3"/>
  <c r="X219" i="3"/>
  <c r="W219" i="3"/>
  <c r="V219" i="3"/>
  <c r="U219" i="3"/>
  <c r="T219" i="3"/>
  <c r="S219" i="3"/>
  <c r="R219" i="3"/>
  <c r="Q219" i="3"/>
  <c r="P219" i="3"/>
  <c r="O219" i="3"/>
  <c r="N219" i="3"/>
  <c r="M219" i="3"/>
  <c r="L219" i="3"/>
  <c r="K219" i="3"/>
  <c r="J219" i="3"/>
  <c r="I219" i="3"/>
  <c r="H219" i="3"/>
  <c r="G219" i="3"/>
  <c r="F219" i="3"/>
  <c r="E219" i="3"/>
  <c r="D219" i="3"/>
  <c r="AI216" i="3"/>
  <c r="AI215" i="3"/>
  <c r="AI214" i="3"/>
  <c r="AI213" i="3"/>
  <c r="AI212" i="3"/>
  <c r="AI211" i="3"/>
  <c r="AI210" i="3"/>
  <c r="AI209" i="3"/>
  <c r="AI208" i="3"/>
  <c r="AI207" i="3"/>
  <c r="AI206" i="3"/>
  <c r="AI205" i="3"/>
  <c r="AI204" i="3"/>
  <c r="AI203" i="3"/>
  <c r="AI202" i="3"/>
  <c r="AI201" i="3"/>
  <c r="AI200" i="3"/>
  <c r="AI199" i="3"/>
  <c r="AI198" i="3"/>
  <c r="AG196" i="3"/>
  <c r="AF196" i="3"/>
  <c r="AE196" i="3"/>
  <c r="AD196" i="3"/>
  <c r="AC196" i="3"/>
  <c r="AB196" i="3"/>
  <c r="AA196" i="3"/>
  <c r="Z196" i="3"/>
  <c r="Y196" i="3"/>
  <c r="X196" i="3"/>
  <c r="W196" i="3"/>
  <c r="V196" i="3"/>
  <c r="U196" i="3"/>
  <c r="T196" i="3"/>
  <c r="S196" i="3"/>
  <c r="R196" i="3"/>
  <c r="Q196" i="3"/>
  <c r="P196" i="3"/>
  <c r="O196" i="3"/>
  <c r="N196" i="3"/>
  <c r="M196" i="3"/>
  <c r="L196" i="3"/>
  <c r="K196" i="3"/>
  <c r="J196" i="3"/>
  <c r="I196" i="3"/>
  <c r="H196" i="3"/>
  <c r="G196" i="3"/>
  <c r="F196" i="3"/>
  <c r="E196" i="3"/>
  <c r="D196" i="3"/>
  <c r="AI193" i="3"/>
  <c r="AI192" i="3"/>
  <c r="AI191" i="3"/>
  <c r="AI190" i="3"/>
  <c r="AI189" i="3"/>
  <c r="AI188" i="3"/>
  <c r="AI187" i="3"/>
  <c r="AI186" i="3"/>
  <c r="AI185" i="3"/>
  <c r="AI184" i="3"/>
  <c r="AI183" i="3"/>
  <c r="AI182" i="3"/>
  <c r="AI181" i="3"/>
  <c r="AI180" i="3"/>
  <c r="AI179" i="3"/>
  <c r="AI178" i="3"/>
  <c r="AI177" i="3"/>
  <c r="AI176" i="3"/>
  <c r="AI175" i="3"/>
  <c r="AH173" i="3"/>
  <c r="AG173" i="3"/>
  <c r="AF173" i="3"/>
  <c r="AE173" i="3"/>
  <c r="AD173" i="3"/>
  <c r="AC173" i="3"/>
  <c r="AB173" i="3"/>
  <c r="AA173" i="3"/>
  <c r="Z173" i="3"/>
  <c r="Y173" i="3"/>
  <c r="X173" i="3"/>
  <c r="W173" i="3"/>
  <c r="V173" i="3"/>
  <c r="U173" i="3"/>
  <c r="T173" i="3"/>
  <c r="S173" i="3"/>
  <c r="R173" i="3"/>
  <c r="Q173" i="3"/>
  <c r="P173" i="3"/>
  <c r="O173" i="3"/>
  <c r="N173" i="3"/>
  <c r="M173" i="3"/>
  <c r="L173" i="3"/>
  <c r="K173" i="3"/>
  <c r="J173" i="3"/>
  <c r="I173" i="3"/>
  <c r="H173" i="3"/>
  <c r="G173" i="3"/>
  <c r="F173" i="3"/>
  <c r="E173" i="3"/>
  <c r="D173" i="3"/>
  <c r="AI170" i="3"/>
  <c r="AI169" i="3"/>
  <c r="AI168" i="3"/>
  <c r="AI167" i="3"/>
  <c r="AI166" i="3"/>
  <c r="AI165" i="3"/>
  <c r="AI164" i="3"/>
  <c r="AI163" i="3"/>
  <c r="AI162" i="3"/>
  <c r="AI161" i="3"/>
  <c r="AI160" i="3"/>
  <c r="AI159" i="3"/>
  <c r="AI158" i="3"/>
  <c r="AI157" i="3"/>
  <c r="AI156" i="3"/>
  <c r="AI155" i="3"/>
  <c r="AI154" i="3"/>
  <c r="AI153" i="3"/>
  <c r="AI152" i="3"/>
  <c r="AH150" i="3"/>
  <c r="AG150" i="3"/>
  <c r="AF150" i="3"/>
  <c r="AE150" i="3"/>
  <c r="AD150" i="3"/>
  <c r="AC150" i="3"/>
  <c r="AB150" i="3"/>
  <c r="AA150" i="3"/>
  <c r="Z150" i="3"/>
  <c r="Y150" i="3"/>
  <c r="X150" i="3"/>
  <c r="W150" i="3"/>
  <c r="V150" i="3"/>
  <c r="U150" i="3"/>
  <c r="T150" i="3"/>
  <c r="S150" i="3"/>
  <c r="R150" i="3"/>
  <c r="Q150" i="3"/>
  <c r="P150" i="3"/>
  <c r="O150" i="3"/>
  <c r="N150" i="3"/>
  <c r="M150" i="3"/>
  <c r="L150" i="3"/>
  <c r="K150" i="3"/>
  <c r="J150" i="3"/>
  <c r="I150" i="3"/>
  <c r="H150" i="3"/>
  <c r="G150" i="3"/>
  <c r="F150" i="3"/>
  <c r="E150" i="3"/>
  <c r="D150" i="3"/>
  <c r="AI147" i="3"/>
  <c r="AI146" i="3"/>
  <c r="AI145" i="3"/>
  <c r="AI144" i="3"/>
  <c r="AI143" i="3"/>
  <c r="AI142" i="3"/>
  <c r="AI141" i="3"/>
  <c r="AI140" i="3"/>
  <c r="AI139" i="3"/>
  <c r="AI138" i="3"/>
  <c r="AI137" i="3"/>
  <c r="AI136" i="3"/>
  <c r="AI135" i="3"/>
  <c r="AI134" i="3"/>
  <c r="AI133" i="3"/>
  <c r="AI132" i="3"/>
  <c r="AI131" i="3"/>
  <c r="AI130" i="3"/>
  <c r="AI129" i="3"/>
  <c r="AG127" i="3"/>
  <c r="AF127" i="3"/>
  <c r="AE127" i="3"/>
  <c r="AD127" i="3"/>
  <c r="AC127" i="3"/>
  <c r="AB127" i="3"/>
  <c r="AA127" i="3"/>
  <c r="Z127" i="3"/>
  <c r="Y127" i="3"/>
  <c r="X127" i="3"/>
  <c r="W127" i="3"/>
  <c r="V127" i="3"/>
  <c r="U127" i="3"/>
  <c r="T127" i="3"/>
  <c r="S127" i="3"/>
  <c r="R127" i="3"/>
  <c r="Q127" i="3"/>
  <c r="P127" i="3"/>
  <c r="O127" i="3"/>
  <c r="N127" i="3"/>
  <c r="M127" i="3"/>
  <c r="L127" i="3"/>
  <c r="K127" i="3"/>
  <c r="J127" i="3"/>
  <c r="I127" i="3"/>
  <c r="H127" i="3"/>
  <c r="G127" i="3"/>
  <c r="F127" i="3"/>
  <c r="E127" i="3"/>
  <c r="D127" i="3"/>
  <c r="AI124" i="3"/>
  <c r="AI123" i="3"/>
  <c r="AI122" i="3"/>
  <c r="AI121" i="3"/>
  <c r="AI120" i="3"/>
  <c r="AI119" i="3"/>
  <c r="AI118" i="3"/>
  <c r="AI117" i="3"/>
  <c r="AI116" i="3"/>
  <c r="AI115" i="3"/>
  <c r="AI114" i="3"/>
  <c r="AI113" i="3"/>
  <c r="AI112" i="3"/>
  <c r="AI111" i="3"/>
  <c r="AI110" i="3"/>
  <c r="AI109" i="3"/>
  <c r="AI108" i="3"/>
  <c r="AI107" i="3"/>
  <c r="AI106" i="3"/>
  <c r="AH104" i="3"/>
  <c r="AG104" i="3"/>
  <c r="AF104" i="3"/>
  <c r="AE104" i="3"/>
  <c r="AD104" i="3"/>
  <c r="AC104" i="3"/>
  <c r="AB104" i="3"/>
  <c r="AA104" i="3"/>
  <c r="Z104" i="3"/>
  <c r="Y104" i="3"/>
  <c r="X104" i="3"/>
  <c r="W104" i="3"/>
  <c r="V104" i="3"/>
  <c r="U104" i="3"/>
  <c r="T104" i="3"/>
  <c r="S104" i="3"/>
  <c r="R104" i="3"/>
  <c r="Q104" i="3"/>
  <c r="P104" i="3"/>
  <c r="O104" i="3"/>
  <c r="N104" i="3"/>
  <c r="M104" i="3"/>
  <c r="L104" i="3"/>
  <c r="K104" i="3"/>
  <c r="J104" i="3"/>
  <c r="I104" i="3"/>
  <c r="H104" i="3"/>
  <c r="G104" i="3"/>
  <c r="F104" i="3"/>
  <c r="E104" i="3"/>
  <c r="D104" i="3"/>
  <c r="AI101" i="3"/>
  <c r="AI100" i="3"/>
  <c r="AI99" i="3"/>
  <c r="AI98" i="3"/>
  <c r="AI97" i="3"/>
  <c r="AI96" i="3"/>
  <c r="AI95" i="3"/>
  <c r="AI94" i="3"/>
  <c r="AI93" i="3"/>
  <c r="AI92" i="3"/>
  <c r="AI91" i="3"/>
  <c r="AI90" i="3"/>
  <c r="AI89" i="3"/>
  <c r="AI88" i="3"/>
  <c r="AI87" i="3"/>
  <c r="AI86" i="3"/>
  <c r="AI85" i="3"/>
  <c r="AI84" i="3"/>
  <c r="AI83" i="3"/>
  <c r="AG81" i="3"/>
  <c r="AF81" i="3"/>
  <c r="AE81" i="3"/>
  <c r="AD81" i="3"/>
  <c r="AC81" i="3"/>
  <c r="AB81" i="3"/>
  <c r="AA81" i="3"/>
  <c r="Z81" i="3"/>
  <c r="Y81" i="3"/>
  <c r="X81" i="3"/>
  <c r="W81" i="3"/>
  <c r="V81" i="3"/>
  <c r="U81" i="3"/>
  <c r="T81" i="3"/>
  <c r="S81" i="3"/>
  <c r="R81" i="3"/>
  <c r="Q81" i="3"/>
  <c r="P81" i="3"/>
  <c r="O81" i="3"/>
  <c r="N81" i="3"/>
  <c r="M81" i="3"/>
  <c r="L81" i="3"/>
  <c r="K81" i="3"/>
  <c r="J81" i="3"/>
  <c r="I81" i="3"/>
  <c r="H81" i="3"/>
  <c r="G81" i="3"/>
  <c r="F81" i="3"/>
  <c r="E81" i="3"/>
  <c r="D81" i="3"/>
  <c r="AI78" i="3"/>
  <c r="AI77" i="3"/>
  <c r="AI76" i="3"/>
  <c r="AI75" i="3"/>
  <c r="AI74" i="3"/>
  <c r="AI73" i="3"/>
  <c r="AI72" i="3"/>
  <c r="AI71" i="3"/>
  <c r="AI70" i="3"/>
  <c r="AI69" i="3"/>
  <c r="AI68" i="3"/>
  <c r="AI67" i="3"/>
  <c r="AI66" i="3"/>
  <c r="AI65" i="3"/>
  <c r="AI64" i="3"/>
  <c r="AI63" i="3"/>
  <c r="AI62" i="3"/>
  <c r="AI61" i="3"/>
  <c r="AI60" i="3"/>
  <c r="AH58" i="3"/>
  <c r="AG58" i="3"/>
  <c r="AF58" i="3"/>
  <c r="AE58" i="3"/>
  <c r="AD58" i="3"/>
  <c r="AC58" i="3"/>
  <c r="AB58" i="3"/>
  <c r="AA58" i="3"/>
  <c r="Z58" i="3"/>
  <c r="Y58" i="3"/>
  <c r="X58" i="3"/>
  <c r="W58" i="3"/>
  <c r="V58" i="3"/>
  <c r="U58" i="3"/>
  <c r="T58" i="3"/>
  <c r="S58" i="3"/>
  <c r="R58" i="3"/>
  <c r="Q58" i="3"/>
  <c r="P58" i="3"/>
  <c r="O58" i="3"/>
  <c r="N58" i="3"/>
  <c r="M58" i="3"/>
  <c r="L58" i="3"/>
  <c r="K58" i="3"/>
  <c r="J58" i="3"/>
  <c r="I58" i="3"/>
  <c r="H58" i="3"/>
  <c r="G58" i="3"/>
  <c r="F58" i="3"/>
  <c r="E58" i="3"/>
  <c r="D58" i="3"/>
  <c r="AI55" i="3"/>
  <c r="AI54" i="3"/>
  <c r="AI53" i="3"/>
  <c r="AI52" i="3"/>
  <c r="AI51" i="3"/>
  <c r="AI50" i="3"/>
  <c r="AI49" i="3"/>
  <c r="AI48" i="3"/>
  <c r="AI47" i="3"/>
  <c r="AI46" i="3"/>
  <c r="AI45" i="3"/>
  <c r="AI44" i="3"/>
  <c r="AI43" i="3"/>
  <c r="AI42" i="3"/>
  <c r="AI41" i="3"/>
  <c r="AI40" i="3"/>
  <c r="AI39" i="3"/>
  <c r="AI38" i="3"/>
  <c r="AI37" i="3"/>
  <c r="AF35" i="3"/>
  <c r="AE35" i="3"/>
  <c r="AD35" i="3"/>
  <c r="AC35" i="3"/>
  <c r="AB35" i="3"/>
  <c r="AA35" i="3"/>
  <c r="Z35" i="3"/>
  <c r="Y35" i="3"/>
  <c r="X35" i="3"/>
  <c r="W35" i="3"/>
  <c r="V35" i="3"/>
  <c r="U35" i="3"/>
  <c r="T35" i="3"/>
  <c r="S35" i="3"/>
  <c r="R35" i="3"/>
  <c r="Q35" i="3"/>
  <c r="P35" i="3"/>
  <c r="O35" i="3"/>
  <c r="N35" i="3"/>
  <c r="M35" i="3"/>
  <c r="L35" i="3"/>
  <c r="K35" i="3"/>
  <c r="J35" i="3"/>
  <c r="I35" i="3"/>
  <c r="H35" i="3"/>
  <c r="G35" i="3"/>
  <c r="F35" i="3"/>
  <c r="E35" i="3"/>
  <c r="D35" i="3"/>
  <c r="AI31" i="3"/>
  <c r="AI30" i="3"/>
  <c r="AI29" i="3"/>
  <c r="AI28" i="3"/>
  <c r="AI27" i="3"/>
  <c r="AI26" i="3"/>
  <c r="AI25" i="3"/>
  <c r="AI24" i="3"/>
  <c r="AI23" i="3"/>
  <c r="AI22" i="3"/>
  <c r="AI21" i="3"/>
  <c r="AI20" i="3"/>
  <c r="AI19" i="3"/>
  <c r="AI18" i="3"/>
  <c r="AI17" i="3"/>
  <c r="AI16" i="3"/>
  <c r="AI15" i="3"/>
  <c r="AI14" i="3"/>
  <c r="AI13" i="3"/>
  <c r="AH11" i="3"/>
  <c r="AG11" i="3"/>
  <c r="AF11" i="3"/>
  <c r="AE11" i="3"/>
  <c r="AD11" i="3"/>
  <c r="AC11" i="3"/>
  <c r="AB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</calcChain>
</file>

<file path=xl/sharedStrings.xml><?xml version="1.0" encoding="utf-8"?>
<sst xmlns="http://schemas.openxmlformats.org/spreadsheetml/2006/main" count="805" uniqueCount="78">
  <si>
    <t>NOM - Prénom</t>
  </si>
  <si>
    <t>Ardresse</t>
  </si>
  <si>
    <t>Nom de la rue/avenue</t>
  </si>
  <si>
    <t>Code postal</t>
  </si>
  <si>
    <t>Ville</t>
  </si>
  <si>
    <t>Pays</t>
  </si>
  <si>
    <t>Telephone portable</t>
  </si>
  <si>
    <t>Nombre de clients</t>
  </si>
  <si>
    <t>Adultes</t>
  </si>
  <si>
    <t>Enfants</t>
  </si>
  <si>
    <t>Chambre</t>
  </si>
  <si>
    <t>Type de chambre</t>
  </si>
  <si>
    <t>Type de pension</t>
  </si>
  <si>
    <t>Lier les case à cocher</t>
  </si>
  <si>
    <t>Total des jours</t>
  </si>
  <si>
    <t>Libre</t>
  </si>
  <si>
    <t>R</t>
  </si>
  <si>
    <t>Réservé</t>
  </si>
  <si>
    <t>Réservations</t>
  </si>
  <si>
    <t>JANVIER</t>
  </si>
  <si>
    <t>Disponibilité</t>
  </si>
  <si>
    <t>FEVRIER</t>
  </si>
  <si>
    <t>MARS</t>
  </si>
  <si>
    <t>Classique 1</t>
  </si>
  <si>
    <t>Classique 2</t>
  </si>
  <si>
    <t>Classique 3</t>
  </si>
  <si>
    <t>Classique 4</t>
  </si>
  <si>
    <t>Classique 5</t>
  </si>
  <si>
    <t>Classique 6</t>
  </si>
  <si>
    <t>Classique</t>
  </si>
  <si>
    <t>Premium 1</t>
  </si>
  <si>
    <t>Premium 2</t>
  </si>
  <si>
    <t>Premium 3</t>
  </si>
  <si>
    <t>Premium 4</t>
  </si>
  <si>
    <t>Premium 5</t>
  </si>
  <si>
    <t>Premium 6</t>
  </si>
  <si>
    <t>Premium</t>
  </si>
  <si>
    <t>Suite 1</t>
  </si>
  <si>
    <t>Suite 2</t>
  </si>
  <si>
    <t>Suite 3</t>
  </si>
  <si>
    <t>Suite 4</t>
  </si>
  <si>
    <t>Suite 5</t>
  </si>
  <si>
    <t>Suite 6</t>
  </si>
  <si>
    <t>Suite</t>
  </si>
  <si>
    <t>AVRIL</t>
  </si>
  <si>
    <t>MAIS</t>
  </si>
  <si>
    <t>JUIN</t>
  </si>
  <si>
    <t>JUILLET</t>
  </si>
  <si>
    <t>AOUT</t>
  </si>
  <si>
    <t>SEPTEMBRE</t>
  </si>
  <si>
    <t>OCTOBRE</t>
  </si>
  <si>
    <t>NOVEMBRE</t>
  </si>
  <si>
    <t>DECEMBRE</t>
  </si>
  <si>
    <t>TOTAL</t>
  </si>
  <si>
    <t>Demi-Pension</t>
  </si>
  <si>
    <t>Pension Complète</t>
  </si>
  <si>
    <t>formule de saisie</t>
  </si>
  <si>
    <t>donée&gt;message de saisie</t>
  </si>
  <si>
    <t>Calendrier</t>
  </si>
  <si>
    <t>9h15</t>
  </si>
  <si>
    <t>10h30</t>
  </si>
  <si>
    <t>13h30</t>
  </si>
  <si>
    <t>14h45</t>
  </si>
  <si>
    <t>16h00</t>
  </si>
  <si>
    <t>17h15</t>
  </si>
  <si>
    <t>18h30</t>
  </si>
  <si>
    <t>MAI</t>
  </si>
  <si>
    <t xml:space="preserve">↑haut </t>
  </si>
  <si>
    <t>8h00</t>
  </si>
  <si>
    <t>lun</t>
  </si>
  <si>
    <t>jeu</t>
  </si>
  <si>
    <t>ven</t>
  </si>
  <si>
    <t>sam</t>
  </si>
  <si>
    <t>dim</t>
  </si>
  <si>
    <t>mar</t>
  </si>
  <si>
    <t>mer</t>
  </si>
  <si>
    <t>HFOZH</t>
  </si>
  <si>
    <t>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</si>
</sst>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1"/>
      <color theme="3"/>
      <name val="Calibri"/>
      <family val="2"/>
      <scheme val="minor"/>
    </font>
    <font>
      <b/>
      <sz val="90"/>
      <color theme="4"/>
      <name val="Calibri Light"/>
      <family val="2"/>
      <scheme val="major"/>
    </font>
    <font>
      <b/>
      <sz val="12"/>
      <color theme="3"/>
      <name val="Calibri"/>
      <family val="2"/>
      <scheme val="minor"/>
    </font>
    <font>
      <sz val="1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34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sz val="14"/>
      <color theme="0"/>
      <name val="Calibri Light"/>
      <family val="2"/>
      <scheme val="major"/>
    </font>
    <font>
      <sz val="22"/>
      <color theme="4" tint="-0.24994659260841701"/>
      <name val="Calibri Light"/>
      <family val="2"/>
      <scheme val="major"/>
    </font>
    <font>
      <sz val="11"/>
      <color theme="1" tint="0.14996795556505021"/>
      <name val="Calibri"/>
      <family val="1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name val="Calibri"/>
      <family val="2"/>
      <scheme val="minor"/>
    </font>
    <font>
      <sz val="12"/>
      <color theme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theme="4" tint="0.79992065187536243"/>
      </patternFill>
    </fill>
    <fill>
      <patternFill patternType="solid">
        <fgColor rgb="FFFF575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4" tint="0.7999206518753624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78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dashed">
        <color theme="1"/>
      </bottom>
      <diagonal/>
    </border>
    <border>
      <left style="thin">
        <color theme="1"/>
      </left>
      <right style="thin">
        <color theme="1"/>
      </right>
      <top style="dashed">
        <color theme="1"/>
      </top>
      <bottom style="dashed">
        <color theme="1"/>
      </bottom>
      <diagonal/>
    </border>
    <border>
      <left style="thin">
        <color theme="1"/>
      </left>
      <right style="medium">
        <color theme="1"/>
      </right>
      <top style="dashed">
        <color theme="1"/>
      </top>
      <bottom style="dashed">
        <color theme="1"/>
      </bottom>
      <diagonal/>
    </border>
    <border>
      <left style="thin">
        <color theme="1"/>
      </left>
      <right style="thin">
        <color theme="1"/>
      </right>
      <top style="dashed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dashed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dashed">
        <color theme="1"/>
      </bottom>
      <diagonal/>
    </border>
    <border>
      <left style="thin">
        <color theme="1"/>
      </left>
      <right style="medium">
        <color theme="1"/>
      </right>
      <top/>
      <bottom style="dashed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 style="thin">
        <color theme="1"/>
      </bottom>
      <diagonal/>
    </border>
    <border>
      <left/>
      <right style="thin">
        <color theme="1"/>
      </right>
      <top/>
      <bottom style="dashed">
        <color theme="1"/>
      </bottom>
      <diagonal/>
    </border>
    <border>
      <left/>
      <right style="thin">
        <color theme="1"/>
      </right>
      <top style="dashed">
        <color theme="1"/>
      </top>
      <bottom style="dashed">
        <color theme="1"/>
      </bottom>
      <diagonal/>
    </border>
    <border>
      <left/>
      <right style="thin">
        <color theme="1"/>
      </right>
      <top style="dashed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thin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theme="1"/>
      </right>
      <top/>
      <bottom style="medium">
        <color theme="1"/>
      </bottom>
      <diagonal/>
    </border>
    <border>
      <left style="medium">
        <color theme="1"/>
      </left>
      <right style="thin">
        <color theme="1"/>
      </right>
      <top/>
      <bottom/>
      <diagonal/>
    </border>
    <border>
      <left/>
      <right style="thin">
        <color theme="1"/>
      </right>
      <top style="dashed">
        <color theme="1"/>
      </top>
      <bottom/>
      <diagonal/>
    </border>
    <border>
      <left style="thin">
        <color theme="1"/>
      </left>
      <right style="thin">
        <color theme="1"/>
      </right>
      <top style="dashed">
        <color theme="1"/>
      </top>
      <bottom/>
      <diagonal/>
    </border>
    <border>
      <left style="thin">
        <color theme="1"/>
      </left>
      <right style="medium">
        <color theme="1"/>
      </right>
      <top style="dashed">
        <color theme="1"/>
      </top>
      <bottom/>
      <diagonal/>
    </border>
    <border>
      <left style="medium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/>
      <right style="thin">
        <color theme="1"/>
      </right>
      <top style="dashed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dashed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dashed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medium">
        <color theme="1"/>
      </right>
      <top/>
      <bottom/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  <border>
      <left style="thin">
        <color theme="1"/>
      </left>
      <right/>
      <top style="medium">
        <color theme="1"/>
      </top>
      <bottom style="thin">
        <color theme="1"/>
      </bottom>
      <diagonal/>
    </border>
    <border>
      <left/>
      <right/>
      <top style="medium">
        <color theme="1"/>
      </top>
      <bottom style="thin">
        <color theme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 style="thin">
        <color theme="3"/>
      </right>
      <top style="thin">
        <color indexed="64"/>
      </top>
      <bottom/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theme="9" tint="-0.24994659260841701"/>
      </top>
      <bottom/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medium">
        <color theme="1"/>
      </left>
      <right/>
      <top style="medium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dashed">
        <color theme="1"/>
      </bottom>
      <diagonal/>
    </border>
    <border>
      <left/>
      <right style="thin">
        <color theme="1"/>
      </right>
      <top style="medium">
        <color theme="1"/>
      </top>
      <bottom style="dashed">
        <color theme="1"/>
      </bottom>
      <diagonal/>
    </border>
    <border>
      <left style="medium">
        <color theme="1"/>
      </left>
      <right style="thin">
        <color theme="1"/>
      </right>
      <top/>
      <bottom style="dashed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medium">
        <color auto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23">
    <xf numFmtId="0" fontId="0" fillId="0" borderId="0"/>
    <xf numFmtId="0" fontId="3" fillId="0" borderId="1" applyNumberFormat="0" applyFill="0" applyAlignment="0" applyProtection="0"/>
    <xf numFmtId="0" fontId="4" fillId="0" borderId="0">
      <alignment horizontal="center"/>
    </xf>
    <xf numFmtId="0" fontId="1" fillId="0" borderId="0" applyNumberFormat="0" applyFill="0" applyBorder="0">
      <alignment horizontal="left" vertical="center" wrapText="1" indent="2"/>
    </xf>
    <xf numFmtId="0" fontId="8" fillId="0" borderId="0">
      <alignment horizontal="center" vertical="center"/>
    </xf>
    <xf numFmtId="0" fontId="9" fillId="10" borderId="0">
      <alignment vertical="center"/>
    </xf>
    <xf numFmtId="164" fontId="1" fillId="0" borderId="0" applyFill="0">
      <alignment horizontal="left" indent="1"/>
    </xf>
    <xf numFmtId="0" fontId="7" fillId="11" borderId="46">
      <alignment horizontal="left" indent="1"/>
    </xf>
    <xf numFmtId="0" fontId="11" fillId="12" borderId="47">
      <alignment horizontal="left" vertical="center"/>
    </xf>
    <xf numFmtId="0" fontId="11" fillId="12" borderId="48">
      <alignment horizontal="left" vertical="center"/>
    </xf>
    <xf numFmtId="0" fontId="12" fillId="0" borderId="0">
      <alignment horizontal="center" vertical="top"/>
    </xf>
    <xf numFmtId="0" fontId="11" fillId="12" borderId="49">
      <alignment horizontal="left" vertical="center"/>
    </xf>
    <xf numFmtId="0" fontId="3" fillId="0" borderId="0">
      <alignment horizontal="left" indent="3"/>
    </xf>
    <xf numFmtId="0" fontId="11" fillId="12" borderId="50" applyNumberFormat="0" applyFont="0">
      <alignment horizontal="left" vertical="center"/>
    </xf>
    <xf numFmtId="0" fontId="3" fillId="13" borderId="51">
      <alignment horizontal="left" vertical="center" indent="1"/>
    </xf>
    <xf numFmtId="0" fontId="10" fillId="12" borderId="52" applyNumberFormat="0" applyFont="0" applyAlignment="0">
      <alignment horizontal="left" indent="1"/>
      <protection locked="0"/>
    </xf>
    <xf numFmtId="0" fontId="13" fillId="0" borderId="0">
      <alignment horizontal="left" vertical="center" wrapText="1" indent="5"/>
    </xf>
    <xf numFmtId="0" fontId="14" fillId="10" borderId="0">
      <alignment horizontal="center" vertical="center"/>
    </xf>
    <xf numFmtId="0" fontId="15" fillId="14" borderId="54">
      <alignment horizontal="left" vertical="center" indent="1"/>
    </xf>
    <xf numFmtId="0" fontId="17" fillId="0" borderId="56">
      <alignment horizontal="center" vertical="center"/>
    </xf>
    <xf numFmtId="0" fontId="16" fillId="9" borderId="55">
      <alignment vertical="center"/>
    </xf>
    <xf numFmtId="0" fontId="17" fillId="9" borderId="56">
      <alignment horizontal="center" vertical="center"/>
    </xf>
    <xf numFmtId="0" fontId="19" fillId="0" borderId="0" applyNumberForma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2" borderId="0" xfId="0" applyFill="1"/>
    <xf numFmtId="0" fontId="2" fillId="0" borderId="0" xfId="0" applyFont="1"/>
    <xf numFmtId="0" fontId="0" fillId="0" borderId="0" xfId="0" applyFill="1"/>
    <xf numFmtId="0" fontId="0" fillId="0" borderId="0" xfId="0" applyAlignment="1" applyProtection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" fontId="0" fillId="0" borderId="9" xfId="1" applyNumberFormat="1" applyFont="1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6" borderId="15" xfId="0" applyFill="1" applyBorder="1"/>
    <xf numFmtId="0" fontId="0" fillId="2" borderId="12" xfId="0" applyFill="1" applyBorder="1" applyAlignment="1">
      <alignment horizontal="center" vertical="center"/>
    </xf>
    <xf numFmtId="1" fontId="0" fillId="3" borderId="28" xfId="1" applyNumberFormat="1" applyFont="1" applyFill="1" applyBorder="1" applyAlignment="1">
      <alignment horizontal="center" vertical="center"/>
    </xf>
    <xf numFmtId="1" fontId="0" fillId="0" borderId="31" xfId="1" applyNumberFormat="1" applyFont="1" applyFill="1" applyBorder="1" applyAlignment="1">
      <alignment horizontal="center" vertical="center"/>
    </xf>
    <xf numFmtId="1" fontId="0" fillId="3" borderId="33" xfId="1" applyNumberFormat="1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1" fontId="0" fillId="8" borderId="4" xfId="1" applyNumberFormat="1" applyFont="1" applyFill="1" applyBorder="1" applyAlignment="1">
      <alignment horizontal="center" vertical="center"/>
    </xf>
    <xf numFmtId="1" fontId="0" fillId="8" borderId="28" xfId="1" applyNumberFormat="1" applyFont="1" applyFill="1" applyBorder="1" applyAlignment="1">
      <alignment horizontal="center" vertical="center"/>
    </xf>
    <xf numFmtId="0" fontId="0" fillId="9" borderId="4" xfId="0" applyFont="1" applyFill="1" applyBorder="1" applyAlignment="1">
      <alignment horizontal="center" vertical="center"/>
    </xf>
    <xf numFmtId="1" fontId="0" fillId="9" borderId="33" xfId="1" applyNumberFormat="1" applyFont="1" applyFill="1" applyBorder="1" applyAlignment="1">
      <alignment horizontal="center" vertical="center"/>
    </xf>
    <xf numFmtId="1" fontId="0" fillId="9" borderId="4" xfId="1" applyNumberFormat="1" applyFont="1" applyFill="1" applyBorder="1" applyAlignment="1">
      <alignment horizontal="center" vertical="center"/>
    </xf>
    <xf numFmtId="0" fontId="0" fillId="8" borderId="17" xfId="0" applyFont="1" applyFill="1" applyBorder="1" applyAlignment="1">
      <alignment horizontal="center" vertical="center"/>
    </xf>
    <xf numFmtId="0" fontId="0" fillId="9" borderId="18" xfId="0" applyFont="1" applyFill="1" applyBorder="1" applyAlignment="1">
      <alignment horizontal="center" vertical="center"/>
    </xf>
    <xf numFmtId="0" fontId="0" fillId="8" borderId="18" xfId="0" applyFont="1" applyFill="1" applyBorder="1" applyAlignment="1">
      <alignment horizontal="center" vertical="center"/>
    </xf>
    <xf numFmtId="1" fontId="0" fillId="9" borderId="32" xfId="1" applyNumberFormat="1" applyFont="1" applyFill="1" applyBorder="1" applyAlignment="1">
      <alignment horizontal="center" vertical="center"/>
    </xf>
    <xf numFmtId="1" fontId="0" fillId="9" borderId="18" xfId="1" applyNumberFormat="1" applyFont="1" applyFill="1" applyBorder="1" applyAlignment="1">
      <alignment horizontal="center" vertical="center"/>
    </xf>
    <xf numFmtId="1" fontId="0" fillId="8" borderId="18" xfId="1" applyNumberFormat="1" applyFont="1" applyFill="1" applyBorder="1" applyAlignment="1">
      <alignment horizontal="center" vertical="center"/>
    </xf>
    <xf numFmtId="1" fontId="0" fillId="3" borderId="27" xfId="1" applyNumberFormat="1" applyFont="1" applyFill="1" applyBorder="1" applyAlignment="1">
      <alignment horizontal="center" vertical="center"/>
    </xf>
    <xf numFmtId="1" fontId="0" fillId="8" borderId="27" xfId="1" applyNumberFormat="1" applyFont="1" applyFill="1" applyBorder="1" applyAlignment="1">
      <alignment horizontal="center" vertical="center"/>
    </xf>
    <xf numFmtId="1" fontId="0" fillId="3" borderId="32" xfId="1" applyNumberFormat="1" applyFont="1" applyFill="1" applyBorder="1" applyAlignment="1">
      <alignment horizontal="center" vertical="center"/>
    </xf>
    <xf numFmtId="0" fontId="0" fillId="7" borderId="3" xfId="3" applyFont="1" applyFill="1" applyBorder="1" applyAlignment="1">
      <alignment horizontal="center" vertical="center" wrapText="1"/>
    </xf>
    <xf numFmtId="0" fontId="0" fillId="9" borderId="9" xfId="3" applyFont="1" applyFill="1" applyBorder="1" applyAlignment="1">
      <alignment horizontal="center" vertical="center" wrapText="1"/>
    </xf>
    <xf numFmtId="0" fontId="0" fillId="7" borderId="9" xfId="3" applyFont="1" applyFill="1" applyBorder="1" applyAlignment="1">
      <alignment horizontal="center" vertical="center" wrapText="1"/>
    </xf>
    <xf numFmtId="0" fontId="0" fillId="9" borderId="31" xfId="3" applyFont="1" applyFill="1" applyBorder="1" applyAlignment="1">
      <alignment horizontal="center" vertical="center" wrapText="1"/>
    </xf>
    <xf numFmtId="0" fontId="0" fillId="9" borderId="5" xfId="3" applyFont="1" applyFill="1" applyBorder="1" applyAlignment="1">
      <alignment horizontal="center" vertical="center" wrapText="1"/>
    </xf>
    <xf numFmtId="0" fontId="0" fillId="7" borderId="5" xfId="3" applyFont="1" applyFill="1" applyBorder="1" applyAlignment="1">
      <alignment horizontal="center" vertical="center" wrapText="1"/>
    </xf>
    <xf numFmtId="0" fontId="0" fillId="9" borderId="34" xfId="3" applyFont="1" applyFill="1" applyBorder="1" applyAlignment="1">
      <alignment horizontal="center" vertical="center" wrapText="1"/>
    </xf>
    <xf numFmtId="0" fontId="0" fillId="9" borderId="29" xfId="3" applyFont="1" applyFill="1" applyBorder="1" applyAlignment="1">
      <alignment horizontal="center" vertical="center" wrapText="1"/>
    </xf>
    <xf numFmtId="0" fontId="0" fillId="7" borderId="29" xfId="3" applyFont="1" applyFill="1" applyBorder="1" applyAlignment="1">
      <alignment horizontal="center" vertical="center" wrapText="1"/>
    </xf>
    <xf numFmtId="0" fontId="0" fillId="9" borderId="7" xfId="3" applyFont="1" applyFill="1" applyBorder="1" applyAlignment="1">
      <alignment horizontal="center" vertical="center" wrapText="1"/>
    </xf>
    <xf numFmtId="1" fontId="0" fillId="9" borderId="19" xfId="1" applyNumberFormat="1" applyFont="1" applyFill="1" applyBorder="1" applyAlignment="1">
      <alignment horizontal="center" vertical="center"/>
    </xf>
    <xf numFmtId="1" fontId="0" fillId="9" borderId="6" xfId="1" applyNumberFormat="1" applyFont="1" applyFill="1" applyBorder="1" applyAlignment="1">
      <alignment horizontal="center" vertical="center"/>
    </xf>
    <xf numFmtId="1" fontId="0" fillId="0" borderId="39" xfId="1" applyNumberFormat="1" applyFont="1" applyFill="1" applyBorder="1" applyAlignment="1">
      <alignment horizontal="center" vertical="center"/>
    </xf>
    <xf numFmtId="1" fontId="0" fillId="8" borderId="17" xfId="1" applyNumberFormat="1" applyFont="1" applyFill="1" applyBorder="1" applyAlignment="1">
      <alignment horizontal="center" vertical="center"/>
    </xf>
    <xf numFmtId="1" fontId="0" fillId="8" borderId="8" xfId="1" applyNumberFormat="1" applyFont="1" applyFill="1" applyBorder="1" applyAlignment="1">
      <alignment horizontal="center" vertical="center"/>
    </xf>
    <xf numFmtId="0" fontId="0" fillId="7" borderId="36" xfId="3" applyFont="1" applyFill="1" applyBorder="1" applyAlignment="1">
      <alignment horizontal="center" vertical="center" wrapText="1"/>
    </xf>
    <xf numFmtId="1" fontId="0" fillId="8" borderId="23" xfId="1" applyNumberFormat="1" applyFont="1" applyFill="1" applyBorder="1" applyAlignment="1">
      <alignment horizontal="center" vertical="center"/>
    </xf>
    <xf numFmtId="1" fontId="0" fillId="8" borderId="35" xfId="1" applyNumberFormat="1" applyFont="1" applyFill="1" applyBorder="1" applyAlignment="1">
      <alignment horizontal="center" vertical="center"/>
    </xf>
    <xf numFmtId="1" fontId="0" fillId="0" borderId="0" xfId="1" applyNumberFormat="1" applyFont="1" applyFill="1" applyBorder="1" applyAlignment="1">
      <alignment horizontal="center" vertical="center"/>
    </xf>
    <xf numFmtId="0" fontId="0" fillId="0" borderId="0" xfId="3" applyFont="1" applyFill="1" applyBorder="1" applyAlignment="1">
      <alignment horizontal="left" vertical="center" wrapText="1" indent="2"/>
    </xf>
    <xf numFmtId="0" fontId="3" fillId="0" borderId="0" xfId="3" applyFont="1" applyFill="1" applyBorder="1" applyAlignment="1">
      <alignment horizontal="center" vertical="center" textRotation="90" wrapText="1"/>
    </xf>
    <xf numFmtId="0" fontId="0" fillId="0" borderId="0" xfId="3" applyFont="1" applyFill="1" applyBorder="1" applyAlignment="1">
      <alignment horizontal="center" vertical="center" wrapText="1"/>
    </xf>
    <xf numFmtId="1" fontId="0" fillId="9" borderId="28" xfId="1" applyNumberFormat="1" applyFont="1" applyFill="1" applyBorder="1" applyAlignment="1">
      <alignment horizontal="center" vertical="center"/>
    </xf>
    <xf numFmtId="1" fontId="0" fillId="0" borderId="36" xfId="1" applyNumberFormat="1" applyFont="1" applyFill="1" applyBorder="1" applyAlignment="1">
      <alignment horizontal="center" vertical="center"/>
    </xf>
    <xf numFmtId="1" fontId="0" fillId="0" borderId="45" xfId="1" applyNumberFormat="1" applyFont="1" applyFill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vertical="center"/>
    </xf>
    <xf numFmtId="0" fontId="0" fillId="8" borderId="64" xfId="0" applyFont="1" applyFill="1" applyBorder="1" applyAlignment="1">
      <alignment horizontal="center" vertical="center"/>
    </xf>
    <xf numFmtId="0" fontId="0" fillId="8" borderId="65" xfId="0" applyFont="1" applyFill="1" applyBorder="1" applyAlignment="1">
      <alignment horizontal="center" vertical="center"/>
    </xf>
    <xf numFmtId="0" fontId="0" fillId="8" borderId="66" xfId="0" applyFont="1" applyFill="1" applyBorder="1" applyAlignment="1">
      <alignment horizontal="center" vertical="center"/>
    </xf>
    <xf numFmtId="0" fontId="0" fillId="3" borderId="66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30" xfId="0" applyFont="1" applyFill="1" applyBorder="1" applyAlignment="1">
      <alignment horizontal="center" vertical="center"/>
    </xf>
    <xf numFmtId="0" fontId="0" fillId="3" borderId="25" xfId="0" applyFont="1" applyFill="1" applyBorder="1" applyAlignment="1">
      <alignment horizontal="center" vertical="center"/>
    </xf>
    <xf numFmtId="1" fontId="0" fillId="0" borderId="70" xfId="1" applyNumberFormat="1" applyFont="1" applyFill="1" applyBorder="1" applyAlignment="1">
      <alignment horizontal="center" vertical="center"/>
    </xf>
    <xf numFmtId="1" fontId="0" fillId="0" borderId="71" xfId="1" applyNumberFormat="1" applyFont="1" applyFill="1" applyBorder="1" applyAlignment="1">
      <alignment horizontal="center" vertical="center"/>
    </xf>
    <xf numFmtId="1" fontId="0" fillId="0" borderId="72" xfId="1" applyNumberFormat="1" applyFont="1" applyFill="1" applyBorder="1" applyAlignment="1">
      <alignment horizontal="center" vertical="center"/>
    </xf>
    <xf numFmtId="0" fontId="0" fillId="2" borderId="73" xfId="0" applyFill="1" applyBorder="1" applyAlignment="1">
      <alignment horizontal="center" vertical="center"/>
    </xf>
    <xf numFmtId="0" fontId="0" fillId="5" borderId="74" xfId="0" applyFill="1" applyBorder="1" applyAlignment="1">
      <alignment horizontal="center" vertical="center"/>
    </xf>
    <xf numFmtId="0" fontId="22" fillId="0" borderId="0" xfId="3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vertical="center"/>
    </xf>
    <xf numFmtId="0" fontId="5" fillId="6" borderId="41" xfId="0" applyFont="1" applyFill="1" applyBorder="1" applyAlignment="1">
      <alignment horizontal="center"/>
    </xf>
    <xf numFmtId="0" fontId="5" fillId="6" borderId="42" xfId="0" applyFont="1" applyFill="1" applyBorder="1" applyAlignment="1">
      <alignment horizontal="center"/>
    </xf>
    <xf numFmtId="0" fontId="5" fillId="6" borderId="16" xfId="0" applyFont="1" applyFill="1" applyBorder="1" applyAlignment="1">
      <alignment horizontal="center"/>
    </xf>
    <xf numFmtId="0" fontId="21" fillId="0" borderId="0" xfId="22" applyFont="1" applyFill="1" applyBorder="1" applyAlignment="1">
      <alignment horizontal="center" vertical="center" wrapText="1"/>
    </xf>
    <xf numFmtId="0" fontId="3" fillId="2" borderId="37" xfId="3" applyFont="1" applyFill="1" applyBorder="1" applyAlignment="1">
      <alignment horizontal="center" vertical="center" textRotation="90" wrapText="1"/>
    </xf>
    <xf numFmtId="0" fontId="3" fillId="2" borderId="26" xfId="3" applyFont="1" applyFill="1" applyBorder="1" applyAlignment="1">
      <alignment horizontal="center" vertical="center" textRotation="90" wrapText="1"/>
    </xf>
    <xf numFmtId="0" fontId="3" fillId="2" borderId="30" xfId="3" applyFont="1" applyFill="1" applyBorder="1" applyAlignment="1">
      <alignment horizontal="center" vertical="center" textRotation="90" wrapText="1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18" fillId="0" borderId="0" xfId="22" applyFont="1" applyAlignment="1">
      <alignment horizontal="center" vertical="center"/>
    </xf>
    <xf numFmtId="1" fontId="3" fillId="0" borderId="43" xfId="1" applyNumberFormat="1" applyFont="1" applyFill="1" applyBorder="1" applyAlignment="1">
      <alignment horizontal="center" vertical="center"/>
    </xf>
    <xf numFmtId="1" fontId="3" fillId="0" borderId="44" xfId="1" applyNumberFormat="1" applyFont="1" applyFill="1" applyBorder="1" applyAlignment="1">
      <alignment horizontal="center" vertical="center"/>
    </xf>
    <xf numFmtId="0" fontId="3" fillId="2" borderId="38" xfId="3" applyFont="1" applyFill="1" applyBorder="1" applyAlignment="1">
      <alignment horizontal="center" vertical="center" textRotation="90" wrapText="1"/>
    </xf>
    <xf numFmtId="0" fontId="5" fillId="6" borderId="10" xfId="0" applyFont="1" applyFill="1" applyBorder="1" applyAlignment="1">
      <alignment horizontal="center"/>
    </xf>
    <xf numFmtId="0" fontId="5" fillId="6" borderId="40" xfId="0" applyFont="1" applyFill="1" applyBorder="1" applyAlignment="1">
      <alignment horizontal="center" vertical="center"/>
    </xf>
    <xf numFmtId="0" fontId="5" fillId="6" borderId="31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0" fillId="5" borderId="61" xfId="3" applyFont="1" applyFill="1" applyBorder="1" applyAlignment="1">
      <alignment horizontal="center" vertical="center" wrapText="1"/>
    </xf>
    <xf numFmtId="0" fontId="0" fillId="5" borderId="62" xfId="3" applyFont="1" applyFill="1" applyBorder="1" applyAlignment="1">
      <alignment horizontal="center" vertical="center" wrapText="1"/>
    </xf>
    <xf numFmtId="0" fontId="22" fillId="0" borderId="76" xfId="3" applyFont="1" applyFill="1" applyBorder="1" applyAlignment="1">
      <alignment horizontal="center" vertical="center" wrapText="1"/>
    </xf>
    <xf numFmtId="0" fontId="22" fillId="0" borderId="77" xfId="3" applyFont="1" applyFill="1" applyBorder="1" applyAlignment="1">
      <alignment horizontal="center" vertical="center" wrapText="1"/>
    </xf>
    <xf numFmtId="0" fontId="20" fillId="0" borderId="0" xfId="22" applyFont="1" applyAlignment="1">
      <alignment horizontal="center" vertical="center"/>
    </xf>
    <xf numFmtId="0" fontId="5" fillId="6" borderId="67" xfId="0" applyFont="1" applyFill="1" applyBorder="1" applyAlignment="1">
      <alignment horizontal="center" vertical="center"/>
    </xf>
    <xf numFmtId="0" fontId="5" fillId="6" borderId="68" xfId="0" applyFont="1" applyFill="1" applyBorder="1" applyAlignment="1">
      <alignment horizontal="center" vertical="center"/>
    </xf>
    <xf numFmtId="0" fontId="5" fillId="6" borderId="75" xfId="0" applyFont="1" applyFill="1" applyBorder="1" applyAlignment="1">
      <alignment horizontal="center" vertical="center"/>
    </xf>
    <xf numFmtId="0" fontId="5" fillId="6" borderId="69" xfId="0" applyFont="1" applyFill="1" applyBorder="1" applyAlignment="1">
      <alignment horizontal="center" vertical="center"/>
    </xf>
    <xf numFmtId="0" fontId="0" fillId="5" borderId="57" xfId="3" applyFont="1" applyFill="1" applyBorder="1" applyAlignment="1">
      <alignment horizontal="center" vertical="center" wrapText="1"/>
    </xf>
    <xf numFmtId="0" fontId="0" fillId="5" borderId="58" xfId="3" applyFont="1" applyFill="1" applyBorder="1" applyAlignment="1">
      <alignment horizontal="center" vertical="center" wrapText="1"/>
    </xf>
    <xf numFmtId="0" fontId="0" fillId="5" borderId="59" xfId="3" applyFont="1" applyFill="1" applyBorder="1" applyAlignment="1">
      <alignment horizontal="center" vertical="center" wrapText="1"/>
    </xf>
    <xf numFmtId="0" fontId="0" fillId="5" borderId="60" xfId="3" applyFont="1" applyFill="1" applyBorder="1" applyAlignment="1">
      <alignment horizontal="center" vertical="center" wrapText="1"/>
    </xf>
    <xf numFmtId="0" fontId="22" fillId="0" borderId="63" xfId="3" applyFont="1" applyFill="1" applyBorder="1" applyAlignment="1">
      <alignment horizontal="center" vertical="center" wrapText="1"/>
    </xf>
    <xf numFmtId="0" fontId="22" fillId="0" borderId="71" xfId="3" applyFont="1" applyFill="1" applyBorder="1" applyAlignment="1">
      <alignment horizontal="center" vertical="center" wrapText="1"/>
    </xf>
    <xf numFmtId="0" fontId="0" fillId="0" borderId="53" xfId="0" applyBorder="1" applyAlignment="1">
      <alignment horizontal="center"/>
    </xf>
  </cellXfs>
  <cellStyles count="23">
    <cellStyle name="Angle_Droit_Semaine" xfId="8"/>
    <cellStyle name="Bordure" xfId="13"/>
    <cellStyle name="Bottom_Border" xfId="15"/>
    <cellStyle name="Date" xfId="4"/>
    <cellStyle name="Détails_Semaine" xfId="9"/>
    <cellStyle name="Employé" xfId="3"/>
    <cellStyle name="En-tête_Événement" xfId="16"/>
    <cellStyle name="Étiquette" xfId="2"/>
    <cellStyle name="Heure" xfId="6"/>
    <cellStyle name="Jour" xfId="10"/>
    <cellStyle name="Jour de la semaine" xfId="7"/>
    <cellStyle name="Jour de la semaine de l’affichage hebdomadaire" xfId="18"/>
    <cellStyle name="Jour ombré" xfId="20"/>
    <cellStyle name="Jour_Événement" xfId="17"/>
    <cellStyle name="Lien hypertexte" xfId="22" builtinId="8"/>
    <cellStyle name="Mise en évidence" xfId="14"/>
    <cellStyle name="Normal" xfId="0" builtinId="0"/>
    <cellStyle name="Note du jour" xfId="19"/>
    <cellStyle name="Note du jour ombrée" xfId="21"/>
    <cellStyle name="Remplissage" xfId="5"/>
    <cellStyle name="Retrait" xfId="12"/>
    <cellStyle name="Total" xfId="1" builtinId="25"/>
    <cellStyle name="Week_Bottom_Corner" xfId="11"/>
  </cellStyles>
  <dxfs count="51">
    <dxf>
      <font>
        <b/>
        <i val="0"/>
      </font>
      <fill>
        <patternFill>
          <bgColor theme="2" tint="0.39994506668294322"/>
        </patternFill>
      </fill>
    </dxf>
    <dxf>
      <font>
        <b/>
        <i val="0"/>
      </font>
      <fill>
        <patternFill>
          <bgColor theme="2" tint="0.39994506668294322"/>
        </patternFill>
      </fill>
    </dxf>
    <dxf>
      <font>
        <b/>
        <i val="0"/>
      </font>
      <fill>
        <patternFill>
          <bgColor theme="2" tint="0.39994506668294322"/>
        </patternFill>
      </fill>
    </dxf>
    <dxf>
      <font>
        <b/>
        <i val="0"/>
      </font>
      <fill>
        <patternFill>
          <bgColor theme="2" tint="0.39994506668294322"/>
        </patternFill>
      </fill>
    </dxf>
    <dxf>
      <font>
        <b/>
        <i val="0"/>
      </font>
      <fill>
        <patternFill>
          <bgColor theme="2" tint="0.39994506668294322"/>
        </patternFill>
      </fill>
    </dxf>
    <dxf>
      <font>
        <b/>
        <i val="0"/>
      </font>
      <fill>
        <patternFill>
          <bgColor theme="2" tint="0.39994506668294322"/>
        </patternFill>
      </fill>
    </dxf>
    <dxf>
      <font>
        <b/>
        <i val="0"/>
      </font>
      <fill>
        <patternFill>
          <bgColor theme="2" tint="0.39994506668294322"/>
        </patternFill>
      </fill>
    </dxf>
    <dxf>
      <font>
        <b/>
        <i val="0"/>
      </font>
      <fill>
        <patternFill>
          <bgColor theme="2" tint="0.39994506668294322"/>
        </patternFill>
      </fill>
    </dxf>
    <dxf>
      <font>
        <b/>
        <i val="0"/>
      </font>
      <fill>
        <patternFill>
          <bgColor theme="2" tint="0.39994506668294322"/>
        </patternFill>
      </fill>
    </dxf>
    <dxf>
      <font>
        <b/>
        <i val="0"/>
      </font>
      <fill>
        <patternFill>
          <bgColor theme="2" tint="0.39994506668294322"/>
        </patternFill>
      </fill>
    </dxf>
    <dxf>
      <font>
        <b/>
        <i val="0"/>
      </font>
      <fill>
        <patternFill>
          <bgColor theme="2" tint="0.39994506668294322"/>
        </patternFill>
      </fill>
    </dxf>
    <dxf>
      <font>
        <b/>
        <i val="0"/>
      </font>
      <fill>
        <patternFill>
          <bgColor theme="2" tint="0.39994506668294322"/>
        </patternFill>
      </fill>
    </dxf>
    <dxf>
      <fill>
        <patternFill>
          <bgColor rgb="FFFF5757"/>
        </patternFill>
      </fill>
    </dxf>
    <dxf>
      <fill>
        <patternFill>
          <bgColor rgb="FFFF5757"/>
        </patternFill>
      </fill>
    </dxf>
    <dxf>
      <fill>
        <patternFill>
          <bgColor rgb="FFFF5757"/>
        </patternFill>
      </fill>
    </dxf>
    <dxf>
      <fill>
        <patternFill>
          <bgColor rgb="FFFF5757"/>
        </patternFill>
      </fill>
    </dxf>
    <dxf>
      <fill>
        <patternFill>
          <bgColor rgb="FFFF5757"/>
        </patternFill>
      </fill>
    </dxf>
    <dxf>
      <fill>
        <patternFill>
          <bgColor rgb="FFFF5757"/>
        </patternFill>
      </fill>
    </dxf>
    <dxf>
      <fill>
        <patternFill>
          <bgColor rgb="FFFF5757"/>
        </patternFill>
      </fill>
    </dxf>
    <dxf>
      <fill>
        <patternFill>
          <bgColor rgb="FFFF5757"/>
        </patternFill>
      </fill>
    </dxf>
    <dxf>
      <fill>
        <patternFill>
          <bgColor rgb="FFFF5757"/>
        </patternFill>
      </fill>
    </dxf>
    <dxf>
      <fill>
        <patternFill>
          <bgColor rgb="FFFF5757"/>
        </patternFill>
      </fill>
    </dxf>
    <dxf>
      <fill>
        <patternFill>
          <bgColor rgb="FFFF5757"/>
        </patternFill>
      </fill>
    </dxf>
    <dxf>
      <fill>
        <patternFill>
          <bgColor rgb="FFFF5757"/>
        </patternFill>
      </fill>
    </dxf>
    <dxf>
      <fill>
        <patternFill>
          <bgColor rgb="FFFF5757"/>
        </patternFill>
      </fill>
    </dxf>
    <dxf>
      <fill>
        <patternFill>
          <bgColor rgb="FFFF5757"/>
        </patternFill>
      </fill>
    </dxf>
    <dxf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3743705557422"/>
        </top>
        <bottom style="medium">
          <color theme="2" tint="-0.499984740745262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6" tint="0.79998168889431442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1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>
          <bgColor theme="4" tint="0.79998168889431442"/>
        </patternFill>
      </fill>
    </dxf>
    <dxf>
      <font>
        <b/>
        <i val="0"/>
      </font>
      <fill>
        <patternFill patternType="solid">
          <fgColor auto="1"/>
          <bgColor theme="0"/>
        </patternFill>
      </fill>
      <border>
        <horizontal/>
      </border>
    </dxf>
    <dxf>
      <font>
        <b/>
        <i val="0"/>
        <color theme="0"/>
      </font>
      <fill>
        <patternFill patternType="solid">
          <fgColor theme="4"/>
          <bgColor theme="3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3"/>
      </font>
      <fill>
        <patternFill>
          <bgColor theme="0"/>
        </patternFill>
      </fill>
      <border diagonalUp="0" diagonalDown="0">
        <left style="thin">
          <color theme="3"/>
        </left>
        <right style="thin">
          <color theme="3"/>
        </right>
        <top/>
        <bottom style="thin">
          <color theme="3"/>
        </bottom>
        <vertical style="thin">
          <color theme="3"/>
        </vertical>
        <horizontal/>
      </border>
    </dxf>
    <dxf>
      <fill>
        <patternFill>
          <bgColor theme="4" tint="0.79998168889431442"/>
        </patternFill>
      </fill>
    </dxf>
    <dxf>
      <font>
        <b/>
        <i val="0"/>
      </font>
      <fill>
        <patternFill patternType="solid">
          <fgColor auto="1"/>
          <bgColor theme="0"/>
        </patternFill>
      </fill>
      <border>
        <horizontal/>
      </border>
    </dxf>
    <dxf>
      <font>
        <b/>
        <i val="0"/>
        <color theme="0"/>
      </font>
      <fill>
        <patternFill patternType="solid">
          <fgColor theme="4"/>
          <bgColor theme="3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3"/>
      </font>
      <fill>
        <patternFill>
          <bgColor theme="0"/>
        </patternFill>
      </fill>
      <border diagonalUp="0" diagonalDown="0">
        <left style="thin">
          <color theme="3"/>
        </left>
        <right style="thin">
          <color theme="3"/>
        </right>
        <top/>
        <bottom style="thin">
          <color theme="3"/>
        </bottom>
        <vertical style="thin">
          <color theme="3"/>
        </vertical>
        <horizontal/>
      </border>
    </dxf>
    <dxf>
      <fill>
        <patternFill>
          <bgColor theme="4" tint="0.79998168889431442"/>
        </patternFill>
      </fill>
    </dxf>
    <dxf>
      <font>
        <b/>
        <i val="0"/>
      </font>
      <fill>
        <patternFill patternType="solid">
          <fgColor auto="1"/>
          <bgColor theme="0"/>
        </patternFill>
      </fill>
      <border>
        <horizontal/>
      </border>
    </dxf>
    <dxf>
      <font>
        <b/>
        <i val="0"/>
        <color theme="0"/>
      </font>
      <fill>
        <patternFill patternType="solid">
          <fgColor theme="4"/>
          <bgColor theme="3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3"/>
      </font>
      <fill>
        <patternFill>
          <bgColor theme="0"/>
        </patternFill>
      </fill>
      <border diagonalUp="0" diagonalDown="0">
        <left style="thin">
          <color theme="3"/>
        </left>
        <right style="thin">
          <color theme="3"/>
        </right>
        <top/>
        <bottom style="thin">
          <color theme="3"/>
        </bottom>
        <vertical style="thin">
          <color theme="3"/>
        </vertical>
        <horizontal/>
      </border>
    </dxf>
  </dxfs>
  <tableStyles count="4" defaultTableStyle="TableStyleMedium2" defaultPivotStyle="PivotStyleLight16">
    <tableStyle name="Intervalles de temps" pivot="0" count="4">
      <tableStyleElement type="wholeTable" dxfId="50"/>
      <tableStyleElement type="headerRow" dxfId="49"/>
      <tableStyleElement type="firstRowStripe" dxfId="48"/>
      <tableStyleElement type="secondRowStripe" dxfId="47"/>
    </tableStyle>
    <tableStyle name="Intervalles de temps 2" pivot="0" count="4">
      <tableStyleElement type="wholeTable" dxfId="46"/>
      <tableStyleElement type="headerRow" dxfId="45"/>
      <tableStyleElement type="firstRowStripe" dxfId="44"/>
      <tableStyleElement type="secondRowStripe" dxfId="43"/>
    </tableStyle>
    <tableStyle name="Intervalles de temps 3" pivot="0" count="4">
      <tableStyleElement type="wholeTable" dxfId="42"/>
      <tableStyleElement type="headerRow" dxfId="41"/>
      <tableStyleElement type="firstRowStripe" dxfId="40"/>
      <tableStyleElement type="secondRowStripe" dxfId="39"/>
    </tableStyle>
    <tableStyle name="Tableau des absences des employés" pivot="0" count="13">
      <tableStyleElement type="wholeTable" dxfId="38"/>
      <tableStyleElement type="headerRow" dxfId="37"/>
      <tableStyleElement type="totalRow" dxfId="36"/>
      <tableStyleElement type="firstColumn" dxfId="35"/>
      <tableStyleElement type="lastColumn" dxfId="34"/>
      <tableStyleElement type="firstRowStripe" dxfId="33"/>
      <tableStyleElement type="secondRowStripe" dxfId="32"/>
      <tableStyleElement type="firstColumnStripe" dxfId="31"/>
      <tableStyleElement type="secondColumnStripe" dxfId="30"/>
      <tableStyleElement type="firstHeaderCell" dxfId="29"/>
      <tableStyleElement type="lastHeaderCell" dxfId="28"/>
      <tableStyleElement type="firstTotalCell" dxfId="27"/>
      <tableStyleElement type="lastTotalCell" dxfId="26"/>
    </tableStyle>
  </tableStyles>
  <colors>
    <mruColors>
      <color rgb="FFFF57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Drop" dropStyle="combo" dx="26" noThreeD="1" sel="0" val="0"/>
</file>

<file path=xl/ctrlProps/ctrlProp9.xml><?xml version="1.0" encoding="utf-8"?>
<formControlPr xmlns="http://schemas.microsoft.com/office/spreadsheetml/2009/9/main" objectType="Drop" dropStyle="combo" dx="26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20</xdr:row>
          <xdr:rowOff>9525</xdr:rowOff>
        </xdr:from>
        <xdr:to>
          <xdr:col>3</xdr:col>
          <xdr:colOff>314325</xdr:colOff>
          <xdr:row>26</xdr:row>
          <xdr:rowOff>9525</xdr:rowOff>
        </xdr:to>
        <xdr:sp macro="" textlink="">
          <xdr:nvSpPr>
            <xdr:cNvPr id="1030" name="Group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Type de chambre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21</xdr:row>
          <xdr:rowOff>9525</xdr:rowOff>
        </xdr:from>
        <xdr:to>
          <xdr:col>3</xdr:col>
          <xdr:colOff>142875</xdr:colOff>
          <xdr:row>22</xdr:row>
          <xdr:rowOff>66675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Classique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22</xdr:row>
          <xdr:rowOff>95250</xdr:rowOff>
        </xdr:from>
        <xdr:to>
          <xdr:col>3</xdr:col>
          <xdr:colOff>238125</xdr:colOff>
          <xdr:row>24</xdr:row>
          <xdr:rowOff>38100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xmlns="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Premium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24</xdr:row>
          <xdr:rowOff>38100</xdr:rowOff>
        </xdr:from>
        <xdr:to>
          <xdr:col>3</xdr:col>
          <xdr:colOff>247650</xdr:colOff>
          <xdr:row>25</xdr:row>
          <xdr:rowOff>161925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xmlns="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Suite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27</xdr:row>
          <xdr:rowOff>0</xdr:rowOff>
        </xdr:from>
        <xdr:to>
          <xdr:col>3</xdr:col>
          <xdr:colOff>323850</xdr:colOff>
          <xdr:row>31</xdr:row>
          <xdr:rowOff>9525</xdr:rowOff>
        </xdr:to>
        <xdr:sp macro="" textlink="">
          <xdr:nvSpPr>
            <xdr:cNvPr id="1035" name="Group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xmlns="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Pensions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27</xdr:row>
          <xdr:rowOff>123825</xdr:rowOff>
        </xdr:from>
        <xdr:to>
          <xdr:col>3</xdr:col>
          <xdr:colOff>266700</xdr:colOff>
          <xdr:row>29</xdr:row>
          <xdr:rowOff>66675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xmlns="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Demi-pension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1581150</xdr:colOff>
          <xdr:row>29</xdr:row>
          <xdr:rowOff>76200</xdr:rowOff>
        </xdr:from>
        <xdr:to>
          <xdr:col>3</xdr:col>
          <xdr:colOff>257175</xdr:colOff>
          <xdr:row>30</xdr:row>
          <xdr:rowOff>161925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xmlns="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Pension complète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1581150</xdr:colOff>
          <xdr:row>14</xdr:row>
          <xdr:rowOff>0</xdr:rowOff>
        </xdr:from>
        <xdr:to>
          <xdr:col>3</xdr:col>
          <xdr:colOff>781050</xdr:colOff>
          <xdr:row>15</xdr:row>
          <xdr:rowOff>19050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xmlns="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</xdr:row>
          <xdr:rowOff>161925</xdr:rowOff>
        </xdr:from>
        <xdr:to>
          <xdr:col>4</xdr:col>
          <xdr:colOff>0</xdr:colOff>
          <xdr:row>18</xdr:row>
          <xdr:rowOff>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xmlns="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endrier%20des%20absences%20des%20employ&#233;s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ning%20professionnel%20quotidie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Noms des employés"/>
    </sheetNames>
    <sheetDataSet>
      <sheetData sheetId="0">
        <row r="2">
          <cell r="B2" t="str">
            <v>C</v>
          </cell>
          <cell r="E2" t="str">
            <v>P</v>
          </cell>
          <cell r="I2" t="str">
            <v>M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loi du temps quotidien"/>
      <sheetName val="Planificateur d’événements"/>
      <sheetName val="Intervalles de temps"/>
      <sheetName val="Planning professionnel quotidie"/>
    </sheetNames>
    <sheetDataSet>
      <sheetData sheetId="0">
        <row r="26">
          <cell r="B26" t="str">
            <v>Pause</v>
          </cell>
        </row>
      </sheetData>
      <sheetData sheetId="1"/>
      <sheetData sheetId="2">
        <row r="8">
          <cell r="C8">
            <v>0.875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FF9900"/>
      </a:dk2>
      <a:lt2>
        <a:srgbClr val="FF0000"/>
      </a:lt2>
      <a:accent1>
        <a:srgbClr val="4472C4"/>
      </a:accent1>
      <a:accent2>
        <a:srgbClr val="ED7D31"/>
      </a:accent2>
      <a:accent3>
        <a:srgbClr val="CC3300"/>
      </a:accent3>
      <a:accent4>
        <a:srgbClr val="FFC000"/>
      </a:accent4>
      <a:accent5>
        <a:srgbClr val="5B9BD5"/>
      </a:accent5>
      <a:accent6>
        <a:srgbClr val="0066CC"/>
      </a:accent6>
      <a:hlink>
        <a:srgbClr val="00CCFF"/>
      </a:hlink>
      <a:folHlink>
        <a:srgbClr val="E9B717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4" sqref="D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F28"/>
  <sheetViews>
    <sheetView workbookViewId="0">
      <selection activeCell="E28" sqref="E28"/>
    </sheetView>
  </sheetViews>
  <sheetFormatPr baseColWidth="10" defaultRowHeight="15" x14ac:dyDescent="0.25"/>
  <cols>
    <col min="2" max="2" width="23.28515625" style="3" customWidth="1"/>
  </cols>
  <sheetData>
    <row r="2" spans="2:3" x14ac:dyDescent="0.25">
      <c r="B2" s="2" t="s">
        <v>0</v>
      </c>
    </row>
    <row r="4" spans="2:3" x14ac:dyDescent="0.25">
      <c r="B4" s="2" t="s">
        <v>1</v>
      </c>
    </row>
    <row r="5" spans="2:3" x14ac:dyDescent="0.25">
      <c r="B5" s="3" t="s">
        <v>2</v>
      </c>
    </row>
    <row r="6" spans="2:3" x14ac:dyDescent="0.25">
      <c r="B6" s="4" t="s">
        <v>3</v>
      </c>
    </row>
    <row r="7" spans="2:3" x14ac:dyDescent="0.25">
      <c r="B7" s="4" t="s">
        <v>4</v>
      </c>
    </row>
    <row r="8" spans="2:3" x14ac:dyDescent="0.25">
      <c r="B8" s="4" t="s">
        <v>5</v>
      </c>
    </row>
    <row r="10" spans="2:3" x14ac:dyDescent="0.25">
      <c r="B10" s="2" t="s">
        <v>6</v>
      </c>
    </row>
    <row r="11" spans="2:3" x14ac:dyDescent="0.25">
      <c r="B11" s="2"/>
    </row>
    <row r="12" spans="2:3" x14ac:dyDescent="0.25">
      <c r="B12" s="2"/>
    </row>
    <row r="14" spans="2:3" x14ac:dyDescent="0.25">
      <c r="B14" s="2" t="s">
        <v>7</v>
      </c>
    </row>
    <row r="15" spans="2:3" x14ac:dyDescent="0.25">
      <c r="B15" s="3" t="s">
        <v>8</v>
      </c>
      <c r="C15" s="5"/>
    </row>
    <row r="16" spans="2:3" x14ac:dyDescent="0.25">
      <c r="C16" s="7"/>
    </row>
    <row r="17" spans="2:6" x14ac:dyDescent="0.25">
      <c r="C17" s="7"/>
    </row>
    <row r="18" spans="2:6" x14ac:dyDescent="0.25">
      <c r="B18" s="3" t="s">
        <v>9</v>
      </c>
      <c r="C18" s="5"/>
      <c r="F18" t="s">
        <v>77</v>
      </c>
    </row>
    <row r="20" spans="2:6" x14ac:dyDescent="0.25">
      <c r="B20" s="2" t="s">
        <v>10</v>
      </c>
    </row>
    <row r="21" spans="2:6" x14ac:dyDescent="0.25">
      <c r="B21" s="3" t="s">
        <v>11</v>
      </c>
      <c r="C21" s="5"/>
      <c r="F21" s="6" t="s">
        <v>13</v>
      </c>
    </row>
    <row r="22" spans="2:6" x14ac:dyDescent="0.25">
      <c r="C22" s="5"/>
    </row>
    <row r="23" spans="2:6" x14ac:dyDescent="0.25">
      <c r="C23" s="5"/>
    </row>
    <row r="24" spans="2:6" x14ac:dyDescent="0.25">
      <c r="C24" s="5"/>
    </row>
    <row r="25" spans="2:6" x14ac:dyDescent="0.25">
      <c r="C25" s="5"/>
    </row>
    <row r="26" spans="2:6" x14ac:dyDescent="0.25">
      <c r="C26" s="5"/>
    </row>
    <row r="27" spans="2:6" x14ac:dyDescent="0.25">
      <c r="C27" s="7"/>
    </row>
    <row r="28" spans="2:6" x14ac:dyDescent="0.25">
      <c r="B28" s="3" t="s">
        <v>12</v>
      </c>
      <c r="C28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Group Box 6">
              <controlPr defaultSize="0" autoFill="0" autoPict="0">
                <anchor moveWithCells="1">
                  <from>
                    <xdr:col>2</xdr:col>
                    <xdr:colOff>0</xdr:colOff>
                    <xdr:row>20</xdr:row>
                    <xdr:rowOff>9525</xdr:rowOff>
                  </from>
                  <to>
                    <xdr:col>3</xdr:col>
                    <xdr:colOff>314325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2</xdr:col>
                    <xdr:colOff>57150</xdr:colOff>
                    <xdr:row>21</xdr:row>
                    <xdr:rowOff>9525</xdr:rowOff>
                  </from>
                  <to>
                    <xdr:col>3</xdr:col>
                    <xdr:colOff>142875</xdr:colOff>
                    <xdr:row>22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2</xdr:col>
                    <xdr:colOff>38100</xdr:colOff>
                    <xdr:row>22</xdr:row>
                    <xdr:rowOff>95250</xdr:rowOff>
                  </from>
                  <to>
                    <xdr:col>3</xdr:col>
                    <xdr:colOff>238125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9">
              <controlPr defaultSize="0" autoFill="0" autoLine="0" autoPict="0">
                <anchor moveWithCells="1">
                  <from>
                    <xdr:col>2</xdr:col>
                    <xdr:colOff>38100</xdr:colOff>
                    <xdr:row>24</xdr:row>
                    <xdr:rowOff>38100</xdr:rowOff>
                  </from>
                  <to>
                    <xdr:col>3</xdr:col>
                    <xdr:colOff>247650</xdr:colOff>
                    <xdr:row>25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Group Box 11">
              <controlPr defaultSize="0" autoFill="0" autoPict="0">
                <anchor moveWithCells="1">
                  <from>
                    <xdr:col>2</xdr:col>
                    <xdr:colOff>0</xdr:colOff>
                    <xdr:row>27</xdr:row>
                    <xdr:rowOff>0</xdr:rowOff>
                  </from>
                  <to>
                    <xdr:col>3</xdr:col>
                    <xdr:colOff>323850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Check Box 12">
              <controlPr defaultSize="0" autoFill="0" autoLine="0" autoPict="0">
                <anchor moveWithCells="1">
                  <from>
                    <xdr:col>2</xdr:col>
                    <xdr:colOff>0</xdr:colOff>
                    <xdr:row>27</xdr:row>
                    <xdr:rowOff>123825</xdr:rowOff>
                  </from>
                  <to>
                    <xdr:col>3</xdr:col>
                    <xdr:colOff>266700</xdr:colOff>
                    <xdr:row>29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Check Box 13">
              <controlPr defaultSize="0" autoFill="0" autoLine="0" autoPict="0">
                <anchor moveWithCells="1">
                  <from>
                    <xdr:col>1</xdr:col>
                    <xdr:colOff>1581150</xdr:colOff>
                    <xdr:row>29</xdr:row>
                    <xdr:rowOff>76200</xdr:rowOff>
                  </from>
                  <to>
                    <xdr:col>3</xdr:col>
                    <xdr:colOff>257175</xdr:colOff>
                    <xdr:row>30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" name="Drop Down 14">
              <controlPr defaultSize="0" autoLine="0" autoPict="0">
                <anchor moveWithCells="1">
                  <from>
                    <xdr:col>1</xdr:col>
                    <xdr:colOff>1581150</xdr:colOff>
                    <xdr:row>14</xdr:row>
                    <xdr:rowOff>0</xdr:rowOff>
                  </from>
                  <to>
                    <xdr:col>3</xdr:col>
                    <xdr:colOff>781050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2" name="Drop Down 15">
              <controlPr defaultSize="0" autoLine="0" autoPict="0">
                <anchor moveWithCells="1">
                  <from>
                    <xdr:col>2</xdr:col>
                    <xdr:colOff>0</xdr:colOff>
                    <xdr:row>16</xdr:row>
                    <xdr:rowOff>161925</xdr:rowOff>
                  </from>
                  <to>
                    <xdr:col>4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AI285"/>
  <sheetViews>
    <sheetView zoomScale="90" zoomScaleNormal="90" workbookViewId="0">
      <selection activeCell="S7" sqref="S7"/>
    </sheetView>
  </sheetViews>
  <sheetFormatPr baseColWidth="10" defaultRowHeight="15" x14ac:dyDescent="0.25"/>
  <cols>
    <col min="2" max="2" width="6.7109375" customWidth="1"/>
    <col min="3" max="3" width="14.7109375" customWidth="1"/>
    <col min="4" max="4" width="3.42578125" bestFit="1" customWidth="1"/>
    <col min="5" max="6" width="4.28515625" bestFit="1" customWidth="1"/>
    <col min="7" max="7" width="3.42578125" bestFit="1" customWidth="1"/>
    <col min="8" max="8" width="3.85546875" bestFit="1" customWidth="1"/>
    <col min="9" max="9" width="4.28515625" bestFit="1" customWidth="1"/>
    <col min="10" max="10" width="4" bestFit="1" customWidth="1"/>
    <col min="11" max="11" width="3.42578125" bestFit="1" customWidth="1"/>
    <col min="12" max="13" width="4.28515625" bestFit="1" customWidth="1"/>
    <col min="14" max="14" width="3.42578125" bestFit="1" customWidth="1"/>
    <col min="15" max="15" width="3.85546875" bestFit="1" customWidth="1"/>
    <col min="16" max="16" width="4.28515625" bestFit="1" customWidth="1"/>
    <col min="17" max="17" width="4" bestFit="1" customWidth="1"/>
    <col min="18" max="18" width="3.42578125" bestFit="1" customWidth="1"/>
    <col min="19" max="20" width="4.28515625" bestFit="1" customWidth="1"/>
    <col min="21" max="21" width="3.42578125" bestFit="1" customWidth="1"/>
    <col min="22" max="22" width="3.85546875" bestFit="1" customWidth="1"/>
    <col min="23" max="23" width="4.28515625" bestFit="1" customWidth="1"/>
    <col min="24" max="24" width="4" bestFit="1" customWidth="1"/>
    <col min="25" max="25" width="3.42578125" bestFit="1" customWidth="1"/>
    <col min="26" max="27" width="4.28515625" bestFit="1" customWidth="1"/>
    <col min="28" max="28" width="3.42578125" bestFit="1" customWidth="1"/>
    <col min="29" max="29" width="3.85546875" bestFit="1" customWidth="1"/>
    <col min="30" max="30" width="4.28515625" bestFit="1" customWidth="1"/>
    <col min="31" max="31" width="4" bestFit="1" customWidth="1"/>
    <col min="32" max="32" width="3.42578125" bestFit="1" customWidth="1"/>
    <col min="33" max="34" width="4.28515625" bestFit="1" customWidth="1"/>
    <col min="35" max="35" width="15.7109375" customWidth="1"/>
  </cols>
  <sheetData>
    <row r="4" spans="2:35" ht="26.25" x14ac:dyDescent="0.4">
      <c r="C4" s="59"/>
      <c r="D4" s="90" t="s">
        <v>19</v>
      </c>
      <c r="E4" s="90"/>
      <c r="F4" s="90"/>
      <c r="G4" s="90"/>
      <c r="H4" s="90"/>
      <c r="I4" s="90" t="s">
        <v>21</v>
      </c>
      <c r="J4" s="90"/>
      <c r="K4" s="90"/>
      <c r="L4" s="90"/>
      <c r="M4" s="90"/>
      <c r="N4" s="90" t="s">
        <v>22</v>
      </c>
      <c r="O4" s="90"/>
      <c r="P4" s="90"/>
      <c r="Q4" s="90"/>
      <c r="R4" s="90"/>
      <c r="S4" s="90" t="s">
        <v>44</v>
      </c>
      <c r="T4" s="90"/>
      <c r="U4" s="90"/>
      <c r="V4" s="90"/>
      <c r="W4" s="90"/>
      <c r="X4" s="90" t="s">
        <v>66</v>
      </c>
      <c r="Y4" s="90"/>
      <c r="Z4" s="90"/>
      <c r="AA4" s="90"/>
      <c r="AB4" s="90"/>
      <c r="AC4" s="90" t="s">
        <v>46</v>
      </c>
      <c r="AD4" s="90"/>
      <c r="AE4" s="90"/>
      <c r="AF4" s="90"/>
      <c r="AG4" s="90"/>
      <c r="AH4" s="60"/>
    </row>
    <row r="5" spans="2:35" ht="26.25" x14ac:dyDescent="0.4">
      <c r="C5" s="59"/>
      <c r="D5" s="60"/>
      <c r="E5" s="90" t="s">
        <v>47</v>
      </c>
      <c r="F5" s="90"/>
      <c r="G5" s="90"/>
      <c r="H5" s="90"/>
      <c r="I5" s="90"/>
      <c r="J5" s="90" t="s">
        <v>48</v>
      </c>
      <c r="K5" s="90"/>
      <c r="L5" s="90"/>
      <c r="M5" s="90"/>
      <c r="N5" s="90"/>
      <c r="O5" s="90" t="s">
        <v>49</v>
      </c>
      <c r="P5" s="90"/>
      <c r="Q5" s="90"/>
      <c r="R5" s="90"/>
      <c r="S5" s="90"/>
      <c r="T5" s="90" t="s">
        <v>50</v>
      </c>
      <c r="U5" s="90"/>
      <c r="V5" s="90"/>
      <c r="W5" s="90"/>
      <c r="X5" s="90"/>
      <c r="Y5" s="90" t="s">
        <v>51</v>
      </c>
      <c r="Z5" s="90"/>
      <c r="AA5" s="90"/>
      <c r="AB5" s="90"/>
      <c r="AC5" s="90"/>
      <c r="AD5" s="90" t="s">
        <v>52</v>
      </c>
      <c r="AE5" s="90"/>
      <c r="AF5" s="90"/>
      <c r="AG5" s="90"/>
      <c r="AH5" s="90"/>
    </row>
    <row r="7" spans="2:35" x14ac:dyDescent="0.25">
      <c r="B7" t="s">
        <v>20</v>
      </c>
      <c r="D7" s="9" t="s">
        <v>16</v>
      </c>
      <c r="E7" t="s">
        <v>17</v>
      </c>
      <c r="G7" s="10"/>
      <c r="H7" s="7" t="s">
        <v>15</v>
      </c>
    </row>
    <row r="9" spans="2:35" ht="15.75" thickBot="1" x14ac:dyDescent="0.3">
      <c r="AI9" s="1"/>
    </row>
    <row r="10" spans="2:35" ht="23.25" x14ac:dyDescent="0.35">
      <c r="B10" s="84" t="s">
        <v>19</v>
      </c>
      <c r="C10" s="85"/>
      <c r="D10" s="94" t="s">
        <v>18</v>
      </c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7">
        <v>2018</v>
      </c>
    </row>
    <row r="11" spans="2:35" x14ac:dyDescent="0.25">
      <c r="B11" s="86"/>
      <c r="C11" s="87"/>
      <c r="D11" s="14" t="str">
        <f>TEXT(WEEKDAY(DATE($AI$10,IF(B10="janvier",1,2),1),1),"jjj")</f>
        <v>lun</v>
      </c>
      <c r="E11" s="14" t="str">
        <f>TEXT(WEEKDAY(DATE($AI$10,1,2),1),"jjj")</f>
        <v>mar</v>
      </c>
      <c r="F11" s="14" t="str">
        <f>TEXT(WEEKDAY(DATE($AI$10,1,3),1),"jjj")</f>
        <v>mer</v>
      </c>
      <c r="G11" s="14" t="str">
        <f>TEXT(WEEKDAY(DATE($AI$10,1,4),1),"jjj")</f>
        <v>jeu</v>
      </c>
      <c r="H11" s="14" t="str">
        <f>TEXT(WEEKDAY(DATE($AI$10,1,5),1),"jjj")</f>
        <v>ven</v>
      </c>
      <c r="I11" s="14" t="str">
        <f>TEXT(WEEKDAY(DATE($AI$10,1,6),1),"jjj")</f>
        <v>sam</v>
      </c>
      <c r="J11" s="14" t="str">
        <f>TEXT(WEEKDAY(DATE($AI$10,1,7),1),"jjj")</f>
        <v>dim</v>
      </c>
      <c r="K11" s="14" t="str">
        <f>TEXT(WEEKDAY(DATE($AI$10,1,8),1),"jjj")</f>
        <v>lun</v>
      </c>
      <c r="L11" s="14" t="str">
        <f>TEXT(WEEKDAY(DATE($AI$10,1,9),1),"jjj")</f>
        <v>mar</v>
      </c>
      <c r="M11" s="14" t="str">
        <f>TEXT(WEEKDAY(DATE($AI$10,1,10),1),"jjj")</f>
        <v>mer</v>
      </c>
      <c r="N11" s="14" t="str">
        <f>TEXT(WEEKDAY(DATE($AI$10,1,11),1),"jjj")</f>
        <v>jeu</v>
      </c>
      <c r="O11" s="14" t="str">
        <f>TEXT(WEEKDAY(DATE($AI$10,1,12),1),"jjj")</f>
        <v>ven</v>
      </c>
      <c r="P11" s="14" t="str">
        <f>TEXT(WEEKDAY(DATE($AI$10,1,13),1),"jjj")</f>
        <v>sam</v>
      </c>
      <c r="Q11" s="14" t="str">
        <f>TEXT(WEEKDAY(DATE($AI$10,1,14),1),"jjj")</f>
        <v>dim</v>
      </c>
      <c r="R11" s="14" t="str">
        <f>TEXT(WEEKDAY(DATE($AI$10,1,15),1),"jjj")</f>
        <v>lun</v>
      </c>
      <c r="S11" s="14" t="str">
        <f>TEXT(WEEKDAY(DATE($AI$10,1,16),1),"jjj")</f>
        <v>mar</v>
      </c>
      <c r="T11" s="14" t="str">
        <f>TEXT(WEEKDAY(DATE($AI$10,1,17),1),"jjj")</f>
        <v>mer</v>
      </c>
      <c r="U11" s="14" t="str">
        <f>TEXT(WEEKDAY(DATE($AI$10,1,18),1),"jjj")</f>
        <v>jeu</v>
      </c>
      <c r="V11" s="14" t="str">
        <f>TEXT(WEEKDAY(DATE($AI$10,1,19),1),"jjj")</f>
        <v>ven</v>
      </c>
      <c r="W11" s="14" t="str">
        <f>TEXT(WEEKDAY(DATE($AI$10,1,20),1),"jjj")</f>
        <v>sam</v>
      </c>
      <c r="X11" s="14" t="str">
        <f>TEXT(WEEKDAY(DATE($AI$10,1,21),1),"jjj")</f>
        <v>dim</v>
      </c>
      <c r="Y11" s="14" t="str">
        <f>TEXT(WEEKDAY(DATE($AI$10,1,22),1),"jjj")</f>
        <v>lun</v>
      </c>
      <c r="Z11" s="14" t="str">
        <f>TEXT(WEEKDAY(DATE($AI$10,1,23),1),"jjj")</f>
        <v>mar</v>
      </c>
      <c r="AA11" s="14" t="str">
        <f>TEXT(WEEKDAY(DATE($AI$10,1,24),1),"jjj")</f>
        <v>mer</v>
      </c>
      <c r="AB11" s="14" t="str">
        <f>TEXT(WEEKDAY(DATE($AI$10,1,25),1),"jjj")</f>
        <v>jeu</v>
      </c>
      <c r="AC11" s="14" t="str">
        <f>TEXT(WEEKDAY(DATE($AI$10,1,26),1),"jjj")</f>
        <v>ven</v>
      </c>
      <c r="AD11" s="14" t="str">
        <f>TEXT(WEEKDAY(DATE($AI$10,1,27),1),"jjj")</f>
        <v>sam</v>
      </c>
      <c r="AE11" s="14" t="str">
        <f>TEXT(WEEKDAY(DATE($AI$10,1,28),1),"jjj")</f>
        <v>dim</v>
      </c>
      <c r="AF11" s="14" t="str">
        <f>TEXT(WEEKDAY(DATE($AI$10,1,29),1),"jjj")</f>
        <v>lun</v>
      </c>
      <c r="AG11" s="14" t="str">
        <f>TEXT(WEEKDAY(DATE($AI$10,1,30),1),"jjj")</f>
        <v>mar</v>
      </c>
      <c r="AH11" s="14" t="str">
        <f>TEXT(WEEKDAY(DATE($AI$10,1,31),1),"jjj")</f>
        <v>mer</v>
      </c>
      <c r="AI11" s="98"/>
    </row>
    <row r="12" spans="2:35" ht="15.75" thickBot="1" x14ac:dyDescent="0.3">
      <c r="B12" s="88"/>
      <c r="C12" s="89"/>
      <c r="D12" s="12">
        <v>1</v>
      </c>
      <c r="E12" s="12">
        <v>2</v>
      </c>
      <c r="F12" s="12">
        <v>3</v>
      </c>
      <c r="G12" s="12">
        <v>4</v>
      </c>
      <c r="H12" s="12">
        <v>5</v>
      </c>
      <c r="I12" s="12">
        <v>6</v>
      </c>
      <c r="J12" s="12">
        <v>7</v>
      </c>
      <c r="K12" s="12">
        <v>8</v>
      </c>
      <c r="L12" s="12">
        <v>9</v>
      </c>
      <c r="M12" s="12">
        <v>10</v>
      </c>
      <c r="N12" s="12">
        <v>11</v>
      </c>
      <c r="O12" s="12">
        <v>12</v>
      </c>
      <c r="P12" s="12">
        <v>13</v>
      </c>
      <c r="Q12" s="12">
        <v>14</v>
      </c>
      <c r="R12" s="12">
        <v>15</v>
      </c>
      <c r="S12" s="12">
        <v>16</v>
      </c>
      <c r="T12" s="12">
        <v>17</v>
      </c>
      <c r="U12" s="12">
        <v>18</v>
      </c>
      <c r="V12" s="12">
        <v>19</v>
      </c>
      <c r="W12" s="12">
        <v>20</v>
      </c>
      <c r="X12" s="12">
        <v>21</v>
      </c>
      <c r="Y12" s="12">
        <v>22</v>
      </c>
      <c r="Z12" s="12">
        <v>23</v>
      </c>
      <c r="AA12" s="12">
        <v>24</v>
      </c>
      <c r="AB12" s="12">
        <v>25</v>
      </c>
      <c r="AC12" s="12">
        <v>26</v>
      </c>
      <c r="AD12" s="12">
        <v>27</v>
      </c>
      <c r="AE12" s="12">
        <v>28</v>
      </c>
      <c r="AF12" s="12">
        <v>29</v>
      </c>
      <c r="AG12" s="12">
        <v>30</v>
      </c>
      <c r="AH12" s="12">
        <v>31</v>
      </c>
      <c r="AI12" s="13" t="s">
        <v>14</v>
      </c>
    </row>
    <row r="13" spans="2:35" x14ac:dyDescent="0.25">
      <c r="B13" s="82" t="s">
        <v>29</v>
      </c>
      <c r="C13" s="34" t="s">
        <v>23</v>
      </c>
      <c r="D13" s="25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1">
        <f t="shared" ref="AI13:AI30" si="0">COUNTA(D13:AH13)</f>
        <v>0</v>
      </c>
    </row>
    <row r="14" spans="2:35" x14ac:dyDescent="0.25">
      <c r="B14" s="82"/>
      <c r="C14" s="35" t="s">
        <v>24</v>
      </c>
      <c r="D14" s="26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11">
        <f t="shared" si="0"/>
        <v>0</v>
      </c>
    </row>
    <row r="15" spans="2:35" x14ac:dyDescent="0.25">
      <c r="B15" s="82"/>
      <c r="C15" s="36" t="s">
        <v>25</v>
      </c>
      <c r="D15" s="27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1">
        <f t="shared" si="0"/>
        <v>0</v>
      </c>
    </row>
    <row r="16" spans="2:35" x14ac:dyDescent="0.25">
      <c r="B16" s="82"/>
      <c r="C16" s="35" t="s">
        <v>26</v>
      </c>
      <c r="D16" s="26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11">
        <f t="shared" si="0"/>
        <v>0</v>
      </c>
    </row>
    <row r="17" spans="1:35" x14ac:dyDescent="0.25">
      <c r="B17" s="82"/>
      <c r="C17" s="36" t="s">
        <v>27</v>
      </c>
      <c r="D17" s="27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1">
        <f t="shared" si="0"/>
        <v>0</v>
      </c>
    </row>
    <row r="18" spans="1:35" x14ac:dyDescent="0.25">
      <c r="B18" s="93"/>
      <c r="C18" s="37" t="s">
        <v>28</v>
      </c>
      <c r="D18" s="26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11">
        <f t="shared" si="0"/>
        <v>0</v>
      </c>
    </row>
    <row r="19" spans="1:35" x14ac:dyDescent="0.25">
      <c r="A19" s="8"/>
      <c r="B19" s="81" t="s">
        <v>36</v>
      </c>
      <c r="C19" s="36" t="s">
        <v>30</v>
      </c>
      <c r="D19" s="47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48"/>
      <c r="AI19" s="11">
        <f t="shared" si="0"/>
        <v>0</v>
      </c>
    </row>
    <row r="20" spans="1:35" x14ac:dyDescent="0.25">
      <c r="A20" s="8"/>
      <c r="B20" s="82"/>
      <c r="C20" s="38" t="s">
        <v>31</v>
      </c>
      <c r="D20" s="29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4"/>
      <c r="AI20" s="11">
        <f t="shared" si="0"/>
        <v>0</v>
      </c>
    </row>
    <row r="21" spans="1:35" x14ac:dyDescent="0.25">
      <c r="A21" s="8"/>
      <c r="B21" s="82"/>
      <c r="C21" s="39" t="s">
        <v>32</v>
      </c>
      <c r="D21" s="30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20"/>
      <c r="AI21" s="11">
        <f t="shared" si="0"/>
        <v>0</v>
      </c>
    </row>
    <row r="22" spans="1:35" x14ac:dyDescent="0.25">
      <c r="A22" s="8"/>
      <c r="B22" s="82"/>
      <c r="C22" s="38" t="s">
        <v>33</v>
      </c>
      <c r="D22" s="26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11">
        <f t="shared" si="0"/>
        <v>0</v>
      </c>
    </row>
    <row r="23" spans="1:35" x14ac:dyDescent="0.25">
      <c r="A23" s="8"/>
      <c r="B23" s="82"/>
      <c r="C23" s="39" t="s">
        <v>34</v>
      </c>
      <c r="D23" s="27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1">
        <f t="shared" si="0"/>
        <v>0</v>
      </c>
    </row>
    <row r="24" spans="1:35" x14ac:dyDescent="0.25">
      <c r="A24" s="8"/>
      <c r="B24" s="93"/>
      <c r="C24" s="40" t="s">
        <v>35</v>
      </c>
      <c r="D24" s="26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11">
        <f t="shared" si="0"/>
        <v>0</v>
      </c>
    </row>
    <row r="25" spans="1:35" x14ac:dyDescent="0.25">
      <c r="A25" s="8"/>
      <c r="B25" s="81" t="s">
        <v>43</v>
      </c>
      <c r="C25" s="49" t="s">
        <v>37</v>
      </c>
      <c r="D25" s="50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51"/>
      <c r="AI25" s="11">
        <f t="shared" si="0"/>
        <v>0</v>
      </c>
    </row>
    <row r="26" spans="1:35" x14ac:dyDescent="0.25">
      <c r="A26" s="8"/>
      <c r="B26" s="82"/>
      <c r="C26" s="41" t="s">
        <v>38</v>
      </c>
      <c r="D26" s="31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15"/>
      <c r="AI26" s="11">
        <f t="shared" si="0"/>
        <v>0</v>
      </c>
    </row>
    <row r="27" spans="1:35" x14ac:dyDescent="0.25">
      <c r="A27" s="8"/>
      <c r="B27" s="82"/>
      <c r="C27" s="42" t="s">
        <v>39</v>
      </c>
      <c r="D27" s="32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21"/>
      <c r="AI27" s="11">
        <f t="shared" si="0"/>
        <v>0</v>
      </c>
    </row>
    <row r="28" spans="1:35" x14ac:dyDescent="0.25">
      <c r="A28" s="8"/>
      <c r="B28" s="82"/>
      <c r="C28" s="41" t="s">
        <v>40</v>
      </c>
      <c r="D28" s="26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11">
        <f t="shared" si="0"/>
        <v>0</v>
      </c>
    </row>
    <row r="29" spans="1:35" x14ac:dyDescent="0.25">
      <c r="A29" s="8"/>
      <c r="B29" s="82"/>
      <c r="C29" s="42" t="s">
        <v>41</v>
      </c>
      <c r="D29" s="27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1">
        <f t="shared" si="0"/>
        <v>0</v>
      </c>
    </row>
    <row r="30" spans="1:35" ht="15.75" thickBot="1" x14ac:dyDescent="0.3">
      <c r="A30" s="8"/>
      <c r="B30" s="83"/>
      <c r="C30" s="43" t="s">
        <v>42</v>
      </c>
      <c r="D30" s="44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56"/>
      <c r="AG30" s="56"/>
      <c r="AH30" s="56"/>
      <c r="AI30" s="57">
        <f t="shared" si="0"/>
        <v>0</v>
      </c>
    </row>
    <row r="31" spans="1:35" ht="15.75" thickBot="1" x14ac:dyDescent="0.3">
      <c r="A31" s="8"/>
      <c r="B31" s="54"/>
      <c r="C31" s="55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91" t="s">
        <v>53</v>
      </c>
      <c r="AG31" s="92"/>
      <c r="AH31" s="92"/>
      <c r="AI31" s="58">
        <f>SUM(AI13:AI30)</f>
        <v>0</v>
      </c>
    </row>
    <row r="32" spans="1:35" ht="15.75" x14ac:dyDescent="0.25">
      <c r="A32" s="8"/>
      <c r="B32" s="80" t="s">
        <v>67</v>
      </c>
      <c r="C32" s="80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</row>
    <row r="33" spans="2:35" ht="15.75" thickBot="1" x14ac:dyDescent="0.3"/>
    <row r="34" spans="2:35" ht="23.25" x14ac:dyDescent="0.35">
      <c r="B34" s="84" t="s">
        <v>21</v>
      </c>
      <c r="C34" s="85"/>
      <c r="D34" s="94" t="s">
        <v>18</v>
      </c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7"/>
    </row>
    <row r="35" spans="2:35" x14ac:dyDescent="0.25">
      <c r="B35" s="86"/>
      <c r="C35" s="87"/>
      <c r="D35" s="14" t="str">
        <f>TEXT(WEEKDAY(DATE($AI$10,2,1),1),"jjj")</f>
        <v>jeu</v>
      </c>
      <c r="E35" s="14" t="str">
        <f>TEXT(WEEKDAY(DATE($AI$10,2,2),1),"jjj")</f>
        <v>ven</v>
      </c>
      <c r="F35" s="14" t="str">
        <f>TEXT(WEEKDAY(DATE($AI$10,2,3),1),"jjj")</f>
        <v>sam</v>
      </c>
      <c r="G35" s="14" t="str">
        <f>TEXT(WEEKDAY(DATE($AI$10,2,4),1),"jjj")</f>
        <v>dim</v>
      </c>
      <c r="H35" s="14" t="str">
        <f>TEXT(WEEKDAY(DATE($AI$10,2,5),1),"jjj")</f>
        <v>lun</v>
      </c>
      <c r="I35" s="14" t="str">
        <f>TEXT(WEEKDAY(DATE($AI$10,2,6),1),"jjj")</f>
        <v>mar</v>
      </c>
      <c r="J35" s="14" t="str">
        <f>TEXT(WEEKDAY(DATE($AI$10,2,7),1),"jjj")</f>
        <v>mer</v>
      </c>
      <c r="K35" s="14" t="str">
        <f>TEXT(WEEKDAY(DATE($AI$10,2,8),1),"jjj")</f>
        <v>jeu</v>
      </c>
      <c r="L35" s="14" t="str">
        <f>TEXT(WEEKDAY(DATE($AI$10,2,9),1),"jjj")</f>
        <v>ven</v>
      </c>
      <c r="M35" s="14" t="str">
        <f>TEXT(WEEKDAY(DATE($AI$10,2,10),1),"jjj")</f>
        <v>sam</v>
      </c>
      <c r="N35" s="14" t="str">
        <f>TEXT(WEEKDAY(DATE($AI$10,2,11),1),"jjj")</f>
        <v>dim</v>
      </c>
      <c r="O35" s="14" t="str">
        <f>TEXT(WEEKDAY(DATE($AI$10,2,12),1),"jjj")</f>
        <v>lun</v>
      </c>
      <c r="P35" s="14" t="str">
        <f>TEXT(WEEKDAY(DATE($AI$10,2,13),1),"jjj")</f>
        <v>mar</v>
      </c>
      <c r="Q35" s="14" t="str">
        <f>TEXT(WEEKDAY(DATE($AI$10,2,14),1),"jjj")</f>
        <v>mer</v>
      </c>
      <c r="R35" s="14" t="str">
        <f>TEXT(WEEKDAY(DATE($AI$10,2,15),1),"jjj")</f>
        <v>jeu</v>
      </c>
      <c r="S35" s="14" t="str">
        <f>TEXT(WEEKDAY(DATE($AI$10,2,16),1),"jjj")</f>
        <v>ven</v>
      </c>
      <c r="T35" s="14" t="str">
        <f>TEXT(WEEKDAY(DATE($AI$10,2,17),1),"jjj")</f>
        <v>sam</v>
      </c>
      <c r="U35" s="14" t="str">
        <f>TEXT(WEEKDAY(DATE($AI$10,2,18),1),"jjj")</f>
        <v>dim</v>
      </c>
      <c r="V35" s="14" t="str">
        <f>TEXT(WEEKDAY(DATE($AI$10,2,19),1),"jjj")</f>
        <v>lun</v>
      </c>
      <c r="W35" s="14" t="str">
        <f>TEXT(WEEKDAY(DATE($AI$10,2,20),1),"jjj")</f>
        <v>mar</v>
      </c>
      <c r="X35" s="14" t="str">
        <f>TEXT(WEEKDAY(DATE($AI$10,2,21),1),"jjj")</f>
        <v>mer</v>
      </c>
      <c r="Y35" s="14" t="str">
        <f>TEXT(WEEKDAY(DATE($AI$10,2,22),1),"jjj")</f>
        <v>jeu</v>
      </c>
      <c r="Z35" s="14" t="str">
        <f>TEXT(WEEKDAY(DATE($AI$10,2,23),1),"jjj")</f>
        <v>ven</v>
      </c>
      <c r="AA35" s="14" t="str">
        <f>TEXT(WEEKDAY(DATE($AI$10,2,24),1),"jjj")</f>
        <v>sam</v>
      </c>
      <c r="AB35" s="14" t="str">
        <f>TEXT(WEEKDAY(DATE($AI$10,2,25),1),"jjj")</f>
        <v>dim</v>
      </c>
      <c r="AC35" s="14" t="str">
        <f>TEXT(WEEKDAY(DATE($AI$10,2,26),1),"jjj")</f>
        <v>lun</v>
      </c>
      <c r="AD35" s="14" t="str">
        <f>TEXT(WEEKDAY(DATE($AI$10,2,27),1),"jjj")</f>
        <v>mar</v>
      </c>
      <c r="AE35" s="14" t="str">
        <f>TEXT(WEEKDAY(DATE($AI$10,2,28),1),"jjj")</f>
        <v>mer</v>
      </c>
      <c r="AF35" s="14" t="str">
        <f>TEXT(WEEKDAY(DATE($AI$10,2,29),1),"jjj")</f>
        <v>jeu</v>
      </c>
      <c r="AG35" s="14"/>
      <c r="AH35" s="14"/>
      <c r="AI35" s="98"/>
    </row>
    <row r="36" spans="2:35" ht="15.75" thickBot="1" x14ac:dyDescent="0.3">
      <c r="B36" s="88"/>
      <c r="C36" s="89"/>
      <c r="D36" s="12">
        <v>1</v>
      </c>
      <c r="E36" s="12">
        <v>2</v>
      </c>
      <c r="F36" s="12">
        <v>3</v>
      </c>
      <c r="G36" s="12">
        <v>4</v>
      </c>
      <c r="H36" s="12">
        <v>5</v>
      </c>
      <c r="I36" s="12">
        <v>6</v>
      </c>
      <c r="J36" s="12">
        <v>7</v>
      </c>
      <c r="K36" s="12">
        <v>8</v>
      </c>
      <c r="L36" s="12">
        <v>9</v>
      </c>
      <c r="M36" s="12">
        <v>10</v>
      </c>
      <c r="N36" s="12">
        <v>11</v>
      </c>
      <c r="O36" s="12">
        <v>12</v>
      </c>
      <c r="P36" s="12">
        <v>13</v>
      </c>
      <c r="Q36" s="12">
        <v>14</v>
      </c>
      <c r="R36" s="12">
        <v>15</v>
      </c>
      <c r="S36" s="12">
        <v>16</v>
      </c>
      <c r="T36" s="12">
        <v>17</v>
      </c>
      <c r="U36" s="12">
        <v>18</v>
      </c>
      <c r="V36" s="12">
        <v>19</v>
      </c>
      <c r="W36" s="12">
        <v>20</v>
      </c>
      <c r="X36" s="12">
        <v>21</v>
      </c>
      <c r="Y36" s="12">
        <v>22</v>
      </c>
      <c r="Z36" s="12">
        <v>23</v>
      </c>
      <c r="AA36" s="12">
        <v>24</v>
      </c>
      <c r="AB36" s="12">
        <v>25</v>
      </c>
      <c r="AC36" s="12">
        <v>26</v>
      </c>
      <c r="AD36" s="12">
        <v>27</v>
      </c>
      <c r="AE36" s="12">
        <v>28</v>
      </c>
      <c r="AF36" s="12">
        <v>29</v>
      </c>
      <c r="AG36" s="12"/>
      <c r="AH36" s="12"/>
      <c r="AI36" s="13" t="s">
        <v>14</v>
      </c>
    </row>
    <row r="37" spans="2:35" ht="14.45" customHeight="1" x14ac:dyDescent="0.25">
      <c r="B37" s="82" t="s">
        <v>29</v>
      </c>
      <c r="C37" s="34" t="s">
        <v>23</v>
      </c>
      <c r="D37" s="25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1">
        <f t="shared" ref="AI37:AI54" si="1">COUNTA(D37:AH37)</f>
        <v>0</v>
      </c>
    </row>
    <row r="38" spans="2:35" ht="14.45" customHeight="1" x14ac:dyDescent="0.25">
      <c r="B38" s="82"/>
      <c r="C38" s="35" t="s">
        <v>24</v>
      </c>
      <c r="D38" s="26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1">
        <f t="shared" si="1"/>
        <v>0</v>
      </c>
    </row>
    <row r="39" spans="2:35" ht="14.45" customHeight="1" x14ac:dyDescent="0.25">
      <c r="B39" s="82"/>
      <c r="C39" s="36" t="s">
        <v>25</v>
      </c>
      <c r="D39" s="27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1">
        <f t="shared" si="1"/>
        <v>0</v>
      </c>
    </row>
    <row r="40" spans="2:35" ht="14.45" customHeight="1" x14ac:dyDescent="0.25">
      <c r="B40" s="82"/>
      <c r="C40" s="35" t="s">
        <v>26</v>
      </c>
      <c r="D40" s="26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11">
        <f t="shared" si="1"/>
        <v>0</v>
      </c>
    </row>
    <row r="41" spans="2:35" ht="14.45" customHeight="1" x14ac:dyDescent="0.25">
      <c r="B41" s="82"/>
      <c r="C41" s="36" t="s">
        <v>27</v>
      </c>
      <c r="D41" s="27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1">
        <f t="shared" si="1"/>
        <v>0</v>
      </c>
    </row>
    <row r="42" spans="2:35" ht="14.45" customHeight="1" x14ac:dyDescent="0.25">
      <c r="B42" s="93"/>
      <c r="C42" s="37" t="s">
        <v>28</v>
      </c>
      <c r="D42" s="28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16">
        <f t="shared" si="1"/>
        <v>0</v>
      </c>
    </row>
    <row r="43" spans="2:35" ht="14.45" customHeight="1" x14ac:dyDescent="0.25">
      <c r="B43" s="81" t="s">
        <v>36</v>
      </c>
      <c r="C43" s="36" t="s">
        <v>30</v>
      </c>
      <c r="D43" s="47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11">
        <f t="shared" si="1"/>
        <v>0</v>
      </c>
    </row>
    <row r="44" spans="2:35" ht="14.45" customHeight="1" x14ac:dyDescent="0.25">
      <c r="B44" s="82"/>
      <c r="C44" s="38" t="s">
        <v>31</v>
      </c>
      <c r="D44" s="29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11">
        <f t="shared" si="1"/>
        <v>0</v>
      </c>
    </row>
    <row r="45" spans="2:35" ht="14.45" customHeight="1" x14ac:dyDescent="0.25">
      <c r="B45" s="82"/>
      <c r="C45" s="39" t="s">
        <v>32</v>
      </c>
      <c r="D45" s="3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11">
        <f t="shared" si="1"/>
        <v>0</v>
      </c>
    </row>
    <row r="46" spans="2:35" ht="15" customHeight="1" x14ac:dyDescent="0.25">
      <c r="B46" s="82"/>
      <c r="C46" s="38" t="s">
        <v>33</v>
      </c>
      <c r="D46" s="31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1">
        <f t="shared" si="1"/>
        <v>0</v>
      </c>
    </row>
    <row r="47" spans="2:35" ht="15" customHeight="1" x14ac:dyDescent="0.25">
      <c r="B47" s="82"/>
      <c r="C47" s="39" t="s">
        <v>34</v>
      </c>
      <c r="D47" s="32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11">
        <f t="shared" si="1"/>
        <v>0</v>
      </c>
    </row>
    <row r="48" spans="2:35" ht="15" customHeight="1" x14ac:dyDescent="0.25">
      <c r="B48" s="93"/>
      <c r="C48" s="40" t="s">
        <v>35</v>
      </c>
      <c r="D48" s="33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6">
        <f t="shared" si="1"/>
        <v>0</v>
      </c>
    </row>
    <row r="49" spans="1:35" ht="15" customHeight="1" x14ac:dyDescent="0.25">
      <c r="B49" s="81" t="s">
        <v>43</v>
      </c>
      <c r="C49" s="49" t="s">
        <v>37</v>
      </c>
      <c r="D49" s="50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11">
        <f t="shared" si="1"/>
        <v>0</v>
      </c>
    </row>
    <row r="50" spans="1:35" ht="15" customHeight="1" x14ac:dyDescent="0.25">
      <c r="B50" s="82"/>
      <c r="C50" s="41" t="s">
        <v>38</v>
      </c>
      <c r="D50" s="31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1">
        <f t="shared" si="1"/>
        <v>0</v>
      </c>
    </row>
    <row r="51" spans="1:35" ht="15" customHeight="1" x14ac:dyDescent="0.25">
      <c r="B51" s="82"/>
      <c r="C51" s="42" t="s">
        <v>39</v>
      </c>
      <c r="D51" s="32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11">
        <f t="shared" si="1"/>
        <v>0</v>
      </c>
    </row>
    <row r="52" spans="1:35" ht="15" customHeight="1" x14ac:dyDescent="0.25">
      <c r="B52" s="82"/>
      <c r="C52" s="41" t="s">
        <v>40</v>
      </c>
      <c r="D52" s="31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1">
        <f t="shared" si="1"/>
        <v>0</v>
      </c>
    </row>
    <row r="53" spans="1:35" ht="15" customHeight="1" x14ac:dyDescent="0.25">
      <c r="B53" s="82"/>
      <c r="C53" s="42" t="s">
        <v>41</v>
      </c>
      <c r="D53" s="32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11">
        <f t="shared" si="1"/>
        <v>0</v>
      </c>
    </row>
    <row r="54" spans="1:35" ht="15" customHeight="1" thickBot="1" x14ac:dyDescent="0.3">
      <c r="B54" s="83"/>
      <c r="C54" s="43" t="s">
        <v>42</v>
      </c>
      <c r="D54" s="44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6">
        <f t="shared" si="1"/>
        <v>0</v>
      </c>
    </row>
    <row r="55" spans="1:35" ht="15" customHeight="1" thickBot="1" x14ac:dyDescent="0.3">
      <c r="B55" s="53"/>
      <c r="C55" s="53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91" t="s">
        <v>53</v>
      </c>
      <c r="AG55" s="92"/>
      <c r="AH55" s="92"/>
      <c r="AI55" s="58">
        <f>SUM(AI37:AI54)</f>
        <v>0</v>
      </c>
    </row>
    <row r="56" spans="1:35" ht="16.5" thickBot="1" x14ac:dyDescent="0.3">
      <c r="A56" s="8"/>
      <c r="B56" s="80" t="s">
        <v>67</v>
      </c>
      <c r="C56" s="80"/>
    </row>
    <row r="57" spans="1:35" ht="23.25" x14ac:dyDescent="0.35">
      <c r="B57" s="84" t="s">
        <v>22</v>
      </c>
      <c r="C57" s="85"/>
      <c r="D57" s="77" t="s">
        <v>18</v>
      </c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9"/>
      <c r="AI57" s="95"/>
    </row>
    <row r="58" spans="1:35" ht="14.45" customHeight="1" x14ac:dyDescent="0.25">
      <c r="A58" s="8"/>
      <c r="B58" s="86"/>
      <c r="C58" s="87"/>
      <c r="D58" s="14" t="str">
        <f>TEXT(WEEKDAY(DATE($AI$10,3,1),1),"jjj")</f>
        <v>jeu</v>
      </c>
      <c r="E58" s="14" t="str">
        <f>TEXT(WEEKDAY(DATE($AI$10,3,2),1),"jjj")</f>
        <v>ven</v>
      </c>
      <c r="F58" s="14" t="str">
        <f>TEXT(WEEKDAY(DATE($AI$10,3,3),1),"jjj")</f>
        <v>sam</v>
      </c>
      <c r="G58" s="14" t="str">
        <f>TEXT(WEEKDAY(DATE($AI$10,3,4),1),"jjj")</f>
        <v>dim</v>
      </c>
      <c r="H58" s="14" t="str">
        <f>TEXT(WEEKDAY(DATE($AI$10,3,5),1),"jjj")</f>
        <v>lun</v>
      </c>
      <c r="I58" s="14" t="str">
        <f>TEXT(WEEKDAY(DATE($AI$10,3,6),1),"jjj")</f>
        <v>mar</v>
      </c>
      <c r="J58" s="14" t="str">
        <f>TEXT(WEEKDAY(DATE($AI$10,3,7),1),"jjj")</f>
        <v>mer</v>
      </c>
      <c r="K58" s="14" t="str">
        <f>TEXT(WEEKDAY(DATE($AI$10,3,8),1),"jjj")</f>
        <v>jeu</v>
      </c>
      <c r="L58" s="14" t="str">
        <f>TEXT(WEEKDAY(DATE($AI$10,3,9),1),"jjj")</f>
        <v>ven</v>
      </c>
      <c r="M58" s="14" t="str">
        <f>TEXT(WEEKDAY(DATE($AI$10,3,10),1),"jjj")</f>
        <v>sam</v>
      </c>
      <c r="N58" s="14" t="str">
        <f>TEXT(WEEKDAY(DATE($AI$10,3,11),1),"jjj")</f>
        <v>dim</v>
      </c>
      <c r="O58" s="14" t="str">
        <f>TEXT(WEEKDAY(DATE($AI$10,3,12),1),"jjj")</f>
        <v>lun</v>
      </c>
      <c r="P58" s="14" t="str">
        <f>TEXT(WEEKDAY(DATE($AI$10,3,13),1),"jjj")</f>
        <v>mar</v>
      </c>
      <c r="Q58" s="14" t="str">
        <f>TEXT(WEEKDAY(DATE($AI$10,3,14),1),"jjj")</f>
        <v>mer</v>
      </c>
      <c r="R58" s="14" t="str">
        <f>TEXT(WEEKDAY(DATE($AI$10,3,15),1),"jjj")</f>
        <v>jeu</v>
      </c>
      <c r="S58" s="14" t="str">
        <f>TEXT(WEEKDAY(DATE($AI$10,3,16),1),"jjj")</f>
        <v>ven</v>
      </c>
      <c r="T58" s="14" t="str">
        <f>TEXT(WEEKDAY(DATE($AI$10,3,17),1),"jjj")</f>
        <v>sam</v>
      </c>
      <c r="U58" s="14" t="str">
        <f>TEXT(WEEKDAY(DATE($AI$10,3,18),1),"jjj")</f>
        <v>dim</v>
      </c>
      <c r="V58" s="14" t="str">
        <f>TEXT(WEEKDAY(DATE($AI$10,3,19),1),"jjj")</f>
        <v>lun</v>
      </c>
      <c r="W58" s="14" t="str">
        <f>TEXT(WEEKDAY(DATE($AI$10,3,20),1),"jjj")</f>
        <v>mar</v>
      </c>
      <c r="X58" s="14" t="str">
        <f>TEXT(WEEKDAY(DATE($AI$10,3,21),1),"jjj")</f>
        <v>mer</v>
      </c>
      <c r="Y58" s="14" t="str">
        <f>TEXT(WEEKDAY(DATE($AI$10,3,22),1),"jjj")</f>
        <v>jeu</v>
      </c>
      <c r="Z58" s="14" t="str">
        <f>TEXT(WEEKDAY(DATE($AI$10,3,23),1),"jjj")</f>
        <v>ven</v>
      </c>
      <c r="AA58" s="14" t="str">
        <f>TEXT(WEEKDAY(DATE($AI$10,3,24),1),"jjj")</f>
        <v>sam</v>
      </c>
      <c r="AB58" s="14" t="str">
        <f>TEXT(WEEKDAY(DATE($AI$10,3,25),1),"jjj")</f>
        <v>dim</v>
      </c>
      <c r="AC58" s="14" t="str">
        <f>TEXT(WEEKDAY(DATE($AI$10,3,26),1),"jjj")</f>
        <v>lun</v>
      </c>
      <c r="AD58" s="14" t="str">
        <f>TEXT(WEEKDAY(DATE($AI$10,3,27),1),"jjj")</f>
        <v>mar</v>
      </c>
      <c r="AE58" s="14" t="str">
        <f>TEXT(WEEKDAY(DATE($AI$10,3,28),1),"jjj")</f>
        <v>mer</v>
      </c>
      <c r="AF58" s="14" t="str">
        <f>TEXT(WEEKDAY(DATE($AI$10,3,29),1),"jjj")</f>
        <v>jeu</v>
      </c>
      <c r="AG58" s="14" t="str">
        <f>TEXT(WEEKDAY(DATE($AI$10,3,30),1),"jjj")</f>
        <v>ven</v>
      </c>
      <c r="AH58" s="14" t="str">
        <f>TEXT(WEEKDAY(DATE($AI$10,3,31),1),"jjj")</f>
        <v>sam</v>
      </c>
      <c r="AI58" s="96"/>
    </row>
    <row r="59" spans="1:35" ht="15.75" thickBot="1" x14ac:dyDescent="0.3">
      <c r="A59" s="8"/>
      <c r="B59" s="88"/>
      <c r="C59" s="89"/>
      <c r="D59" s="12">
        <v>1</v>
      </c>
      <c r="E59" s="12">
        <v>2</v>
      </c>
      <c r="F59" s="12">
        <v>3</v>
      </c>
      <c r="G59" s="12">
        <v>4</v>
      </c>
      <c r="H59" s="12">
        <v>5</v>
      </c>
      <c r="I59" s="12">
        <v>6</v>
      </c>
      <c r="J59" s="12">
        <v>7</v>
      </c>
      <c r="K59" s="12">
        <v>8</v>
      </c>
      <c r="L59" s="12">
        <v>9</v>
      </c>
      <c r="M59" s="12">
        <v>10</v>
      </c>
      <c r="N59" s="12">
        <v>11</v>
      </c>
      <c r="O59" s="12">
        <v>12</v>
      </c>
      <c r="P59" s="12">
        <v>13</v>
      </c>
      <c r="Q59" s="12">
        <v>14</v>
      </c>
      <c r="R59" s="12">
        <v>15</v>
      </c>
      <c r="S59" s="12">
        <v>16</v>
      </c>
      <c r="T59" s="12">
        <v>17</v>
      </c>
      <c r="U59" s="12">
        <v>18</v>
      </c>
      <c r="V59" s="12">
        <v>19</v>
      </c>
      <c r="W59" s="12">
        <v>20</v>
      </c>
      <c r="X59" s="12">
        <v>21</v>
      </c>
      <c r="Y59" s="12">
        <v>22</v>
      </c>
      <c r="Z59" s="12">
        <v>23</v>
      </c>
      <c r="AA59" s="12">
        <v>24</v>
      </c>
      <c r="AB59" s="12">
        <v>25</v>
      </c>
      <c r="AC59" s="12">
        <v>26</v>
      </c>
      <c r="AD59" s="12">
        <v>27</v>
      </c>
      <c r="AE59" s="12">
        <v>28</v>
      </c>
      <c r="AF59" s="12">
        <v>29</v>
      </c>
      <c r="AG59" s="12">
        <v>30</v>
      </c>
      <c r="AH59" s="12">
        <v>31</v>
      </c>
      <c r="AI59" s="13" t="s">
        <v>14</v>
      </c>
    </row>
    <row r="60" spans="1:35" ht="14.45" customHeight="1" x14ac:dyDescent="0.25">
      <c r="A60" s="8"/>
      <c r="B60" s="82" t="s">
        <v>29</v>
      </c>
      <c r="C60" s="34" t="s">
        <v>23</v>
      </c>
      <c r="D60" s="25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1">
        <f t="shared" ref="AI60:AI77" si="2">COUNTA(D60:AH60)</f>
        <v>0</v>
      </c>
    </row>
    <row r="61" spans="1:35" ht="14.45" customHeight="1" x14ac:dyDescent="0.25">
      <c r="A61" s="8"/>
      <c r="B61" s="82"/>
      <c r="C61" s="35" t="s">
        <v>24</v>
      </c>
      <c r="D61" s="26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11">
        <f t="shared" si="2"/>
        <v>0</v>
      </c>
    </row>
    <row r="62" spans="1:35" ht="14.45" customHeight="1" x14ac:dyDescent="0.25">
      <c r="A62" s="8"/>
      <c r="B62" s="82"/>
      <c r="C62" s="36" t="s">
        <v>25</v>
      </c>
      <c r="D62" s="27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1">
        <f t="shared" si="2"/>
        <v>0</v>
      </c>
    </row>
    <row r="63" spans="1:35" ht="14.45" customHeight="1" x14ac:dyDescent="0.25">
      <c r="A63" s="8"/>
      <c r="B63" s="82"/>
      <c r="C63" s="35" t="s">
        <v>26</v>
      </c>
      <c r="D63" s="26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11">
        <f t="shared" si="2"/>
        <v>0</v>
      </c>
    </row>
    <row r="64" spans="1:35" x14ac:dyDescent="0.25">
      <c r="A64" s="8"/>
      <c r="B64" s="82"/>
      <c r="C64" s="36" t="s">
        <v>27</v>
      </c>
      <c r="D64" s="27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1">
        <f t="shared" si="2"/>
        <v>0</v>
      </c>
    </row>
    <row r="65" spans="1:35" x14ac:dyDescent="0.25">
      <c r="A65" s="8"/>
      <c r="B65" s="93"/>
      <c r="C65" s="37" t="s">
        <v>28</v>
      </c>
      <c r="D65" s="28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11">
        <f t="shared" si="2"/>
        <v>0</v>
      </c>
    </row>
    <row r="66" spans="1:35" x14ac:dyDescent="0.25">
      <c r="A66" s="8"/>
      <c r="B66" s="81" t="s">
        <v>36</v>
      </c>
      <c r="C66" s="36" t="s">
        <v>30</v>
      </c>
      <c r="D66" s="47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11">
        <f t="shared" si="2"/>
        <v>0</v>
      </c>
    </row>
    <row r="67" spans="1:35" x14ac:dyDescent="0.25">
      <c r="A67" s="8"/>
      <c r="B67" s="82"/>
      <c r="C67" s="38" t="s">
        <v>31</v>
      </c>
      <c r="D67" s="29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11">
        <f t="shared" si="2"/>
        <v>0</v>
      </c>
    </row>
    <row r="68" spans="1:35" x14ac:dyDescent="0.25">
      <c r="A68" s="8"/>
      <c r="B68" s="82"/>
      <c r="C68" s="39" t="s">
        <v>32</v>
      </c>
      <c r="D68" s="3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11">
        <f t="shared" si="2"/>
        <v>0</v>
      </c>
    </row>
    <row r="69" spans="1:35" x14ac:dyDescent="0.25">
      <c r="A69" s="8"/>
      <c r="B69" s="82"/>
      <c r="C69" s="38" t="s">
        <v>33</v>
      </c>
      <c r="D69" s="31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1">
        <f t="shared" si="2"/>
        <v>0</v>
      </c>
    </row>
    <row r="70" spans="1:35" x14ac:dyDescent="0.25">
      <c r="A70" s="8"/>
      <c r="B70" s="82"/>
      <c r="C70" s="39" t="s">
        <v>34</v>
      </c>
      <c r="D70" s="32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11">
        <f t="shared" si="2"/>
        <v>0</v>
      </c>
    </row>
    <row r="71" spans="1:35" x14ac:dyDescent="0.25">
      <c r="B71" s="93"/>
      <c r="C71" s="40" t="s">
        <v>35</v>
      </c>
      <c r="D71" s="33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1">
        <f t="shared" si="2"/>
        <v>0</v>
      </c>
    </row>
    <row r="72" spans="1:35" x14ac:dyDescent="0.25">
      <c r="B72" s="81" t="s">
        <v>43</v>
      </c>
      <c r="C72" s="49" t="s">
        <v>37</v>
      </c>
      <c r="D72" s="50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11">
        <f t="shared" si="2"/>
        <v>0</v>
      </c>
    </row>
    <row r="73" spans="1:35" x14ac:dyDescent="0.25">
      <c r="B73" s="82"/>
      <c r="C73" s="41" t="s">
        <v>38</v>
      </c>
      <c r="D73" s="31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1">
        <f t="shared" si="2"/>
        <v>0</v>
      </c>
    </row>
    <row r="74" spans="1:35" x14ac:dyDescent="0.25">
      <c r="B74" s="82"/>
      <c r="C74" s="42" t="s">
        <v>39</v>
      </c>
      <c r="D74" s="32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11">
        <f t="shared" si="2"/>
        <v>0</v>
      </c>
    </row>
    <row r="75" spans="1:35" x14ac:dyDescent="0.25">
      <c r="B75" s="82"/>
      <c r="C75" s="41" t="s">
        <v>40</v>
      </c>
      <c r="D75" s="31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1">
        <f t="shared" si="2"/>
        <v>0</v>
      </c>
    </row>
    <row r="76" spans="1:35" x14ac:dyDescent="0.25">
      <c r="B76" s="82"/>
      <c r="C76" s="42" t="s">
        <v>41</v>
      </c>
      <c r="D76" s="32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11">
        <f t="shared" si="2"/>
        <v>0</v>
      </c>
    </row>
    <row r="77" spans="1:35" ht="15.75" thickBot="1" x14ac:dyDescent="0.3">
      <c r="B77" s="83"/>
      <c r="C77" s="43" t="s">
        <v>42</v>
      </c>
      <c r="D77" s="44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57">
        <f t="shared" si="2"/>
        <v>0</v>
      </c>
    </row>
    <row r="78" spans="1:35" ht="15.75" thickBot="1" x14ac:dyDescent="0.3">
      <c r="AF78" s="91" t="s">
        <v>53</v>
      </c>
      <c r="AG78" s="92"/>
      <c r="AH78" s="92"/>
      <c r="AI78" s="58">
        <f>SUM(AI60:AI77)</f>
        <v>0</v>
      </c>
    </row>
    <row r="79" spans="1:35" ht="16.5" thickBot="1" x14ac:dyDescent="0.3">
      <c r="A79" s="8"/>
      <c r="B79" s="80" t="s">
        <v>67</v>
      </c>
      <c r="C79" s="80"/>
    </row>
    <row r="80" spans="1:35" ht="23.25" x14ac:dyDescent="0.35">
      <c r="B80" s="84" t="s">
        <v>44</v>
      </c>
      <c r="C80" s="85"/>
      <c r="D80" s="77" t="s">
        <v>18</v>
      </c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78"/>
      <c r="S80" s="78"/>
      <c r="T80" s="78"/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9"/>
      <c r="AI80" s="95"/>
    </row>
    <row r="81" spans="2:35" x14ac:dyDescent="0.25">
      <c r="B81" s="86"/>
      <c r="C81" s="87"/>
      <c r="D81" s="14" t="str">
        <f>TEXT(WEEKDAY(DATE($AI$10,4,1),1),"jjj")</f>
        <v>dim</v>
      </c>
      <c r="E81" s="14" t="str">
        <f>TEXT(WEEKDAY(DATE($AI$10,4,2),1),"jjj")</f>
        <v>lun</v>
      </c>
      <c r="F81" s="14" t="str">
        <f>TEXT(WEEKDAY(DATE($AI$10,4,3),1),"jjj")</f>
        <v>mar</v>
      </c>
      <c r="G81" s="14" t="str">
        <f>TEXT(WEEKDAY(DATE($AI$10,4,4),1),"jjj")</f>
        <v>mer</v>
      </c>
      <c r="H81" s="14" t="str">
        <f>TEXT(WEEKDAY(DATE($AI$10,4,5),1),"jjj")</f>
        <v>jeu</v>
      </c>
      <c r="I81" s="14" t="str">
        <f>TEXT(WEEKDAY(DATE($AI$10,4,6),1),"jjj")</f>
        <v>ven</v>
      </c>
      <c r="J81" s="14" t="str">
        <f>TEXT(WEEKDAY(DATE($AI$10,4,7),1),"jjj")</f>
        <v>sam</v>
      </c>
      <c r="K81" s="14" t="str">
        <f>TEXT(WEEKDAY(DATE($AI$10,4,8),1),"jjj")</f>
        <v>dim</v>
      </c>
      <c r="L81" s="14" t="str">
        <f>TEXT(WEEKDAY(DATE($AI$10,4,9),1),"jjj")</f>
        <v>lun</v>
      </c>
      <c r="M81" s="14" t="str">
        <f>TEXT(WEEKDAY(DATE($AI$10,4,10),1),"jjj")</f>
        <v>mar</v>
      </c>
      <c r="N81" s="14" t="str">
        <f>TEXT(WEEKDAY(DATE($AI$10,4,11),1),"jjj")</f>
        <v>mer</v>
      </c>
      <c r="O81" s="14" t="str">
        <f>TEXT(WEEKDAY(DATE($AI$10,4,12),1),"jjj")</f>
        <v>jeu</v>
      </c>
      <c r="P81" s="14" t="str">
        <f>TEXT(WEEKDAY(DATE($AI$10,4,13),1),"jjj")</f>
        <v>ven</v>
      </c>
      <c r="Q81" s="14" t="str">
        <f>TEXT(WEEKDAY(DATE($AI$10,4,14),1),"jjj")</f>
        <v>sam</v>
      </c>
      <c r="R81" s="14" t="str">
        <f>TEXT(WEEKDAY(DATE($AI$10,4,15),1),"jjj")</f>
        <v>dim</v>
      </c>
      <c r="S81" s="14" t="str">
        <f>TEXT(WEEKDAY(DATE($AI$10,4,16),1),"jjj")</f>
        <v>lun</v>
      </c>
      <c r="T81" s="14" t="str">
        <f>TEXT(WEEKDAY(DATE($AI$10,4,17),1),"jjj")</f>
        <v>mar</v>
      </c>
      <c r="U81" s="14" t="str">
        <f>TEXT(WEEKDAY(DATE($AI$10,4,18),1),"jjj")</f>
        <v>mer</v>
      </c>
      <c r="V81" s="14" t="str">
        <f>TEXT(WEEKDAY(DATE($AI$10,4,19),1),"jjj")</f>
        <v>jeu</v>
      </c>
      <c r="W81" s="14" t="str">
        <f>TEXT(WEEKDAY(DATE($AI$10,4,20),1),"jjj")</f>
        <v>ven</v>
      </c>
      <c r="X81" s="14" t="str">
        <f>TEXT(WEEKDAY(DATE($AI$10,4,21),1),"jjj")</f>
        <v>sam</v>
      </c>
      <c r="Y81" s="14" t="str">
        <f>TEXT(WEEKDAY(DATE($AI$10,4,22),1),"jjj")</f>
        <v>dim</v>
      </c>
      <c r="Z81" s="14" t="str">
        <f>TEXT(WEEKDAY(DATE($AI$10,4,23),1),"jjj")</f>
        <v>lun</v>
      </c>
      <c r="AA81" s="14" t="str">
        <f>TEXT(WEEKDAY(DATE($AI$10,4,24),1),"jjj")</f>
        <v>mar</v>
      </c>
      <c r="AB81" s="14" t="str">
        <f>TEXT(WEEKDAY(DATE($AI$10,4,25),1),"jjj")</f>
        <v>mer</v>
      </c>
      <c r="AC81" s="14" t="str">
        <f>TEXT(WEEKDAY(DATE($AI$10,4,26),1),"jjj")</f>
        <v>jeu</v>
      </c>
      <c r="AD81" s="14" t="str">
        <f>TEXT(WEEKDAY(DATE($AI$10,4,27),1),"jjj")</f>
        <v>ven</v>
      </c>
      <c r="AE81" s="14" t="str">
        <f>TEXT(WEEKDAY(DATE($AI$10,4,28),1),"jjj")</f>
        <v>sam</v>
      </c>
      <c r="AF81" s="14" t="str">
        <f>TEXT(WEEKDAY(DATE($AI$10,4,29),1),"jjj")</f>
        <v>dim</v>
      </c>
      <c r="AG81" s="14" t="str">
        <f>TEXT(WEEKDAY(DATE($AI$10,4,30),1),"jjj")</f>
        <v>lun</v>
      </c>
      <c r="AH81" s="14"/>
      <c r="AI81" s="96"/>
    </row>
    <row r="82" spans="2:35" ht="15.75" thickBot="1" x14ac:dyDescent="0.3">
      <c r="B82" s="88"/>
      <c r="C82" s="89"/>
      <c r="D82" s="12">
        <v>1</v>
      </c>
      <c r="E82" s="12">
        <v>2</v>
      </c>
      <c r="F82" s="12">
        <v>3</v>
      </c>
      <c r="G82" s="12">
        <v>4</v>
      </c>
      <c r="H82" s="12">
        <v>5</v>
      </c>
      <c r="I82" s="12">
        <v>6</v>
      </c>
      <c r="J82" s="12">
        <v>7</v>
      </c>
      <c r="K82" s="12">
        <v>8</v>
      </c>
      <c r="L82" s="12">
        <v>9</v>
      </c>
      <c r="M82" s="12">
        <v>10</v>
      </c>
      <c r="N82" s="12">
        <v>11</v>
      </c>
      <c r="O82" s="12">
        <v>12</v>
      </c>
      <c r="P82" s="12">
        <v>13</v>
      </c>
      <c r="Q82" s="12">
        <v>14</v>
      </c>
      <c r="R82" s="12">
        <v>15</v>
      </c>
      <c r="S82" s="12">
        <v>16</v>
      </c>
      <c r="T82" s="12">
        <v>17</v>
      </c>
      <c r="U82" s="12">
        <v>18</v>
      </c>
      <c r="V82" s="12">
        <v>19</v>
      </c>
      <c r="W82" s="12">
        <v>20</v>
      </c>
      <c r="X82" s="12">
        <v>21</v>
      </c>
      <c r="Y82" s="12">
        <v>22</v>
      </c>
      <c r="Z82" s="12">
        <v>23</v>
      </c>
      <c r="AA82" s="12">
        <v>24</v>
      </c>
      <c r="AB82" s="12">
        <v>25</v>
      </c>
      <c r="AC82" s="12">
        <v>26</v>
      </c>
      <c r="AD82" s="12">
        <v>27</v>
      </c>
      <c r="AE82" s="12">
        <v>28</v>
      </c>
      <c r="AF82" s="12">
        <v>29</v>
      </c>
      <c r="AG82" s="12">
        <v>30</v>
      </c>
      <c r="AH82" s="12"/>
      <c r="AI82" s="13" t="s">
        <v>14</v>
      </c>
    </row>
    <row r="83" spans="2:35" x14ac:dyDescent="0.25">
      <c r="B83" s="82" t="s">
        <v>29</v>
      </c>
      <c r="C83" s="34" t="s">
        <v>23</v>
      </c>
      <c r="D83" s="25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1">
        <f t="shared" ref="AI83:AI100" si="3">COUNTA(D83:AH83)</f>
        <v>0</v>
      </c>
    </row>
    <row r="84" spans="2:35" x14ac:dyDescent="0.25">
      <c r="B84" s="82"/>
      <c r="C84" s="35" t="s">
        <v>24</v>
      </c>
      <c r="D84" s="26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11">
        <f t="shared" si="3"/>
        <v>0</v>
      </c>
    </row>
    <row r="85" spans="2:35" x14ac:dyDescent="0.25">
      <c r="B85" s="82"/>
      <c r="C85" s="36" t="s">
        <v>25</v>
      </c>
      <c r="D85" s="27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1">
        <f t="shared" si="3"/>
        <v>0</v>
      </c>
    </row>
    <row r="86" spans="2:35" x14ac:dyDescent="0.25">
      <c r="B86" s="82"/>
      <c r="C86" s="35" t="s">
        <v>26</v>
      </c>
      <c r="D86" s="26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11">
        <f t="shared" si="3"/>
        <v>0</v>
      </c>
    </row>
    <row r="87" spans="2:35" x14ac:dyDescent="0.25">
      <c r="B87" s="82"/>
      <c r="C87" s="36" t="s">
        <v>27</v>
      </c>
      <c r="D87" s="27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1">
        <f t="shared" si="3"/>
        <v>0</v>
      </c>
    </row>
    <row r="88" spans="2:35" x14ac:dyDescent="0.25">
      <c r="B88" s="93"/>
      <c r="C88" s="37" t="s">
        <v>28</v>
      </c>
      <c r="D88" s="28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16">
        <f t="shared" si="3"/>
        <v>0</v>
      </c>
    </row>
    <row r="89" spans="2:35" x14ac:dyDescent="0.25">
      <c r="B89" s="81" t="s">
        <v>36</v>
      </c>
      <c r="C89" s="36" t="s">
        <v>30</v>
      </c>
      <c r="D89" s="47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11">
        <f t="shared" si="3"/>
        <v>0</v>
      </c>
    </row>
    <row r="90" spans="2:35" x14ac:dyDescent="0.25">
      <c r="B90" s="82"/>
      <c r="C90" s="38" t="s">
        <v>31</v>
      </c>
      <c r="D90" s="29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11">
        <f t="shared" si="3"/>
        <v>0</v>
      </c>
    </row>
    <row r="91" spans="2:35" x14ac:dyDescent="0.25">
      <c r="B91" s="82"/>
      <c r="C91" s="39" t="s">
        <v>32</v>
      </c>
      <c r="D91" s="3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11">
        <f t="shared" si="3"/>
        <v>0</v>
      </c>
    </row>
    <row r="92" spans="2:35" x14ac:dyDescent="0.25">
      <c r="B92" s="82"/>
      <c r="C92" s="38" t="s">
        <v>33</v>
      </c>
      <c r="D92" s="31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1">
        <f t="shared" si="3"/>
        <v>0</v>
      </c>
    </row>
    <row r="93" spans="2:35" x14ac:dyDescent="0.25">
      <c r="B93" s="82"/>
      <c r="C93" s="39" t="s">
        <v>34</v>
      </c>
      <c r="D93" s="32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11">
        <f t="shared" si="3"/>
        <v>0</v>
      </c>
    </row>
    <row r="94" spans="2:35" x14ac:dyDescent="0.25">
      <c r="B94" s="93"/>
      <c r="C94" s="40" t="s">
        <v>35</v>
      </c>
      <c r="D94" s="33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6">
        <f t="shared" si="3"/>
        <v>0</v>
      </c>
    </row>
    <row r="95" spans="2:35" x14ac:dyDescent="0.25">
      <c r="B95" s="81" t="s">
        <v>43</v>
      </c>
      <c r="C95" s="49" t="s">
        <v>37</v>
      </c>
      <c r="D95" s="50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11">
        <f t="shared" si="3"/>
        <v>0</v>
      </c>
    </row>
    <row r="96" spans="2:35" x14ac:dyDescent="0.25">
      <c r="B96" s="82"/>
      <c r="C96" s="41" t="s">
        <v>38</v>
      </c>
      <c r="D96" s="31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1">
        <f t="shared" si="3"/>
        <v>0</v>
      </c>
    </row>
    <row r="97" spans="1:35" x14ac:dyDescent="0.25">
      <c r="B97" s="82"/>
      <c r="C97" s="42" t="s">
        <v>39</v>
      </c>
      <c r="D97" s="32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11">
        <f t="shared" si="3"/>
        <v>0</v>
      </c>
    </row>
    <row r="98" spans="1:35" x14ac:dyDescent="0.25">
      <c r="B98" s="82"/>
      <c r="C98" s="41" t="s">
        <v>40</v>
      </c>
      <c r="D98" s="31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1">
        <f t="shared" si="3"/>
        <v>0</v>
      </c>
    </row>
    <row r="99" spans="1:35" x14ac:dyDescent="0.25">
      <c r="B99" s="82"/>
      <c r="C99" s="42" t="s">
        <v>41</v>
      </c>
      <c r="D99" s="32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11">
        <f t="shared" si="3"/>
        <v>0</v>
      </c>
    </row>
    <row r="100" spans="1:35" ht="15.75" thickBot="1" x14ac:dyDescent="0.3">
      <c r="B100" s="83"/>
      <c r="C100" s="43" t="s">
        <v>42</v>
      </c>
      <c r="D100" s="44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6">
        <f t="shared" si="3"/>
        <v>0</v>
      </c>
    </row>
    <row r="101" spans="1:35" ht="15.75" thickBot="1" x14ac:dyDescent="0.3">
      <c r="AF101" s="91" t="s">
        <v>53</v>
      </c>
      <c r="AG101" s="92"/>
      <c r="AH101" s="92"/>
      <c r="AI101" s="58">
        <f>SUM(AI83:AI100)</f>
        <v>0</v>
      </c>
    </row>
    <row r="102" spans="1:35" ht="16.5" thickBot="1" x14ac:dyDescent="0.3">
      <c r="A102" s="8"/>
      <c r="B102" s="80" t="s">
        <v>67</v>
      </c>
      <c r="C102" s="80"/>
    </row>
    <row r="103" spans="1:35" ht="23.25" x14ac:dyDescent="0.35">
      <c r="B103" s="84" t="s">
        <v>45</v>
      </c>
      <c r="C103" s="85"/>
      <c r="D103" s="77" t="s">
        <v>18</v>
      </c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9"/>
      <c r="AI103" s="95"/>
    </row>
    <row r="104" spans="1:35" x14ac:dyDescent="0.25">
      <c r="B104" s="86"/>
      <c r="C104" s="87"/>
      <c r="D104" s="14" t="str">
        <f>TEXT(WEEKDAY(DATE($AI$10,5,1),1),"jjj")</f>
        <v>mar</v>
      </c>
      <c r="E104" s="14" t="str">
        <f>TEXT(WEEKDAY(DATE($AI$10,5,2),1),"jjj")</f>
        <v>mer</v>
      </c>
      <c r="F104" s="14" t="str">
        <f>TEXT(WEEKDAY(DATE($AI$10,5,3),1),"jjj")</f>
        <v>jeu</v>
      </c>
      <c r="G104" s="14" t="str">
        <f>TEXT(WEEKDAY(DATE($AI$10,5,4),1),"jjj")</f>
        <v>ven</v>
      </c>
      <c r="H104" s="14" t="str">
        <f>TEXT(WEEKDAY(DATE($AI$10,5,5),1),"jjj")</f>
        <v>sam</v>
      </c>
      <c r="I104" s="14" t="str">
        <f>TEXT(WEEKDAY(DATE($AI$10,5,6),1),"jjj")</f>
        <v>dim</v>
      </c>
      <c r="J104" s="14" t="str">
        <f>TEXT(WEEKDAY(DATE($AI$10,5,7),1),"jjj")</f>
        <v>lun</v>
      </c>
      <c r="K104" s="14" t="str">
        <f>TEXT(WEEKDAY(DATE($AI$10,5,8),1),"jjj")</f>
        <v>mar</v>
      </c>
      <c r="L104" s="14" t="str">
        <f>TEXT(WEEKDAY(DATE($AI$10,5,9),1),"jjj")</f>
        <v>mer</v>
      </c>
      <c r="M104" s="14" t="str">
        <f>TEXT(WEEKDAY(DATE($AI$10,5,10),1),"jjj")</f>
        <v>jeu</v>
      </c>
      <c r="N104" s="14" t="str">
        <f>TEXT(WEEKDAY(DATE($AI$10,5,11),1),"jjj")</f>
        <v>ven</v>
      </c>
      <c r="O104" s="14" t="str">
        <f>TEXT(WEEKDAY(DATE($AI$10,5,12),1),"jjj")</f>
        <v>sam</v>
      </c>
      <c r="P104" s="14" t="str">
        <f>TEXT(WEEKDAY(DATE($AI$10,5,13),1),"jjj")</f>
        <v>dim</v>
      </c>
      <c r="Q104" s="14" t="str">
        <f>TEXT(WEEKDAY(DATE($AI$10,5,14),1),"jjj")</f>
        <v>lun</v>
      </c>
      <c r="R104" s="14" t="str">
        <f>TEXT(WEEKDAY(DATE($AI$10,5,15),1),"jjj")</f>
        <v>mar</v>
      </c>
      <c r="S104" s="14" t="str">
        <f>TEXT(WEEKDAY(DATE($AI$10,5,16),1),"jjj")</f>
        <v>mer</v>
      </c>
      <c r="T104" s="14" t="str">
        <f>TEXT(WEEKDAY(DATE($AI$10,5,17),1),"jjj")</f>
        <v>jeu</v>
      </c>
      <c r="U104" s="14" t="str">
        <f>TEXT(WEEKDAY(DATE($AI$10,5,18),1),"jjj")</f>
        <v>ven</v>
      </c>
      <c r="V104" s="14" t="str">
        <f>TEXT(WEEKDAY(DATE($AI$10,5,19),1),"jjj")</f>
        <v>sam</v>
      </c>
      <c r="W104" s="14" t="str">
        <f>TEXT(WEEKDAY(DATE($AI$10,5,20),1),"jjj")</f>
        <v>dim</v>
      </c>
      <c r="X104" s="14" t="str">
        <f>TEXT(WEEKDAY(DATE($AI$10,5,21),1),"jjj")</f>
        <v>lun</v>
      </c>
      <c r="Y104" s="14" t="str">
        <f>TEXT(WEEKDAY(DATE($AI$10,5,22),1),"jjj")</f>
        <v>mar</v>
      </c>
      <c r="Z104" s="14" t="str">
        <f>TEXT(WEEKDAY(DATE($AI$10,5,23),1),"jjj")</f>
        <v>mer</v>
      </c>
      <c r="AA104" s="14" t="str">
        <f>TEXT(WEEKDAY(DATE($AI$10,5,24),1),"jjj")</f>
        <v>jeu</v>
      </c>
      <c r="AB104" s="14" t="str">
        <f>TEXT(WEEKDAY(DATE($AI$10,5,25),1),"jjj")</f>
        <v>ven</v>
      </c>
      <c r="AC104" s="14" t="str">
        <f>TEXT(WEEKDAY(DATE($AI$10,5,26),1),"jjj")</f>
        <v>sam</v>
      </c>
      <c r="AD104" s="14" t="str">
        <f>TEXT(WEEKDAY(DATE($AI$10,5,27),1),"jjj")</f>
        <v>dim</v>
      </c>
      <c r="AE104" s="14" t="str">
        <f>TEXT(WEEKDAY(DATE($AI$10,5,28),1),"jjj")</f>
        <v>lun</v>
      </c>
      <c r="AF104" s="14" t="str">
        <f>TEXT(WEEKDAY(DATE($AI$10,5,29),1),"jjj")</f>
        <v>mar</v>
      </c>
      <c r="AG104" s="14" t="str">
        <f>TEXT(WEEKDAY(DATE($AI$10,5,30),1),"jjj")</f>
        <v>mer</v>
      </c>
      <c r="AH104" s="14" t="str">
        <f>TEXT(WEEKDAY(DATE($AI$10,6,31),1),"jjj")</f>
        <v>dim</v>
      </c>
      <c r="AI104" s="96"/>
    </row>
    <row r="105" spans="1:35" ht="15.75" thickBot="1" x14ac:dyDescent="0.3">
      <c r="B105" s="88"/>
      <c r="C105" s="89"/>
      <c r="D105" s="12">
        <v>1</v>
      </c>
      <c r="E105" s="12">
        <v>2</v>
      </c>
      <c r="F105" s="12">
        <v>3</v>
      </c>
      <c r="G105" s="12">
        <v>4</v>
      </c>
      <c r="H105" s="12">
        <v>5</v>
      </c>
      <c r="I105" s="12">
        <v>6</v>
      </c>
      <c r="J105" s="12">
        <v>7</v>
      </c>
      <c r="K105" s="12">
        <v>8</v>
      </c>
      <c r="L105" s="12">
        <v>9</v>
      </c>
      <c r="M105" s="12">
        <v>10</v>
      </c>
      <c r="N105" s="12">
        <v>11</v>
      </c>
      <c r="O105" s="12">
        <v>12</v>
      </c>
      <c r="P105" s="12">
        <v>13</v>
      </c>
      <c r="Q105" s="12">
        <v>14</v>
      </c>
      <c r="R105" s="12">
        <v>15</v>
      </c>
      <c r="S105" s="12">
        <v>16</v>
      </c>
      <c r="T105" s="12">
        <v>17</v>
      </c>
      <c r="U105" s="12">
        <v>18</v>
      </c>
      <c r="V105" s="12">
        <v>19</v>
      </c>
      <c r="W105" s="12">
        <v>20</v>
      </c>
      <c r="X105" s="12">
        <v>21</v>
      </c>
      <c r="Y105" s="12">
        <v>22</v>
      </c>
      <c r="Z105" s="12">
        <v>23</v>
      </c>
      <c r="AA105" s="12">
        <v>24</v>
      </c>
      <c r="AB105" s="12">
        <v>25</v>
      </c>
      <c r="AC105" s="12">
        <v>26</v>
      </c>
      <c r="AD105" s="12">
        <v>27</v>
      </c>
      <c r="AE105" s="12">
        <v>28</v>
      </c>
      <c r="AF105" s="12">
        <v>29</v>
      </c>
      <c r="AG105" s="12">
        <v>30</v>
      </c>
      <c r="AH105" s="12">
        <v>31</v>
      </c>
      <c r="AI105" s="13" t="s">
        <v>14</v>
      </c>
    </row>
    <row r="106" spans="1:35" x14ac:dyDescent="0.25">
      <c r="B106" s="82" t="s">
        <v>29</v>
      </c>
      <c r="C106" s="34" t="s">
        <v>23</v>
      </c>
      <c r="D106" s="25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1">
        <f t="shared" ref="AI106:AI123" si="4">COUNTA(D106:AH106)</f>
        <v>0</v>
      </c>
    </row>
    <row r="107" spans="1:35" x14ac:dyDescent="0.25">
      <c r="B107" s="82"/>
      <c r="C107" s="35" t="s">
        <v>24</v>
      </c>
      <c r="D107" s="26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11">
        <f t="shared" si="4"/>
        <v>0</v>
      </c>
    </row>
    <row r="108" spans="1:35" x14ac:dyDescent="0.25">
      <c r="B108" s="82"/>
      <c r="C108" s="36" t="s">
        <v>25</v>
      </c>
      <c r="D108" s="27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1">
        <f t="shared" si="4"/>
        <v>0</v>
      </c>
    </row>
    <row r="109" spans="1:35" x14ac:dyDescent="0.25">
      <c r="B109" s="82"/>
      <c r="C109" s="35" t="s">
        <v>26</v>
      </c>
      <c r="D109" s="26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11">
        <f t="shared" si="4"/>
        <v>0</v>
      </c>
    </row>
    <row r="110" spans="1:35" x14ac:dyDescent="0.25">
      <c r="B110" s="82"/>
      <c r="C110" s="36" t="s">
        <v>27</v>
      </c>
      <c r="D110" s="27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1">
        <f t="shared" si="4"/>
        <v>0</v>
      </c>
    </row>
    <row r="111" spans="1:35" x14ac:dyDescent="0.25">
      <c r="B111" s="93"/>
      <c r="C111" s="37" t="s">
        <v>28</v>
      </c>
      <c r="D111" s="28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1">
        <f t="shared" si="4"/>
        <v>0</v>
      </c>
    </row>
    <row r="112" spans="1:35" x14ac:dyDescent="0.25">
      <c r="B112" s="81" t="s">
        <v>36</v>
      </c>
      <c r="C112" s="36" t="s">
        <v>30</v>
      </c>
      <c r="D112" s="47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11">
        <f t="shared" si="4"/>
        <v>0</v>
      </c>
    </row>
    <row r="113" spans="1:35" x14ac:dyDescent="0.25">
      <c r="B113" s="82"/>
      <c r="C113" s="38" t="s">
        <v>31</v>
      </c>
      <c r="D113" s="29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11">
        <f t="shared" si="4"/>
        <v>0</v>
      </c>
    </row>
    <row r="114" spans="1:35" x14ac:dyDescent="0.25">
      <c r="B114" s="82"/>
      <c r="C114" s="39" t="s">
        <v>32</v>
      </c>
      <c r="D114" s="3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11">
        <f t="shared" si="4"/>
        <v>0</v>
      </c>
    </row>
    <row r="115" spans="1:35" x14ac:dyDescent="0.25">
      <c r="B115" s="82"/>
      <c r="C115" s="38" t="s">
        <v>33</v>
      </c>
      <c r="D115" s="31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1">
        <f t="shared" si="4"/>
        <v>0</v>
      </c>
    </row>
    <row r="116" spans="1:35" x14ac:dyDescent="0.25">
      <c r="B116" s="82"/>
      <c r="C116" s="39" t="s">
        <v>34</v>
      </c>
      <c r="D116" s="32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11">
        <f t="shared" si="4"/>
        <v>0</v>
      </c>
    </row>
    <row r="117" spans="1:35" x14ac:dyDescent="0.25">
      <c r="B117" s="93"/>
      <c r="C117" s="40" t="s">
        <v>35</v>
      </c>
      <c r="D117" s="33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1">
        <f t="shared" si="4"/>
        <v>0</v>
      </c>
    </row>
    <row r="118" spans="1:35" x14ac:dyDescent="0.25">
      <c r="B118" s="81" t="s">
        <v>43</v>
      </c>
      <c r="C118" s="49" t="s">
        <v>37</v>
      </c>
      <c r="D118" s="50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11">
        <f t="shared" si="4"/>
        <v>0</v>
      </c>
    </row>
    <row r="119" spans="1:35" x14ac:dyDescent="0.25">
      <c r="B119" s="82"/>
      <c r="C119" s="41" t="s">
        <v>38</v>
      </c>
      <c r="D119" s="31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1">
        <f t="shared" si="4"/>
        <v>0</v>
      </c>
    </row>
    <row r="120" spans="1:35" x14ac:dyDescent="0.25">
      <c r="B120" s="82"/>
      <c r="C120" s="42" t="s">
        <v>39</v>
      </c>
      <c r="D120" s="32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11">
        <f t="shared" si="4"/>
        <v>0</v>
      </c>
    </row>
    <row r="121" spans="1:35" x14ac:dyDescent="0.25">
      <c r="B121" s="82"/>
      <c r="C121" s="41" t="s">
        <v>40</v>
      </c>
      <c r="D121" s="31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1">
        <f t="shared" si="4"/>
        <v>0</v>
      </c>
    </row>
    <row r="122" spans="1:35" x14ac:dyDescent="0.25">
      <c r="B122" s="82"/>
      <c r="C122" s="42" t="s">
        <v>41</v>
      </c>
      <c r="D122" s="32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11">
        <f t="shared" si="4"/>
        <v>0</v>
      </c>
    </row>
    <row r="123" spans="1:35" ht="15.75" thickBot="1" x14ac:dyDescent="0.3">
      <c r="B123" s="83"/>
      <c r="C123" s="43" t="s">
        <v>42</v>
      </c>
      <c r="D123" s="44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G123" s="45"/>
      <c r="AH123" s="45"/>
      <c r="AI123" s="57">
        <f t="shared" si="4"/>
        <v>0</v>
      </c>
    </row>
    <row r="124" spans="1:35" ht="15.75" thickBot="1" x14ac:dyDescent="0.3">
      <c r="AF124" s="91" t="s">
        <v>53</v>
      </c>
      <c r="AG124" s="92"/>
      <c r="AH124" s="92"/>
      <c r="AI124" s="58">
        <f>SUM(AI106:AI123)</f>
        <v>0</v>
      </c>
    </row>
    <row r="125" spans="1:35" ht="16.5" thickBot="1" x14ac:dyDescent="0.3">
      <c r="A125" s="8"/>
      <c r="B125" s="80" t="s">
        <v>67</v>
      </c>
      <c r="C125" s="80"/>
    </row>
    <row r="126" spans="1:35" ht="23.25" x14ac:dyDescent="0.35">
      <c r="B126" s="84" t="s">
        <v>46</v>
      </c>
      <c r="C126" s="85"/>
      <c r="D126" s="77" t="s">
        <v>18</v>
      </c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9"/>
      <c r="AI126" s="95"/>
    </row>
    <row r="127" spans="1:35" x14ac:dyDescent="0.25">
      <c r="B127" s="86"/>
      <c r="C127" s="87"/>
      <c r="D127" s="14" t="str">
        <f>TEXT(WEEKDAY(DATE($AI$10,6,1),1),"jjj")</f>
        <v>ven</v>
      </c>
      <c r="E127" s="14" t="str">
        <f>TEXT(WEEKDAY(DATE($AI$10,6,2),1),"jjj")</f>
        <v>sam</v>
      </c>
      <c r="F127" s="14" t="str">
        <f>TEXT(WEEKDAY(DATE($AI$10,6,3),1),"jjj")</f>
        <v>dim</v>
      </c>
      <c r="G127" s="14" t="str">
        <f>TEXT(WEEKDAY(DATE($AI$10,6,4),1),"jjj")</f>
        <v>lun</v>
      </c>
      <c r="H127" s="14" t="str">
        <f>TEXT(WEEKDAY(DATE($AI$10,6,5),1),"jjj")</f>
        <v>mar</v>
      </c>
      <c r="I127" s="14" t="str">
        <f>TEXT(WEEKDAY(DATE($AI$10,6,6),1),"jjj")</f>
        <v>mer</v>
      </c>
      <c r="J127" s="14" t="str">
        <f>TEXT(WEEKDAY(DATE($AI$10,6,7),1),"jjj")</f>
        <v>jeu</v>
      </c>
      <c r="K127" s="14" t="str">
        <f>TEXT(WEEKDAY(DATE($AI$10,6,8),1),"jjj")</f>
        <v>ven</v>
      </c>
      <c r="L127" s="14" t="str">
        <f>TEXT(WEEKDAY(DATE($AI$10,6,9),1),"jjj")</f>
        <v>sam</v>
      </c>
      <c r="M127" s="14" t="str">
        <f>TEXT(WEEKDAY(DATE($AI$10,6,10),1),"jjj")</f>
        <v>dim</v>
      </c>
      <c r="N127" s="14" t="str">
        <f>TEXT(WEEKDAY(DATE($AI$10,6,11),1),"jjj")</f>
        <v>lun</v>
      </c>
      <c r="O127" s="14" t="str">
        <f>TEXT(WEEKDAY(DATE($AI$10,6,12),1),"jjj")</f>
        <v>mar</v>
      </c>
      <c r="P127" s="14" t="str">
        <f>TEXT(WEEKDAY(DATE($AI$10,6,13),1),"jjj")</f>
        <v>mer</v>
      </c>
      <c r="Q127" s="14" t="str">
        <f>TEXT(WEEKDAY(DATE($AI$10,6,14),1),"jjj")</f>
        <v>jeu</v>
      </c>
      <c r="R127" s="14" t="str">
        <f>TEXT(WEEKDAY(DATE($AI$10,6,15),1),"jjj")</f>
        <v>ven</v>
      </c>
      <c r="S127" s="14" t="str">
        <f>TEXT(WEEKDAY(DATE($AI$10,6,16),1),"jjj")</f>
        <v>sam</v>
      </c>
      <c r="T127" s="14" t="str">
        <f>TEXT(WEEKDAY(DATE($AI$10,6,17),1),"jjj")</f>
        <v>dim</v>
      </c>
      <c r="U127" s="14" t="str">
        <f>TEXT(WEEKDAY(DATE($AI$10,6,18),1),"jjj")</f>
        <v>lun</v>
      </c>
      <c r="V127" s="14" t="str">
        <f>TEXT(WEEKDAY(DATE($AI$10,6,19),1),"jjj")</f>
        <v>mar</v>
      </c>
      <c r="W127" s="14" t="str">
        <f>TEXT(WEEKDAY(DATE($AI$10,6,20),1),"jjj")</f>
        <v>mer</v>
      </c>
      <c r="X127" s="14" t="str">
        <f>TEXT(WEEKDAY(DATE($AI$10,6,21),1),"jjj")</f>
        <v>jeu</v>
      </c>
      <c r="Y127" s="14" t="str">
        <f>TEXT(WEEKDAY(DATE($AI$10,6,22),1),"jjj")</f>
        <v>ven</v>
      </c>
      <c r="Z127" s="14" t="str">
        <f>TEXT(WEEKDAY(DATE($AI$10,6,23),1),"jjj")</f>
        <v>sam</v>
      </c>
      <c r="AA127" s="14" t="str">
        <f>TEXT(WEEKDAY(DATE($AI$10,6,24),1),"jjj")</f>
        <v>dim</v>
      </c>
      <c r="AB127" s="14" t="str">
        <f>TEXT(WEEKDAY(DATE($AI$10,6,25),1),"jjj")</f>
        <v>lun</v>
      </c>
      <c r="AC127" s="14" t="str">
        <f>TEXT(WEEKDAY(DATE($AI$10,6,26),1),"jjj")</f>
        <v>mar</v>
      </c>
      <c r="AD127" s="14" t="str">
        <f>TEXT(WEEKDAY(DATE($AI$10,6,27),1),"jjj")</f>
        <v>mer</v>
      </c>
      <c r="AE127" s="14" t="str">
        <f>TEXT(WEEKDAY(DATE($AI$10,6,28),1),"jjj")</f>
        <v>jeu</v>
      </c>
      <c r="AF127" s="14" t="str">
        <f>TEXT(WEEKDAY(DATE($AI$10,6,29),1),"jjj")</f>
        <v>ven</v>
      </c>
      <c r="AG127" s="14" t="str">
        <f>TEXT(WEEKDAY(DATE($AI$10,6,30),1),"jjj")</f>
        <v>sam</v>
      </c>
      <c r="AH127" s="14"/>
      <c r="AI127" s="96"/>
    </row>
    <row r="128" spans="1:35" ht="15.75" thickBot="1" x14ac:dyDescent="0.3">
      <c r="B128" s="88"/>
      <c r="C128" s="89"/>
      <c r="D128" s="12">
        <v>1</v>
      </c>
      <c r="E128" s="12">
        <v>2</v>
      </c>
      <c r="F128" s="12">
        <v>3</v>
      </c>
      <c r="G128" s="12">
        <v>4</v>
      </c>
      <c r="H128" s="12">
        <v>5</v>
      </c>
      <c r="I128" s="12">
        <v>6</v>
      </c>
      <c r="J128" s="12">
        <v>7</v>
      </c>
      <c r="K128" s="12">
        <v>8</v>
      </c>
      <c r="L128" s="12">
        <v>9</v>
      </c>
      <c r="M128" s="12">
        <v>10</v>
      </c>
      <c r="N128" s="12">
        <v>11</v>
      </c>
      <c r="O128" s="12">
        <v>12</v>
      </c>
      <c r="P128" s="12">
        <v>13</v>
      </c>
      <c r="Q128" s="12">
        <v>14</v>
      </c>
      <c r="R128" s="12">
        <v>15</v>
      </c>
      <c r="S128" s="12">
        <v>16</v>
      </c>
      <c r="T128" s="12">
        <v>17</v>
      </c>
      <c r="U128" s="12">
        <v>18</v>
      </c>
      <c r="V128" s="12">
        <v>19</v>
      </c>
      <c r="W128" s="12">
        <v>20</v>
      </c>
      <c r="X128" s="12">
        <v>21</v>
      </c>
      <c r="Y128" s="12">
        <v>22</v>
      </c>
      <c r="Z128" s="12">
        <v>23</v>
      </c>
      <c r="AA128" s="12">
        <v>24</v>
      </c>
      <c r="AB128" s="12">
        <v>25</v>
      </c>
      <c r="AC128" s="12">
        <v>26</v>
      </c>
      <c r="AD128" s="12">
        <v>27</v>
      </c>
      <c r="AE128" s="12">
        <v>28</v>
      </c>
      <c r="AF128" s="12">
        <v>29</v>
      </c>
      <c r="AG128" s="12">
        <v>30</v>
      </c>
      <c r="AH128" s="12"/>
      <c r="AI128" s="13" t="s">
        <v>14</v>
      </c>
    </row>
    <row r="129" spans="2:35" x14ac:dyDescent="0.25">
      <c r="B129" s="82" t="s">
        <v>29</v>
      </c>
      <c r="C129" s="34" t="s">
        <v>23</v>
      </c>
      <c r="D129" s="25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1">
        <f t="shared" ref="AI129:AI146" si="5">COUNTA(D129:AH129)</f>
        <v>0</v>
      </c>
    </row>
    <row r="130" spans="2:35" x14ac:dyDescent="0.25">
      <c r="B130" s="82"/>
      <c r="C130" s="35" t="s">
        <v>24</v>
      </c>
      <c r="D130" s="26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11">
        <f t="shared" si="5"/>
        <v>0</v>
      </c>
    </row>
    <row r="131" spans="2:35" x14ac:dyDescent="0.25">
      <c r="B131" s="82"/>
      <c r="C131" s="36" t="s">
        <v>25</v>
      </c>
      <c r="D131" s="27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1">
        <f t="shared" si="5"/>
        <v>0</v>
      </c>
    </row>
    <row r="132" spans="2:35" x14ac:dyDescent="0.25">
      <c r="B132" s="82"/>
      <c r="C132" s="35" t="s">
        <v>26</v>
      </c>
      <c r="D132" s="26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11">
        <f t="shared" si="5"/>
        <v>0</v>
      </c>
    </row>
    <row r="133" spans="2:35" x14ac:dyDescent="0.25">
      <c r="B133" s="82"/>
      <c r="C133" s="36" t="s">
        <v>27</v>
      </c>
      <c r="D133" s="27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1">
        <f t="shared" si="5"/>
        <v>0</v>
      </c>
    </row>
    <row r="134" spans="2:35" x14ac:dyDescent="0.25">
      <c r="B134" s="93"/>
      <c r="C134" s="37" t="s">
        <v>28</v>
      </c>
      <c r="D134" s="28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16">
        <f t="shared" si="5"/>
        <v>0</v>
      </c>
    </row>
    <row r="135" spans="2:35" x14ac:dyDescent="0.25">
      <c r="B135" s="81" t="s">
        <v>36</v>
      </c>
      <c r="C135" s="36" t="s">
        <v>30</v>
      </c>
      <c r="D135" s="47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11">
        <f t="shared" si="5"/>
        <v>0</v>
      </c>
    </row>
    <row r="136" spans="2:35" x14ac:dyDescent="0.25">
      <c r="B136" s="82"/>
      <c r="C136" s="38" t="s">
        <v>31</v>
      </c>
      <c r="D136" s="29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11">
        <f t="shared" si="5"/>
        <v>0</v>
      </c>
    </row>
    <row r="137" spans="2:35" x14ac:dyDescent="0.25">
      <c r="B137" s="82"/>
      <c r="C137" s="39" t="s">
        <v>32</v>
      </c>
      <c r="D137" s="3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11">
        <f t="shared" si="5"/>
        <v>0</v>
      </c>
    </row>
    <row r="138" spans="2:35" x14ac:dyDescent="0.25">
      <c r="B138" s="82"/>
      <c r="C138" s="38" t="s">
        <v>33</v>
      </c>
      <c r="D138" s="31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1">
        <f t="shared" si="5"/>
        <v>0</v>
      </c>
    </row>
    <row r="139" spans="2:35" x14ac:dyDescent="0.25">
      <c r="B139" s="82"/>
      <c r="C139" s="39" t="s">
        <v>34</v>
      </c>
      <c r="D139" s="32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11">
        <f t="shared" si="5"/>
        <v>0</v>
      </c>
    </row>
    <row r="140" spans="2:35" x14ac:dyDescent="0.25">
      <c r="B140" s="93"/>
      <c r="C140" s="40" t="s">
        <v>35</v>
      </c>
      <c r="D140" s="33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6">
        <f t="shared" si="5"/>
        <v>0</v>
      </c>
    </row>
    <row r="141" spans="2:35" x14ac:dyDescent="0.25">
      <c r="B141" s="81" t="s">
        <v>43</v>
      </c>
      <c r="C141" s="49" t="s">
        <v>37</v>
      </c>
      <c r="D141" s="50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11">
        <f t="shared" si="5"/>
        <v>0</v>
      </c>
    </row>
    <row r="142" spans="2:35" x14ac:dyDescent="0.25">
      <c r="B142" s="82"/>
      <c r="C142" s="41" t="s">
        <v>38</v>
      </c>
      <c r="D142" s="31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1">
        <f t="shared" si="5"/>
        <v>0</v>
      </c>
    </row>
    <row r="143" spans="2:35" x14ac:dyDescent="0.25">
      <c r="B143" s="82"/>
      <c r="C143" s="42" t="s">
        <v>39</v>
      </c>
      <c r="D143" s="32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11">
        <f t="shared" si="5"/>
        <v>0</v>
      </c>
    </row>
    <row r="144" spans="2:35" x14ac:dyDescent="0.25">
      <c r="B144" s="82"/>
      <c r="C144" s="41" t="s">
        <v>40</v>
      </c>
      <c r="D144" s="31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1">
        <f t="shared" si="5"/>
        <v>0</v>
      </c>
    </row>
    <row r="145" spans="1:35" x14ac:dyDescent="0.25">
      <c r="B145" s="82"/>
      <c r="C145" s="42" t="s">
        <v>41</v>
      </c>
      <c r="D145" s="32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11">
        <f t="shared" si="5"/>
        <v>0</v>
      </c>
    </row>
    <row r="146" spans="1:35" ht="15.75" thickBot="1" x14ac:dyDescent="0.3">
      <c r="B146" s="83"/>
      <c r="C146" s="43" t="s">
        <v>42</v>
      </c>
      <c r="D146" s="44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  <c r="AC146" s="45"/>
      <c r="AD146" s="45"/>
      <c r="AE146" s="45"/>
      <c r="AF146" s="45"/>
      <c r="AG146" s="45"/>
      <c r="AH146" s="45"/>
      <c r="AI146" s="46">
        <f t="shared" si="5"/>
        <v>0</v>
      </c>
    </row>
    <row r="147" spans="1:35" ht="15.75" thickBot="1" x14ac:dyDescent="0.3">
      <c r="AF147" s="91" t="s">
        <v>53</v>
      </c>
      <c r="AG147" s="92"/>
      <c r="AH147" s="92"/>
      <c r="AI147" s="58">
        <f>SUM(AI129:AI146)</f>
        <v>0</v>
      </c>
    </row>
    <row r="148" spans="1:35" ht="16.5" thickBot="1" x14ac:dyDescent="0.3">
      <c r="A148" s="8"/>
      <c r="B148" s="80" t="s">
        <v>67</v>
      </c>
      <c r="C148" s="80"/>
    </row>
    <row r="149" spans="1:35" ht="23.25" x14ac:dyDescent="0.35">
      <c r="B149" s="84" t="s">
        <v>47</v>
      </c>
      <c r="C149" s="85"/>
      <c r="D149" s="77" t="s">
        <v>18</v>
      </c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78"/>
      <c r="AG149" s="78"/>
      <c r="AH149" s="79"/>
      <c r="AI149" s="95"/>
    </row>
    <row r="150" spans="1:35" x14ac:dyDescent="0.25">
      <c r="B150" s="86"/>
      <c r="C150" s="87"/>
      <c r="D150" s="14" t="str">
        <f>TEXT(WEEKDAY(DATE($AI$10,7,1),1),"jjj")</f>
        <v>dim</v>
      </c>
      <c r="E150" s="14" t="str">
        <f>TEXT(WEEKDAY(DATE($AI$10,7,2),1),"jjj")</f>
        <v>lun</v>
      </c>
      <c r="F150" s="14" t="str">
        <f>TEXT(WEEKDAY(DATE($AI$10,7,3),1),"jjj")</f>
        <v>mar</v>
      </c>
      <c r="G150" s="14" t="str">
        <f>TEXT(WEEKDAY(DATE($AI$10,7,4),1),"jjj")</f>
        <v>mer</v>
      </c>
      <c r="H150" s="14" t="str">
        <f>TEXT(WEEKDAY(DATE($AI$10,7,5),1),"jjj")</f>
        <v>jeu</v>
      </c>
      <c r="I150" s="14" t="str">
        <f>TEXT(WEEKDAY(DATE($AI$10,7,6),1),"jjj")</f>
        <v>ven</v>
      </c>
      <c r="J150" s="14" t="str">
        <f>TEXT(WEEKDAY(DATE($AI$10,7,7),1),"jjj")</f>
        <v>sam</v>
      </c>
      <c r="K150" s="14" t="str">
        <f>TEXT(WEEKDAY(DATE($AI$10,7,8),1),"jjj")</f>
        <v>dim</v>
      </c>
      <c r="L150" s="14" t="str">
        <f>TEXT(WEEKDAY(DATE($AI$10,7,9),1),"jjj")</f>
        <v>lun</v>
      </c>
      <c r="M150" s="14" t="str">
        <f>TEXT(WEEKDAY(DATE($AI$10,7,10),1),"jjj")</f>
        <v>mar</v>
      </c>
      <c r="N150" s="14" t="str">
        <f>TEXT(WEEKDAY(DATE($AI$10,7,11),1),"jjj")</f>
        <v>mer</v>
      </c>
      <c r="O150" s="14" t="str">
        <f>TEXT(WEEKDAY(DATE($AI$10,7,12),1),"jjj")</f>
        <v>jeu</v>
      </c>
      <c r="P150" s="14" t="str">
        <f>TEXT(WEEKDAY(DATE($AI$10,7,13),1),"jjj")</f>
        <v>ven</v>
      </c>
      <c r="Q150" s="14" t="str">
        <f>TEXT(WEEKDAY(DATE($AI$10,7,14),1),"jjj")</f>
        <v>sam</v>
      </c>
      <c r="R150" s="14" t="str">
        <f>TEXT(WEEKDAY(DATE($AI$10,7,15),1),"jjj")</f>
        <v>dim</v>
      </c>
      <c r="S150" s="14" t="str">
        <f>TEXT(WEEKDAY(DATE($AI$10,7,16),1),"jjj")</f>
        <v>lun</v>
      </c>
      <c r="T150" s="14" t="str">
        <f>TEXT(WEEKDAY(DATE($AI$10,7,17),1),"jjj")</f>
        <v>mar</v>
      </c>
      <c r="U150" s="14" t="str">
        <f>TEXT(WEEKDAY(DATE($AI$10,7,18),1),"jjj")</f>
        <v>mer</v>
      </c>
      <c r="V150" s="14" t="str">
        <f>TEXT(WEEKDAY(DATE($AI$10,7,19),1),"jjj")</f>
        <v>jeu</v>
      </c>
      <c r="W150" s="14" t="str">
        <f>TEXT(WEEKDAY(DATE($AI$10,7,20),1),"jjj")</f>
        <v>ven</v>
      </c>
      <c r="X150" s="14" t="str">
        <f>TEXT(WEEKDAY(DATE($AI$10,7,21),1),"jjj")</f>
        <v>sam</v>
      </c>
      <c r="Y150" s="14" t="str">
        <f>TEXT(WEEKDAY(DATE($AI$10,7,22),1),"jjj")</f>
        <v>dim</v>
      </c>
      <c r="Z150" s="14" t="str">
        <f>TEXT(WEEKDAY(DATE($AI$10,7,23),1),"jjj")</f>
        <v>lun</v>
      </c>
      <c r="AA150" s="14" t="str">
        <f>TEXT(WEEKDAY(DATE($AI$10,7,24),1),"jjj")</f>
        <v>mar</v>
      </c>
      <c r="AB150" s="14" t="str">
        <f>TEXT(WEEKDAY(DATE($AI$10,7,25),1),"jjj")</f>
        <v>mer</v>
      </c>
      <c r="AC150" s="14" t="str">
        <f>TEXT(WEEKDAY(DATE($AI$10,7,26),1),"jjj")</f>
        <v>jeu</v>
      </c>
      <c r="AD150" s="14" t="str">
        <f>TEXT(WEEKDAY(DATE($AI$10,7,27),1),"jjj")</f>
        <v>ven</v>
      </c>
      <c r="AE150" s="14" t="str">
        <f>TEXT(WEEKDAY(DATE($AI$10,7,28),1),"jjj")</f>
        <v>sam</v>
      </c>
      <c r="AF150" s="14" t="str">
        <f>TEXT(WEEKDAY(DATE($AI$10,7,29),1),"jjj")</f>
        <v>dim</v>
      </c>
      <c r="AG150" s="14" t="str">
        <f>TEXT(WEEKDAY(DATE($AI$10,7,30),1),"jjj")</f>
        <v>lun</v>
      </c>
      <c r="AH150" s="14" t="str">
        <f>TEXT(WEEKDAY(DATE($AI$10,7,31),1),"jjj")</f>
        <v>mar</v>
      </c>
      <c r="AI150" s="96"/>
    </row>
    <row r="151" spans="1:35" ht="15.75" thickBot="1" x14ac:dyDescent="0.3">
      <c r="B151" s="88"/>
      <c r="C151" s="89"/>
      <c r="D151" s="12">
        <v>1</v>
      </c>
      <c r="E151" s="12">
        <v>2</v>
      </c>
      <c r="F151" s="12">
        <v>3</v>
      </c>
      <c r="G151" s="12">
        <v>4</v>
      </c>
      <c r="H151" s="12">
        <v>5</v>
      </c>
      <c r="I151" s="12">
        <v>6</v>
      </c>
      <c r="J151" s="12">
        <v>7</v>
      </c>
      <c r="K151" s="12">
        <v>8</v>
      </c>
      <c r="L151" s="12">
        <v>9</v>
      </c>
      <c r="M151" s="12">
        <v>10</v>
      </c>
      <c r="N151" s="12">
        <v>11</v>
      </c>
      <c r="O151" s="12">
        <v>12</v>
      </c>
      <c r="P151" s="12">
        <v>13</v>
      </c>
      <c r="Q151" s="12">
        <v>14</v>
      </c>
      <c r="R151" s="12">
        <v>15</v>
      </c>
      <c r="S151" s="12">
        <v>16</v>
      </c>
      <c r="T151" s="12">
        <v>17</v>
      </c>
      <c r="U151" s="12">
        <v>18</v>
      </c>
      <c r="V151" s="12">
        <v>19</v>
      </c>
      <c r="W151" s="12">
        <v>20</v>
      </c>
      <c r="X151" s="12">
        <v>21</v>
      </c>
      <c r="Y151" s="12">
        <v>22</v>
      </c>
      <c r="Z151" s="12">
        <v>23</v>
      </c>
      <c r="AA151" s="12">
        <v>24</v>
      </c>
      <c r="AB151" s="12">
        <v>25</v>
      </c>
      <c r="AC151" s="12">
        <v>26</v>
      </c>
      <c r="AD151" s="12">
        <v>27</v>
      </c>
      <c r="AE151" s="12">
        <v>28</v>
      </c>
      <c r="AF151" s="12">
        <v>29</v>
      </c>
      <c r="AG151" s="12">
        <v>30</v>
      </c>
      <c r="AH151" s="12">
        <v>31</v>
      </c>
      <c r="AI151" s="13" t="s">
        <v>14</v>
      </c>
    </row>
    <row r="152" spans="1:35" x14ac:dyDescent="0.25">
      <c r="B152" s="82" t="s">
        <v>29</v>
      </c>
      <c r="C152" s="34" t="s">
        <v>23</v>
      </c>
      <c r="D152" s="25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1">
        <f t="shared" ref="AI152:AI169" si="6">COUNTA(D152:AH152)</f>
        <v>0</v>
      </c>
    </row>
    <row r="153" spans="1:35" x14ac:dyDescent="0.25">
      <c r="B153" s="82"/>
      <c r="C153" s="35" t="s">
        <v>24</v>
      </c>
      <c r="D153" s="26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11">
        <f t="shared" si="6"/>
        <v>0</v>
      </c>
    </row>
    <row r="154" spans="1:35" x14ac:dyDescent="0.25">
      <c r="B154" s="82"/>
      <c r="C154" s="36" t="s">
        <v>25</v>
      </c>
      <c r="D154" s="27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1">
        <f t="shared" si="6"/>
        <v>0</v>
      </c>
    </row>
    <row r="155" spans="1:35" x14ac:dyDescent="0.25">
      <c r="B155" s="82"/>
      <c r="C155" s="35" t="s">
        <v>26</v>
      </c>
      <c r="D155" s="26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11">
        <f t="shared" si="6"/>
        <v>0</v>
      </c>
    </row>
    <row r="156" spans="1:35" x14ac:dyDescent="0.25">
      <c r="B156" s="82"/>
      <c r="C156" s="36" t="s">
        <v>27</v>
      </c>
      <c r="D156" s="27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1">
        <f t="shared" si="6"/>
        <v>0</v>
      </c>
    </row>
    <row r="157" spans="1:35" x14ac:dyDescent="0.25">
      <c r="B157" s="93"/>
      <c r="C157" s="37" t="s">
        <v>28</v>
      </c>
      <c r="D157" s="28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11">
        <f t="shared" si="6"/>
        <v>0</v>
      </c>
    </row>
    <row r="158" spans="1:35" x14ac:dyDescent="0.25">
      <c r="B158" s="81" t="s">
        <v>36</v>
      </c>
      <c r="C158" s="36" t="s">
        <v>30</v>
      </c>
      <c r="D158" s="47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11">
        <f t="shared" si="6"/>
        <v>0</v>
      </c>
    </row>
    <row r="159" spans="1:35" x14ac:dyDescent="0.25">
      <c r="B159" s="82"/>
      <c r="C159" s="38" t="s">
        <v>31</v>
      </c>
      <c r="D159" s="29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11">
        <f t="shared" si="6"/>
        <v>0</v>
      </c>
    </row>
    <row r="160" spans="1:35" x14ac:dyDescent="0.25">
      <c r="B160" s="82"/>
      <c r="C160" s="39" t="s">
        <v>32</v>
      </c>
      <c r="D160" s="3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  <c r="AH160" s="20"/>
      <c r="AI160" s="11">
        <f t="shared" si="6"/>
        <v>0</v>
      </c>
    </row>
    <row r="161" spans="1:35" x14ac:dyDescent="0.25">
      <c r="B161" s="82"/>
      <c r="C161" s="38" t="s">
        <v>33</v>
      </c>
      <c r="D161" s="31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1">
        <f t="shared" si="6"/>
        <v>0</v>
      </c>
    </row>
    <row r="162" spans="1:35" x14ac:dyDescent="0.25">
      <c r="B162" s="82"/>
      <c r="C162" s="39" t="s">
        <v>34</v>
      </c>
      <c r="D162" s="32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11">
        <f t="shared" si="6"/>
        <v>0</v>
      </c>
    </row>
    <row r="163" spans="1:35" x14ac:dyDescent="0.25">
      <c r="B163" s="93"/>
      <c r="C163" s="40" t="s">
        <v>35</v>
      </c>
      <c r="D163" s="33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1">
        <f t="shared" si="6"/>
        <v>0</v>
      </c>
    </row>
    <row r="164" spans="1:35" x14ac:dyDescent="0.25">
      <c r="B164" s="81" t="s">
        <v>43</v>
      </c>
      <c r="C164" s="49" t="s">
        <v>37</v>
      </c>
      <c r="D164" s="50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11">
        <f t="shared" si="6"/>
        <v>0</v>
      </c>
    </row>
    <row r="165" spans="1:35" x14ac:dyDescent="0.25">
      <c r="B165" s="82"/>
      <c r="C165" s="41" t="s">
        <v>38</v>
      </c>
      <c r="D165" s="31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1">
        <f t="shared" si="6"/>
        <v>0</v>
      </c>
    </row>
    <row r="166" spans="1:35" x14ac:dyDescent="0.25">
      <c r="B166" s="82"/>
      <c r="C166" s="42" t="s">
        <v>39</v>
      </c>
      <c r="D166" s="32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11">
        <f t="shared" si="6"/>
        <v>0</v>
      </c>
    </row>
    <row r="167" spans="1:35" x14ac:dyDescent="0.25">
      <c r="B167" s="82"/>
      <c r="C167" s="41" t="s">
        <v>40</v>
      </c>
      <c r="D167" s="31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1">
        <f t="shared" si="6"/>
        <v>0</v>
      </c>
    </row>
    <row r="168" spans="1:35" x14ac:dyDescent="0.25">
      <c r="B168" s="82"/>
      <c r="C168" s="42" t="s">
        <v>41</v>
      </c>
      <c r="D168" s="32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11">
        <f t="shared" si="6"/>
        <v>0</v>
      </c>
    </row>
    <row r="169" spans="1:35" ht="15.75" thickBot="1" x14ac:dyDescent="0.3">
      <c r="B169" s="83"/>
      <c r="C169" s="43" t="s">
        <v>42</v>
      </c>
      <c r="D169" s="44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45"/>
      <c r="AH169" s="45"/>
      <c r="AI169" s="57">
        <f t="shared" si="6"/>
        <v>0</v>
      </c>
    </row>
    <row r="170" spans="1:35" ht="15.75" thickBot="1" x14ac:dyDescent="0.3">
      <c r="AF170" s="91" t="s">
        <v>53</v>
      </c>
      <c r="AG170" s="92"/>
      <c r="AH170" s="92"/>
      <c r="AI170" s="58">
        <f>SUM(AI152:AI169)</f>
        <v>0</v>
      </c>
    </row>
    <row r="171" spans="1:35" ht="16.5" thickBot="1" x14ac:dyDescent="0.3">
      <c r="A171" s="8"/>
      <c r="B171" s="80" t="s">
        <v>67</v>
      </c>
      <c r="C171" s="80"/>
    </row>
    <row r="172" spans="1:35" ht="23.25" x14ac:dyDescent="0.35">
      <c r="B172" s="84" t="s">
        <v>48</v>
      </c>
      <c r="C172" s="85"/>
      <c r="D172" s="77" t="s">
        <v>18</v>
      </c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8"/>
      <c r="S172" s="78"/>
      <c r="T172" s="78"/>
      <c r="U172" s="78"/>
      <c r="V172" s="78"/>
      <c r="W172" s="78"/>
      <c r="X172" s="78"/>
      <c r="Y172" s="78"/>
      <c r="Z172" s="78"/>
      <c r="AA172" s="78"/>
      <c r="AB172" s="78"/>
      <c r="AC172" s="78"/>
      <c r="AD172" s="78"/>
      <c r="AE172" s="78"/>
      <c r="AF172" s="78"/>
      <c r="AG172" s="78"/>
      <c r="AH172" s="79"/>
      <c r="AI172" s="95"/>
    </row>
    <row r="173" spans="1:35" x14ac:dyDescent="0.25">
      <c r="B173" s="86"/>
      <c r="C173" s="87"/>
      <c r="D173" s="14" t="str">
        <f>TEXT(WEEKDAY(DATE($AI$10,8,1),1),"jjj")</f>
        <v>mer</v>
      </c>
      <c r="E173" s="14" t="str">
        <f>TEXT(WEEKDAY(DATE($AI$10,8,2),1),"jjj")</f>
        <v>jeu</v>
      </c>
      <c r="F173" s="14" t="str">
        <f>TEXT(WEEKDAY(DATE($AI$10,8,3),1),"jjj")</f>
        <v>ven</v>
      </c>
      <c r="G173" s="14" t="str">
        <f>TEXT(WEEKDAY(DATE($AI$10,8,4),1),"jjj")</f>
        <v>sam</v>
      </c>
      <c r="H173" s="14" t="str">
        <f>TEXT(WEEKDAY(DATE($AI$10,8,5),1),"jjj")</f>
        <v>dim</v>
      </c>
      <c r="I173" s="14" t="str">
        <f>TEXT(WEEKDAY(DATE($AI$10,8,6),1),"jjj")</f>
        <v>lun</v>
      </c>
      <c r="J173" s="14" t="str">
        <f>TEXT(WEEKDAY(DATE($AI$10,8,7),1),"jjj")</f>
        <v>mar</v>
      </c>
      <c r="K173" s="14" t="str">
        <f>TEXT(WEEKDAY(DATE($AI$10,8,8),1),"jjj")</f>
        <v>mer</v>
      </c>
      <c r="L173" s="14" t="str">
        <f>TEXT(WEEKDAY(DATE($AI$10,8,9),1),"jjj")</f>
        <v>jeu</v>
      </c>
      <c r="M173" s="14" t="str">
        <f>TEXT(WEEKDAY(DATE($AI$10,8,10),1),"jjj")</f>
        <v>ven</v>
      </c>
      <c r="N173" s="14" t="str">
        <f>TEXT(WEEKDAY(DATE($AI$10,8,11),1),"jjj")</f>
        <v>sam</v>
      </c>
      <c r="O173" s="14" t="str">
        <f>TEXT(WEEKDAY(DATE($AI$10,8,12),1),"jjj")</f>
        <v>dim</v>
      </c>
      <c r="P173" s="14" t="str">
        <f>TEXT(WEEKDAY(DATE($AI$10,8,13),1),"jjj")</f>
        <v>lun</v>
      </c>
      <c r="Q173" s="14" t="str">
        <f>TEXT(WEEKDAY(DATE($AI$10,8,14),1),"jjj")</f>
        <v>mar</v>
      </c>
      <c r="R173" s="14" t="str">
        <f>TEXT(WEEKDAY(DATE($AI$10,8,15),1),"jjj")</f>
        <v>mer</v>
      </c>
      <c r="S173" s="14" t="str">
        <f>TEXT(WEEKDAY(DATE($AI$10,8,16),1),"jjj")</f>
        <v>jeu</v>
      </c>
      <c r="T173" s="14" t="str">
        <f>TEXT(WEEKDAY(DATE($AI$10,8,17),1),"jjj")</f>
        <v>ven</v>
      </c>
      <c r="U173" s="14" t="str">
        <f>TEXT(WEEKDAY(DATE($AI$10,8,18),1),"jjj")</f>
        <v>sam</v>
      </c>
      <c r="V173" s="14" t="str">
        <f>TEXT(WEEKDAY(DATE($AI$10,8,19),1),"jjj")</f>
        <v>dim</v>
      </c>
      <c r="W173" s="14" t="str">
        <f>TEXT(WEEKDAY(DATE($AI$10,8,20),1),"jjj")</f>
        <v>lun</v>
      </c>
      <c r="X173" s="14" t="str">
        <f>TEXT(WEEKDAY(DATE($AI$10,8,21),1),"jjj")</f>
        <v>mar</v>
      </c>
      <c r="Y173" s="14" t="str">
        <f>TEXT(WEEKDAY(DATE($AI$10,8,22),1),"jjj")</f>
        <v>mer</v>
      </c>
      <c r="Z173" s="14" t="str">
        <f>TEXT(WEEKDAY(DATE($AI$10,8,23),1),"jjj")</f>
        <v>jeu</v>
      </c>
      <c r="AA173" s="14" t="str">
        <f>TEXT(WEEKDAY(DATE($AI$10,8,24),1),"jjj")</f>
        <v>ven</v>
      </c>
      <c r="AB173" s="14" t="str">
        <f>TEXT(WEEKDAY(DATE($AI$10,8,25),1),"jjj")</f>
        <v>sam</v>
      </c>
      <c r="AC173" s="14" t="str">
        <f>TEXT(WEEKDAY(DATE($AI$10,8,26),1),"jjj")</f>
        <v>dim</v>
      </c>
      <c r="AD173" s="14" t="str">
        <f>TEXT(WEEKDAY(DATE($AI$10,8,27),1),"jjj")</f>
        <v>lun</v>
      </c>
      <c r="AE173" s="14" t="str">
        <f>TEXT(WEEKDAY(DATE($AI$10,8,28),1),"jjj")</f>
        <v>mar</v>
      </c>
      <c r="AF173" s="14" t="str">
        <f>TEXT(WEEKDAY(DATE($AI$10,8,29),1),"jjj")</f>
        <v>mer</v>
      </c>
      <c r="AG173" s="14" t="str">
        <f>TEXT(WEEKDAY(DATE($AI$10,8,30),1),"jjj")</f>
        <v>jeu</v>
      </c>
      <c r="AH173" s="14" t="str">
        <f>TEXT(WEEKDAY(DATE($AI$10,8,31),1),"jjj")</f>
        <v>ven</v>
      </c>
      <c r="AI173" s="96"/>
    </row>
    <row r="174" spans="1:35" ht="15.75" thickBot="1" x14ac:dyDescent="0.3">
      <c r="B174" s="88"/>
      <c r="C174" s="89"/>
      <c r="D174" s="12">
        <v>1</v>
      </c>
      <c r="E174" s="12">
        <v>2</v>
      </c>
      <c r="F174" s="12">
        <v>3</v>
      </c>
      <c r="G174" s="12">
        <v>4</v>
      </c>
      <c r="H174" s="12">
        <v>5</v>
      </c>
      <c r="I174" s="12">
        <v>6</v>
      </c>
      <c r="J174" s="12">
        <v>7</v>
      </c>
      <c r="K174" s="12">
        <v>8</v>
      </c>
      <c r="L174" s="12">
        <v>9</v>
      </c>
      <c r="M174" s="12">
        <v>10</v>
      </c>
      <c r="N174" s="12">
        <v>11</v>
      </c>
      <c r="O174" s="12">
        <v>12</v>
      </c>
      <c r="P174" s="12">
        <v>13</v>
      </c>
      <c r="Q174" s="12">
        <v>14</v>
      </c>
      <c r="R174" s="12">
        <v>15</v>
      </c>
      <c r="S174" s="12">
        <v>16</v>
      </c>
      <c r="T174" s="12">
        <v>17</v>
      </c>
      <c r="U174" s="12">
        <v>18</v>
      </c>
      <c r="V174" s="12">
        <v>19</v>
      </c>
      <c r="W174" s="12">
        <v>20</v>
      </c>
      <c r="X174" s="12">
        <v>21</v>
      </c>
      <c r="Y174" s="12">
        <v>22</v>
      </c>
      <c r="Z174" s="12">
        <v>23</v>
      </c>
      <c r="AA174" s="12">
        <v>24</v>
      </c>
      <c r="AB174" s="12">
        <v>25</v>
      </c>
      <c r="AC174" s="12">
        <v>26</v>
      </c>
      <c r="AD174" s="12">
        <v>27</v>
      </c>
      <c r="AE174" s="12">
        <v>28</v>
      </c>
      <c r="AF174" s="12">
        <v>29</v>
      </c>
      <c r="AG174" s="12">
        <v>30</v>
      </c>
      <c r="AH174" s="12">
        <v>31</v>
      </c>
      <c r="AI174" s="13" t="s">
        <v>14</v>
      </c>
    </row>
    <row r="175" spans="1:35" x14ac:dyDescent="0.25">
      <c r="B175" s="82" t="s">
        <v>29</v>
      </c>
      <c r="C175" s="34" t="s">
        <v>23</v>
      </c>
      <c r="D175" s="25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1">
        <f t="shared" ref="AI175:AI192" si="7">COUNTA(D175:AH175)</f>
        <v>0</v>
      </c>
    </row>
    <row r="176" spans="1:35" x14ac:dyDescent="0.25">
      <c r="B176" s="82"/>
      <c r="C176" s="35" t="s">
        <v>24</v>
      </c>
      <c r="D176" s="26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11">
        <f t="shared" si="7"/>
        <v>0</v>
      </c>
    </row>
    <row r="177" spans="2:35" x14ac:dyDescent="0.25">
      <c r="B177" s="82"/>
      <c r="C177" s="36" t="s">
        <v>25</v>
      </c>
      <c r="D177" s="27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1">
        <f t="shared" si="7"/>
        <v>0</v>
      </c>
    </row>
    <row r="178" spans="2:35" x14ac:dyDescent="0.25">
      <c r="B178" s="82"/>
      <c r="C178" s="35" t="s">
        <v>26</v>
      </c>
      <c r="D178" s="26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11">
        <f t="shared" si="7"/>
        <v>0</v>
      </c>
    </row>
    <row r="179" spans="2:35" x14ac:dyDescent="0.25">
      <c r="B179" s="82"/>
      <c r="C179" s="36" t="s">
        <v>27</v>
      </c>
      <c r="D179" s="27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1">
        <f t="shared" si="7"/>
        <v>0</v>
      </c>
    </row>
    <row r="180" spans="2:35" x14ac:dyDescent="0.25">
      <c r="B180" s="93"/>
      <c r="C180" s="37" t="s">
        <v>28</v>
      </c>
      <c r="D180" s="28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11">
        <f t="shared" si="7"/>
        <v>0</v>
      </c>
    </row>
    <row r="181" spans="2:35" x14ac:dyDescent="0.25">
      <c r="B181" s="81" t="s">
        <v>36</v>
      </c>
      <c r="C181" s="36" t="s">
        <v>30</v>
      </c>
      <c r="D181" s="47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8"/>
      <c r="AH181" s="48"/>
      <c r="AI181" s="11">
        <f t="shared" si="7"/>
        <v>0</v>
      </c>
    </row>
    <row r="182" spans="2:35" x14ac:dyDescent="0.25">
      <c r="B182" s="82"/>
      <c r="C182" s="38" t="s">
        <v>31</v>
      </c>
      <c r="D182" s="29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11">
        <f t="shared" si="7"/>
        <v>0</v>
      </c>
    </row>
    <row r="183" spans="2:35" x14ac:dyDescent="0.25">
      <c r="B183" s="82"/>
      <c r="C183" s="39" t="s">
        <v>32</v>
      </c>
      <c r="D183" s="3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  <c r="AH183" s="20"/>
      <c r="AI183" s="11">
        <f t="shared" si="7"/>
        <v>0</v>
      </c>
    </row>
    <row r="184" spans="2:35" x14ac:dyDescent="0.25">
      <c r="B184" s="82"/>
      <c r="C184" s="38" t="s">
        <v>33</v>
      </c>
      <c r="D184" s="31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1">
        <f t="shared" si="7"/>
        <v>0</v>
      </c>
    </row>
    <row r="185" spans="2:35" x14ac:dyDescent="0.25">
      <c r="B185" s="82"/>
      <c r="C185" s="39" t="s">
        <v>34</v>
      </c>
      <c r="D185" s="32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11">
        <f t="shared" si="7"/>
        <v>0</v>
      </c>
    </row>
    <row r="186" spans="2:35" x14ac:dyDescent="0.25">
      <c r="B186" s="93"/>
      <c r="C186" s="40" t="s">
        <v>35</v>
      </c>
      <c r="D186" s="33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1">
        <f t="shared" si="7"/>
        <v>0</v>
      </c>
    </row>
    <row r="187" spans="2:35" x14ac:dyDescent="0.25">
      <c r="B187" s="81" t="s">
        <v>43</v>
      </c>
      <c r="C187" s="49" t="s">
        <v>37</v>
      </c>
      <c r="D187" s="50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11">
        <f t="shared" si="7"/>
        <v>0</v>
      </c>
    </row>
    <row r="188" spans="2:35" x14ac:dyDescent="0.25">
      <c r="B188" s="82"/>
      <c r="C188" s="41" t="s">
        <v>38</v>
      </c>
      <c r="D188" s="31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1">
        <f t="shared" si="7"/>
        <v>0</v>
      </c>
    </row>
    <row r="189" spans="2:35" x14ac:dyDescent="0.25">
      <c r="B189" s="82"/>
      <c r="C189" s="42" t="s">
        <v>39</v>
      </c>
      <c r="D189" s="32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11">
        <f t="shared" si="7"/>
        <v>0</v>
      </c>
    </row>
    <row r="190" spans="2:35" x14ac:dyDescent="0.25">
      <c r="B190" s="82"/>
      <c r="C190" s="41" t="s">
        <v>40</v>
      </c>
      <c r="D190" s="31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1">
        <f t="shared" si="7"/>
        <v>0</v>
      </c>
    </row>
    <row r="191" spans="2:35" x14ac:dyDescent="0.25">
      <c r="B191" s="82"/>
      <c r="C191" s="42" t="s">
        <v>41</v>
      </c>
      <c r="D191" s="32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11">
        <f t="shared" si="7"/>
        <v>0</v>
      </c>
    </row>
    <row r="192" spans="2:35" ht="15.75" thickBot="1" x14ac:dyDescent="0.3">
      <c r="B192" s="83"/>
      <c r="C192" s="43" t="s">
        <v>42</v>
      </c>
      <c r="D192" s="44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  <c r="AB192" s="45"/>
      <c r="AC192" s="45"/>
      <c r="AD192" s="45"/>
      <c r="AE192" s="45"/>
      <c r="AF192" s="45"/>
      <c r="AG192" s="45"/>
      <c r="AH192" s="45"/>
      <c r="AI192" s="57">
        <f t="shared" si="7"/>
        <v>0</v>
      </c>
    </row>
    <row r="193" spans="1:35" ht="15.75" thickBot="1" x14ac:dyDescent="0.3">
      <c r="AF193" s="91" t="s">
        <v>53</v>
      </c>
      <c r="AG193" s="92"/>
      <c r="AH193" s="92"/>
      <c r="AI193" s="58">
        <f>SUM(AI175:AI192)</f>
        <v>0</v>
      </c>
    </row>
    <row r="194" spans="1:35" ht="16.5" thickBot="1" x14ac:dyDescent="0.3">
      <c r="A194" s="8"/>
      <c r="B194" s="80" t="s">
        <v>67</v>
      </c>
      <c r="C194" s="80"/>
    </row>
    <row r="195" spans="1:35" ht="23.25" x14ac:dyDescent="0.35">
      <c r="B195" s="84" t="s">
        <v>49</v>
      </c>
      <c r="C195" s="85"/>
      <c r="D195" s="77" t="s">
        <v>18</v>
      </c>
      <c r="E195" s="78"/>
      <c r="F195" s="78"/>
      <c r="G195" s="78"/>
      <c r="H195" s="78"/>
      <c r="I195" s="78"/>
      <c r="J195" s="78"/>
      <c r="K195" s="78"/>
      <c r="L195" s="78"/>
      <c r="M195" s="78"/>
      <c r="N195" s="78"/>
      <c r="O195" s="78"/>
      <c r="P195" s="78"/>
      <c r="Q195" s="78"/>
      <c r="R195" s="78"/>
      <c r="S195" s="78"/>
      <c r="T195" s="78"/>
      <c r="U195" s="78"/>
      <c r="V195" s="78"/>
      <c r="W195" s="78"/>
      <c r="X195" s="78"/>
      <c r="Y195" s="78"/>
      <c r="Z195" s="78"/>
      <c r="AA195" s="78"/>
      <c r="AB195" s="78"/>
      <c r="AC195" s="78"/>
      <c r="AD195" s="78"/>
      <c r="AE195" s="78"/>
      <c r="AF195" s="78"/>
      <c r="AG195" s="78"/>
      <c r="AH195" s="79"/>
      <c r="AI195" s="95"/>
    </row>
    <row r="196" spans="1:35" x14ac:dyDescent="0.25">
      <c r="B196" s="86"/>
      <c r="C196" s="87"/>
      <c r="D196" s="14" t="str">
        <f>TEXT(WEEKDAY(DATE($AI$10,9,1),1),"jjj")</f>
        <v>sam</v>
      </c>
      <c r="E196" s="14" t="str">
        <f>TEXT(WEEKDAY(DATE($AI$10,9,2),1),"jjj")</f>
        <v>dim</v>
      </c>
      <c r="F196" s="14" t="str">
        <f>TEXT(WEEKDAY(DATE($AI$10,9,3),1),"jjj")</f>
        <v>lun</v>
      </c>
      <c r="G196" s="14" t="str">
        <f>TEXT(WEEKDAY(DATE($AI$10,9,4),1),"jjj")</f>
        <v>mar</v>
      </c>
      <c r="H196" s="14" t="str">
        <f>TEXT(WEEKDAY(DATE($AI$10,9,5),1),"jjj")</f>
        <v>mer</v>
      </c>
      <c r="I196" s="14" t="str">
        <f>TEXT(WEEKDAY(DATE($AI$10,9,6),1),"jjj")</f>
        <v>jeu</v>
      </c>
      <c r="J196" s="14" t="str">
        <f>TEXT(WEEKDAY(DATE($AI$10,9,7),1),"jjj")</f>
        <v>ven</v>
      </c>
      <c r="K196" s="14" t="str">
        <f>TEXT(WEEKDAY(DATE($AI$10,9,8),1),"jjj")</f>
        <v>sam</v>
      </c>
      <c r="L196" s="14" t="str">
        <f>TEXT(WEEKDAY(DATE($AI$10,9,9),1),"jjj")</f>
        <v>dim</v>
      </c>
      <c r="M196" s="14" t="str">
        <f>TEXT(WEEKDAY(DATE($AI$10,9,10),1),"jjj")</f>
        <v>lun</v>
      </c>
      <c r="N196" s="14" t="str">
        <f>TEXT(WEEKDAY(DATE($AI$10,9,11),1),"jjj")</f>
        <v>mar</v>
      </c>
      <c r="O196" s="14" t="str">
        <f>TEXT(WEEKDAY(DATE($AI$10,9,12),1),"jjj")</f>
        <v>mer</v>
      </c>
      <c r="P196" s="14" t="str">
        <f>TEXT(WEEKDAY(DATE($AI$10,9,13),1),"jjj")</f>
        <v>jeu</v>
      </c>
      <c r="Q196" s="14" t="str">
        <f>TEXT(WEEKDAY(DATE($AI$10,9,14),1),"jjj")</f>
        <v>ven</v>
      </c>
      <c r="R196" s="14" t="str">
        <f>TEXT(WEEKDAY(DATE($AI$10,9,15),1),"jjj")</f>
        <v>sam</v>
      </c>
      <c r="S196" s="14" t="str">
        <f>TEXT(WEEKDAY(DATE($AI$10,9,16),1),"jjj")</f>
        <v>dim</v>
      </c>
      <c r="T196" s="14" t="str">
        <f>TEXT(WEEKDAY(DATE($AI$10,9,17),1),"jjj")</f>
        <v>lun</v>
      </c>
      <c r="U196" s="14" t="str">
        <f>TEXT(WEEKDAY(DATE($AI$10,9,18),1),"jjj")</f>
        <v>mar</v>
      </c>
      <c r="V196" s="14" t="str">
        <f>TEXT(WEEKDAY(DATE($AI$10,9,19),1),"jjj")</f>
        <v>mer</v>
      </c>
      <c r="W196" s="14" t="str">
        <f>TEXT(WEEKDAY(DATE($AI$10,9,20),1),"jjj")</f>
        <v>jeu</v>
      </c>
      <c r="X196" s="14" t="str">
        <f>TEXT(WEEKDAY(DATE($AI$10,9,21),1),"jjj")</f>
        <v>ven</v>
      </c>
      <c r="Y196" s="14" t="str">
        <f>TEXT(WEEKDAY(DATE($AI$10,9,22),1),"jjj")</f>
        <v>sam</v>
      </c>
      <c r="Z196" s="14" t="str">
        <f>TEXT(WEEKDAY(DATE($AI$10,9,23),1),"jjj")</f>
        <v>dim</v>
      </c>
      <c r="AA196" s="14" t="str">
        <f>TEXT(WEEKDAY(DATE($AI$10,9,24),1),"jjj")</f>
        <v>lun</v>
      </c>
      <c r="AB196" s="14" t="str">
        <f>TEXT(WEEKDAY(DATE($AI$10,9,25),1),"jjj")</f>
        <v>mar</v>
      </c>
      <c r="AC196" s="14" t="str">
        <f>TEXT(WEEKDAY(DATE($AI$10,9,26),1),"jjj")</f>
        <v>mer</v>
      </c>
      <c r="AD196" s="14" t="str">
        <f>TEXT(WEEKDAY(DATE($AI$10,9,27),1),"jjj")</f>
        <v>jeu</v>
      </c>
      <c r="AE196" s="14" t="str">
        <f>TEXT(WEEKDAY(DATE($AI$10,9,28),1),"jjj")</f>
        <v>ven</v>
      </c>
      <c r="AF196" s="14" t="str">
        <f>TEXT(WEEKDAY(DATE($AI$10,9,29),1),"jjj")</f>
        <v>sam</v>
      </c>
      <c r="AG196" s="14" t="str">
        <f>TEXT(WEEKDAY(DATE($AI$10,9,30),1),"jjj")</f>
        <v>dim</v>
      </c>
      <c r="AH196" s="14"/>
      <c r="AI196" s="96"/>
    </row>
    <row r="197" spans="1:35" ht="15.75" thickBot="1" x14ac:dyDescent="0.3">
      <c r="B197" s="88"/>
      <c r="C197" s="89"/>
      <c r="D197" s="12">
        <v>1</v>
      </c>
      <c r="E197" s="12">
        <v>2</v>
      </c>
      <c r="F197" s="12">
        <v>3</v>
      </c>
      <c r="G197" s="12">
        <v>4</v>
      </c>
      <c r="H197" s="12">
        <v>5</v>
      </c>
      <c r="I197" s="12">
        <v>6</v>
      </c>
      <c r="J197" s="12">
        <v>7</v>
      </c>
      <c r="K197" s="12">
        <v>8</v>
      </c>
      <c r="L197" s="12">
        <v>9</v>
      </c>
      <c r="M197" s="12">
        <v>10</v>
      </c>
      <c r="N197" s="12">
        <v>11</v>
      </c>
      <c r="O197" s="12">
        <v>12</v>
      </c>
      <c r="P197" s="12">
        <v>13</v>
      </c>
      <c r="Q197" s="12">
        <v>14</v>
      </c>
      <c r="R197" s="12">
        <v>15</v>
      </c>
      <c r="S197" s="12">
        <v>16</v>
      </c>
      <c r="T197" s="12">
        <v>17</v>
      </c>
      <c r="U197" s="12">
        <v>18</v>
      </c>
      <c r="V197" s="12">
        <v>19</v>
      </c>
      <c r="W197" s="12">
        <v>20</v>
      </c>
      <c r="X197" s="12">
        <v>21</v>
      </c>
      <c r="Y197" s="12">
        <v>22</v>
      </c>
      <c r="Z197" s="12">
        <v>23</v>
      </c>
      <c r="AA197" s="12">
        <v>24</v>
      </c>
      <c r="AB197" s="12">
        <v>25</v>
      </c>
      <c r="AC197" s="12">
        <v>26</v>
      </c>
      <c r="AD197" s="12">
        <v>27</v>
      </c>
      <c r="AE197" s="12">
        <v>28</v>
      </c>
      <c r="AF197" s="12">
        <v>29</v>
      </c>
      <c r="AG197" s="12">
        <v>30</v>
      </c>
      <c r="AH197" s="12"/>
      <c r="AI197" s="13" t="s">
        <v>14</v>
      </c>
    </row>
    <row r="198" spans="1:35" x14ac:dyDescent="0.25">
      <c r="B198" s="82" t="s">
        <v>29</v>
      </c>
      <c r="C198" s="34" t="s">
        <v>23</v>
      </c>
      <c r="D198" s="25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1">
        <f t="shared" ref="AI198:AI215" si="8">COUNTA(D198:AH198)</f>
        <v>0</v>
      </c>
    </row>
    <row r="199" spans="1:35" x14ac:dyDescent="0.25">
      <c r="B199" s="82"/>
      <c r="C199" s="35" t="s">
        <v>24</v>
      </c>
      <c r="D199" s="26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11">
        <f t="shared" si="8"/>
        <v>0</v>
      </c>
    </row>
    <row r="200" spans="1:35" x14ac:dyDescent="0.25">
      <c r="B200" s="82"/>
      <c r="C200" s="36" t="s">
        <v>25</v>
      </c>
      <c r="D200" s="27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1">
        <f t="shared" si="8"/>
        <v>0</v>
      </c>
    </row>
    <row r="201" spans="1:35" x14ac:dyDescent="0.25">
      <c r="B201" s="82"/>
      <c r="C201" s="35" t="s">
        <v>26</v>
      </c>
      <c r="D201" s="26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11">
        <f t="shared" si="8"/>
        <v>0</v>
      </c>
    </row>
    <row r="202" spans="1:35" x14ac:dyDescent="0.25">
      <c r="B202" s="82"/>
      <c r="C202" s="36" t="s">
        <v>27</v>
      </c>
      <c r="D202" s="27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1">
        <f t="shared" si="8"/>
        <v>0</v>
      </c>
    </row>
    <row r="203" spans="1:35" x14ac:dyDescent="0.25">
      <c r="B203" s="93"/>
      <c r="C203" s="37" t="s">
        <v>28</v>
      </c>
      <c r="D203" s="28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16">
        <f t="shared" si="8"/>
        <v>0</v>
      </c>
    </row>
    <row r="204" spans="1:35" x14ac:dyDescent="0.25">
      <c r="B204" s="81" t="s">
        <v>36</v>
      </c>
      <c r="C204" s="36" t="s">
        <v>30</v>
      </c>
      <c r="D204" s="47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8"/>
      <c r="AH204" s="48"/>
      <c r="AI204" s="11">
        <f t="shared" si="8"/>
        <v>0</v>
      </c>
    </row>
    <row r="205" spans="1:35" x14ac:dyDescent="0.25">
      <c r="B205" s="82"/>
      <c r="C205" s="38" t="s">
        <v>31</v>
      </c>
      <c r="D205" s="29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11">
        <f t="shared" si="8"/>
        <v>0</v>
      </c>
    </row>
    <row r="206" spans="1:35" x14ac:dyDescent="0.25">
      <c r="B206" s="82"/>
      <c r="C206" s="39" t="s">
        <v>32</v>
      </c>
      <c r="D206" s="3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0"/>
      <c r="AH206" s="20"/>
      <c r="AI206" s="11">
        <f t="shared" si="8"/>
        <v>0</v>
      </c>
    </row>
    <row r="207" spans="1:35" x14ac:dyDescent="0.25">
      <c r="B207" s="82"/>
      <c r="C207" s="38" t="s">
        <v>33</v>
      </c>
      <c r="D207" s="31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1">
        <f t="shared" si="8"/>
        <v>0</v>
      </c>
    </row>
    <row r="208" spans="1:35" x14ac:dyDescent="0.25">
      <c r="B208" s="82"/>
      <c r="C208" s="39" t="s">
        <v>34</v>
      </c>
      <c r="D208" s="32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11">
        <f t="shared" si="8"/>
        <v>0</v>
      </c>
    </row>
    <row r="209" spans="1:35" x14ac:dyDescent="0.25">
      <c r="B209" s="93"/>
      <c r="C209" s="40" t="s">
        <v>35</v>
      </c>
      <c r="D209" s="33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6">
        <f t="shared" si="8"/>
        <v>0</v>
      </c>
    </row>
    <row r="210" spans="1:35" x14ac:dyDescent="0.25">
      <c r="B210" s="81" t="s">
        <v>43</v>
      </c>
      <c r="C210" s="49" t="s">
        <v>37</v>
      </c>
      <c r="D210" s="50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11">
        <f t="shared" si="8"/>
        <v>0</v>
      </c>
    </row>
    <row r="211" spans="1:35" x14ac:dyDescent="0.25">
      <c r="B211" s="82"/>
      <c r="C211" s="41" t="s">
        <v>38</v>
      </c>
      <c r="D211" s="31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1">
        <f t="shared" si="8"/>
        <v>0</v>
      </c>
    </row>
    <row r="212" spans="1:35" x14ac:dyDescent="0.25">
      <c r="B212" s="82"/>
      <c r="C212" s="42" t="s">
        <v>39</v>
      </c>
      <c r="D212" s="32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11">
        <f t="shared" si="8"/>
        <v>0</v>
      </c>
    </row>
    <row r="213" spans="1:35" x14ac:dyDescent="0.25">
      <c r="B213" s="82"/>
      <c r="C213" s="41" t="s">
        <v>40</v>
      </c>
      <c r="D213" s="31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1">
        <f t="shared" si="8"/>
        <v>0</v>
      </c>
    </row>
    <row r="214" spans="1:35" x14ac:dyDescent="0.25">
      <c r="B214" s="82"/>
      <c r="C214" s="42" t="s">
        <v>41</v>
      </c>
      <c r="D214" s="32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11">
        <f t="shared" si="8"/>
        <v>0</v>
      </c>
    </row>
    <row r="215" spans="1:35" ht="15.75" thickBot="1" x14ac:dyDescent="0.3">
      <c r="B215" s="83"/>
      <c r="C215" s="43" t="s">
        <v>42</v>
      </c>
      <c r="D215" s="44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45"/>
      <c r="AB215" s="45"/>
      <c r="AC215" s="45"/>
      <c r="AD215" s="45"/>
      <c r="AE215" s="45"/>
      <c r="AF215" s="45"/>
      <c r="AG215" s="45"/>
      <c r="AH215" s="45"/>
      <c r="AI215" s="46">
        <f t="shared" si="8"/>
        <v>0</v>
      </c>
    </row>
    <row r="216" spans="1:35" ht="15.75" thickBot="1" x14ac:dyDescent="0.3">
      <c r="AF216" s="91" t="s">
        <v>53</v>
      </c>
      <c r="AG216" s="92"/>
      <c r="AH216" s="92"/>
      <c r="AI216" s="58">
        <f>SUM(AI198:AI215)</f>
        <v>0</v>
      </c>
    </row>
    <row r="217" spans="1:35" ht="16.5" thickBot="1" x14ac:dyDescent="0.3">
      <c r="A217" s="8"/>
      <c r="B217" s="80" t="s">
        <v>67</v>
      </c>
      <c r="C217" s="80"/>
    </row>
    <row r="218" spans="1:35" ht="23.25" x14ac:dyDescent="0.35">
      <c r="B218" s="84" t="s">
        <v>50</v>
      </c>
      <c r="C218" s="85"/>
      <c r="D218" s="77" t="s">
        <v>18</v>
      </c>
      <c r="E218" s="78"/>
      <c r="F218" s="78"/>
      <c r="G218" s="78"/>
      <c r="H218" s="78"/>
      <c r="I218" s="78"/>
      <c r="J218" s="78"/>
      <c r="K218" s="78"/>
      <c r="L218" s="78"/>
      <c r="M218" s="78"/>
      <c r="N218" s="78"/>
      <c r="O218" s="78"/>
      <c r="P218" s="78"/>
      <c r="Q218" s="78"/>
      <c r="R218" s="78"/>
      <c r="S218" s="78"/>
      <c r="T218" s="78"/>
      <c r="U218" s="78"/>
      <c r="V218" s="78"/>
      <c r="W218" s="78"/>
      <c r="X218" s="78"/>
      <c r="Y218" s="78"/>
      <c r="Z218" s="78"/>
      <c r="AA218" s="78"/>
      <c r="AB218" s="78"/>
      <c r="AC218" s="78"/>
      <c r="AD218" s="78"/>
      <c r="AE218" s="78"/>
      <c r="AF218" s="78"/>
      <c r="AG218" s="78"/>
      <c r="AH218" s="79"/>
      <c r="AI218" s="95"/>
    </row>
    <row r="219" spans="1:35" x14ac:dyDescent="0.25">
      <c r="B219" s="86"/>
      <c r="C219" s="87"/>
      <c r="D219" s="14" t="str">
        <f>TEXT(WEEKDAY(DATE($AI$10,10,1),1),"jjj")</f>
        <v>lun</v>
      </c>
      <c r="E219" s="14" t="str">
        <f>TEXT(WEEKDAY(DATE($AI$10,10,2),1),"jjj")</f>
        <v>mar</v>
      </c>
      <c r="F219" s="14" t="str">
        <f>TEXT(WEEKDAY(DATE($AI$10,10,3),1),"jjj")</f>
        <v>mer</v>
      </c>
      <c r="G219" s="14" t="str">
        <f>TEXT(WEEKDAY(DATE($AI$10,10,4),1),"jjj")</f>
        <v>jeu</v>
      </c>
      <c r="H219" s="14" t="str">
        <f>TEXT(WEEKDAY(DATE($AI$10,10,5),1),"jjj")</f>
        <v>ven</v>
      </c>
      <c r="I219" s="14" t="str">
        <f>TEXT(WEEKDAY(DATE($AI$10,10,6),1),"jjj")</f>
        <v>sam</v>
      </c>
      <c r="J219" s="14" t="str">
        <f>TEXT(WEEKDAY(DATE($AI$10,10,7),1),"jjj")</f>
        <v>dim</v>
      </c>
      <c r="K219" s="14" t="str">
        <f>TEXT(WEEKDAY(DATE($AI$10,10,8),1),"jjj")</f>
        <v>lun</v>
      </c>
      <c r="L219" s="14" t="str">
        <f>TEXT(WEEKDAY(DATE($AI$10,10,9),1),"jjj")</f>
        <v>mar</v>
      </c>
      <c r="M219" s="14" t="str">
        <f>TEXT(WEEKDAY(DATE($AI$10,10,10),1),"jjj")</f>
        <v>mer</v>
      </c>
      <c r="N219" s="14" t="str">
        <f>TEXT(WEEKDAY(DATE($AI$10,10,11),1),"jjj")</f>
        <v>jeu</v>
      </c>
      <c r="O219" s="14" t="str">
        <f>TEXT(WEEKDAY(DATE($AI$10,10,12),1),"jjj")</f>
        <v>ven</v>
      </c>
      <c r="P219" s="14" t="str">
        <f>TEXT(WEEKDAY(DATE($AI$10,10,13),1),"jjj")</f>
        <v>sam</v>
      </c>
      <c r="Q219" s="14" t="str">
        <f>TEXT(WEEKDAY(DATE($AI$10,10,14),1),"jjj")</f>
        <v>dim</v>
      </c>
      <c r="R219" s="14" t="str">
        <f>TEXT(WEEKDAY(DATE($AI$10,10,15),1),"jjj")</f>
        <v>lun</v>
      </c>
      <c r="S219" s="14" t="str">
        <f>TEXT(WEEKDAY(DATE($AI$10,10,16),1),"jjj")</f>
        <v>mar</v>
      </c>
      <c r="T219" s="14" t="str">
        <f>TEXT(WEEKDAY(DATE($AI$10,10,17),1),"jjj")</f>
        <v>mer</v>
      </c>
      <c r="U219" s="14" t="str">
        <f>TEXT(WEEKDAY(DATE($AI$10,10,18),1),"jjj")</f>
        <v>jeu</v>
      </c>
      <c r="V219" s="14" t="str">
        <f>TEXT(WEEKDAY(DATE($AI$10,10,19),1),"jjj")</f>
        <v>ven</v>
      </c>
      <c r="W219" s="14" t="str">
        <f>TEXT(WEEKDAY(DATE($AI$10,10,20),1),"jjj")</f>
        <v>sam</v>
      </c>
      <c r="X219" s="14" t="str">
        <f>TEXT(WEEKDAY(DATE($AI$10,10,21),1),"jjj")</f>
        <v>dim</v>
      </c>
      <c r="Y219" s="14" t="str">
        <f>TEXT(WEEKDAY(DATE($AI$10,10,22),1),"jjj")</f>
        <v>lun</v>
      </c>
      <c r="Z219" s="14" t="str">
        <f>TEXT(WEEKDAY(DATE($AI$10,10,23),1),"jjj")</f>
        <v>mar</v>
      </c>
      <c r="AA219" s="14" t="str">
        <f>TEXT(WEEKDAY(DATE($AI$10,10,24),1),"jjj")</f>
        <v>mer</v>
      </c>
      <c r="AB219" s="14" t="str">
        <f>TEXT(WEEKDAY(DATE($AI$10,10,25),1),"jjj")</f>
        <v>jeu</v>
      </c>
      <c r="AC219" s="14" t="str">
        <f>TEXT(WEEKDAY(DATE($AI$10,10,26),1),"jjj")</f>
        <v>ven</v>
      </c>
      <c r="AD219" s="14" t="str">
        <f>TEXT(WEEKDAY(DATE($AI$10,10,27),1),"jjj")</f>
        <v>sam</v>
      </c>
      <c r="AE219" s="14" t="str">
        <f>TEXT(WEEKDAY(DATE($AI$10,10,28),1),"jjj")</f>
        <v>dim</v>
      </c>
      <c r="AF219" s="14" t="str">
        <f>TEXT(WEEKDAY(DATE($AI$10,10,29),1),"jjj")</f>
        <v>lun</v>
      </c>
      <c r="AG219" s="14" t="str">
        <f>TEXT(WEEKDAY(DATE($AI$10,10,30),1),"jjj")</f>
        <v>mar</v>
      </c>
      <c r="AH219" s="14" t="str">
        <f>TEXT(WEEKDAY(DATE($AI$10,10,31),1),"jjj")</f>
        <v>mer</v>
      </c>
      <c r="AI219" s="96"/>
    </row>
    <row r="220" spans="1:35" ht="15.75" thickBot="1" x14ac:dyDescent="0.3">
      <c r="B220" s="88"/>
      <c r="C220" s="89"/>
      <c r="D220" s="12">
        <v>1</v>
      </c>
      <c r="E220" s="12">
        <v>2</v>
      </c>
      <c r="F220" s="12">
        <v>3</v>
      </c>
      <c r="G220" s="12">
        <v>4</v>
      </c>
      <c r="H220" s="12">
        <v>5</v>
      </c>
      <c r="I220" s="12">
        <v>6</v>
      </c>
      <c r="J220" s="12">
        <v>7</v>
      </c>
      <c r="K220" s="12">
        <v>8</v>
      </c>
      <c r="L220" s="12">
        <v>9</v>
      </c>
      <c r="M220" s="12">
        <v>10</v>
      </c>
      <c r="N220" s="12">
        <v>11</v>
      </c>
      <c r="O220" s="12">
        <v>12</v>
      </c>
      <c r="P220" s="12">
        <v>13</v>
      </c>
      <c r="Q220" s="12">
        <v>14</v>
      </c>
      <c r="R220" s="12">
        <v>15</v>
      </c>
      <c r="S220" s="12">
        <v>16</v>
      </c>
      <c r="T220" s="12">
        <v>17</v>
      </c>
      <c r="U220" s="12">
        <v>18</v>
      </c>
      <c r="V220" s="12">
        <v>19</v>
      </c>
      <c r="W220" s="12">
        <v>20</v>
      </c>
      <c r="X220" s="12">
        <v>21</v>
      </c>
      <c r="Y220" s="12">
        <v>22</v>
      </c>
      <c r="Z220" s="12">
        <v>23</v>
      </c>
      <c r="AA220" s="12">
        <v>24</v>
      </c>
      <c r="AB220" s="12">
        <v>25</v>
      </c>
      <c r="AC220" s="12">
        <v>26</v>
      </c>
      <c r="AD220" s="12">
        <v>27</v>
      </c>
      <c r="AE220" s="12">
        <v>28</v>
      </c>
      <c r="AF220" s="12">
        <v>29</v>
      </c>
      <c r="AG220" s="12">
        <v>30</v>
      </c>
      <c r="AH220" s="12">
        <v>31</v>
      </c>
      <c r="AI220" s="13" t="s">
        <v>14</v>
      </c>
    </row>
    <row r="221" spans="1:35" x14ac:dyDescent="0.25">
      <c r="B221" s="82" t="s">
        <v>29</v>
      </c>
      <c r="C221" s="34" t="s">
        <v>23</v>
      </c>
      <c r="D221" s="25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1">
        <f t="shared" ref="AI221:AI238" si="9">COUNTA(D221:AH221)</f>
        <v>0</v>
      </c>
    </row>
    <row r="222" spans="1:35" x14ac:dyDescent="0.25">
      <c r="B222" s="82"/>
      <c r="C222" s="35" t="s">
        <v>24</v>
      </c>
      <c r="D222" s="26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11">
        <f t="shared" si="9"/>
        <v>0</v>
      </c>
    </row>
    <row r="223" spans="1:35" x14ac:dyDescent="0.25">
      <c r="B223" s="82"/>
      <c r="C223" s="36" t="s">
        <v>25</v>
      </c>
      <c r="D223" s="27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1">
        <f t="shared" si="9"/>
        <v>0</v>
      </c>
    </row>
    <row r="224" spans="1:35" x14ac:dyDescent="0.25">
      <c r="B224" s="82"/>
      <c r="C224" s="35" t="s">
        <v>26</v>
      </c>
      <c r="D224" s="26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11">
        <f t="shared" si="9"/>
        <v>0</v>
      </c>
    </row>
    <row r="225" spans="1:35" x14ac:dyDescent="0.25">
      <c r="B225" s="82"/>
      <c r="C225" s="36" t="s">
        <v>27</v>
      </c>
      <c r="D225" s="27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1">
        <f t="shared" si="9"/>
        <v>0</v>
      </c>
    </row>
    <row r="226" spans="1:35" x14ac:dyDescent="0.25">
      <c r="B226" s="93"/>
      <c r="C226" s="37" t="s">
        <v>28</v>
      </c>
      <c r="D226" s="28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11">
        <f t="shared" si="9"/>
        <v>0</v>
      </c>
    </row>
    <row r="227" spans="1:35" x14ac:dyDescent="0.25">
      <c r="B227" s="81" t="s">
        <v>36</v>
      </c>
      <c r="C227" s="36" t="s">
        <v>30</v>
      </c>
      <c r="D227" s="47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  <c r="AG227" s="48"/>
      <c r="AH227" s="48"/>
      <c r="AI227" s="11">
        <f t="shared" si="9"/>
        <v>0</v>
      </c>
    </row>
    <row r="228" spans="1:35" x14ac:dyDescent="0.25">
      <c r="B228" s="82"/>
      <c r="C228" s="38" t="s">
        <v>31</v>
      </c>
      <c r="D228" s="29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11">
        <f t="shared" si="9"/>
        <v>0</v>
      </c>
    </row>
    <row r="229" spans="1:35" x14ac:dyDescent="0.25">
      <c r="B229" s="82"/>
      <c r="C229" s="39" t="s">
        <v>32</v>
      </c>
      <c r="D229" s="3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  <c r="AG229" s="20"/>
      <c r="AH229" s="20"/>
      <c r="AI229" s="11">
        <f t="shared" si="9"/>
        <v>0</v>
      </c>
    </row>
    <row r="230" spans="1:35" x14ac:dyDescent="0.25">
      <c r="B230" s="82"/>
      <c r="C230" s="38" t="s">
        <v>33</v>
      </c>
      <c r="D230" s="31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1">
        <f t="shared" si="9"/>
        <v>0</v>
      </c>
    </row>
    <row r="231" spans="1:35" x14ac:dyDescent="0.25">
      <c r="B231" s="82"/>
      <c r="C231" s="39" t="s">
        <v>34</v>
      </c>
      <c r="D231" s="32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11">
        <f t="shared" si="9"/>
        <v>0</v>
      </c>
    </row>
    <row r="232" spans="1:35" x14ac:dyDescent="0.25">
      <c r="B232" s="93"/>
      <c r="C232" s="40" t="s">
        <v>35</v>
      </c>
      <c r="D232" s="33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1">
        <f t="shared" si="9"/>
        <v>0</v>
      </c>
    </row>
    <row r="233" spans="1:35" x14ac:dyDescent="0.25">
      <c r="B233" s="81" t="s">
        <v>43</v>
      </c>
      <c r="C233" s="49" t="s">
        <v>37</v>
      </c>
      <c r="D233" s="50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11">
        <f t="shared" si="9"/>
        <v>0</v>
      </c>
    </row>
    <row r="234" spans="1:35" x14ac:dyDescent="0.25">
      <c r="B234" s="82"/>
      <c r="C234" s="41" t="s">
        <v>38</v>
      </c>
      <c r="D234" s="31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1">
        <f t="shared" si="9"/>
        <v>0</v>
      </c>
    </row>
    <row r="235" spans="1:35" x14ac:dyDescent="0.25">
      <c r="B235" s="82"/>
      <c r="C235" s="42" t="s">
        <v>39</v>
      </c>
      <c r="D235" s="32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11">
        <f t="shared" si="9"/>
        <v>0</v>
      </c>
    </row>
    <row r="236" spans="1:35" x14ac:dyDescent="0.25">
      <c r="B236" s="82"/>
      <c r="C236" s="41" t="s">
        <v>40</v>
      </c>
      <c r="D236" s="31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1">
        <f t="shared" si="9"/>
        <v>0</v>
      </c>
    </row>
    <row r="237" spans="1:35" x14ac:dyDescent="0.25">
      <c r="B237" s="82"/>
      <c r="C237" s="42" t="s">
        <v>41</v>
      </c>
      <c r="D237" s="32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11">
        <f t="shared" si="9"/>
        <v>0</v>
      </c>
    </row>
    <row r="238" spans="1:35" ht="15.75" thickBot="1" x14ac:dyDescent="0.3">
      <c r="B238" s="83"/>
      <c r="C238" s="43" t="s">
        <v>42</v>
      </c>
      <c r="D238" s="44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  <c r="AC238" s="45"/>
      <c r="AD238" s="45"/>
      <c r="AE238" s="45"/>
      <c r="AF238" s="45"/>
      <c r="AG238" s="45"/>
      <c r="AH238" s="45"/>
      <c r="AI238" s="57">
        <f t="shared" si="9"/>
        <v>0</v>
      </c>
    </row>
    <row r="239" spans="1:35" ht="15.75" thickBot="1" x14ac:dyDescent="0.3">
      <c r="AF239" s="91" t="s">
        <v>53</v>
      </c>
      <c r="AG239" s="92"/>
      <c r="AH239" s="92"/>
      <c r="AI239" s="58">
        <f>SUM(AI221:AI238)</f>
        <v>0</v>
      </c>
    </row>
    <row r="240" spans="1:35" ht="16.5" thickBot="1" x14ac:dyDescent="0.3">
      <c r="A240" s="8"/>
      <c r="B240" s="80" t="s">
        <v>67</v>
      </c>
      <c r="C240" s="80"/>
    </row>
    <row r="241" spans="2:35" ht="23.25" x14ac:dyDescent="0.35">
      <c r="B241" s="84" t="s">
        <v>51</v>
      </c>
      <c r="C241" s="85"/>
      <c r="D241" s="77" t="s">
        <v>18</v>
      </c>
      <c r="E241" s="78"/>
      <c r="F241" s="78"/>
      <c r="G241" s="78"/>
      <c r="H241" s="78"/>
      <c r="I241" s="78"/>
      <c r="J241" s="78"/>
      <c r="K241" s="78"/>
      <c r="L241" s="78"/>
      <c r="M241" s="78"/>
      <c r="N241" s="78"/>
      <c r="O241" s="78"/>
      <c r="P241" s="78"/>
      <c r="Q241" s="78"/>
      <c r="R241" s="78"/>
      <c r="S241" s="78"/>
      <c r="T241" s="78"/>
      <c r="U241" s="78"/>
      <c r="V241" s="78"/>
      <c r="W241" s="78"/>
      <c r="X241" s="78"/>
      <c r="Y241" s="78"/>
      <c r="Z241" s="78"/>
      <c r="AA241" s="78"/>
      <c r="AB241" s="78"/>
      <c r="AC241" s="78"/>
      <c r="AD241" s="78"/>
      <c r="AE241" s="78"/>
      <c r="AF241" s="78"/>
      <c r="AG241" s="78"/>
      <c r="AH241" s="79"/>
      <c r="AI241" s="95"/>
    </row>
    <row r="242" spans="2:35" x14ac:dyDescent="0.25">
      <c r="B242" s="86"/>
      <c r="C242" s="87"/>
      <c r="D242" s="14" t="str">
        <f>TEXT(WEEKDAY(DATE($AI$10,11,1),1),"jjj")</f>
        <v>jeu</v>
      </c>
      <c r="E242" s="14" t="str">
        <f>TEXT(WEEKDAY(DATE($AI$10,11,2),1),"jjj")</f>
        <v>ven</v>
      </c>
      <c r="F242" s="14" t="str">
        <f>TEXT(WEEKDAY(DATE($AI$10,11,3),1),"jjj")</f>
        <v>sam</v>
      </c>
      <c r="G242" s="14" t="str">
        <f>TEXT(WEEKDAY(DATE($AI$10,11,4),1),"jjj")</f>
        <v>dim</v>
      </c>
      <c r="H242" s="14" t="str">
        <f>TEXT(WEEKDAY(DATE($AI$10,11,5),1),"jjj")</f>
        <v>lun</v>
      </c>
      <c r="I242" s="14" t="str">
        <f>TEXT(WEEKDAY(DATE($AI$10,11,6),1),"jjj")</f>
        <v>mar</v>
      </c>
      <c r="J242" s="14" t="str">
        <f>TEXT(WEEKDAY(DATE($AI$10,11,7),1),"jjj")</f>
        <v>mer</v>
      </c>
      <c r="K242" s="14" t="str">
        <f>TEXT(WEEKDAY(DATE($AI$10,11,8),1),"jjj")</f>
        <v>jeu</v>
      </c>
      <c r="L242" s="14" t="str">
        <f>TEXT(WEEKDAY(DATE($AI$10,11,9),1),"jjj")</f>
        <v>ven</v>
      </c>
      <c r="M242" s="14" t="str">
        <f>TEXT(WEEKDAY(DATE($AI$10,11,10),1),"jjj")</f>
        <v>sam</v>
      </c>
      <c r="N242" s="14" t="str">
        <f>TEXT(WEEKDAY(DATE($AI$10,11,11),1),"jjj")</f>
        <v>dim</v>
      </c>
      <c r="O242" s="14" t="str">
        <f>TEXT(WEEKDAY(DATE($AI$10,11,12),1),"jjj")</f>
        <v>lun</v>
      </c>
      <c r="P242" s="14" t="str">
        <f>TEXT(WEEKDAY(DATE($AI$10,11,13),1),"jjj")</f>
        <v>mar</v>
      </c>
      <c r="Q242" s="14" t="str">
        <f>TEXT(WEEKDAY(DATE($AI$10,11,14),1),"jjj")</f>
        <v>mer</v>
      </c>
      <c r="R242" s="14" t="str">
        <f>TEXT(WEEKDAY(DATE($AI$10,11,15),1),"jjj")</f>
        <v>jeu</v>
      </c>
      <c r="S242" s="14" t="str">
        <f>TEXT(WEEKDAY(DATE($AI$10,11,16),1),"jjj")</f>
        <v>ven</v>
      </c>
      <c r="T242" s="14" t="str">
        <f>TEXT(WEEKDAY(DATE($AI$10,11,17),1),"jjj")</f>
        <v>sam</v>
      </c>
      <c r="U242" s="14" t="str">
        <f>TEXT(WEEKDAY(DATE($AI$10,11,18),1),"jjj")</f>
        <v>dim</v>
      </c>
      <c r="V242" s="14" t="str">
        <f>TEXT(WEEKDAY(DATE($AI$10,11,19),1),"jjj")</f>
        <v>lun</v>
      </c>
      <c r="W242" s="14" t="str">
        <f>TEXT(WEEKDAY(DATE($AI$10,11,20),1),"jjj")</f>
        <v>mar</v>
      </c>
      <c r="X242" s="14" t="str">
        <f>TEXT(WEEKDAY(DATE($AI$10,11,21),1),"jjj")</f>
        <v>mer</v>
      </c>
      <c r="Y242" s="14" t="str">
        <f>TEXT(WEEKDAY(DATE($AI$10,11,22),1),"jjj")</f>
        <v>jeu</v>
      </c>
      <c r="Z242" s="14" t="str">
        <f>TEXT(WEEKDAY(DATE($AI$10,11,23),1),"jjj")</f>
        <v>ven</v>
      </c>
      <c r="AA242" s="14" t="str">
        <f>TEXT(WEEKDAY(DATE($AI$10,11,24),1),"jjj")</f>
        <v>sam</v>
      </c>
      <c r="AB242" s="14" t="str">
        <f>TEXT(WEEKDAY(DATE($AI$10,11,25),1),"jjj")</f>
        <v>dim</v>
      </c>
      <c r="AC242" s="14" t="str">
        <f>TEXT(WEEKDAY(DATE($AI$10,11,26),1),"jjj")</f>
        <v>lun</v>
      </c>
      <c r="AD242" s="14" t="str">
        <f>TEXT(WEEKDAY(DATE($AI$10,11,27),1),"jjj")</f>
        <v>mar</v>
      </c>
      <c r="AE242" s="14" t="str">
        <f>TEXT(WEEKDAY(DATE($AI$10,11,28),1),"jjj")</f>
        <v>mer</v>
      </c>
      <c r="AF242" s="14" t="str">
        <f>TEXT(WEEKDAY(DATE($AI$10,11,29),1),"jjj")</f>
        <v>jeu</v>
      </c>
      <c r="AG242" s="14" t="str">
        <f>TEXT(WEEKDAY(DATE($AI$10,11,30),1),"jjj")</f>
        <v>ven</v>
      </c>
      <c r="AH242" s="14"/>
      <c r="AI242" s="96"/>
    </row>
    <row r="243" spans="2:35" ht="15.75" thickBot="1" x14ac:dyDescent="0.3">
      <c r="B243" s="88"/>
      <c r="C243" s="89"/>
      <c r="D243" s="12">
        <v>1</v>
      </c>
      <c r="E243" s="12">
        <v>2</v>
      </c>
      <c r="F243" s="12">
        <v>3</v>
      </c>
      <c r="G243" s="12">
        <v>4</v>
      </c>
      <c r="H243" s="12">
        <v>5</v>
      </c>
      <c r="I243" s="12">
        <v>6</v>
      </c>
      <c r="J243" s="12">
        <v>7</v>
      </c>
      <c r="K243" s="12">
        <v>8</v>
      </c>
      <c r="L243" s="12">
        <v>9</v>
      </c>
      <c r="M243" s="12">
        <v>10</v>
      </c>
      <c r="N243" s="12">
        <v>11</v>
      </c>
      <c r="O243" s="12">
        <v>12</v>
      </c>
      <c r="P243" s="12">
        <v>13</v>
      </c>
      <c r="Q243" s="12">
        <v>14</v>
      </c>
      <c r="R243" s="12">
        <v>15</v>
      </c>
      <c r="S243" s="12">
        <v>16</v>
      </c>
      <c r="T243" s="12">
        <v>17</v>
      </c>
      <c r="U243" s="12">
        <v>18</v>
      </c>
      <c r="V243" s="12">
        <v>19</v>
      </c>
      <c r="W243" s="12">
        <v>20</v>
      </c>
      <c r="X243" s="12">
        <v>21</v>
      </c>
      <c r="Y243" s="12">
        <v>22</v>
      </c>
      <c r="Z243" s="12">
        <v>23</v>
      </c>
      <c r="AA243" s="12">
        <v>24</v>
      </c>
      <c r="AB243" s="12">
        <v>25</v>
      </c>
      <c r="AC243" s="12">
        <v>26</v>
      </c>
      <c r="AD243" s="12">
        <v>27</v>
      </c>
      <c r="AE243" s="12">
        <v>28</v>
      </c>
      <c r="AF243" s="12">
        <v>29</v>
      </c>
      <c r="AG243" s="12">
        <v>30</v>
      </c>
      <c r="AH243" s="12"/>
      <c r="AI243" s="13" t="s">
        <v>14</v>
      </c>
    </row>
    <row r="244" spans="2:35" x14ac:dyDescent="0.25">
      <c r="B244" s="82" t="s">
        <v>29</v>
      </c>
      <c r="C244" s="34" t="s">
        <v>23</v>
      </c>
      <c r="D244" s="25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1">
        <f t="shared" ref="AI244:AI261" si="10">COUNTA(D244:AH244)</f>
        <v>0</v>
      </c>
    </row>
    <row r="245" spans="2:35" x14ac:dyDescent="0.25">
      <c r="B245" s="82"/>
      <c r="C245" s="35" t="s">
        <v>24</v>
      </c>
      <c r="D245" s="26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11">
        <f t="shared" si="10"/>
        <v>0</v>
      </c>
    </row>
    <row r="246" spans="2:35" x14ac:dyDescent="0.25">
      <c r="B246" s="82"/>
      <c r="C246" s="36" t="s">
        <v>25</v>
      </c>
      <c r="D246" s="27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1">
        <f t="shared" si="10"/>
        <v>0</v>
      </c>
    </row>
    <row r="247" spans="2:35" x14ac:dyDescent="0.25">
      <c r="B247" s="82"/>
      <c r="C247" s="35" t="s">
        <v>26</v>
      </c>
      <c r="D247" s="26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11">
        <f t="shared" si="10"/>
        <v>0</v>
      </c>
    </row>
    <row r="248" spans="2:35" x14ac:dyDescent="0.25">
      <c r="B248" s="82"/>
      <c r="C248" s="36" t="s">
        <v>27</v>
      </c>
      <c r="D248" s="27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1">
        <f t="shared" si="10"/>
        <v>0</v>
      </c>
    </row>
    <row r="249" spans="2:35" x14ac:dyDescent="0.25">
      <c r="B249" s="93"/>
      <c r="C249" s="37" t="s">
        <v>28</v>
      </c>
      <c r="D249" s="28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16">
        <f t="shared" si="10"/>
        <v>0</v>
      </c>
    </row>
    <row r="250" spans="2:35" x14ac:dyDescent="0.25">
      <c r="B250" s="81" t="s">
        <v>36</v>
      </c>
      <c r="C250" s="36" t="s">
        <v>30</v>
      </c>
      <c r="D250" s="47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8"/>
      <c r="AB250" s="48"/>
      <c r="AC250" s="48"/>
      <c r="AD250" s="48"/>
      <c r="AE250" s="48"/>
      <c r="AF250" s="48"/>
      <c r="AG250" s="48"/>
      <c r="AH250" s="48"/>
      <c r="AI250" s="11">
        <f t="shared" si="10"/>
        <v>0</v>
      </c>
    </row>
    <row r="251" spans="2:35" x14ac:dyDescent="0.25">
      <c r="B251" s="82"/>
      <c r="C251" s="38" t="s">
        <v>31</v>
      </c>
      <c r="D251" s="29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11">
        <f t="shared" si="10"/>
        <v>0</v>
      </c>
    </row>
    <row r="252" spans="2:35" x14ac:dyDescent="0.25">
      <c r="B252" s="82"/>
      <c r="C252" s="39" t="s">
        <v>32</v>
      </c>
      <c r="D252" s="3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  <c r="AG252" s="20"/>
      <c r="AH252" s="20"/>
      <c r="AI252" s="11">
        <f t="shared" si="10"/>
        <v>0</v>
      </c>
    </row>
    <row r="253" spans="2:35" x14ac:dyDescent="0.25">
      <c r="B253" s="82"/>
      <c r="C253" s="38" t="s">
        <v>33</v>
      </c>
      <c r="D253" s="31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1">
        <f t="shared" si="10"/>
        <v>0</v>
      </c>
    </row>
    <row r="254" spans="2:35" x14ac:dyDescent="0.25">
      <c r="B254" s="82"/>
      <c r="C254" s="39" t="s">
        <v>34</v>
      </c>
      <c r="D254" s="32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11">
        <f t="shared" si="10"/>
        <v>0</v>
      </c>
    </row>
    <row r="255" spans="2:35" x14ac:dyDescent="0.25">
      <c r="B255" s="93"/>
      <c r="C255" s="40" t="s">
        <v>35</v>
      </c>
      <c r="D255" s="33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6">
        <f t="shared" si="10"/>
        <v>0</v>
      </c>
    </row>
    <row r="256" spans="2:35" x14ac:dyDescent="0.25">
      <c r="B256" s="81" t="s">
        <v>43</v>
      </c>
      <c r="C256" s="49" t="s">
        <v>37</v>
      </c>
      <c r="D256" s="50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11">
        <f t="shared" si="10"/>
        <v>0</v>
      </c>
    </row>
    <row r="257" spans="1:35" x14ac:dyDescent="0.25">
      <c r="B257" s="82"/>
      <c r="C257" s="41" t="s">
        <v>38</v>
      </c>
      <c r="D257" s="31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1">
        <f t="shared" si="10"/>
        <v>0</v>
      </c>
    </row>
    <row r="258" spans="1:35" x14ac:dyDescent="0.25">
      <c r="B258" s="82"/>
      <c r="C258" s="42" t="s">
        <v>39</v>
      </c>
      <c r="D258" s="32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11">
        <f t="shared" si="10"/>
        <v>0</v>
      </c>
    </row>
    <row r="259" spans="1:35" x14ac:dyDescent="0.25">
      <c r="B259" s="82"/>
      <c r="C259" s="41" t="s">
        <v>40</v>
      </c>
      <c r="D259" s="31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1">
        <f t="shared" si="10"/>
        <v>0</v>
      </c>
    </row>
    <row r="260" spans="1:35" x14ac:dyDescent="0.25">
      <c r="B260" s="82"/>
      <c r="C260" s="42" t="s">
        <v>41</v>
      </c>
      <c r="D260" s="32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11">
        <f t="shared" si="10"/>
        <v>0</v>
      </c>
    </row>
    <row r="261" spans="1:35" ht="15.75" thickBot="1" x14ac:dyDescent="0.3">
      <c r="B261" s="83"/>
      <c r="C261" s="43" t="s">
        <v>42</v>
      </c>
      <c r="D261" s="44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45"/>
      <c r="AH261" s="45"/>
      <c r="AI261" s="46">
        <f t="shared" si="10"/>
        <v>0</v>
      </c>
    </row>
    <row r="262" spans="1:35" ht="15.75" thickBot="1" x14ac:dyDescent="0.3">
      <c r="AF262" s="91" t="s">
        <v>53</v>
      </c>
      <c r="AG262" s="92"/>
      <c r="AH262" s="92"/>
      <c r="AI262" s="58">
        <f>SUM(AI244:AI261)</f>
        <v>0</v>
      </c>
    </row>
    <row r="263" spans="1:35" ht="16.5" thickBot="1" x14ac:dyDescent="0.3">
      <c r="A263" s="8"/>
      <c r="B263" s="80" t="s">
        <v>67</v>
      </c>
      <c r="C263" s="80"/>
    </row>
    <row r="264" spans="1:35" ht="23.25" x14ac:dyDescent="0.35">
      <c r="B264" s="84" t="s">
        <v>52</v>
      </c>
      <c r="C264" s="85"/>
      <c r="D264" s="77" t="s">
        <v>18</v>
      </c>
      <c r="E264" s="78"/>
      <c r="F264" s="78"/>
      <c r="G264" s="78"/>
      <c r="H264" s="78"/>
      <c r="I264" s="78"/>
      <c r="J264" s="78"/>
      <c r="K264" s="78"/>
      <c r="L264" s="78"/>
      <c r="M264" s="78"/>
      <c r="N264" s="78"/>
      <c r="O264" s="78"/>
      <c r="P264" s="78"/>
      <c r="Q264" s="78"/>
      <c r="R264" s="78"/>
      <c r="S264" s="78"/>
      <c r="T264" s="78"/>
      <c r="U264" s="78"/>
      <c r="V264" s="78"/>
      <c r="W264" s="78"/>
      <c r="X264" s="78"/>
      <c r="Y264" s="78"/>
      <c r="Z264" s="78"/>
      <c r="AA264" s="78"/>
      <c r="AB264" s="78"/>
      <c r="AC264" s="78"/>
      <c r="AD264" s="78"/>
      <c r="AE264" s="78"/>
      <c r="AF264" s="78"/>
      <c r="AG264" s="78"/>
      <c r="AH264" s="79"/>
      <c r="AI264" s="95"/>
    </row>
    <row r="265" spans="1:35" x14ac:dyDescent="0.25">
      <c r="B265" s="86"/>
      <c r="C265" s="87"/>
      <c r="D265" s="14" t="str">
        <f>TEXT(WEEKDAY(DATE($AI$10,12,1),1),"jjj")</f>
        <v>sam</v>
      </c>
      <c r="E265" s="14" t="str">
        <f>TEXT(WEEKDAY(DATE($AI$10,12,2),1),"jjj")</f>
        <v>dim</v>
      </c>
      <c r="F265" s="14" t="str">
        <f>TEXT(WEEKDAY(DATE($AI$10,12,3),1),"jjj")</f>
        <v>lun</v>
      </c>
      <c r="G265" s="14" t="str">
        <f>TEXT(WEEKDAY(DATE($AI$10,12,4),1),"jjj")</f>
        <v>mar</v>
      </c>
      <c r="H265" s="14" t="str">
        <f>TEXT(WEEKDAY(DATE($AI$10,12,5),1),"jjj")</f>
        <v>mer</v>
      </c>
      <c r="I265" s="14" t="str">
        <f>TEXT(WEEKDAY(DATE($AI$10,12,6),1),"jjj")</f>
        <v>jeu</v>
      </c>
      <c r="J265" s="14" t="str">
        <f>TEXT(WEEKDAY(DATE($AI$10,12,7),1),"jjj")</f>
        <v>ven</v>
      </c>
      <c r="K265" s="14" t="str">
        <f>TEXT(WEEKDAY(DATE($AI$10,12,8),1),"jjj")</f>
        <v>sam</v>
      </c>
      <c r="L265" s="14" t="str">
        <f>TEXT(WEEKDAY(DATE($AI$10,12,9),1),"jjj")</f>
        <v>dim</v>
      </c>
      <c r="M265" s="14" t="str">
        <f>TEXT(WEEKDAY(DATE($AI$10,12,10),1),"jjj")</f>
        <v>lun</v>
      </c>
      <c r="N265" s="14" t="str">
        <f>TEXT(WEEKDAY(DATE($AI$10,12,11),1),"jjj")</f>
        <v>mar</v>
      </c>
      <c r="O265" s="14" t="str">
        <f>TEXT(WEEKDAY(DATE($AI$10,12,12),1),"jjj")</f>
        <v>mer</v>
      </c>
      <c r="P265" s="14" t="str">
        <f>TEXT(WEEKDAY(DATE($AI$10,12,13),1),"jjj")</f>
        <v>jeu</v>
      </c>
      <c r="Q265" s="14" t="str">
        <f>TEXT(WEEKDAY(DATE($AI$10,12,14),1),"jjj")</f>
        <v>ven</v>
      </c>
      <c r="R265" s="14" t="str">
        <f>TEXT(WEEKDAY(DATE($AI$10,12,15),1),"jjj")</f>
        <v>sam</v>
      </c>
      <c r="S265" s="14" t="str">
        <f>TEXT(WEEKDAY(DATE($AI$10,12,16),1),"jjj")</f>
        <v>dim</v>
      </c>
      <c r="T265" s="14" t="str">
        <f>TEXT(WEEKDAY(DATE($AI$10,12,17),1),"jjj")</f>
        <v>lun</v>
      </c>
      <c r="U265" s="14" t="str">
        <f>TEXT(WEEKDAY(DATE($AI$10,12,18),1),"jjj")</f>
        <v>mar</v>
      </c>
      <c r="V265" s="14" t="str">
        <f>TEXT(WEEKDAY(DATE($AI$10,12,19),1),"jjj")</f>
        <v>mer</v>
      </c>
      <c r="W265" s="14" t="str">
        <f>TEXT(WEEKDAY(DATE($AI$10,12,20),1),"jjj")</f>
        <v>jeu</v>
      </c>
      <c r="X265" s="14" t="str">
        <f>TEXT(WEEKDAY(DATE($AI$10,12,21),1),"jjj")</f>
        <v>ven</v>
      </c>
      <c r="Y265" s="14" t="str">
        <f>TEXT(WEEKDAY(DATE($AI$10,12,22),1),"jjj")</f>
        <v>sam</v>
      </c>
      <c r="Z265" s="14" t="str">
        <f>TEXT(WEEKDAY(DATE($AI$10,12,23),1),"jjj")</f>
        <v>dim</v>
      </c>
      <c r="AA265" s="14" t="str">
        <f>TEXT(WEEKDAY(DATE($AI$10,12,24),1),"jjj")</f>
        <v>lun</v>
      </c>
      <c r="AB265" s="14" t="str">
        <f>TEXT(WEEKDAY(DATE($AI$10,12,25),1),"jjj")</f>
        <v>mar</v>
      </c>
      <c r="AC265" s="14" t="str">
        <f>TEXT(WEEKDAY(DATE($AI$10,12,26),1),"jjj")</f>
        <v>mer</v>
      </c>
      <c r="AD265" s="14" t="str">
        <f>TEXT(WEEKDAY(DATE($AI$10,12,27),1),"jjj")</f>
        <v>jeu</v>
      </c>
      <c r="AE265" s="14" t="str">
        <f>TEXT(WEEKDAY(DATE($AI$10,12,28),1),"jjj")</f>
        <v>ven</v>
      </c>
      <c r="AF265" s="14" t="str">
        <f>TEXT(WEEKDAY(DATE($AI$10,12,29),1),"jjj")</f>
        <v>sam</v>
      </c>
      <c r="AG265" s="14" t="str">
        <f>TEXT(WEEKDAY(DATE($AI$10,12,30),1),"jjj")</f>
        <v>dim</v>
      </c>
      <c r="AH265" s="14" t="str">
        <f>TEXT(WEEKDAY(DATE($AI$10,12,31),1),"jjj")</f>
        <v>lun</v>
      </c>
      <c r="AI265" s="96"/>
    </row>
    <row r="266" spans="1:35" ht="15.75" thickBot="1" x14ac:dyDescent="0.3">
      <c r="B266" s="88"/>
      <c r="C266" s="89"/>
      <c r="D266" s="12">
        <v>1</v>
      </c>
      <c r="E266" s="12">
        <v>2</v>
      </c>
      <c r="F266" s="12">
        <v>3</v>
      </c>
      <c r="G266" s="12">
        <v>4</v>
      </c>
      <c r="H266" s="12">
        <v>5</v>
      </c>
      <c r="I266" s="12">
        <v>6</v>
      </c>
      <c r="J266" s="12">
        <v>7</v>
      </c>
      <c r="K266" s="12">
        <v>8</v>
      </c>
      <c r="L266" s="12">
        <v>9</v>
      </c>
      <c r="M266" s="12">
        <v>10</v>
      </c>
      <c r="N266" s="12">
        <v>11</v>
      </c>
      <c r="O266" s="12">
        <v>12</v>
      </c>
      <c r="P266" s="12">
        <v>13</v>
      </c>
      <c r="Q266" s="12">
        <v>14</v>
      </c>
      <c r="R266" s="12">
        <v>15</v>
      </c>
      <c r="S266" s="12">
        <v>16</v>
      </c>
      <c r="T266" s="12">
        <v>17</v>
      </c>
      <c r="U266" s="12">
        <v>18</v>
      </c>
      <c r="V266" s="12">
        <v>19</v>
      </c>
      <c r="W266" s="12">
        <v>20</v>
      </c>
      <c r="X266" s="12">
        <v>21</v>
      </c>
      <c r="Y266" s="12">
        <v>22</v>
      </c>
      <c r="Z266" s="12">
        <v>23</v>
      </c>
      <c r="AA266" s="12">
        <v>24</v>
      </c>
      <c r="AB266" s="12">
        <v>25</v>
      </c>
      <c r="AC266" s="12">
        <v>26</v>
      </c>
      <c r="AD266" s="12">
        <v>27</v>
      </c>
      <c r="AE266" s="12">
        <v>28</v>
      </c>
      <c r="AF266" s="12">
        <v>29</v>
      </c>
      <c r="AG266" s="12">
        <v>30</v>
      </c>
      <c r="AH266" s="12">
        <v>31</v>
      </c>
      <c r="AI266" s="13" t="s">
        <v>14</v>
      </c>
    </row>
    <row r="267" spans="1:35" x14ac:dyDescent="0.25">
      <c r="B267" s="82" t="s">
        <v>29</v>
      </c>
      <c r="C267" s="34" t="s">
        <v>23</v>
      </c>
      <c r="D267" s="25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1">
        <f t="shared" ref="AI267:AI284" si="11">COUNTA(D267:AH267)</f>
        <v>0</v>
      </c>
    </row>
    <row r="268" spans="1:35" x14ac:dyDescent="0.25">
      <c r="B268" s="82"/>
      <c r="C268" s="35" t="s">
        <v>24</v>
      </c>
      <c r="D268" s="26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22"/>
      <c r="AI268" s="11">
        <f t="shared" si="11"/>
        <v>0</v>
      </c>
    </row>
    <row r="269" spans="1:35" x14ac:dyDescent="0.25">
      <c r="B269" s="82"/>
      <c r="C269" s="36" t="s">
        <v>25</v>
      </c>
      <c r="D269" s="27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1">
        <f t="shared" si="11"/>
        <v>0</v>
      </c>
    </row>
    <row r="270" spans="1:35" x14ac:dyDescent="0.25">
      <c r="B270" s="82"/>
      <c r="C270" s="35" t="s">
        <v>26</v>
      </c>
      <c r="D270" s="26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  <c r="AI270" s="11">
        <f t="shared" si="11"/>
        <v>0</v>
      </c>
    </row>
    <row r="271" spans="1:35" x14ac:dyDescent="0.25">
      <c r="B271" s="82"/>
      <c r="C271" s="36" t="s">
        <v>27</v>
      </c>
      <c r="D271" s="27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1">
        <f t="shared" si="11"/>
        <v>0</v>
      </c>
    </row>
    <row r="272" spans="1:35" x14ac:dyDescent="0.25">
      <c r="B272" s="93"/>
      <c r="C272" s="37" t="s">
        <v>28</v>
      </c>
      <c r="D272" s="28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11">
        <f t="shared" si="11"/>
        <v>0</v>
      </c>
    </row>
    <row r="273" spans="2:35" x14ac:dyDescent="0.25">
      <c r="B273" s="81" t="s">
        <v>36</v>
      </c>
      <c r="C273" s="36" t="s">
        <v>30</v>
      </c>
      <c r="D273" s="47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48"/>
      <c r="AH273" s="48"/>
      <c r="AI273" s="11">
        <f t="shared" si="11"/>
        <v>0</v>
      </c>
    </row>
    <row r="274" spans="2:35" x14ac:dyDescent="0.25">
      <c r="B274" s="82"/>
      <c r="C274" s="38" t="s">
        <v>31</v>
      </c>
      <c r="D274" s="29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11">
        <f t="shared" si="11"/>
        <v>0</v>
      </c>
    </row>
    <row r="275" spans="2:35" x14ac:dyDescent="0.25">
      <c r="B275" s="82"/>
      <c r="C275" s="39" t="s">
        <v>32</v>
      </c>
      <c r="D275" s="3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  <c r="AG275" s="20"/>
      <c r="AH275" s="20"/>
      <c r="AI275" s="11">
        <f t="shared" si="11"/>
        <v>0</v>
      </c>
    </row>
    <row r="276" spans="2:35" x14ac:dyDescent="0.25">
      <c r="B276" s="82"/>
      <c r="C276" s="38" t="s">
        <v>33</v>
      </c>
      <c r="D276" s="31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1">
        <f t="shared" si="11"/>
        <v>0</v>
      </c>
    </row>
    <row r="277" spans="2:35" x14ac:dyDescent="0.25">
      <c r="B277" s="82"/>
      <c r="C277" s="39" t="s">
        <v>34</v>
      </c>
      <c r="D277" s="32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11">
        <f t="shared" si="11"/>
        <v>0</v>
      </c>
    </row>
    <row r="278" spans="2:35" x14ac:dyDescent="0.25">
      <c r="B278" s="93"/>
      <c r="C278" s="40" t="s">
        <v>35</v>
      </c>
      <c r="D278" s="33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1">
        <f t="shared" si="11"/>
        <v>0</v>
      </c>
    </row>
    <row r="279" spans="2:35" x14ac:dyDescent="0.25">
      <c r="B279" s="81" t="s">
        <v>43</v>
      </c>
      <c r="C279" s="49" t="s">
        <v>37</v>
      </c>
      <c r="D279" s="50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11">
        <f t="shared" si="11"/>
        <v>0</v>
      </c>
    </row>
    <row r="280" spans="2:35" x14ac:dyDescent="0.25">
      <c r="B280" s="82"/>
      <c r="C280" s="41" t="s">
        <v>38</v>
      </c>
      <c r="D280" s="31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1">
        <f t="shared" si="11"/>
        <v>0</v>
      </c>
    </row>
    <row r="281" spans="2:35" x14ac:dyDescent="0.25">
      <c r="B281" s="82"/>
      <c r="C281" s="42" t="s">
        <v>39</v>
      </c>
      <c r="D281" s="32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11">
        <f t="shared" si="11"/>
        <v>0</v>
      </c>
    </row>
    <row r="282" spans="2:35" x14ac:dyDescent="0.25">
      <c r="B282" s="82"/>
      <c r="C282" s="41" t="s">
        <v>40</v>
      </c>
      <c r="D282" s="31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1">
        <f t="shared" si="11"/>
        <v>0</v>
      </c>
    </row>
    <row r="283" spans="2:35" x14ac:dyDescent="0.25">
      <c r="B283" s="82"/>
      <c r="C283" s="42" t="s">
        <v>41</v>
      </c>
      <c r="D283" s="32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11">
        <f t="shared" si="11"/>
        <v>0</v>
      </c>
    </row>
    <row r="284" spans="2:35" ht="15.75" thickBot="1" x14ac:dyDescent="0.3">
      <c r="B284" s="83"/>
      <c r="C284" s="43" t="s">
        <v>42</v>
      </c>
      <c r="D284" s="44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5"/>
      <c r="AB284" s="45"/>
      <c r="AC284" s="45"/>
      <c r="AD284" s="45"/>
      <c r="AE284" s="45"/>
      <c r="AF284" s="45"/>
      <c r="AG284" s="45"/>
      <c r="AH284" s="45"/>
      <c r="AI284" s="57">
        <f t="shared" si="11"/>
        <v>0</v>
      </c>
    </row>
    <row r="285" spans="2:35" ht="15.75" thickBot="1" x14ac:dyDescent="0.3">
      <c r="AF285" s="91" t="s">
        <v>53</v>
      </c>
      <c r="AG285" s="92"/>
      <c r="AH285" s="92"/>
      <c r="AI285" s="58">
        <f>SUM(AI267:AI284)</f>
        <v>0</v>
      </c>
    </row>
  </sheetData>
  <mergeCells count="107">
    <mergeCell ref="D172:AH172"/>
    <mergeCell ref="AI172:AI173"/>
    <mergeCell ref="B171:C171"/>
    <mergeCell ref="AF239:AH239"/>
    <mergeCell ref="AF262:AH262"/>
    <mergeCell ref="AF285:AH285"/>
    <mergeCell ref="AF170:AH170"/>
    <mergeCell ref="AF193:AH193"/>
    <mergeCell ref="AF216:AH216"/>
    <mergeCell ref="AI264:AI265"/>
    <mergeCell ref="B267:B272"/>
    <mergeCell ref="B273:B278"/>
    <mergeCell ref="AI241:AI242"/>
    <mergeCell ref="AI218:AI219"/>
    <mergeCell ref="AI195:AI196"/>
    <mergeCell ref="B263:C263"/>
    <mergeCell ref="AI10:AI11"/>
    <mergeCell ref="D34:AH34"/>
    <mergeCell ref="AI34:AI35"/>
    <mergeCell ref="B126:C128"/>
    <mergeCell ref="D126:AH126"/>
    <mergeCell ref="AI126:AI127"/>
    <mergeCell ref="B10:C12"/>
    <mergeCell ref="B13:B18"/>
    <mergeCell ref="B19:B24"/>
    <mergeCell ref="B25:B30"/>
    <mergeCell ref="B37:B42"/>
    <mergeCell ref="B34:C36"/>
    <mergeCell ref="B57:C59"/>
    <mergeCell ref="B60:B65"/>
    <mergeCell ref="D57:AH57"/>
    <mergeCell ref="AI57:AI58"/>
    <mergeCell ref="B43:B48"/>
    <mergeCell ref="B49:B54"/>
    <mergeCell ref="D103:AH103"/>
    <mergeCell ref="AI103:AI104"/>
    <mergeCell ref="AI80:AI81"/>
    <mergeCell ref="AF55:AH55"/>
    <mergeCell ref="AF78:AH78"/>
    <mergeCell ref="AF124:AH124"/>
    <mergeCell ref="B79:C79"/>
    <mergeCell ref="B102:C102"/>
    <mergeCell ref="B125:C125"/>
    <mergeCell ref="B204:B209"/>
    <mergeCell ref="B112:B117"/>
    <mergeCell ref="B118:B123"/>
    <mergeCell ref="B89:B94"/>
    <mergeCell ref="B95:B100"/>
    <mergeCell ref="B103:C105"/>
    <mergeCell ref="B106:B111"/>
    <mergeCell ref="B129:B134"/>
    <mergeCell ref="B135:B140"/>
    <mergeCell ref="B148:C148"/>
    <mergeCell ref="B175:B180"/>
    <mergeCell ref="B181:B186"/>
    <mergeCell ref="B187:B192"/>
    <mergeCell ref="B158:B163"/>
    <mergeCell ref="B164:B169"/>
    <mergeCell ref="B172:C174"/>
    <mergeCell ref="AF147:AH147"/>
    <mergeCell ref="AI149:AI150"/>
    <mergeCell ref="B152:B157"/>
    <mergeCell ref="B279:B284"/>
    <mergeCell ref="AF31:AH31"/>
    <mergeCell ref="B244:B249"/>
    <mergeCell ref="B250:B255"/>
    <mergeCell ref="B256:B261"/>
    <mergeCell ref="B264:C266"/>
    <mergeCell ref="D264:AH264"/>
    <mergeCell ref="B227:B232"/>
    <mergeCell ref="B233:B238"/>
    <mergeCell ref="B241:C243"/>
    <mergeCell ref="D241:AH241"/>
    <mergeCell ref="B210:B215"/>
    <mergeCell ref="B218:C220"/>
    <mergeCell ref="D218:AH218"/>
    <mergeCell ref="B221:B226"/>
    <mergeCell ref="B195:C197"/>
    <mergeCell ref="D195:AH195"/>
    <mergeCell ref="B198:B203"/>
    <mergeCell ref="B194:C194"/>
    <mergeCell ref="B217:C217"/>
    <mergeCell ref="B240:C240"/>
    <mergeCell ref="D149:AH149"/>
    <mergeCell ref="B32:C32"/>
    <mergeCell ref="B56:C56"/>
    <mergeCell ref="B141:B146"/>
    <mergeCell ref="B149:C151"/>
    <mergeCell ref="AC4:AG4"/>
    <mergeCell ref="E5:I5"/>
    <mergeCell ref="J5:N5"/>
    <mergeCell ref="O5:S5"/>
    <mergeCell ref="T5:X5"/>
    <mergeCell ref="Y5:AC5"/>
    <mergeCell ref="AD5:AH5"/>
    <mergeCell ref="D4:H4"/>
    <mergeCell ref="I4:M4"/>
    <mergeCell ref="N4:R4"/>
    <mergeCell ref="S4:W4"/>
    <mergeCell ref="X4:AB4"/>
    <mergeCell ref="AF101:AH101"/>
    <mergeCell ref="B66:B71"/>
    <mergeCell ref="B72:B77"/>
    <mergeCell ref="B80:C82"/>
    <mergeCell ref="D80:AH80"/>
    <mergeCell ref="B83:B88"/>
    <mergeCell ref="D10:AH10"/>
  </mergeCells>
  <conditionalFormatting sqref="D32:AH32 D31:AF31 D13:AH30">
    <cfRule type="containsText" dxfId="25" priority="38" operator="containsText" text="R">
      <formula>NOT(ISERROR(SEARCH("R",D13)))</formula>
    </cfRule>
  </conditionalFormatting>
  <conditionalFormatting sqref="D55:AE55">
    <cfRule type="containsText" dxfId="24" priority="36" operator="containsText" text="R">
      <formula>NOT(ISERROR(SEARCH("R",D55)))</formula>
    </cfRule>
  </conditionalFormatting>
  <conditionalFormatting sqref="AI37:AI54">
    <cfRule type="dataBar" priority="31">
      <dataBar>
        <cfvo type="num" val="0"/>
        <cfvo type="num" val="29"/>
        <color rgb="FFFF0000"/>
      </dataBar>
      <extLst>
        <ext xmlns:x14="http://schemas.microsoft.com/office/spreadsheetml/2009/9/main" uri="{B025F937-C7B1-47D3-B67F-A62EFF666E3E}">
          <x14:id>{A86B6007-78B7-4950-BB24-D59DF5E2CB4C}</x14:id>
        </ext>
      </extLst>
    </cfRule>
  </conditionalFormatting>
  <conditionalFormatting sqref="D37:AH54">
    <cfRule type="containsText" dxfId="23" priority="32" operator="containsText" text="R">
      <formula>NOT(ISERROR(SEARCH("R",D37)))</formula>
    </cfRule>
  </conditionalFormatting>
  <conditionalFormatting sqref="D60:AH77">
    <cfRule type="containsText" dxfId="22" priority="30" operator="containsText" text="R">
      <formula>NOT(ISERROR(SEARCH("R",D60)))</formula>
    </cfRule>
  </conditionalFormatting>
  <conditionalFormatting sqref="AI83:AI100">
    <cfRule type="dataBar" priority="27">
      <dataBar>
        <cfvo type="num" val="0"/>
        <cfvo type="num" val="30"/>
        <color rgb="FFFF0000"/>
      </dataBar>
      <extLst>
        <ext xmlns:x14="http://schemas.microsoft.com/office/spreadsheetml/2009/9/main" uri="{B025F937-C7B1-47D3-B67F-A62EFF666E3E}">
          <x14:id>{11887D98-25AD-48E2-B9E9-F8DE56CEE6DD}</x14:id>
        </ext>
      </extLst>
    </cfRule>
  </conditionalFormatting>
  <conditionalFormatting sqref="D83:AH100">
    <cfRule type="containsText" dxfId="21" priority="28" operator="containsText" text="R">
      <formula>NOT(ISERROR(SEARCH("R",D83)))</formula>
    </cfRule>
  </conditionalFormatting>
  <conditionalFormatting sqref="D106:AH123">
    <cfRule type="containsText" dxfId="20" priority="26" operator="containsText" text="R">
      <formula>NOT(ISERROR(SEARCH("R",D106)))</formula>
    </cfRule>
  </conditionalFormatting>
  <conditionalFormatting sqref="D129:AH146">
    <cfRule type="containsText" dxfId="19" priority="24" operator="containsText" text="R">
      <formula>NOT(ISERROR(SEARCH("R",D129)))</formula>
    </cfRule>
  </conditionalFormatting>
  <conditionalFormatting sqref="D152:AH169">
    <cfRule type="containsText" dxfId="18" priority="22" operator="containsText" text="R">
      <formula>NOT(ISERROR(SEARCH("R",D152)))</formula>
    </cfRule>
  </conditionalFormatting>
  <conditionalFormatting sqref="D175:AH192">
    <cfRule type="containsText" dxfId="17" priority="20" operator="containsText" text="R">
      <formula>NOT(ISERROR(SEARCH("R",D175)))</formula>
    </cfRule>
  </conditionalFormatting>
  <conditionalFormatting sqref="D198:AH215">
    <cfRule type="containsText" dxfId="16" priority="18" operator="containsText" text="R">
      <formula>NOT(ISERROR(SEARCH("R",D198)))</formula>
    </cfRule>
  </conditionalFormatting>
  <conditionalFormatting sqref="D221:AH238">
    <cfRule type="containsText" dxfId="15" priority="16" operator="containsText" text="R">
      <formula>NOT(ISERROR(SEARCH("R",D221)))</formula>
    </cfRule>
  </conditionalFormatting>
  <conditionalFormatting sqref="D244:AH261">
    <cfRule type="containsText" dxfId="14" priority="14" operator="containsText" text="R">
      <formula>NOT(ISERROR(SEARCH("R",D244)))</formula>
    </cfRule>
  </conditionalFormatting>
  <conditionalFormatting sqref="D267:AH284">
    <cfRule type="containsText" dxfId="13" priority="12" operator="containsText" text="R">
      <formula>NOT(ISERROR(SEARCH("R",D267)))</formula>
    </cfRule>
  </conditionalFormatting>
  <conditionalFormatting sqref="AI13:AI30">
    <cfRule type="dataBar" priority="9">
      <dataBar>
        <cfvo type="num" val="0"/>
        <cfvo type="num" val="31"/>
        <color rgb="FFFF5757"/>
      </dataBar>
      <extLst>
        <ext xmlns:x14="http://schemas.microsoft.com/office/spreadsheetml/2009/9/main" uri="{B025F937-C7B1-47D3-B67F-A62EFF666E3E}">
          <x14:id>{0D344EDD-4ABB-43A4-918D-8AEDFD66C153}</x14:id>
        </ext>
      </extLst>
    </cfRule>
  </conditionalFormatting>
  <conditionalFormatting sqref="AI31">
    <cfRule type="dataBar" priority="8">
      <dataBar>
        <cfvo type="num" val="0"/>
        <cfvo type="num" val="558"/>
        <color rgb="FFFF5757"/>
      </dataBar>
      <extLst>
        <ext xmlns:x14="http://schemas.microsoft.com/office/spreadsheetml/2009/9/main" uri="{B025F937-C7B1-47D3-B67F-A62EFF666E3E}">
          <x14:id>{AA0A5BF9-4F76-4914-B067-5159225A6084}</x14:id>
        </ext>
      </extLst>
    </cfRule>
  </conditionalFormatting>
  <conditionalFormatting sqref="AI267:AI284 AI221:AI238 AI175:AI192 AI152:AI169 AI106:AI123 AI60:AI77">
    <cfRule type="dataBar" priority="7">
      <dataBar>
        <cfvo type="num" val="0"/>
        <cfvo type="num" val="31"/>
        <color rgb="FFFF5757"/>
      </dataBar>
      <extLst>
        <ext xmlns:x14="http://schemas.microsoft.com/office/spreadsheetml/2009/9/main" uri="{B025F937-C7B1-47D3-B67F-A62EFF666E3E}">
          <x14:id>{B886792C-1617-4E14-9FB0-069CB8510D35}</x14:id>
        </ext>
      </extLst>
    </cfRule>
  </conditionalFormatting>
  <conditionalFormatting sqref="AI78 AI285 AI239 AI193 AI170 AI124">
    <cfRule type="dataBar" priority="6">
      <dataBar>
        <cfvo type="num" val="0"/>
        <cfvo type="num" val="558"/>
        <color rgb="FFFF5757"/>
      </dataBar>
      <extLst>
        <ext xmlns:x14="http://schemas.microsoft.com/office/spreadsheetml/2009/9/main" uri="{B025F937-C7B1-47D3-B67F-A62EFF666E3E}">
          <x14:id>{BA28B1E0-C2D4-4CC8-AAFF-B9B8E8DD4FD5}</x14:id>
        </ext>
      </extLst>
    </cfRule>
  </conditionalFormatting>
  <conditionalFormatting sqref="AF285 AF262 AF239 AF216 AF193 AF170 AF147 AF124 AF101 AF78 AF55">
    <cfRule type="containsText" dxfId="12" priority="5" operator="containsText" text="R">
      <formula>NOT(ISERROR(SEARCH("R",AF55)))</formula>
    </cfRule>
  </conditionalFormatting>
  <conditionalFormatting sqref="AI101">
    <cfRule type="dataBar" priority="4">
      <dataBar>
        <cfvo type="num" val="0"/>
        <cfvo type="num" val="540"/>
        <color rgb="FFFF5757"/>
      </dataBar>
      <extLst>
        <ext xmlns:x14="http://schemas.microsoft.com/office/spreadsheetml/2009/9/main" uri="{B025F937-C7B1-47D3-B67F-A62EFF666E3E}">
          <x14:id>{270E6464-486D-49C7-BF87-09B29C433A71}</x14:id>
        </ext>
      </extLst>
    </cfRule>
  </conditionalFormatting>
  <conditionalFormatting sqref="AI244:AI261 AI198:AI215 AI129:AI146">
    <cfRule type="dataBar" priority="3">
      <dataBar>
        <cfvo type="num" val="0"/>
        <cfvo type="num" val="30"/>
        <color rgb="FFFF0000"/>
      </dataBar>
      <extLst>
        <ext xmlns:x14="http://schemas.microsoft.com/office/spreadsheetml/2009/9/main" uri="{B025F937-C7B1-47D3-B67F-A62EFF666E3E}">
          <x14:id>{ED0E41BB-E6B5-4891-BFC5-3913CC479526}</x14:id>
        </ext>
      </extLst>
    </cfRule>
  </conditionalFormatting>
  <conditionalFormatting sqref="AI147 AI262 AI216">
    <cfRule type="dataBar" priority="2">
      <dataBar>
        <cfvo type="num" val="0"/>
        <cfvo type="num" val="540"/>
        <color rgb="FFFF5757"/>
      </dataBar>
      <extLst>
        <ext xmlns:x14="http://schemas.microsoft.com/office/spreadsheetml/2009/9/main" uri="{B025F937-C7B1-47D3-B67F-A62EFF666E3E}">
          <x14:id>{3198675A-7BF3-44CA-A913-CC39E19B57CB}</x14:id>
        </ext>
      </extLst>
    </cfRule>
  </conditionalFormatting>
  <conditionalFormatting sqref="AI55">
    <cfRule type="dataBar" priority="1">
      <dataBar>
        <cfvo type="num" val="0"/>
        <cfvo type="num" val="522"/>
        <color rgb="FFFF5757"/>
      </dataBar>
      <extLst>
        <ext xmlns:x14="http://schemas.microsoft.com/office/spreadsheetml/2009/9/main" uri="{B025F937-C7B1-47D3-B67F-A62EFF666E3E}">
          <x14:id>{4608E312-5D9D-4D75-ABCF-8999D3768F96}</x14:id>
        </ext>
      </extLst>
    </cfRule>
  </conditionalFormatting>
  <hyperlinks>
    <hyperlink ref="D4:H4" location="'Calendrier Hôtel'!B10" display="JANVIER"/>
    <hyperlink ref="I4:M4" location="'Calendrier Hôtel'!B34" display="FEVRIER"/>
    <hyperlink ref="N4:R4" location="'Calendrier Hôtel'!B57" display="MARS"/>
    <hyperlink ref="S4:W4" location="'Calendrier Hôtel'!B80" display="AVRIL"/>
    <hyperlink ref="X4:AB4" location="'Calendrier Hôtel'!B103" display="MAI"/>
    <hyperlink ref="AC4:AG4" location="'Calendrier Hôtel'!B126" display="JUIN"/>
    <hyperlink ref="E5:I5" location="'Calendrier Hôtel'!B149" display="JUILLET"/>
    <hyperlink ref="J5:N5" location="'Calendrier Hôtel'!B172" display="AOUT"/>
    <hyperlink ref="O5:S5" location="'Calendrier Hôtel'!B195" display="SEPTEMBRE"/>
    <hyperlink ref="T5:X5" location="'Calendrier Hôtel'!B218" display="OCTOBRE"/>
    <hyperlink ref="Y5:AC5" location="'Calendrier Hôtel'!B241" display="NOVEMBRE"/>
    <hyperlink ref="AD5:AH5" location="'Calendrier Hôtel'!B264" display="DECEMBRE"/>
    <hyperlink ref="B32:C32" location="'Calendrier Hôtel'!A1" display="↑haut "/>
    <hyperlink ref="B56:C56" location="'Calendrier Hôtel'!A1" display="↑haut "/>
    <hyperlink ref="B79:C79" location="'Calendrier Hôtel'!A1" display="↑haut "/>
    <hyperlink ref="B102:C102" location="'Calendrier Hôtel'!A1" display="↑haut "/>
    <hyperlink ref="B125:C125" location="'Calendrier Hôtel'!A1" display="↑haut "/>
    <hyperlink ref="B148:C148" location="'Calendrier Hôtel'!A1" display="↑haut "/>
    <hyperlink ref="B171:C171" location="'Calendrier Hôtel'!A1" display="↑haut "/>
    <hyperlink ref="B194:C194" location="'Calendrier Hôtel'!A1" display="↑haut "/>
    <hyperlink ref="B217:C217" location="'Calendrier Hôtel'!A1" display="↑haut "/>
    <hyperlink ref="B240:C240" location="'Calendrier Hôtel'!A1" display="↑haut "/>
    <hyperlink ref="B263:C263" location="'Calendrier Hôtel'!A1" display="↑haut "/>
  </hyperlink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6B6007-78B7-4950-BB24-D59DF5E2CB4C}">
            <x14:dataBar minLength="0" maxLength="100">
              <x14:cfvo type="num">
                <xm:f>0</xm:f>
              </x14:cfvo>
              <x14:cfvo type="num">
                <xm:f>29</xm:f>
              </x14:cfvo>
              <x14:negativeFillColor rgb="FFFF0000"/>
              <x14:axisColor rgb="FF000000"/>
            </x14:dataBar>
          </x14:cfRule>
          <xm:sqref>AI37:AI54</xm:sqref>
        </x14:conditionalFormatting>
        <x14:conditionalFormatting xmlns:xm="http://schemas.microsoft.com/office/excel/2006/main">
          <x14:cfRule type="dataBar" id="{11887D98-25AD-48E2-B9E9-F8DE56CEE6DD}">
            <x14:dataBar minLength="0" maxLength="100">
              <x14:cfvo type="num">
                <xm:f>0</xm:f>
              </x14:cfvo>
              <x14:cfvo type="num">
                <xm:f>30</xm:f>
              </x14:cfvo>
              <x14:negativeFillColor rgb="FFFF0000"/>
              <x14:axisColor rgb="FF000000"/>
            </x14:dataBar>
          </x14:cfRule>
          <xm:sqref>AI83:AI100</xm:sqref>
        </x14:conditionalFormatting>
        <x14:conditionalFormatting xmlns:xm="http://schemas.microsoft.com/office/excel/2006/main">
          <x14:cfRule type="dataBar" id="{0D344EDD-4ABB-43A4-918D-8AEDFD66C153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AI13:AI30</xm:sqref>
        </x14:conditionalFormatting>
        <x14:conditionalFormatting xmlns:xm="http://schemas.microsoft.com/office/excel/2006/main">
          <x14:cfRule type="dataBar" id="{AA0A5BF9-4F76-4914-B067-5159225A6084}">
            <x14:dataBar minLength="0" maxLength="100">
              <x14:cfvo type="num">
                <xm:f>0</xm:f>
              </x14:cfvo>
              <x14:cfvo type="num">
                <xm:f>558</xm:f>
              </x14:cfvo>
              <x14:negativeFillColor rgb="FFFF0000"/>
              <x14:axisColor rgb="FF000000"/>
            </x14:dataBar>
          </x14:cfRule>
          <xm:sqref>AI31</xm:sqref>
        </x14:conditionalFormatting>
        <x14:conditionalFormatting xmlns:xm="http://schemas.microsoft.com/office/excel/2006/main">
          <x14:cfRule type="dataBar" id="{B886792C-1617-4E14-9FB0-069CB8510D35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AI267:AI284 AI221:AI238 AI175:AI192 AI152:AI169 AI106:AI123 AI60:AI77</xm:sqref>
        </x14:conditionalFormatting>
        <x14:conditionalFormatting xmlns:xm="http://schemas.microsoft.com/office/excel/2006/main">
          <x14:cfRule type="dataBar" id="{BA28B1E0-C2D4-4CC8-AAFF-B9B8E8DD4FD5}">
            <x14:dataBar minLength="0" maxLength="100">
              <x14:cfvo type="num">
                <xm:f>0</xm:f>
              </x14:cfvo>
              <x14:cfvo type="num">
                <xm:f>558</xm:f>
              </x14:cfvo>
              <x14:negativeFillColor rgb="FFFF0000"/>
              <x14:axisColor rgb="FF000000"/>
            </x14:dataBar>
          </x14:cfRule>
          <xm:sqref>AI78 AI285 AI239 AI193 AI170 AI124</xm:sqref>
        </x14:conditionalFormatting>
        <x14:conditionalFormatting xmlns:xm="http://schemas.microsoft.com/office/excel/2006/main">
          <x14:cfRule type="dataBar" id="{270E6464-486D-49C7-BF87-09B29C433A71}">
            <x14:dataBar minLength="0" maxLength="100">
              <x14:cfvo type="num">
                <xm:f>0</xm:f>
              </x14:cfvo>
              <x14:cfvo type="num">
                <xm:f>540</xm:f>
              </x14:cfvo>
              <x14:negativeFillColor rgb="FFFF0000"/>
              <x14:axisColor rgb="FF000000"/>
            </x14:dataBar>
          </x14:cfRule>
          <xm:sqref>AI101</xm:sqref>
        </x14:conditionalFormatting>
        <x14:conditionalFormatting xmlns:xm="http://schemas.microsoft.com/office/excel/2006/main">
          <x14:cfRule type="dataBar" id="{ED0E41BB-E6B5-4891-BFC5-3913CC479526}">
            <x14:dataBar minLength="0" maxLength="100">
              <x14:cfvo type="num">
                <xm:f>0</xm:f>
              </x14:cfvo>
              <x14:cfvo type="num">
                <xm:f>30</xm:f>
              </x14:cfvo>
              <x14:negativeFillColor rgb="FFFF0000"/>
              <x14:axisColor rgb="FF000000"/>
            </x14:dataBar>
          </x14:cfRule>
          <xm:sqref>AI244:AI261 AI198:AI215 AI129:AI146</xm:sqref>
        </x14:conditionalFormatting>
        <x14:conditionalFormatting xmlns:xm="http://schemas.microsoft.com/office/excel/2006/main">
          <x14:cfRule type="dataBar" id="{3198675A-7BF3-44CA-A913-CC39E19B57CB}">
            <x14:dataBar minLength="0" maxLength="100">
              <x14:cfvo type="num">
                <xm:f>0</xm:f>
              </x14:cfvo>
              <x14:cfvo type="num">
                <xm:f>540</xm:f>
              </x14:cfvo>
              <x14:negativeFillColor rgb="FFFF0000"/>
              <x14:axisColor rgb="FF000000"/>
            </x14:dataBar>
          </x14:cfRule>
          <xm:sqref>AI147 AI262 AI216</xm:sqref>
        </x14:conditionalFormatting>
        <x14:conditionalFormatting xmlns:xm="http://schemas.microsoft.com/office/excel/2006/main">
          <x14:cfRule type="dataBar" id="{4608E312-5D9D-4D75-ABCF-8999D3768F96}">
            <x14:dataBar minLength="0" maxLength="100">
              <x14:cfvo type="num">
                <xm:f>0</xm:f>
              </x14:cfvo>
              <x14:cfvo type="num">
                <xm:f>522</xm:f>
              </x14:cfvo>
              <x14:negativeFillColor rgb="FFFF0000"/>
              <x14:axisColor rgb="FF000000"/>
            </x14:dataBar>
          </x14:cfRule>
          <xm:sqref>AI55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4:AI175"/>
  <sheetViews>
    <sheetView tabSelected="1" topLeftCell="B9" zoomScale="73" zoomScaleNormal="73" workbookViewId="0">
      <selection activeCell="D13" sqref="D13"/>
    </sheetView>
  </sheetViews>
  <sheetFormatPr baseColWidth="10" defaultRowHeight="15" x14ac:dyDescent="0.25"/>
  <cols>
    <col min="2" max="3" width="8.42578125" customWidth="1"/>
    <col min="35" max="35" width="12.42578125" customWidth="1"/>
  </cols>
  <sheetData>
    <row r="4" spans="2:35" ht="26.25" x14ac:dyDescent="0.4">
      <c r="C4" s="75"/>
      <c r="D4" s="103" t="s">
        <v>19</v>
      </c>
      <c r="E4" s="103"/>
      <c r="F4" s="103"/>
      <c r="G4" s="103"/>
      <c r="H4" s="103"/>
      <c r="I4" s="103" t="s">
        <v>21</v>
      </c>
      <c r="J4" s="103"/>
      <c r="K4" s="103"/>
      <c r="L4" s="103"/>
      <c r="M4" s="103"/>
      <c r="N4" s="103" t="s">
        <v>22</v>
      </c>
      <c r="O4" s="103"/>
      <c r="P4" s="103"/>
      <c r="Q4" s="103"/>
      <c r="R4" s="103"/>
      <c r="S4" s="103" t="s">
        <v>44</v>
      </c>
      <c r="T4" s="103"/>
      <c r="U4" s="103"/>
      <c r="V4" s="103"/>
      <c r="W4" s="103"/>
      <c r="X4" s="103" t="s">
        <v>66</v>
      </c>
      <c r="Y4" s="103"/>
      <c r="Z4" s="103"/>
      <c r="AA4" s="103"/>
      <c r="AB4" s="103"/>
      <c r="AC4" s="103" t="s">
        <v>46</v>
      </c>
      <c r="AD4" s="103"/>
      <c r="AE4" s="103"/>
      <c r="AF4" s="103"/>
      <c r="AG4" s="103"/>
      <c r="AH4" s="76"/>
    </row>
    <row r="5" spans="2:35" ht="26.25" x14ac:dyDescent="0.4">
      <c r="C5" s="75"/>
      <c r="D5" s="76"/>
      <c r="E5" s="103" t="s">
        <v>47</v>
      </c>
      <c r="F5" s="103"/>
      <c r="G5" s="103"/>
      <c r="H5" s="103"/>
      <c r="I5" s="103"/>
      <c r="J5" s="103" t="s">
        <v>48</v>
      </c>
      <c r="K5" s="103"/>
      <c r="L5" s="103"/>
      <c r="M5" s="103"/>
      <c r="N5" s="103"/>
      <c r="O5" s="103" t="s">
        <v>49</v>
      </c>
      <c r="P5" s="103"/>
      <c r="Q5" s="103"/>
      <c r="R5" s="103"/>
      <c r="S5" s="103"/>
      <c r="T5" s="103" t="s">
        <v>50</v>
      </c>
      <c r="U5" s="103"/>
      <c r="V5" s="103"/>
      <c r="W5" s="103"/>
      <c r="X5" s="103"/>
      <c r="Y5" s="103" t="s">
        <v>51</v>
      </c>
      <c r="Z5" s="103"/>
      <c r="AA5" s="103"/>
      <c r="AB5" s="103"/>
      <c r="AC5" s="103"/>
      <c r="AD5" s="103" t="s">
        <v>52</v>
      </c>
      <c r="AE5" s="103"/>
      <c r="AF5" s="103"/>
      <c r="AG5" s="103"/>
      <c r="AH5" s="103"/>
    </row>
    <row r="7" spans="2:35" x14ac:dyDescent="0.25">
      <c r="B7" t="s">
        <v>20</v>
      </c>
      <c r="D7" s="9" t="s">
        <v>16</v>
      </c>
      <c r="E7" t="s">
        <v>17</v>
      </c>
      <c r="G7" s="10"/>
      <c r="H7" s="7" t="s">
        <v>15</v>
      </c>
    </row>
    <row r="9" spans="2:35" ht="15.75" thickBot="1" x14ac:dyDescent="0.3"/>
    <row r="10" spans="2:35" ht="23.25" x14ac:dyDescent="0.35">
      <c r="B10" s="84" t="s">
        <v>19</v>
      </c>
      <c r="C10" s="104"/>
      <c r="D10" s="79" t="s">
        <v>18</v>
      </c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104">
        <v>2018</v>
      </c>
    </row>
    <row r="11" spans="2:35" ht="14.45" customHeight="1" x14ac:dyDescent="0.25">
      <c r="B11" s="86"/>
      <c r="C11" s="105"/>
      <c r="D11" s="71" t="str">
        <f>TEXT(WEEKDAY(DATE($AI$10,IF(B10="janvier",1,2),1),1),"jjj")</f>
        <v>lun</v>
      </c>
      <c r="E11" s="14" t="str">
        <f>TEXT(WEEKDAY(DATE($AI$10,1,2),1),"jjj")</f>
        <v>mar</v>
      </c>
      <c r="F11" s="14" t="str">
        <f>TEXT(WEEKDAY(DATE($AI$10,1,3),1),"jjj")</f>
        <v>mer</v>
      </c>
      <c r="G11" s="14" t="str">
        <f>TEXT(WEEKDAY(DATE($AI$10,1,4),1),"jjj")</f>
        <v>jeu</v>
      </c>
      <c r="H11" s="14" t="str">
        <f>TEXT(WEEKDAY(DATE($AI$10,1,5),1),"jjj")</f>
        <v>ven</v>
      </c>
      <c r="I11" s="14" t="str">
        <f>TEXT(WEEKDAY(DATE($AI$10,1,6),1),"jjj")</f>
        <v>sam</v>
      </c>
      <c r="J11" s="14" t="str">
        <f>TEXT(WEEKDAY(DATE($AI$10,1,7),1),"jjj")</f>
        <v>dim</v>
      </c>
      <c r="K11" s="14" t="str">
        <f>TEXT(WEEKDAY(DATE($AI$10,1,8),1),"jjj")</f>
        <v>lun</v>
      </c>
      <c r="L11" s="14" t="str">
        <f>TEXT(WEEKDAY(DATE($AI$10,1,9),1),"jjj")</f>
        <v>mar</v>
      </c>
      <c r="M11" s="14" t="str">
        <f>TEXT(WEEKDAY(DATE($AI$10,1,10),1),"jjj")</f>
        <v>mer</v>
      </c>
      <c r="N11" s="14" t="str">
        <f>TEXT(WEEKDAY(DATE($AI$10,1,11),1),"jjj")</f>
        <v>jeu</v>
      </c>
      <c r="O11" s="14" t="str">
        <f>TEXT(WEEKDAY(DATE($AI$10,1,12),1),"jjj")</f>
        <v>ven</v>
      </c>
      <c r="P11" s="14" t="str">
        <f>TEXT(WEEKDAY(DATE($AI$10,1,13),1),"jjj")</f>
        <v>sam</v>
      </c>
      <c r="Q11" s="14" t="str">
        <f>TEXT(WEEKDAY(DATE($AI$10,1,14),1),"jjj")</f>
        <v>dim</v>
      </c>
      <c r="R11" s="14" t="str">
        <f>TEXT(WEEKDAY(DATE($AI$10,1,15),1),"jjj")</f>
        <v>lun</v>
      </c>
      <c r="S11" s="14" t="str">
        <f>TEXT(WEEKDAY(DATE($AI$10,1,16),1),"jjj")</f>
        <v>mar</v>
      </c>
      <c r="T11" s="14" t="str">
        <f>TEXT(WEEKDAY(DATE($AI$10,1,17),1),"jjj")</f>
        <v>mer</v>
      </c>
      <c r="U11" s="14" t="str">
        <f>TEXT(WEEKDAY(DATE($AI$10,1,18),1),"jjj")</f>
        <v>jeu</v>
      </c>
      <c r="V11" s="14" t="str">
        <f>TEXT(WEEKDAY(DATE($AI$10,1,19),1),"jjj")</f>
        <v>ven</v>
      </c>
      <c r="W11" s="14" t="str">
        <f>TEXT(WEEKDAY(DATE($AI$10,1,20),1),"jjj")</f>
        <v>sam</v>
      </c>
      <c r="X11" s="14" t="str">
        <f>TEXT(WEEKDAY(DATE($AI$10,1,21),1),"jjj")</f>
        <v>dim</v>
      </c>
      <c r="Y11" s="14" t="str">
        <f>TEXT(WEEKDAY(DATE($AI$10,1,22),1),"jjj")</f>
        <v>lun</v>
      </c>
      <c r="Z11" s="14" t="str">
        <f>TEXT(WEEKDAY(DATE($AI$10,1,23),1),"jjj")</f>
        <v>mar</v>
      </c>
      <c r="AA11" s="14" t="str">
        <f>TEXT(WEEKDAY(DATE($AI$10,1,24),1),"jjj")</f>
        <v>mer</v>
      </c>
      <c r="AB11" s="14" t="str">
        <f>TEXT(WEEKDAY(DATE($AI$10,1,25),1),"jjj")</f>
        <v>jeu</v>
      </c>
      <c r="AC11" s="14" t="str">
        <f>TEXT(WEEKDAY(DATE($AI$10,1,26),1),"jjj")</f>
        <v>ven</v>
      </c>
      <c r="AD11" s="14" t="str">
        <f>TEXT(WEEKDAY(DATE($AI$10,1,27),1),"jjj")</f>
        <v>sam</v>
      </c>
      <c r="AE11" s="14" t="str">
        <f>TEXT(WEEKDAY(DATE($AI$10,1,28),1),"jjj")</f>
        <v>dim</v>
      </c>
      <c r="AF11" s="14" t="str">
        <f>TEXT(WEEKDAY(DATE($AI$10,1,29),1),"jjj")</f>
        <v>lun</v>
      </c>
      <c r="AG11" s="14" t="str">
        <f>TEXT(WEEKDAY(DATE($AI$10,1,30),1),"jjj")</f>
        <v>mar</v>
      </c>
      <c r="AH11" s="14" t="str">
        <f>TEXT(WEEKDAY(DATE($AI$10,1,31),1),"jjj")</f>
        <v>mer</v>
      </c>
      <c r="AI11" s="105"/>
    </row>
    <row r="12" spans="2:35" ht="15.75" thickBot="1" x14ac:dyDescent="0.3">
      <c r="B12" s="88"/>
      <c r="C12" s="106"/>
      <c r="D12" s="72">
        <v>1</v>
      </c>
      <c r="E12" s="12">
        <v>2</v>
      </c>
      <c r="F12" s="12">
        <v>3</v>
      </c>
      <c r="G12" s="12">
        <v>4</v>
      </c>
      <c r="H12" s="12">
        <v>5</v>
      </c>
      <c r="I12" s="12">
        <v>6</v>
      </c>
      <c r="J12" s="12">
        <v>7</v>
      </c>
      <c r="K12" s="12">
        <v>8</v>
      </c>
      <c r="L12" s="12">
        <v>9</v>
      </c>
      <c r="M12" s="12">
        <v>10</v>
      </c>
      <c r="N12" s="12">
        <v>11</v>
      </c>
      <c r="O12" s="12">
        <v>12</v>
      </c>
      <c r="P12" s="12">
        <v>13</v>
      </c>
      <c r="Q12" s="12">
        <v>14</v>
      </c>
      <c r="R12" s="12">
        <v>15</v>
      </c>
      <c r="S12" s="12">
        <v>16</v>
      </c>
      <c r="T12" s="12">
        <v>17</v>
      </c>
      <c r="U12" s="12">
        <v>18</v>
      </c>
      <c r="V12" s="12">
        <v>19</v>
      </c>
      <c r="W12" s="12">
        <v>20</v>
      </c>
      <c r="X12" s="12">
        <v>21</v>
      </c>
      <c r="Y12" s="12">
        <v>22</v>
      </c>
      <c r="Z12" s="12">
        <v>23</v>
      </c>
      <c r="AA12" s="12">
        <v>24</v>
      </c>
      <c r="AB12" s="12">
        <v>25</v>
      </c>
      <c r="AC12" s="12">
        <v>26</v>
      </c>
      <c r="AD12" s="12">
        <v>27</v>
      </c>
      <c r="AE12" s="12">
        <v>28</v>
      </c>
      <c r="AF12" s="12">
        <v>29</v>
      </c>
      <c r="AG12" s="12">
        <v>30</v>
      </c>
      <c r="AH12" s="12">
        <v>31</v>
      </c>
      <c r="AI12" s="105"/>
    </row>
    <row r="13" spans="2:35" ht="44.45" customHeight="1" x14ac:dyDescent="0.25">
      <c r="B13" s="108" t="s">
        <v>68</v>
      </c>
      <c r="C13" s="109"/>
      <c r="D13" s="61" t="s">
        <v>76</v>
      </c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105"/>
    </row>
    <row r="14" spans="2:35" ht="44.45" customHeight="1" x14ac:dyDescent="0.25">
      <c r="B14" s="110" t="s">
        <v>59</v>
      </c>
      <c r="C14" s="111"/>
      <c r="D14" s="64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105"/>
    </row>
    <row r="15" spans="2:35" ht="44.45" customHeight="1" x14ac:dyDescent="0.25">
      <c r="B15" s="110" t="s">
        <v>60</v>
      </c>
      <c r="C15" s="111"/>
      <c r="D15" s="63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105"/>
    </row>
    <row r="16" spans="2:35" ht="44.45" customHeight="1" x14ac:dyDescent="0.25">
      <c r="B16" s="110" t="s">
        <v>61</v>
      </c>
      <c r="C16" s="111"/>
      <c r="D16" s="64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105"/>
    </row>
    <row r="17" spans="2:35" ht="44.45" customHeight="1" x14ac:dyDescent="0.25">
      <c r="B17" s="110" t="s">
        <v>62</v>
      </c>
      <c r="C17" s="111"/>
      <c r="D17" s="63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105"/>
    </row>
    <row r="18" spans="2:35" ht="44.45" customHeight="1" x14ac:dyDescent="0.25">
      <c r="B18" s="110" t="s">
        <v>63</v>
      </c>
      <c r="C18" s="111"/>
      <c r="D18" s="64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105"/>
    </row>
    <row r="19" spans="2:35" ht="44.45" customHeight="1" x14ac:dyDescent="0.25">
      <c r="B19" s="110" t="s">
        <v>64</v>
      </c>
      <c r="C19" s="111"/>
      <c r="D19" s="63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105"/>
    </row>
    <row r="20" spans="2:35" ht="44.45" customHeight="1" thickBot="1" x14ac:dyDescent="0.3">
      <c r="B20" s="99" t="s">
        <v>65</v>
      </c>
      <c r="C20" s="100"/>
      <c r="D20" s="66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105"/>
    </row>
    <row r="21" spans="2:35" ht="16.5" thickBot="1" x14ac:dyDescent="0.3">
      <c r="B21" s="112" t="s">
        <v>53</v>
      </c>
      <c r="C21" s="113"/>
      <c r="D21" s="70">
        <f t="shared" ref="D21:AH21" si="0">COUNTA(D13:D20)</f>
        <v>1</v>
      </c>
      <c r="E21" s="68">
        <f t="shared" si="0"/>
        <v>0</v>
      </c>
      <c r="F21" s="68">
        <f t="shared" si="0"/>
        <v>0</v>
      </c>
      <c r="G21" s="68">
        <f t="shared" si="0"/>
        <v>0</v>
      </c>
      <c r="H21" s="68">
        <f t="shared" si="0"/>
        <v>0</v>
      </c>
      <c r="I21" s="68">
        <f t="shared" si="0"/>
        <v>0</v>
      </c>
      <c r="J21" s="68">
        <f t="shared" si="0"/>
        <v>0</v>
      </c>
      <c r="K21" s="68">
        <f t="shared" si="0"/>
        <v>0</v>
      </c>
      <c r="L21" s="68">
        <f t="shared" si="0"/>
        <v>0</v>
      </c>
      <c r="M21" s="68">
        <f t="shared" si="0"/>
        <v>0</v>
      </c>
      <c r="N21" s="68">
        <f t="shared" si="0"/>
        <v>0</v>
      </c>
      <c r="O21" s="68">
        <f t="shared" si="0"/>
        <v>0</v>
      </c>
      <c r="P21" s="68">
        <f t="shared" si="0"/>
        <v>0</v>
      </c>
      <c r="Q21" s="68">
        <f t="shared" si="0"/>
        <v>0</v>
      </c>
      <c r="R21" s="68">
        <f t="shared" si="0"/>
        <v>0</v>
      </c>
      <c r="S21" s="68">
        <f t="shared" si="0"/>
        <v>0</v>
      </c>
      <c r="T21" s="68">
        <f t="shared" si="0"/>
        <v>0</v>
      </c>
      <c r="U21" s="68">
        <f t="shared" si="0"/>
        <v>0</v>
      </c>
      <c r="V21" s="68">
        <f t="shared" si="0"/>
        <v>0</v>
      </c>
      <c r="W21" s="68">
        <f t="shared" si="0"/>
        <v>0</v>
      </c>
      <c r="X21" s="68">
        <f t="shared" si="0"/>
        <v>0</v>
      </c>
      <c r="Y21" s="68">
        <f t="shared" si="0"/>
        <v>0</v>
      </c>
      <c r="Z21" s="68">
        <f t="shared" si="0"/>
        <v>0</v>
      </c>
      <c r="AA21" s="68">
        <f t="shared" si="0"/>
        <v>0</v>
      </c>
      <c r="AB21" s="68">
        <f t="shared" si="0"/>
        <v>0</v>
      </c>
      <c r="AC21" s="68">
        <f t="shared" si="0"/>
        <v>0</v>
      </c>
      <c r="AD21" s="68">
        <f t="shared" si="0"/>
        <v>0</v>
      </c>
      <c r="AE21" s="68">
        <f t="shared" si="0"/>
        <v>0</v>
      </c>
      <c r="AF21" s="68">
        <f t="shared" si="0"/>
        <v>0</v>
      </c>
      <c r="AG21" s="68">
        <f t="shared" si="0"/>
        <v>0</v>
      </c>
      <c r="AH21" s="69">
        <f t="shared" si="0"/>
        <v>0</v>
      </c>
      <c r="AI21" s="107"/>
    </row>
    <row r="22" spans="2:35" ht="23.25" x14ac:dyDescent="0.25">
      <c r="B22" s="73"/>
      <c r="C22" s="73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74"/>
    </row>
    <row r="23" spans="2:35" ht="15.75" thickBot="1" x14ac:dyDescent="0.3"/>
    <row r="24" spans="2:35" ht="23.25" x14ac:dyDescent="0.35">
      <c r="B24" s="84" t="s">
        <v>21</v>
      </c>
      <c r="C24" s="85"/>
      <c r="D24" s="94" t="s">
        <v>18</v>
      </c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  <c r="AG24" s="94"/>
      <c r="AH24" s="94"/>
      <c r="AI24" s="104">
        <f>$AI$10</f>
        <v>2018</v>
      </c>
    </row>
    <row r="25" spans="2:35" ht="14.45" customHeight="1" x14ac:dyDescent="0.25">
      <c r="B25" s="86"/>
      <c r="C25" s="87"/>
      <c r="D25" s="14" t="str">
        <f>TEXT(WEEKDAY(DATE($AI$10,2,1),1),"jjj")</f>
        <v>jeu</v>
      </c>
      <c r="E25" s="14" t="str">
        <f>TEXT(WEEKDAY(DATE($AI$10,2,2),1),"jjj")</f>
        <v>ven</v>
      </c>
      <c r="F25" s="14" t="str">
        <f>TEXT(WEEKDAY(DATE($AI$10,2,3),1),"jjj")</f>
        <v>sam</v>
      </c>
      <c r="G25" s="14" t="str">
        <f>TEXT(WEEKDAY(DATE($AI$10,2,4),1),"jjj")</f>
        <v>dim</v>
      </c>
      <c r="H25" s="14" t="str">
        <f>TEXT(WEEKDAY(DATE($AI$10,2,5),1),"jjj")</f>
        <v>lun</v>
      </c>
      <c r="I25" s="14" t="str">
        <f>TEXT(WEEKDAY(DATE($AI$10,2,6),1),"jjj")</f>
        <v>mar</v>
      </c>
      <c r="J25" s="14" t="str">
        <f>TEXT(WEEKDAY(DATE($AI$10,2,7),1),"jjj")</f>
        <v>mer</v>
      </c>
      <c r="K25" s="14" t="str">
        <f>TEXT(WEEKDAY(DATE($AI$10,2,8),1),"jjj")</f>
        <v>jeu</v>
      </c>
      <c r="L25" s="14" t="str">
        <f>TEXT(WEEKDAY(DATE($AI$10,2,9),1),"jjj")</f>
        <v>ven</v>
      </c>
      <c r="M25" s="14" t="str">
        <f>TEXT(WEEKDAY(DATE($AI$10,2,10),1),"jjj")</f>
        <v>sam</v>
      </c>
      <c r="N25" s="14" t="str">
        <f>TEXT(WEEKDAY(DATE($AI$10,2,11),1),"jjj")</f>
        <v>dim</v>
      </c>
      <c r="O25" s="14" t="str">
        <f>TEXT(WEEKDAY(DATE($AI$10,2,12),1),"jjj")</f>
        <v>lun</v>
      </c>
      <c r="P25" s="14" t="str">
        <f>TEXT(WEEKDAY(DATE($AI$10,2,13),1),"jjj")</f>
        <v>mar</v>
      </c>
      <c r="Q25" s="14" t="str">
        <f>TEXT(WEEKDAY(DATE($AI$10,2,14),1),"jjj")</f>
        <v>mer</v>
      </c>
      <c r="R25" s="14" t="str">
        <f>TEXT(WEEKDAY(DATE($AI$10,2,15),1),"jjj")</f>
        <v>jeu</v>
      </c>
      <c r="S25" s="14" t="str">
        <f>TEXT(WEEKDAY(DATE($AI$10,2,16),1),"jjj")</f>
        <v>ven</v>
      </c>
      <c r="T25" s="14" t="str">
        <f>TEXT(WEEKDAY(DATE($AI$10,2,17),1),"jjj")</f>
        <v>sam</v>
      </c>
      <c r="U25" s="14" t="str">
        <f>TEXT(WEEKDAY(DATE($AI$10,2,18),1),"jjj")</f>
        <v>dim</v>
      </c>
      <c r="V25" s="14" t="str">
        <f>TEXT(WEEKDAY(DATE($AI$10,2,19),1),"jjj")</f>
        <v>lun</v>
      </c>
      <c r="W25" s="14" t="str">
        <f>TEXT(WEEKDAY(DATE($AI$10,2,20),1),"jjj")</f>
        <v>mar</v>
      </c>
      <c r="X25" s="14" t="str">
        <f>TEXT(WEEKDAY(DATE($AI$10,2,21),1),"jjj")</f>
        <v>mer</v>
      </c>
      <c r="Y25" s="14" t="str">
        <f>TEXT(WEEKDAY(DATE($AI$10,2,22),1),"jjj")</f>
        <v>jeu</v>
      </c>
      <c r="Z25" s="14" t="str">
        <f>TEXT(WEEKDAY(DATE($AI$10,2,23),1),"jjj")</f>
        <v>ven</v>
      </c>
      <c r="AA25" s="14" t="str">
        <f>TEXT(WEEKDAY(DATE($AI$10,2,24),1),"jjj")</f>
        <v>sam</v>
      </c>
      <c r="AB25" s="14" t="str">
        <f>TEXT(WEEKDAY(DATE($AI$10,2,25),1),"jjj")</f>
        <v>dim</v>
      </c>
      <c r="AC25" s="14" t="str">
        <f>TEXT(WEEKDAY(DATE($AI$10,2,26),1),"jjj")</f>
        <v>lun</v>
      </c>
      <c r="AD25" s="14" t="str">
        <f>TEXT(WEEKDAY(DATE($AI$10,2,27),1),"jjj")</f>
        <v>mar</v>
      </c>
      <c r="AE25" s="14" t="str">
        <f>TEXT(WEEKDAY(DATE($AI$10,2,28),1),"jjj")</f>
        <v>mer</v>
      </c>
      <c r="AF25" s="14" t="str">
        <f>TEXT(WEEKDAY(DATE($AI$10,2,29),1),"jjj")</f>
        <v>jeu</v>
      </c>
      <c r="AG25" s="14"/>
      <c r="AH25" s="14"/>
      <c r="AI25" s="105"/>
    </row>
    <row r="26" spans="2:35" ht="15.75" thickBot="1" x14ac:dyDescent="0.3">
      <c r="B26" s="88"/>
      <c r="C26" s="89"/>
      <c r="D26" s="12">
        <v>1</v>
      </c>
      <c r="E26" s="12">
        <v>2</v>
      </c>
      <c r="F26" s="12">
        <v>3</v>
      </c>
      <c r="G26" s="12">
        <v>4</v>
      </c>
      <c r="H26" s="12">
        <v>5</v>
      </c>
      <c r="I26" s="12">
        <v>6</v>
      </c>
      <c r="J26" s="12">
        <v>7</v>
      </c>
      <c r="K26" s="12">
        <v>8</v>
      </c>
      <c r="L26" s="12">
        <v>9</v>
      </c>
      <c r="M26" s="12">
        <v>10</v>
      </c>
      <c r="N26" s="12">
        <v>11</v>
      </c>
      <c r="O26" s="12">
        <v>12</v>
      </c>
      <c r="P26" s="12">
        <v>13</v>
      </c>
      <c r="Q26" s="12">
        <v>14</v>
      </c>
      <c r="R26" s="12">
        <v>15</v>
      </c>
      <c r="S26" s="12">
        <v>16</v>
      </c>
      <c r="T26" s="12">
        <v>17</v>
      </c>
      <c r="U26" s="12">
        <v>18</v>
      </c>
      <c r="V26" s="12">
        <v>19</v>
      </c>
      <c r="W26" s="12">
        <v>20</v>
      </c>
      <c r="X26" s="12">
        <v>21</v>
      </c>
      <c r="Y26" s="12">
        <v>22</v>
      </c>
      <c r="Z26" s="12">
        <v>23</v>
      </c>
      <c r="AA26" s="12">
        <v>24</v>
      </c>
      <c r="AB26" s="12">
        <v>25</v>
      </c>
      <c r="AC26" s="12">
        <v>26</v>
      </c>
      <c r="AD26" s="12">
        <v>27</v>
      </c>
      <c r="AE26" s="12">
        <v>28</v>
      </c>
      <c r="AF26" s="12">
        <v>29</v>
      </c>
      <c r="AG26" s="12"/>
      <c r="AH26" s="12"/>
      <c r="AI26" s="105"/>
    </row>
    <row r="27" spans="2:35" ht="44.45" customHeight="1" x14ac:dyDescent="0.25">
      <c r="B27" s="108" t="s">
        <v>68</v>
      </c>
      <c r="C27" s="109"/>
      <c r="D27" s="61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105"/>
    </row>
    <row r="28" spans="2:35" ht="44.45" customHeight="1" x14ac:dyDescent="0.25">
      <c r="B28" s="110" t="s">
        <v>59</v>
      </c>
      <c r="C28" s="111"/>
      <c r="D28" s="64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105"/>
    </row>
    <row r="29" spans="2:35" ht="44.45" customHeight="1" x14ac:dyDescent="0.25">
      <c r="B29" s="110" t="s">
        <v>60</v>
      </c>
      <c r="C29" s="111"/>
      <c r="D29" s="63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105"/>
    </row>
    <row r="30" spans="2:35" ht="44.45" customHeight="1" x14ac:dyDescent="0.25">
      <c r="B30" s="110" t="s">
        <v>61</v>
      </c>
      <c r="C30" s="111"/>
      <c r="D30" s="64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105"/>
    </row>
    <row r="31" spans="2:35" ht="44.45" customHeight="1" x14ac:dyDescent="0.25">
      <c r="B31" s="110" t="s">
        <v>62</v>
      </c>
      <c r="C31" s="111"/>
      <c r="D31" s="63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105"/>
    </row>
    <row r="32" spans="2:35" ht="44.45" customHeight="1" x14ac:dyDescent="0.25">
      <c r="B32" s="110" t="s">
        <v>63</v>
      </c>
      <c r="C32" s="111"/>
      <c r="D32" s="64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105"/>
    </row>
    <row r="33" spans="2:35" ht="44.45" customHeight="1" x14ac:dyDescent="0.25">
      <c r="B33" s="110" t="s">
        <v>64</v>
      </c>
      <c r="C33" s="111"/>
      <c r="D33" s="63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105"/>
    </row>
    <row r="34" spans="2:35" ht="44.45" customHeight="1" thickBot="1" x14ac:dyDescent="0.3">
      <c r="B34" s="99" t="s">
        <v>65</v>
      </c>
      <c r="C34" s="100"/>
      <c r="D34" s="66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105"/>
    </row>
    <row r="35" spans="2:35" ht="16.5" thickBot="1" x14ac:dyDescent="0.3">
      <c r="B35" s="101" t="s">
        <v>53</v>
      </c>
      <c r="C35" s="102"/>
      <c r="D35" s="70">
        <f t="shared" ref="D35:AH35" si="1">COUNTA(D27:D34)</f>
        <v>0</v>
      </c>
      <c r="E35" s="68">
        <f t="shared" si="1"/>
        <v>0</v>
      </c>
      <c r="F35" s="68">
        <f t="shared" si="1"/>
        <v>0</v>
      </c>
      <c r="G35" s="68">
        <f t="shared" si="1"/>
        <v>0</v>
      </c>
      <c r="H35" s="68">
        <f t="shared" si="1"/>
        <v>0</v>
      </c>
      <c r="I35" s="68">
        <f t="shared" si="1"/>
        <v>0</v>
      </c>
      <c r="J35" s="68">
        <f t="shared" si="1"/>
        <v>0</v>
      </c>
      <c r="K35" s="68">
        <f t="shared" si="1"/>
        <v>0</v>
      </c>
      <c r="L35" s="68">
        <f t="shared" si="1"/>
        <v>0</v>
      </c>
      <c r="M35" s="68">
        <f t="shared" si="1"/>
        <v>0</v>
      </c>
      <c r="N35" s="68">
        <f t="shared" si="1"/>
        <v>0</v>
      </c>
      <c r="O35" s="68">
        <f t="shared" si="1"/>
        <v>0</v>
      </c>
      <c r="P35" s="68">
        <f t="shared" si="1"/>
        <v>0</v>
      </c>
      <c r="Q35" s="68">
        <f t="shared" si="1"/>
        <v>0</v>
      </c>
      <c r="R35" s="68">
        <f t="shared" si="1"/>
        <v>0</v>
      </c>
      <c r="S35" s="68">
        <f t="shared" si="1"/>
        <v>0</v>
      </c>
      <c r="T35" s="68">
        <f t="shared" si="1"/>
        <v>0</v>
      </c>
      <c r="U35" s="68">
        <f t="shared" si="1"/>
        <v>0</v>
      </c>
      <c r="V35" s="68">
        <f t="shared" si="1"/>
        <v>0</v>
      </c>
      <c r="W35" s="68">
        <f t="shared" si="1"/>
        <v>0</v>
      </c>
      <c r="X35" s="68">
        <f t="shared" si="1"/>
        <v>0</v>
      </c>
      <c r="Y35" s="68">
        <f t="shared" si="1"/>
        <v>0</v>
      </c>
      <c r="Z35" s="68">
        <f t="shared" si="1"/>
        <v>0</v>
      </c>
      <c r="AA35" s="68">
        <f t="shared" si="1"/>
        <v>0</v>
      </c>
      <c r="AB35" s="68">
        <f t="shared" si="1"/>
        <v>0</v>
      </c>
      <c r="AC35" s="68">
        <f t="shared" si="1"/>
        <v>0</v>
      </c>
      <c r="AD35" s="68">
        <f t="shared" si="1"/>
        <v>0</v>
      </c>
      <c r="AE35" s="68">
        <f t="shared" si="1"/>
        <v>0</v>
      </c>
      <c r="AF35" s="68">
        <f t="shared" si="1"/>
        <v>0</v>
      </c>
      <c r="AG35" s="68">
        <f t="shared" si="1"/>
        <v>0</v>
      </c>
      <c r="AH35" s="69">
        <f t="shared" si="1"/>
        <v>0</v>
      </c>
      <c r="AI35" s="106"/>
    </row>
    <row r="37" spans="2:35" ht="15.75" thickBot="1" x14ac:dyDescent="0.3"/>
    <row r="38" spans="2:35" ht="23.25" x14ac:dyDescent="0.35">
      <c r="B38" s="84" t="s">
        <v>22</v>
      </c>
      <c r="C38" s="85"/>
      <c r="D38" s="77" t="s">
        <v>18</v>
      </c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9"/>
      <c r="AI38" s="104">
        <f>$AI$10</f>
        <v>2018</v>
      </c>
    </row>
    <row r="39" spans="2:35" x14ac:dyDescent="0.25">
      <c r="B39" s="86"/>
      <c r="C39" s="87"/>
      <c r="D39" s="14" t="s">
        <v>70</v>
      </c>
      <c r="E39" s="14" t="s">
        <v>71</v>
      </c>
      <c r="F39" s="14" t="s">
        <v>72</v>
      </c>
      <c r="G39" s="14" t="s">
        <v>73</v>
      </c>
      <c r="H39" s="14" t="s">
        <v>69</v>
      </c>
      <c r="I39" s="14" t="s">
        <v>74</v>
      </c>
      <c r="J39" s="14" t="s">
        <v>75</v>
      </c>
      <c r="K39" s="14" t="s">
        <v>70</v>
      </c>
      <c r="L39" s="14" t="s">
        <v>71</v>
      </c>
      <c r="M39" s="14" t="s">
        <v>72</v>
      </c>
      <c r="N39" s="14" t="s">
        <v>73</v>
      </c>
      <c r="O39" s="14" t="s">
        <v>69</v>
      </c>
      <c r="P39" s="14" t="s">
        <v>74</v>
      </c>
      <c r="Q39" s="14" t="s">
        <v>75</v>
      </c>
      <c r="R39" s="14" t="s">
        <v>70</v>
      </c>
      <c r="S39" s="14" t="s">
        <v>71</v>
      </c>
      <c r="T39" s="14" t="s">
        <v>72</v>
      </c>
      <c r="U39" s="14" t="s">
        <v>73</v>
      </c>
      <c r="V39" s="14" t="s">
        <v>69</v>
      </c>
      <c r="W39" s="14" t="s">
        <v>74</v>
      </c>
      <c r="X39" s="14" t="s">
        <v>75</v>
      </c>
      <c r="Y39" s="14" t="s">
        <v>70</v>
      </c>
      <c r="Z39" s="14" t="s">
        <v>71</v>
      </c>
      <c r="AA39" s="14" t="s">
        <v>72</v>
      </c>
      <c r="AB39" s="14" t="s">
        <v>73</v>
      </c>
      <c r="AC39" s="14" t="s">
        <v>69</v>
      </c>
      <c r="AD39" s="14" t="s">
        <v>74</v>
      </c>
      <c r="AE39" s="14" t="s">
        <v>75</v>
      </c>
      <c r="AF39" s="14" t="s">
        <v>70</v>
      </c>
      <c r="AG39" s="14" t="s">
        <v>71</v>
      </c>
      <c r="AH39" s="14" t="s">
        <v>72</v>
      </c>
      <c r="AI39" s="105"/>
    </row>
    <row r="40" spans="2:35" ht="15.75" thickBot="1" x14ac:dyDescent="0.3">
      <c r="B40" s="88"/>
      <c r="C40" s="89"/>
      <c r="D40" s="12">
        <v>1</v>
      </c>
      <c r="E40" s="12">
        <v>2</v>
      </c>
      <c r="F40" s="12">
        <v>3</v>
      </c>
      <c r="G40" s="12">
        <v>4</v>
      </c>
      <c r="H40" s="12">
        <v>5</v>
      </c>
      <c r="I40" s="12">
        <v>6</v>
      </c>
      <c r="J40" s="12">
        <v>7</v>
      </c>
      <c r="K40" s="12">
        <v>8</v>
      </c>
      <c r="L40" s="12">
        <v>9</v>
      </c>
      <c r="M40" s="12">
        <v>10</v>
      </c>
      <c r="N40" s="12">
        <v>11</v>
      </c>
      <c r="O40" s="12">
        <v>12</v>
      </c>
      <c r="P40" s="12">
        <v>13</v>
      </c>
      <c r="Q40" s="12">
        <v>14</v>
      </c>
      <c r="R40" s="12">
        <v>15</v>
      </c>
      <c r="S40" s="12">
        <v>16</v>
      </c>
      <c r="T40" s="12">
        <v>17</v>
      </c>
      <c r="U40" s="12">
        <v>18</v>
      </c>
      <c r="V40" s="12">
        <v>19</v>
      </c>
      <c r="W40" s="12">
        <v>20</v>
      </c>
      <c r="X40" s="12">
        <v>21</v>
      </c>
      <c r="Y40" s="12">
        <v>22</v>
      </c>
      <c r="Z40" s="12">
        <v>23</v>
      </c>
      <c r="AA40" s="12">
        <v>24</v>
      </c>
      <c r="AB40" s="12">
        <v>25</v>
      </c>
      <c r="AC40" s="12">
        <v>26</v>
      </c>
      <c r="AD40" s="12">
        <v>27</v>
      </c>
      <c r="AE40" s="12">
        <v>28</v>
      </c>
      <c r="AF40" s="12">
        <v>29</v>
      </c>
      <c r="AG40" s="12">
        <v>30</v>
      </c>
      <c r="AH40" s="12">
        <v>31</v>
      </c>
      <c r="AI40" s="105"/>
    </row>
    <row r="41" spans="2:35" ht="44.45" customHeight="1" x14ac:dyDescent="0.25">
      <c r="B41" s="108" t="s">
        <v>68</v>
      </c>
      <c r="C41" s="109"/>
      <c r="D41" s="61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105"/>
    </row>
    <row r="42" spans="2:35" ht="44.45" customHeight="1" x14ac:dyDescent="0.25">
      <c r="B42" s="110" t="s">
        <v>59</v>
      </c>
      <c r="C42" s="111"/>
      <c r="D42" s="64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105"/>
    </row>
    <row r="43" spans="2:35" ht="44.45" customHeight="1" x14ac:dyDescent="0.25">
      <c r="B43" s="110" t="s">
        <v>60</v>
      </c>
      <c r="C43" s="111"/>
      <c r="D43" s="63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105"/>
    </row>
    <row r="44" spans="2:35" ht="44.45" customHeight="1" x14ac:dyDescent="0.25">
      <c r="B44" s="110" t="s">
        <v>61</v>
      </c>
      <c r="C44" s="111"/>
      <c r="D44" s="64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105"/>
    </row>
    <row r="45" spans="2:35" ht="44.45" customHeight="1" x14ac:dyDescent="0.25">
      <c r="B45" s="110" t="s">
        <v>62</v>
      </c>
      <c r="C45" s="111"/>
      <c r="D45" s="63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105"/>
    </row>
    <row r="46" spans="2:35" ht="44.45" customHeight="1" x14ac:dyDescent="0.25">
      <c r="B46" s="110" t="s">
        <v>63</v>
      </c>
      <c r="C46" s="111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105"/>
    </row>
    <row r="47" spans="2:35" ht="44.45" customHeight="1" x14ac:dyDescent="0.25">
      <c r="B47" s="110" t="s">
        <v>64</v>
      </c>
      <c r="C47" s="111"/>
      <c r="D47" s="63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105"/>
    </row>
    <row r="48" spans="2:35" ht="44.45" customHeight="1" thickBot="1" x14ac:dyDescent="0.3">
      <c r="B48" s="99" t="s">
        <v>65</v>
      </c>
      <c r="C48" s="100"/>
      <c r="D48" s="66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105"/>
    </row>
    <row r="49" spans="2:35" ht="16.5" thickBot="1" x14ac:dyDescent="0.3">
      <c r="B49" s="101" t="s">
        <v>53</v>
      </c>
      <c r="C49" s="102"/>
      <c r="D49" s="70">
        <f t="shared" ref="D49:AH49" si="2">COUNTA(D41:D48)</f>
        <v>0</v>
      </c>
      <c r="E49" s="68">
        <f t="shared" si="2"/>
        <v>0</v>
      </c>
      <c r="F49" s="68">
        <f t="shared" si="2"/>
        <v>0</v>
      </c>
      <c r="G49" s="68">
        <f t="shared" si="2"/>
        <v>0</v>
      </c>
      <c r="H49" s="68">
        <f t="shared" si="2"/>
        <v>0</v>
      </c>
      <c r="I49" s="68">
        <f t="shared" si="2"/>
        <v>0</v>
      </c>
      <c r="J49" s="68">
        <f t="shared" si="2"/>
        <v>0</v>
      </c>
      <c r="K49" s="68">
        <f t="shared" si="2"/>
        <v>0</v>
      </c>
      <c r="L49" s="68">
        <f t="shared" si="2"/>
        <v>0</v>
      </c>
      <c r="M49" s="68">
        <f t="shared" si="2"/>
        <v>0</v>
      </c>
      <c r="N49" s="68">
        <f t="shared" si="2"/>
        <v>0</v>
      </c>
      <c r="O49" s="68">
        <f t="shared" si="2"/>
        <v>0</v>
      </c>
      <c r="P49" s="68">
        <f t="shared" si="2"/>
        <v>0</v>
      </c>
      <c r="Q49" s="68">
        <f t="shared" si="2"/>
        <v>0</v>
      </c>
      <c r="R49" s="68">
        <f t="shared" si="2"/>
        <v>0</v>
      </c>
      <c r="S49" s="68">
        <f t="shared" si="2"/>
        <v>0</v>
      </c>
      <c r="T49" s="68">
        <f t="shared" si="2"/>
        <v>0</v>
      </c>
      <c r="U49" s="68">
        <f t="shared" si="2"/>
        <v>0</v>
      </c>
      <c r="V49" s="68">
        <f t="shared" si="2"/>
        <v>0</v>
      </c>
      <c r="W49" s="68">
        <f t="shared" si="2"/>
        <v>0</v>
      </c>
      <c r="X49" s="68">
        <f t="shared" si="2"/>
        <v>0</v>
      </c>
      <c r="Y49" s="68">
        <f t="shared" si="2"/>
        <v>0</v>
      </c>
      <c r="Z49" s="68">
        <f t="shared" si="2"/>
        <v>0</v>
      </c>
      <c r="AA49" s="68">
        <f t="shared" si="2"/>
        <v>0</v>
      </c>
      <c r="AB49" s="68">
        <f t="shared" si="2"/>
        <v>0</v>
      </c>
      <c r="AC49" s="68">
        <f t="shared" si="2"/>
        <v>0</v>
      </c>
      <c r="AD49" s="68">
        <f t="shared" si="2"/>
        <v>0</v>
      </c>
      <c r="AE49" s="68">
        <f t="shared" si="2"/>
        <v>0</v>
      </c>
      <c r="AF49" s="68">
        <f t="shared" si="2"/>
        <v>0</v>
      </c>
      <c r="AG49" s="68">
        <f t="shared" si="2"/>
        <v>0</v>
      </c>
      <c r="AH49" s="69">
        <f t="shared" si="2"/>
        <v>0</v>
      </c>
      <c r="AI49" s="106"/>
    </row>
    <row r="51" spans="2:35" ht="15.75" thickBot="1" x14ac:dyDescent="0.3"/>
    <row r="52" spans="2:35" ht="23.25" x14ac:dyDescent="0.35">
      <c r="B52" s="84" t="s">
        <v>44</v>
      </c>
      <c r="C52" s="85"/>
      <c r="D52" s="77" t="s">
        <v>18</v>
      </c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9"/>
      <c r="AI52" s="104">
        <f>$AI$10</f>
        <v>2018</v>
      </c>
    </row>
    <row r="53" spans="2:35" ht="14.45" customHeight="1" x14ac:dyDescent="0.25">
      <c r="B53" s="86"/>
      <c r="C53" s="87"/>
      <c r="D53" s="14" t="s">
        <v>73</v>
      </c>
      <c r="E53" s="14" t="s">
        <v>69</v>
      </c>
      <c r="F53" s="14" t="s">
        <v>74</v>
      </c>
      <c r="G53" s="14" t="s">
        <v>75</v>
      </c>
      <c r="H53" s="14" t="s">
        <v>70</v>
      </c>
      <c r="I53" s="14" t="s">
        <v>71</v>
      </c>
      <c r="J53" s="14" t="s">
        <v>72</v>
      </c>
      <c r="K53" s="14" t="s">
        <v>73</v>
      </c>
      <c r="L53" s="14" t="s">
        <v>69</v>
      </c>
      <c r="M53" s="14" t="s">
        <v>74</v>
      </c>
      <c r="N53" s="14" t="s">
        <v>75</v>
      </c>
      <c r="O53" s="14" t="s">
        <v>70</v>
      </c>
      <c r="P53" s="14" t="s">
        <v>71</v>
      </c>
      <c r="Q53" s="14" t="s">
        <v>72</v>
      </c>
      <c r="R53" s="14" t="s">
        <v>73</v>
      </c>
      <c r="S53" s="14" t="s">
        <v>69</v>
      </c>
      <c r="T53" s="14" t="s">
        <v>74</v>
      </c>
      <c r="U53" s="14" t="s">
        <v>75</v>
      </c>
      <c r="V53" s="14" t="s">
        <v>70</v>
      </c>
      <c r="W53" s="14" t="s">
        <v>71</v>
      </c>
      <c r="X53" s="14" t="s">
        <v>72</v>
      </c>
      <c r="Y53" s="14" t="s">
        <v>73</v>
      </c>
      <c r="Z53" s="14" t="s">
        <v>69</v>
      </c>
      <c r="AA53" s="14" t="s">
        <v>74</v>
      </c>
      <c r="AB53" s="14" t="s">
        <v>75</v>
      </c>
      <c r="AC53" s="14" t="s">
        <v>70</v>
      </c>
      <c r="AD53" s="14" t="s">
        <v>71</v>
      </c>
      <c r="AE53" s="14" t="s">
        <v>72</v>
      </c>
      <c r="AF53" s="14" t="s">
        <v>73</v>
      </c>
      <c r="AG53" s="14" t="s">
        <v>69</v>
      </c>
      <c r="AH53" s="14"/>
      <c r="AI53" s="105"/>
    </row>
    <row r="54" spans="2:35" ht="15" customHeight="1" thickBot="1" x14ac:dyDescent="0.3">
      <c r="B54" s="88"/>
      <c r="C54" s="89"/>
      <c r="D54" s="12">
        <v>1</v>
      </c>
      <c r="E54" s="12">
        <v>2</v>
      </c>
      <c r="F54" s="12">
        <v>3</v>
      </c>
      <c r="G54" s="12">
        <v>4</v>
      </c>
      <c r="H54" s="12">
        <v>5</v>
      </c>
      <c r="I54" s="12">
        <v>6</v>
      </c>
      <c r="J54" s="12">
        <v>7</v>
      </c>
      <c r="K54" s="12">
        <v>8</v>
      </c>
      <c r="L54" s="12">
        <v>9</v>
      </c>
      <c r="M54" s="12">
        <v>10</v>
      </c>
      <c r="N54" s="12">
        <v>11</v>
      </c>
      <c r="O54" s="12">
        <v>12</v>
      </c>
      <c r="P54" s="12">
        <v>13</v>
      </c>
      <c r="Q54" s="12">
        <v>14</v>
      </c>
      <c r="R54" s="12">
        <v>15</v>
      </c>
      <c r="S54" s="12">
        <v>16</v>
      </c>
      <c r="T54" s="12">
        <v>17</v>
      </c>
      <c r="U54" s="12">
        <v>18</v>
      </c>
      <c r="V54" s="12">
        <v>19</v>
      </c>
      <c r="W54" s="12">
        <v>20</v>
      </c>
      <c r="X54" s="12">
        <v>21</v>
      </c>
      <c r="Y54" s="12">
        <v>22</v>
      </c>
      <c r="Z54" s="12">
        <v>23</v>
      </c>
      <c r="AA54" s="12">
        <v>24</v>
      </c>
      <c r="AB54" s="12">
        <v>25</v>
      </c>
      <c r="AC54" s="12">
        <v>26</v>
      </c>
      <c r="AD54" s="12">
        <v>27</v>
      </c>
      <c r="AE54" s="12">
        <v>28</v>
      </c>
      <c r="AF54" s="12">
        <v>29</v>
      </c>
      <c r="AG54" s="12">
        <v>30</v>
      </c>
      <c r="AH54" s="12"/>
      <c r="AI54" s="105"/>
    </row>
    <row r="55" spans="2:35" ht="44.45" customHeight="1" x14ac:dyDescent="0.25">
      <c r="B55" s="108" t="s">
        <v>68</v>
      </c>
      <c r="C55" s="109"/>
      <c r="D55" s="61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105"/>
    </row>
    <row r="56" spans="2:35" ht="44.45" customHeight="1" x14ac:dyDescent="0.25">
      <c r="B56" s="110" t="s">
        <v>59</v>
      </c>
      <c r="C56" s="111"/>
      <c r="D56" s="64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105"/>
    </row>
    <row r="57" spans="2:35" ht="44.45" customHeight="1" x14ac:dyDescent="0.25">
      <c r="B57" s="110" t="s">
        <v>60</v>
      </c>
      <c r="C57" s="111"/>
      <c r="D57" s="63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105"/>
    </row>
    <row r="58" spans="2:35" ht="44.45" customHeight="1" x14ac:dyDescent="0.25">
      <c r="B58" s="110" t="s">
        <v>61</v>
      </c>
      <c r="C58" s="111"/>
      <c r="D58" s="64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105"/>
    </row>
    <row r="59" spans="2:35" ht="44.45" customHeight="1" x14ac:dyDescent="0.25">
      <c r="B59" s="110" t="s">
        <v>62</v>
      </c>
      <c r="C59" s="111"/>
      <c r="D59" s="63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105"/>
    </row>
    <row r="60" spans="2:35" ht="44.45" customHeight="1" x14ac:dyDescent="0.25">
      <c r="B60" s="110" t="s">
        <v>63</v>
      </c>
      <c r="C60" s="111"/>
      <c r="D60" s="64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105"/>
    </row>
    <row r="61" spans="2:35" ht="44.45" customHeight="1" x14ac:dyDescent="0.25">
      <c r="B61" s="110" t="s">
        <v>64</v>
      </c>
      <c r="C61" s="111"/>
      <c r="D61" s="63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105"/>
    </row>
    <row r="62" spans="2:35" ht="44.45" customHeight="1" thickBot="1" x14ac:dyDescent="0.3">
      <c r="B62" s="99" t="s">
        <v>65</v>
      </c>
      <c r="C62" s="100"/>
      <c r="D62" s="66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105"/>
    </row>
    <row r="63" spans="2:35" ht="16.149999999999999" customHeight="1" thickBot="1" x14ac:dyDescent="0.3">
      <c r="B63" s="101" t="s">
        <v>53</v>
      </c>
      <c r="C63" s="102"/>
      <c r="D63" s="70">
        <f t="shared" ref="D63:AH63" si="3">COUNTA(D55:D62)</f>
        <v>0</v>
      </c>
      <c r="E63" s="68">
        <f t="shared" si="3"/>
        <v>0</v>
      </c>
      <c r="F63" s="68">
        <f t="shared" si="3"/>
        <v>0</v>
      </c>
      <c r="G63" s="68">
        <f t="shared" si="3"/>
        <v>0</v>
      </c>
      <c r="H63" s="68">
        <f t="shared" si="3"/>
        <v>0</v>
      </c>
      <c r="I63" s="68">
        <f t="shared" si="3"/>
        <v>0</v>
      </c>
      <c r="J63" s="68">
        <f t="shared" si="3"/>
        <v>0</v>
      </c>
      <c r="K63" s="68">
        <f t="shared" si="3"/>
        <v>0</v>
      </c>
      <c r="L63" s="68">
        <f t="shared" si="3"/>
        <v>0</v>
      </c>
      <c r="M63" s="68">
        <f t="shared" si="3"/>
        <v>0</v>
      </c>
      <c r="N63" s="68">
        <f t="shared" si="3"/>
        <v>0</v>
      </c>
      <c r="O63" s="68">
        <f t="shared" si="3"/>
        <v>0</v>
      </c>
      <c r="P63" s="68">
        <f t="shared" si="3"/>
        <v>0</v>
      </c>
      <c r="Q63" s="68">
        <f t="shared" si="3"/>
        <v>0</v>
      </c>
      <c r="R63" s="68">
        <f t="shared" si="3"/>
        <v>0</v>
      </c>
      <c r="S63" s="68">
        <f t="shared" si="3"/>
        <v>0</v>
      </c>
      <c r="T63" s="68">
        <f t="shared" si="3"/>
        <v>0</v>
      </c>
      <c r="U63" s="68">
        <f t="shared" si="3"/>
        <v>0</v>
      </c>
      <c r="V63" s="68">
        <f t="shared" si="3"/>
        <v>0</v>
      </c>
      <c r="W63" s="68">
        <f t="shared" si="3"/>
        <v>0</v>
      </c>
      <c r="X63" s="68">
        <f t="shared" si="3"/>
        <v>0</v>
      </c>
      <c r="Y63" s="68">
        <f t="shared" si="3"/>
        <v>0</v>
      </c>
      <c r="Z63" s="68">
        <f t="shared" si="3"/>
        <v>0</v>
      </c>
      <c r="AA63" s="68">
        <f t="shared" si="3"/>
        <v>0</v>
      </c>
      <c r="AB63" s="68">
        <f t="shared" si="3"/>
        <v>0</v>
      </c>
      <c r="AC63" s="68">
        <f t="shared" si="3"/>
        <v>0</v>
      </c>
      <c r="AD63" s="68">
        <f t="shared" si="3"/>
        <v>0</v>
      </c>
      <c r="AE63" s="68">
        <f t="shared" si="3"/>
        <v>0</v>
      </c>
      <c r="AF63" s="68">
        <f t="shared" si="3"/>
        <v>0</v>
      </c>
      <c r="AG63" s="68">
        <f t="shared" si="3"/>
        <v>0</v>
      </c>
      <c r="AH63" s="69">
        <f t="shared" si="3"/>
        <v>0</v>
      </c>
      <c r="AI63" s="106"/>
    </row>
    <row r="65" spans="2:35" ht="15.75" thickBot="1" x14ac:dyDescent="0.3"/>
    <row r="66" spans="2:35" ht="23.25" x14ac:dyDescent="0.35">
      <c r="B66" s="84" t="s">
        <v>45</v>
      </c>
      <c r="C66" s="85"/>
      <c r="D66" s="77" t="s">
        <v>18</v>
      </c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  <c r="AG66" s="78"/>
      <c r="AH66" s="79"/>
      <c r="AI66" s="104">
        <v>2018</v>
      </c>
    </row>
    <row r="67" spans="2:35" x14ac:dyDescent="0.25">
      <c r="B67" s="86"/>
      <c r="C67" s="87"/>
      <c r="D67" s="14" t="s">
        <v>74</v>
      </c>
      <c r="E67" s="14" t="s">
        <v>75</v>
      </c>
      <c r="F67" s="14" t="s">
        <v>70</v>
      </c>
      <c r="G67" s="14" t="s">
        <v>71</v>
      </c>
      <c r="H67" s="14" t="s">
        <v>72</v>
      </c>
      <c r="I67" s="14" t="s">
        <v>73</v>
      </c>
      <c r="J67" s="14" t="s">
        <v>69</v>
      </c>
      <c r="K67" s="14" t="s">
        <v>74</v>
      </c>
      <c r="L67" s="14" t="s">
        <v>75</v>
      </c>
      <c r="M67" s="14" t="s">
        <v>70</v>
      </c>
      <c r="N67" s="14" t="s">
        <v>71</v>
      </c>
      <c r="O67" s="14" t="s">
        <v>72</v>
      </c>
      <c r="P67" s="14" t="s">
        <v>73</v>
      </c>
      <c r="Q67" s="14" t="s">
        <v>69</v>
      </c>
      <c r="R67" s="14" t="s">
        <v>74</v>
      </c>
      <c r="S67" s="14" t="s">
        <v>75</v>
      </c>
      <c r="T67" s="14" t="s">
        <v>70</v>
      </c>
      <c r="U67" s="14" t="s">
        <v>71</v>
      </c>
      <c r="V67" s="14" t="s">
        <v>72</v>
      </c>
      <c r="W67" s="14" t="s">
        <v>73</v>
      </c>
      <c r="X67" s="14" t="s">
        <v>69</v>
      </c>
      <c r="Y67" s="14" t="s">
        <v>74</v>
      </c>
      <c r="Z67" s="14" t="s">
        <v>75</v>
      </c>
      <c r="AA67" s="14" t="s">
        <v>70</v>
      </c>
      <c r="AB67" s="14" t="s">
        <v>71</v>
      </c>
      <c r="AC67" s="14" t="s">
        <v>72</v>
      </c>
      <c r="AD67" s="14" t="s">
        <v>73</v>
      </c>
      <c r="AE67" s="14" t="s">
        <v>69</v>
      </c>
      <c r="AF67" s="14" t="s">
        <v>74</v>
      </c>
      <c r="AG67" s="14" t="s">
        <v>75</v>
      </c>
      <c r="AH67" s="14" t="s">
        <v>73</v>
      </c>
      <c r="AI67" s="105"/>
    </row>
    <row r="68" spans="2:35" ht="15.75" thickBot="1" x14ac:dyDescent="0.3">
      <c r="B68" s="88"/>
      <c r="C68" s="89"/>
      <c r="D68" s="12">
        <v>1</v>
      </c>
      <c r="E68" s="12">
        <v>2</v>
      </c>
      <c r="F68" s="12">
        <v>3</v>
      </c>
      <c r="G68" s="12">
        <v>4</v>
      </c>
      <c r="H68" s="12">
        <v>5</v>
      </c>
      <c r="I68" s="12">
        <v>6</v>
      </c>
      <c r="J68" s="12">
        <v>7</v>
      </c>
      <c r="K68" s="12">
        <v>8</v>
      </c>
      <c r="L68" s="12">
        <v>9</v>
      </c>
      <c r="M68" s="12">
        <v>10</v>
      </c>
      <c r="N68" s="12">
        <v>11</v>
      </c>
      <c r="O68" s="12">
        <v>12</v>
      </c>
      <c r="P68" s="12">
        <v>13</v>
      </c>
      <c r="Q68" s="12">
        <v>14</v>
      </c>
      <c r="R68" s="12">
        <v>15</v>
      </c>
      <c r="S68" s="12">
        <v>16</v>
      </c>
      <c r="T68" s="12">
        <v>17</v>
      </c>
      <c r="U68" s="12">
        <v>18</v>
      </c>
      <c r="V68" s="12">
        <v>19</v>
      </c>
      <c r="W68" s="12">
        <v>20</v>
      </c>
      <c r="X68" s="12">
        <v>21</v>
      </c>
      <c r="Y68" s="12">
        <v>22</v>
      </c>
      <c r="Z68" s="12">
        <v>23</v>
      </c>
      <c r="AA68" s="12">
        <v>24</v>
      </c>
      <c r="AB68" s="12">
        <v>25</v>
      </c>
      <c r="AC68" s="12">
        <v>26</v>
      </c>
      <c r="AD68" s="12">
        <v>27</v>
      </c>
      <c r="AE68" s="12">
        <v>28</v>
      </c>
      <c r="AF68" s="12">
        <v>29</v>
      </c>
      <c r="AG68" s="12">
        <v>30</v>
      </c>
      <c r="AH68" s="12">
        <v>31</v>
      </c>
      <c r="AI68" s="105"/>
    </row>
    <row r="69" spans="2:35" ht="44.45" customHeight="1" x14ac:dyDescent="0.25">
      <c r="B69" s="108" t="s">
        <v>68</v>
      </c>
      <c r="C69" s="109"/>
      <c r="D69" s="61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105"/>
    </row>
    <row r="70" spans="2:35" ht="44.45" customHeight="1" x14ac:dyDescent="0.25">
      <c r="B70" s="110" t="s">
        <v>59</v>
      </c>
      <c r="C70" s="111"/>
      <c r="D70" s="64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105"/>
    </row>
    <row r="71" spans="2:35" ht="44.45" customHeight="1" x14ac:dyDescent="0.25">
      <c r="B71" s="110" t="s">
        <v>60</v>
      </c>
      <c r="C71" s="111"/>
      <c r="D71" s="63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105"/>
    </row>
    <row r="72" spans="2:35" ht="44.45" customHeight="1" x14ac:dyDescent="0.25">
      <c r="B72" s="110" t="s">
        <v>61</v>
      </c>
      <c r="C72" s="111"/>
      <c r="D72" s="64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105"/>
    </row>
    <row r="73" spans="2:35" ht="44.45" customHeight="1" x14ac:dyDescent="0.25">
      <c r="B73" s="110" t="s">
        <v>62</v>
      </c>
      <c r="C73" s="111"/>
      <c r="D73" s="63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105"/>
    </row>
    <row r="74" spans="2:35" ht="44.45" customHeight="1" x14ac:dyDescent="0.25">
      <c r="B74" s="110" t="s">
        <v>63</v>
      </c>
      <c r="C74" s="111"/>
      <c r="D74" s="64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105"/>
    </row>
    <row r="75" spans="2:35" ht="44.45" customHeight="1" x14ac:dyDescent="0.25">
      <c r="B75" s="110" t="s">
        <v>64</v>
      </c>
      <c r="C75" s="111"/>
      <c r="D75" s="63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105"/>
    </row>
    <row r="76" spans="2:35" ht="44.45" customHeight="1" thickBot="1" x14ac:dyDescent="0.3">
      <c r="B76" s="99" t="s">
        <v>65</v>
      </c>
      <c r="C76" s="100"/>
      <c r="D76" s="66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105"/>
    </row>
    <row r="77" spans="2:35" ht="16.5" thickBot="1" x14ac:dyDescent="0.3">
      <c r="B77" s="101" t="s">
        <v>53</v>
      </c>
      <c r="C77" s="102"/>
      <c r="D77" s="70">
        <f t="shared" ref="D77:AH77" si="4">COUNTA(D69:D76)</f>
        <v>0</v>
      </c>
      <c r="E77" s="68">
        <f t="shared" si="4"/>
        <v>0</v>
      </c>
      <c r="F77" s="68">
        <f t="shared" si="4"/>
        <v>0</v>
      </c>
      <c r="G77" s="68">
        <f t="shared" si="4"/>
        <v>0</v>
      </c>
      <c r="H77" s="68">
        <f t="shared" si="4"/>
        <v>0</v>
      </c>
      <c r="I77" s="68">
        <f t="shared" si="4"/>
        <v>0</v>
      </c>
      <c r="J77" s="68">
        <f t="shared" si="4"/>
        <v>0</v>
      </c>
      <c r="K77" s="68">
        <f t="shared" si="4"/>
        <v>0</v>
      </c>
      <c r="L77" s="68">
        <f t="shared" si="4"/>
        <v>0</v>
      </c>
      <c r="M77" s="68">
        <f t="shared" si="4"/>
        <v>0</v>
      </c>
      <c r="N77" s="68">
        <f t="shared" si="4"/>
        <v>0</v>
      </c>
      <c r="O77" s="68">
        <f t="shared" si="4"/>
        <v>0</v>
      </c>
      <c r="P77" s="68">
        <f t="shared" si="4"/>
        <v>0</v>
      </c>
      <c r="Q77" s="68">
        <f t="shared" si="4"/>
        <v>0</v>
      </c>
      <c r="R77" s="68">
        <f t="shared" si="4"/>
        <v>0</v>
      </c>
      <c r="S77" s="68">
        <f t="shared" si="4"/>
        <v>0</v>
      </c>
      <c r="T77" s="68">
        <f t="shared" si="4"/>
        <v>0</v>
      </c>
      <c r="U77" s="68">
        <f t="shared" si="4"/>
        <v>0</v>
      </c>
      <c r="V77" s="68">
        <f t="shared" si="4"/>
        <v>0</v>
      </c>
      <c r="W77" s="68">
        <f t="shared" si="4"/>
        <v>0</v>
      </c>
      <c r="X77" s="68">
        <f t="shared" si="4"/>
        <v>0</v>
      </c>
      <c r="Y77" s="68">
        <f t="shared" si="4"/>
        <v>0</v>
      </c>
      <c r="Z77" s="68">
        <f t="shared" si="4"/>
        <v>0</v>
      </c>
      <c r="AA77" s="68">
        <f t="shared" si="4"/>
        <v>0</v>
      </c>
      <c r="AB77" s="68">
        <f t="shared" si="4"/>
        <v>0</v>
      </c>
      <c r="AC77" s="68">
        <f t="shared" si="4"/>
        <v>0</v>
      </c>
      <c r="AD77" s="68">
        <f t="shared" si="4"/>
        <v>0</v>
      </c>
      <c r="AE77" s="68">
        <f t="shared" si="4"/>
        <v>0</v>
      </c>
      <c r="AF77" s="68">
        <f t="shared" si="4"/>
        <v>0</v>
      </c>
      <c r="AG77" s="68">
        <f t="shared" si="4"/>
        <v>0</v>
      </c>
      <c r="AH77" s="69">
        <f t="shared" si="4"/>
        <v>0</v>
      </c>
      <c r="AI77" s="107"/>
    </row>
    <row r="79" spans="2:35" ht="15.75" thickBot="1" x14ac:dyDescent="0.3"/>
    <row r="80" spans="2:35" ht="23.25" x14ac:dyDescent="0.35">
      <c r="B80" s="84" t="s">
        <v>46</v>
      </c>
      <c r="C80" s="85"/>
      <c r="D80" s="77" t="s">
        <v>18</v>
      </c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78"/>
      <c r="S80" s="78"/>
      <c r="T80" s="78"/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9"/>
      <c r="AI80" s="104">
        <f>$AI$10</f>
        <v>2018</v>
      </c>
    </row>
    <row r="81" spans="2:35" ht="14.45" customHeight="1" x14ac:dyDescent="0.25">
      <c r="B81" s="86"/>
      <c r="C81" s="87"/>
      <c r="D81" s="14" t="s">
        <v>71</v>
      </c>
      <c r="E81" s="14" t="s">
        <v>72</v>
      </c>
      <c r="F81" s="14" t="s">
        <v>73</v>
      </c>
      <c r="G81" s="14" t="s">
        <v>69</v>
      </c>
      <c r="H81" s="14" t="s">
        <v>74</v>
      </c>
      <c r="I81" s="14" t="s">
        <v>75</v>
      </c>
      <c r="J81" s="14" t="s">
        <v>70</v>
      </c>
      <c r="K81" s="14" t="s">
        <v>71</v>
      </c>
      <c r="L81" s="14" t="s">
        <v>72</v>
      </c>
      <c r="M81" s="14" t="s">
        <v>73</v>
      </c>
      <c r="N81" s="14" t="s">
        <v>69</v>
      </c>
      <c r="O81" s="14" t="s">
        <v>74</v>
      </c>
      <c r="P81" s="14" t="s">
        <v>75</v>
      </c>
      <c r="Q81" s="14" t="s">
        <v>70</v>
      </c>
      <c r="R81" s="14" t="s">
        <v>71</v>
      </c>
      <c r="S81" s="14" t="s">
        <v>72</v>
      </c>
      <c r="T81" s="14" t="s">
        <v>73</v>
      </c>
      <c r="U81" s="14" t="s">
        <v>69</v>
      </c>
      <c r="V81" s="14" t="s">
        <v>74</v>
      </c>
      <c r="W81" s="14" t="s">
        <v>75</v>
      </c>
      <c r="X81" s="14" t="s">
        <v>70</v>
      </c>
      <c r="Y81" s="14" t="s">
        <v>71</v>
      </c>
      <c r="Z81" s="14" t="s">
        <v>72</v>
      </c>
      <c r="AA81" s="14" t="s">
        <v>73</v>
      </c>
      <c r="AB81" s="14" t="s">
        <v>69</v>
      </c>
      <c r="AC81" s="14" t="s">
        <v>74</v>
      </c>
      <c r="AD81" s="14" t="s">
        <v>75</v>
      </c>
      <c r="AE81" s="14" t="s">
        <v>70</v>
      </c>
      <c r="AF81" s="14" t="s">
        <v>71</v>
      </c>
      <c r="AG81" s="14" t="s">
        <v>72</v>
      </c>
      <c r="AH81" s="14"/>
      <c r="AI81" s="105"/>
    </row>
    <row r="82" spans="2:35" ht="15" customHeight="1" thickBot="1" x14ac:dyDescent="0.3">
      <c r="B82" s="88"/>
      <c r="C82" s="89"/>
      <c r="D82" s="12">
        <v>1</v>
      </c>
      <c r="E82" s="12">
        <v>2</v>
      </c>
      <c r="F82" s="12">
        <v>3</v>
      </c>
      <c r="G82" s="12">
        <v>4</v>
      </c>
      <c r="H82" s="12">
        <v>5</v>
      </c>
      <c r="I82" s="12">
        <v>6</v>
      </c>
      <c r="J82" s="12">
        <v>7</v>
      </c>
      <c r="K82" s="12">
        <v>8</v>
      </c>
      <c r="L82" s="12">
        <v>9</v>
      </c>
      <c r="M82" s="12">
        <v>10</v>
      </c>
      <c r="N82" s="12">
        <v>11</v>
      </c>
      <c r="O82" s="12">
        <v>12</v>
      </c>
      <c r="P82" s="12">
        <v>13</v>
      </c>
      <c r="Q82" s="12">
        <v>14</v>
      </c>
      <c r="R82" s="12">
        <v>15</v>
      </c>
      <c r="S82" s="12">
        <v>16</v>
      </c>
      <c r="T82" s="12">
        <v>17</v>
      </c>
      <c r="U82" s="12">
        <v>18</v>
      </c>
      <c r="V82" s="12">
        <v>19</v>
      </c>
      <c r="W82" s="12">
        <v>20</v>
      </c>
      <c r="X82" s="12">
        <v>21</v>
      </c>
      <c r="Y82" s="12">
        <v>22</v>
      </c>
      <c r="Z82" s="12">
        <v>23</v>
      </c>
      <c r="AA82" s="12">
        <v>24</v>
      </c>
      <c r="AB82" s="12">
        <v>25</v>
      </c>
      <c r="AC82" s="12">
        <v>26</v>
      </c>
      <c r="AD82" s="12">
        <v>27</v>
      </c>
      <c r="AE82" s="12">
        <v>28</v>
      </c>
      <c r="AF82" s="12">
        <v>29</v>
      </c>
      <c r="AG82" s="12">
        <v>30</v>
      </c>
      <c r="AH82" s="12"/>
      <c r="AI82" s="105"/>
    </row>
    <row r="83" spans="2:35" ht="44.45" customHeight="1" x14ac:dyDescent="0.25">
      <c r="B83" s="108" t="s">
        <v>68</v>
      </c>
      <c r="C83" s="109"/>
      <c r="D83" s="61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105"/>
    </row>
    <row r="84" spans="2:35" ht="44.45" customHeight="1" x14ac:dyDescent="0.25">
      <c r="B84" s="110" t="s">
        <v>59</v>
      </c>
      <c r="C84" s="111"/>
      <c r="D84" s="64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65"/>
      <c r="AI84" s="105"/>
    </row>
    <row r="85" spans="2:35" ht="44.45" customHeight="1" x14ac:dyDescent="0.25">
      <c r="B85" s="110" t="s">
        <v>60</v>
      </c>
      <c r="C85" s="111"/>
      <c r="D85" s="63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105"/>
    </row>
    <row r="86" spans="2:35" ht="44.45" customHeight="1" x14ac:dyDescent="0.25">
      <c r="B86" s="110" t="s">
        <v>61</v>
      </c>
      <c r="C86" s="111"/>
      <c r="D86" s="64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65"/>
      <c r="AI86" s="105"/>
    </row>
    <row r="87" spans="2:35" ht="44.45" customHeight="1" x14ac:dyDescent="0.25">
      <c r="B87" s="110" t="s">
        <v>62</v>
      </c>
      <c r="C87" s="111"/>
      <c r="D87" s="63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105"/>
    </row>
    <row r="88" spans="2:35" ht="44.45" customHeight="1" x14ac:dyDescent="0.25">
      <c r="B88" s="110" t="s">
        <v>63</v>
      </c>
      <c r="C88" s="111"/>
      <c r="D88" s="64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105"/>
    </row>
    <row r="89" spans="2:35" ht="44.45" customHeight="1" x14ac:dyDescent="0.25">
      <c r="B89" s="110" t="s">
        <v>64</v>
      </c>
      <c r="C89" s="111"/>
      <c r="D89" s="63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105"/>
    </row>
    <row r="90" spans="2:35" ht="44.45" customHeight="1" thickBot="1" x14ac:dyDescent="0.3">
      <c r="B90" s="99" t="s">
        <v>65</v>
      </c>
      <c r="C90" s="100"/>
      <c r="D90" s="66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105"/>
    </row>
    <row r="91" spans="2:35" ht="16.149999999999999" customHeight="1" thickBot="1" x14ac:dyDescent="0.3">
      <c r="B91" s="101" t="s">
        <v>53</v>
      </c>
      <c r="C91" s="102"/>
      <c r="D91" s="70">
        <f t="shared" ref="D91:AH91" si="5">COUNTA(D83:D90)</f>
        <v>0</v>
      </c>
      <c r="E91" s="68">
        <f t="shared" si="5"/>
        <v>0</v>
      </c>
      <c r="F91" s="68">
        <f t="shared" si="5"/>
        <v>0</v>
      </c>
      <c r="G91" s="68">
        <f t="shared" si="5"/>
        <v>0</v>
      </c>
      <c r="H91" s="68">
        <f t="shared" si="5"/>
        <v>0</v>
      </c>
      <c r="I91" s="68">
        <f t="shared" si="5"/>
        <v>0</v>
      </c>
      <c r="J91" s="68">
        <f t="shared" si="5"/>
        <v>0</v>
      </c>
      <c r="K91" s="68">
        <f t="shared" si="5"/>
        <v>0</v>
      </c>
      <c r="L91" s="68">
        <f t="shared" si="5"/>
        <v>0</v>
      </c>
      <c r="M91" s="68">
        <f t="shared" si="5"/>
        <v>0</v>
      </c>
      <c r="N91" s="68">
        <f t="shared" si="5"/>
        <v>0</v>
      </c>
      <c r="O91" s="68">
        <f t="shared" si="5"/>
        <v>0</v>
      </c>
      <c r="P91" s="68">
        <f t="shared" si="5"/>
        <v>0</v>
      </c>
      <c r="Q91" s="68">
        <f t="shared" si="5"/>
        <v>0</v>
      </c>
      <c r="R91" s="68">
        <f t="shared" si="5"/>
        <v>0</v>
      </c>
      <c r="S91" s="68">
        <f t="shared" si="5"/>
        <v>0</v>
      </c>
      <c r="T91" s="68">
        <f t="shared" si="5"/>
        <v>0</v>
      </c>
      <c r="U91" s="68">
        <f t="shared" si="5"/>
        <v>0</v>
      </c>
      <c r="V91" s="68">
        <f t="shared" si="5"/>
        <v>0</v>
      </c>
      <c r="W91" s="68">
        <f t="shared" si="5"/>
        <v>0</v>
      </c>
      <c r="X91" s="68">
        <f t="shared" si="5"/>
        <v>0</v>
      </c>
      <c r="Y91" s="68">
        <f t="shared" si="5"/>
        <v>0</v>
      </c>
      <c r="Z91" s="68">
        <f t="shared" si="5"/>
        <v>0</v>
      </c>
      <c r="AA91" s="68">
        <f t="shared" si="5"/>
        <v>0</v>
      </c>
      <c r="AB91" s="68">
        <f t="shared" si="5"/>
        <v>0</v>
      </c>
      <c r="AC91" s="68">
        <f t="shared" si="5"/>
        <v>0</v>
      </c>
      <c r="AD91" s="68">
        <f t="shared" si="5"/>
        <v>0</v>
      </c>
      <c r="AE91" s="68">
        <f t="shared" si="5"/>
        <v>0</v>
      </c>
      <c r="AF91" s="68">
        <f t="shared" si="5"/>
        <v>0</v>
      </c>
      <c r="AG91" s="68">
        <f t="shared" si="5"/>
        <v>0</v>
      </c>
      <c r="AH91" s="69">
        <f t="shared" si="5"/>
        <v>0</v>
      </c>
      <c r="AI91" s="106"/>
    </row>
    <row r="93" spans="2:35" ht="15.75" thickBot="1" x14ac:dyDescent="0.3"/>
    <row r="94" spans="2:35" ht="23.25" x14ac:dyDescent="0.35">
      <c r="B94" s="84" t="s">
        <v>47</v>
      </c>
      <c r="C94" s="85"/>
      <c r="D94" s="77" t="s">
        <v>18</v>
      </c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9"/>
      <c r="AI94" s="104">
        <f>$AI$10</f>
        <v>2018</v>
      </c>
    </row>
    <row r="95" spans="2:35" ht="14.45" customHeight="1" x14ac:dyDescent="0.25">
      <c r="B95" s="86"/>
      <c r="C95" s="87"/>
      <c r="D95" s="14" t="s">
        <v>73</v>
      </c>
      <c r="E95" s="14" t="s">
        <v>69</v>
      </c>
      <c r="F95" s="14" t="s">
        <v>74</v>
      </c>
      <c r="G95" s="14" t="s">
        <v>75</v>
      </c>
      <c r="H95" s="14" t="s">
        <v>70</v>
      </c>
      <c r="I95" s="14" t="s">
        <v>71</v>
      </c>
      <c r="J95" s="14" t="s">
        <v>72</v>
      </c>
      <c r="K95" s="14" t="s">
        <v>73</v>
      </c>
      <c r="L95" s="14" t="s">
        <v>69</v>
      </c>
      <c r="M95" s="14" t="s">
        <v>74</v>
      </c>
      <c r="N95" s="14" t="s">
        <v>75</v>
      </c>
      <c r="O95" s="14" t="s">
        <v>70</v>
      </c>
      <c r="P95" s="14" t="s">
        <v>71</v>
      </c>
      <c r="Q95" s="14" t="s">
        <v>72</v>
      </c>
      <c r="R95" s="14" t="s">
        <v>73</v>
      </c>
      <c r="S95" s="14" t="s">
        <v>69</v>
      </c>
      <c r="T95" s="14" t="s">
        <v>74</v>
      </c>
      <c r="U95" s="14" t="s">
        <v>75</v>
      </c>
      <c r="V95" s="14" t="s">
        <v>70</v>
      </c>
      <c r="W95" s="14" t="s">
        <v>71</v>
      </c>
      <c r="X95" s="14" t="s">
        <v>72</v>
      </c>
      <c r="Y95" s="14" t="s">
        <v>73</v>
      </c>
      <c r="Z95" s="14" t="s">
        <v>69</v>
      </c>
      <c r="AA95" s="14" t="s">
        <v>74</v>
      </c>
      <c r="AB95" s="14" t="s">
        <v>75</v>
      </c>
      <c r="AC95" s="14" t="s">
        <v>70</v>
      </c>
      <c r="AD95" s="14" t="s">
        <v>71</v>
      </c>
      <c r="AE95" s="14" t="s">
        <v>72</v>
      </c>
      <c r="AF95" s="14" t="s">
        <v>73</v>
      </c>
      <c r="AG95" s="14" t="s">
        <v>69</v>
      </c>
      <c r="AH95" s="14" t="s">
        <v>74</v>
      </c>
      <c r="AI95" s="105"/>
    </row>
    <row r="96" spans="2:35" ht="15" customHeight="1" thickBot="1" x14ac:dyDescent="0.3">
      <c r="B96" s="88"/>
      <c r="C96" s="89"/>
      <c r="D96" s="12">
        <v>1</v>
      </c>
      <c r="E96" s="12">
        <v>2</v>
      </c>
      <c r="F96" s="12">
        <v>3</v>
      </c>
      <c r="G96" s="12">
        <v>4</v>
      </c>
      <c r="H96" s="12">
        <v>5</v>
      </c>
      <c r="I96" s="12">
        <v>6</v>
      </c>
      <c r="J96" s="12">
        <v>7</v>
      </c>
      <c r="K96" s="12">
        <v>8</v>
      </c>
      <c r="L96" s="12">
        <v>9</v>
      </c>
      <c r="M96" s="12">
        <v>10</v>
      </c>
      <c r="N96" s="12">
        <v>11</v>
      </c>
      <c r="O96" s="12">
        <v>12</v>
      </c>
      <c r="P96" s="12">
        <v>13</v>
      </c>
      <c r="Q96" s="12">
        <v>14</v>
      </c>
      <c r="R96" s="12">
        <v>15</v>
      </c>
      <c r="S96" s="12">
        <v>16</v>
      </c>
      <c r="T96" s="12">
        <v>17</v>
      </c>
      <c r="U96" s="12">
        <v>18</v>
      </c>
      <c r="V96" s="12">
        <v>19</v>
      </c>
      <c r="W96" s="12">
        <v>20</v>
      </c>
      <c r="X96" s="12">
        <v>21</v>
      </c>
      <c r="Y96" s="12">
        <v>22</v>
      </c>
      <c r="Z96" s="12">
        <v>23</v>
      </c>
      <c r="AA96" s="12">
        <v>24</v>
      </c>
      <c r="AB96" s="12">
        <v>25</v>
      </c>
      <c r="AC96" s="12">
        <v>26</v>
      </c>
      <c r="AD96" s="12">
        <v>27</v>
      </c>
      <c r="AE96" s="12">
        <v>28</v>
      </c>
      <c r="AF96" s="12">
        <v>29</v>
      </c>
      <c r="AG96" s="12">
        <v>30</v>
      </c>
      <c r="AH96" s="12">
        <v>31</v>
      </c>
      <c r="AI96" s="105"/>
    </row>
    <row r="97" spans="2:35" ht="44.45" customHeight="1" x14ac:dyDescent="0.25">
      <c r="B97" s="108" t="s">
        <v>68</v>
      </c>
      <c r="C97" s="109"/>
      <c r="D97" s="61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  <c r="AE97" s="62"/>
      <c r="AF97" s="62"/>
      <c r="AG97" s="62"/>
      <c r="AH97" s="62"/>
      <c r="AI97" s="105"/>
    </row>
    <row r="98" spans="2:35" ht="44.45" customHeight="1" x14ac:dyDescent="0.25">
      <c r="B98" s="110" t="s">
        <v>59</v>
      </c>
      <c r="C98" s="111"/>
      <c r="D98" s="64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105"/>
    </row>
    <row r="99" spans="2:35" ht="44.45" customHeight="1" x14ac:dyDescent="0.25">
      <c r="B99" s="110" t="s">
        <v>60</v>
      </c>
      <c r="C99" s="111"/>
      <c r="D99" s="63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105"/>
    </row>
    <row r="100" spans="2:35" ht="44.45" customHeight="1" x14ac:dyDescent="0.25">
      <c r="B100" s="110" t="s">
        <v>61</v>
      </c>
      <c r="C100" s="111"/>
      <c r="D100" s="64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105"/>
    </row>
    <row r="101" spans="2:35" ht="44.45" customHeight="1" x14ac:dyDescent="0.25">
      <c r="B101" s="110" t="s">
        <v>62</v>
      </c>
      <c r="C101" s="111"/>
      <c r="D101" s="63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105"/>
    </row>
    <row r="102" spans="2:35" ht="44.45" customHeight="1" x14ac:dyDescent="0.25">
      <c r="B102" s="110" t="s">
        <v>63</v>
      </c>
      <c r="C102" s="111"/>
      <c r="D102" s="64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5"/>
      <c r="AB102" s="65"/>
      <c r="AC102" s="65"/>
      <c r="AD102" s="65"/>
      <c r="AE102" s="65"/>
      <c r="AF102" s="65"/>
      <c r="AG102" s="65"/>
      <c r="AH102" s="65"/>
      <c r="AI102" s="105"/>
    </row>
    <row r="103" spans="2:35" ht="44.45" customHeight="1" x14ac:dyDescent="0.25">
      <c r="B103" s="110" t="s">
        <v>64</v>
      </c>
      <c r="C103" s="111"/>
      <c r="D103" s="63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105"/>
    </row>
    <row r="104" spans="2:35" ht="44.45" customHeight="1" thickBot="1" x14ac:dyDescent="0.3">
      <c r="B104" s="99" t="s">
        <v>65</v>
      </c>
      <c r="C104" s="100"/>
      <c r="D104" s="66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105"/>
    </row>
    <row r="105" spans="2:35" ht="16.149999999999999" customHeight="1" thickBot="1" x14ac:dyDescent="0.3">
      <c r="B105" s="101" t="s">
        <v>53</v>
      </c>
      <c r="C105" s="102"/>
      <c r="D105" s="70">
        <f t="shared" ref="D105:AH105" si="6">COUNTA(D97:D104)</f>
        <v>0</v>
      </c>
      <c r="E105" s="68">
        <f t="shared" si="6"/>
        <v>0</v>
      </c>
      <c r="F105" s="68">
        <f t="shared" si="6"/>
        <v>0</v>
      </c>
      <c r="G105" s="68">
        <f t="shared" si="6"/>
        <v>0</v>
      </c>
      <c r="H105" s="68">
        <f t="shared" si="6"/>
        <v>0</v>
      </c>
      <c r="I105" s="68">
        <f t="shared" si="6"/>
        <v>0</v>
      </c>
      <c r="J105" s="68">
        <f t="shared" si="6"/>
        <v>0</v>
      </c>
      <c r="K105" s="68">
        <f t="shared" si="6"/>
        <v>0</v>
      </c>
      <c r="L105" s="68">
        <f t="shared" si="6"/>
        <v>0</v>
      </c>
      <c r="M105" s="68">
        <f t="shared" si="6"/>
        <v>0</v>
      </c>
      <c r="N105" s="68">
        <f t="shared" si="6"/>
        <v>0</v>
      </c>
      <c r="O105" s="68">
        <f t="shared" si="6"/>
        <v>0</v>
      </c>
      <c r="P105" s="68">
        <f t="shared" si="6"/>
        <v>0</v>
      </c>
      <c r="Q105" s="68">
        <f t="shared" si="6"/>
        <v>0</v>
      </c>
      <c r="R105" s="68">
        <f t="shared" si="6"/>
        <v>0</v>
      </c>
      <c r="S105" s="68">
        <f t="shared" si="6"/>
        <v>0</v>
      </c>
      <c r="T105" s="68">
        <f t="shared" si="6"/>
        <v>0</v>
      </c>
      <c r="U105" s="68">
        <f t="shared" si="6"/>
        <v>0</v>
      </c>
      <c r="V105" s="68">
        <f t="shared" si="6"/>
        <v>0</v>
      </c>
      <c r="W105" s="68">
        <f t="shared" si="6"/>
        <v>0</v>
      </c>
      <c r="X105" s="68">
        <f t="shared" si="6"/>
        <v>0</v>
      </c>
      <c r="Y105" s="68">
        <f t="shared" si="6"/>
        <v>0</v>
      </c>
      <c r="Z105" s="68">
        <f t="shared" si="6"/>
        <v>0</v>
      </c>
      <c r="AA105" s="68">
        <f t="shared" si="6"/>
        <v>0</v>
      </c>
      <c r="AB105" s="68">
        <f t="shared" si="6"/>
        <v>0</v>
      </c>
      <c r="AC105" s="68">
        <f t="shared" si="6"/>
        <v>0</v>
      </c>
      <c r="AD105" s="68">
        <f t="shared" si="6"/>
        <v>0</v>
      </c>
      <c r="AE105" s="68">
        <f t="shared" si="6"/>
        <v>0</v>
      </c>
      <c r="AF105" s="68">
        <f t="shared" si="6"/>
        <v>0</v>
      </c>
      <c r="AG105" s="68">
        <f t="shared" si="6"/>
        <v>0</v>
      </c>
      <c r="AH105" s="69">
        <f t="shared" si="6"/>
        <v>0</v>
      </c>
      <c r="AI105" s="106"/>
    </row>
    <row r="107" spans="2:35" ht="15.75" thickBot="1" x14ac:dyDescent="0.3"/>
    <row r="108" spans="2:35" ht="23.25" x14ac:dyDescent="0.35">
      <c r="B108" s="84" t="s">
        <v>48</v>
      </c>
      <c r="C108" s="85"/>
      <c r="D108" s="77" t="s">
        <v>18</v>
      </c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G108" s="78"/>
      <c r="AH108" s="79"/>
      <c r="AI108" s="104">
        <v>2018</v>
      </c>
    </row>
    <row r="109" spans="2:35" x14ac:dyDescent="0.25">
      <c r="B109" s="86"/>
      <c r="C109" s="87"/>
      <c r="D109" s="14" t="s">
        <v>75</v>
      </c>
      <c r="E109" s="14" t="s">
        <v>70</v>
      </c>
      <c r="F109" s="14" t="s">
        <v>71</v>
      </c>
      <c r="G109" s="14" t="s">
        <v>72</v>
      </c>
      <c r="H109" s="14" t="s">
        <v>73</v>
      </c>
      <c r="I109" s="14" t="s">
        <v>69</v>
      </c>
      <c r="J109" s="14" t="s">
        <v>74</v>
      </c>
      <c r="K109" s="14" t="s">
        <v>75</v>
      </c>
      <c r="L109" s="14" t="s">
        <v>70</v>
      </c>
      <c r="M109" s="14" t="s">
        <v>71</v>
      </c>
      <c r="N109" s="14" t="s">
        <v>72</v>
      </c>
      <c r="O109" s="14" t="s">
        <v>73</v>
      </c>
      <c r="P109" s="14" t="s">
        <v>69</v>
      </c>
      <c r="Q109" s="14" t="s">
        <v>74</v>
      </c>
      <c r="R109" s="14" t="s">
        <v>75</v>
      </c>
      <c r="S109" s="14" t="s">
        <v>70</v>
      </c>
      <c r="T109" s="14" t="s">
        <v>71</v>
      </c>
      <c r="U109" s="14" t="s">
        <v>72</v>
      </c>
      <c r="V109" s="14" t="s">
        <v>73</v>
      </c>
      <c r="W109" s="14" t="s">
        <v>69</v>
      </c>
      <c r="X109" s="14" t="s">
        <v>74</v>
      </c>
      <c r="Y109" s="14" t="s">
        <v>75</v>
      </c>
      <c r="Z109" s="14" t="s">
        <v>70</v>
      </c>
      <c r="AA109" s="14" t="s">
        <v>71</v>
      </c>
      <c r="AB109" s="14" t="s">
        <v>72</v>
      </c>
      <c r="AC109" s="14" t="s">
        <v>73</v>
      </c>
      <c r="AD109" s="14" t="s">
        <v>69</v>
      </c>
      <c r="AE109" s="14" t="s">
        <v>74</v>
      </c>
      <c r="AF109" s="14" t="s">
        <v>75</v>
      </c>
      <c r="AG109" s="14" t="s">
        <v>70</v>
      </c>
      <c r="AH109" s="14" t="s">
        <v>71</v>
      </c>
      <c r="AI109" s="105"/>
    </row>
    <row r="110" spans="2:35" ht="15.75" thickBot="1" x14ac:dyDescent="0.3">
      <c r="B110" s="88"/>
      <c r="C110" s="89"/>
      <c r="D110" s="12">
        <v>1</v>
      </c>
      <c r="E110" s="12">
        <v>2</v>
      </c>
      <c r="F110" s="12">
        <v>3</v>
      </c>
      <c r="G110" s="12">
        <v>4</v>
      </c>
      <c r="H110" s="12">
        <v>5</v>
      </c>
      <c r="I110" s="12">
        <v>6</v>
      </c>
      <c r="J110" s="12">
        <v>7</v>
      </c>
      <c r="K110" s="12">
        <v>8</v>
      </c>
      <c r="L110" s="12">
        <v>9</v>
      </c>
      <c r="M110" s="12">
        <v>10</v>
      </c>
      <c r="N110" s="12">
        <v>11</v>
      </c>
      <c r="O110" s="12">
        <v>12</v>
      </c>
      <c r="P110" s="12">
        <v>13</v>
      </c>
      <c r="Q110" s="12">
        <v>14</v>
      </c>
      <c r="R110" s="12">
        <v>15</v>
      </c>
      <c r="S110" s="12">
        <v>16</v>
      </c>
      <c r="T110" s="12">
        <v>17</v>
      </c>
      <c r="U110" s="12">
        <v>18</v>
      </c>
      <c r="V110" s="12">
        <v>19</v>
      </c>
      <c r="W110" s="12">
        <v>20</v>
      </c>
      <c r="X110" s="12">
        <v>21</v>
      </c>
      <c r="Y110" s="12">
        <v>22</v>
      </c>
      <c r="Z110" s="12">
        <v>23</v>
      </c>
      <c r="AA110" s="12">
        <v>24</v>
      </c>
      <c r="AB110" s="12">
        <v>25</v>
      </c>
      <c r="AC110" s="12">
        <v>26</v>
      </c>
      <c r="AD110" s="12">
        <v>27</v>
      </c>
      <c r="AE110" s="12">
        <v>28</v>
      </c>
      <c r="AF110" s="12">
        <v>29</v>
      </c>
      <c r="AG110" s="12">
        <v>30</v>
      </c>
      <c r="AH110" s="12">
        <v>31</v>
      </c>
      <c r="AI110" s="105"/>
    </row>
    <row r="111" spans="2:35" ht="44.45" customHeight="1" x14ac:dyDescent="0.25">
      <c r="B111" s="108" t="s">
        <v>68</v>
      </c>
      <c r="C111" s="109"/>
      <c r="D111" s="61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  <c r="AE111" s="62"/>
      <c r="AF111" s="62"/>
      <c r="AG111" s="62"/>
      <c r="AH111" s="62"/>
      <c r="AI111" s="105"/>
    </row>
    <row r="112" spans="2:35" ht="44.45" customHeight="1" x14ac:dyDescent="0.25">
      <c r="B112" s="110" t="s">
        <v>59</v>
      </c>
      <c r="C112" s="111"/>
      <c r="D112" s="64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65"/>
      <c r="AI112" s="105"/>
    </row>
    <row r="113" spans="2:35" ht="44.45" customHeight="1" x14ac:dyDescent="0.25">
      <c r="B113" s="110" t="s">
        <v>60</v>
      </c>
      <c r="C113" s="111"/>
      <c r="D113" s="63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105"/>
    </row>
    <row r="114" spans="2:35" ht="44.45" customHeight="1" x14ac:dyDescent="0.25">
      <c r="B114" s="110" t="s">
        <v>61</v>
      </c>
      <c r="C114" s="111"/>
      <c r="D114" s="64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  <c r="AH114" s="65"/>
      <c r="AI114" s="105"/>
    </row>
    <row r="115" spans="2:35" ht="44.45" customHeight="1" x14ac:dyDescent="0.25">
      <c r="B115" s="110" t="s">
        <v>62</v>
      </c>
      <c r="C115" s="111"/>
      <c r="D115" s="63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105"/>
    </row>
    <row r="116" spans="2:35" ht="44.45" customHeight="1" x14ac:dyDescent="0.25">
      <c r="B116" s="110" t="s">
        <v>63</v>
      </c>
      <c r="C116" s="111"/>
      <c r="D116" s="64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  <c r="AA116" s="65"/>
      <c r="AB116" s="65"/>
      <c r="AC116" s="65"/>
      <c r="AD116" s="65"/>
      <c r="AE116" s="65"/>
      <c r="AF116" s="65"/>
      <c r="AG116" s="65"/>
      <c r="AH116" s="65"/>
      <c r="AI116" s="105"/>
    </row>
    <row r="117" spans="2:35" ht="44.45" customHeight="1" x14ac:dyDescent="0.25">
      <c r="B117" s="110" t="s">
        <v>64</v>
      </c>
      <c r="C117" s="111"/>
      <c r="D117" s="63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105"/>
    </row>
    <row r="118" spans="2:35" ht="44.45" customHeight="1" thickBot="1" x14ac:dyDescent="0.3">
      <c r="B118" s="99" t="s">
        <v>65</v>
      </c>
      <c r="C118" s="100"/>
      <c r="D118" s="66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  <c r="AA118" s="67"/>
      <c r="AB118" s="67"/>
      <c r="AC118" s="67"/>
      <c r="AD118" s="67"/>
      <c r="AE118" s="67"/>
      <c r="AF118" s="67"/>
      <c r="AG118" s="67"/>
      <c r="AH118" s="67"/>
      <c r="AI118" s="105"/>
    </row>
    <row r="119" spans="2:35" ht="16.5" thickBot="1" x14ac:dyDescent="0.3">
      <c r="B119" s="101" t="s">
        <v>53</v>
      </c>
      <c r="C119" s="102"/>
      <c r="D119" s="70">
        <f t="shared" ref="D119:AH119" si="7">COUNTA(D111:D118)</f>
        <v>0</v>
      </c>
      <c r="E119" s="68">
        <f t="shared" si="7"/>
        <v>0</v>
      </c>
      <c r="F119" s="68">
        <f t="shared" si="7"/>
        <v>0</v>
      </c>
      <c r="G119" s="68">
        <f t="shared" si="7"/>
        <v>0</v>
      </c>
      <c r="H119" s="68">
        <f t="shared" si="7"/>
        <v>0</v>
      </c>
      <c r="I119" s="68">
        <f t="shared" si="7"/>
        <v>0</v>
      </c>
      <c r="J119" s="68">
        <f t="shared" si="7"/>
        <v>0</v>
      </c>
      <c r="K119" s="68">
        <f t="shared" si="7"/>
        <v>0</v>
      </c>
      <c r="L119" s="68">
        <f t="shared" si="7"/>
        <v>0</v>
      </c>
      <c r="M119" s="68">
        <f t="shared" si="7"/>
        <v>0</v>
      </c>
      <c r="N119" s="68">
        <f t="shared" si="7"/>
        <v>0</v>
      </c>
      <c r="O119" s="68">
        <f t="shared" si="7"/>
        <v>0</v>
      </c>
      <c r="P119" s="68">
        <f t="shared" si="7"/>
        <v>0</v>
      </c>
      <c r="Q119" s="68">
        <f t="shared" si="7"/>
        <v>0</v>
      </c>
      <c r="R119" s="68">
        <f t="shared" si="7"/>
        <v>0</v>
      </c>
      <c r="S119" s="68">
        <f t="shared" si="7"/>
        <v>0</v>
      </c>
      <c r="T119" s="68">
        <f t="shared" si="7"/>
        <v>0</v>
      </c>
      <c r="U119" s="68">
        <f t="shared" si="7"/>
        <v>0</v>
      </c>
      <c r="V119" s="68">
        <f t="shared" si="7"/>
        <v>0</v>
      </c>
      <c r="W119" s="68">
        <f t="shared" si="7"/>
        <v>0</v>
      </c>
      <c r="X119" s="68">
        <f t="shared" si="7"/>
        <v>0</v>
      </c>
      <c r="Y119" s="68">
        <f t="shared" si="7"/>
        <v>0</v>
      </c>
      <c r="Z119" s="68">
        <f t="shared" si="7"/>
        <v>0</v>
      </c>
      <c r="AA119" s="68">
        <f t="shared" si="7"/>
        <v>0</v>
      </c>
      <c r="AB119" s="68">
        <f t="shared" si="7"/>
        <v>0</v>
      </c>
      <c r="AC119" s="68">
        <f t="shared" si="7"/>
        <v>0</v>
      </c>
      <c r="AD119" s="68">
        <f t="shared" si="7"/>
        <v>0</v>
      </c>
      <c r="AE119" s="68">
        <f t="shared" si="7"/>
        <v>0</v>
      </c>
      <c r="AF119" s="68">
        <f t="shared" si="7"/>
        <v>0</v>
      </c>
      <c r="AG119" s="68">
        <f t="shared" si="7"/>
        <v>0</v>
      </c>
      <c r="AH119" s="69">
        <f t="shared" si="7"/>
        <v>0</v>
      </c>
      <c r="AI119" s="107"/>
    </row>
    <row r="121" spans="2:35" ht="15.75" thickBot="1" x14ac:dyDescent="0.3"/>
    <row r="122" spans="2:35" ht="23.25" x14ac:dyDescent="0.35">
      <c r="B122" s="84" t="s">
        <v>49</v>
      </c>
      <c r="C122" s="85"/>
      <c r="D122" s="77" t="s">
        <v>18</v>
      </c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78"/>
      <c r="AG122" s="78"/>
      <c r="AH122" s="79"/>
      <c r="AI122" s="104">
        <f>$AI$10</f>
        <v>2018</v>
      </c>
    </row>
    <row r="123" spans="2:35" ht="14.45" customHeight="1" x14ac:dyDescent="0.25">
      <c r="B123" s="86"/>
      <c r="C123" s="87"/>
      <c r="D123" s="14" t="s">
        <v>72</v>
      </c>
      <c r="E123" s="14" t="s">
        <v>73</v>
      </c>
      <c r="F123" s="14" t="s">
        <v>69</v>
      </c>
      <c r="G123" s="14" t="s">
        <v>74</v>
      </c>
      <c r="H123" s="14" t="s">
        <v>75</v>
      </c>
      <c r="I123" s="14" t="s">
        <v>70</v>
      </c>
      <c r="J123" s="14" t="s">
        <v>71</v>
      </c>
      <c r="K123" s="14" t="s">
        <v>72</v>
      </c>
      <c r="L123" s="14" t="s">
        <v>73</v>
      </c>
      <c r="M123" s="14" t="s">
        <v>69</v>
      </c>
      <c r="N123" s="14" t="s">
        <v>74</v>
      </c>
      <c r="O123" s="14" t="s">
        <v>75</v>
      </c>
      <c r="P123" s="14" t="s">
        <v>70</v>
      </c>
      <c r="Q123" s="14" t="s">
        <v>71</v>
      </c>
      <c r="R123" s="14" t="s">
        <v>72</v>
      </c>
      <c r="S123" s="14" t="s">
        <v>73</v>
      </c>
      <c r="T123" s="14" t="s">
        <v>69</v>
      </c>
      <c r="U123" s="14" t="s">
        <v>74</v>
      </c>
      <c r="V123" s="14" t="s">
        <v>75</v>
      </c>
      <c r="W123" s="14" t="s">
        <v>70</v>
      </c>
      <c r="X123" s="14" t="s">
        <v>71</v>
      </c>
      <c r="Y123" s="14" t="s">
        <v>72</v>
      </c>
      <c r="Z123" s="14" t="s">
        <v>73</v>
      </c>
      <c r="AA123" s="14" t="s">
        <v>69</v>
      </c>
      <c r="AB123" s="14" t="s">
        <v>74</v>
      </c>
      <c r="AC123" s="14" t="s">
        <v>75</v>
      </c>
      <c r="AD123" s="14" t="s">
        <v>70</v>
      </c>
      <c r="AE123" s="14" t="s">
        <v>71</v>
      </c>
      <c r="AF123" s="14" t="s">
        <v>72</v>
      </c>
      <c r="AG123" s="14" t="s">
        <v>73</v>
      </c>
      <c r="AH123" s="14"/>
      <c r="AI123" s="105"/>
    </row>
    <row r="124" spans="2:35" ht="15" customHeight="1" thickBot="1" x14ac:dyDescent="0.3">
      <c r="B124" s="88"/>
      <c r="C124" s="89"/>
      <c r="D124" s="12">
        <v>1</v>
      </c>
      <c r="E124" s="12">
        <v>2</v>
      </c>
      <c r="F124" s="12">
        <v>3</v>
      </c>
      <c r="G124" s="12">
        <v>4</v>
      </c>
      <c r="H124" s="12">
        <v>5</v>
      </c>
      <c r="I124" s="12">
        <v>6</v>
      </c>
      <c r="J124" s="12">
        <v>7</v>
      </c>
      <c r="K124" s="12">
        <v>8</v>
      </c>
      <c r="L124" s="12">
        <v>9</v>
      </c>
      <c r="M124" s="12">
        <v>10</v>
      </c>
      <c r="N124" s="12">
        <v>11</v>
      </c>
      <c r="O124" s="12">
        <v>12</v>
      </c>
      <c r="P124" s="12">
        <v>13</v>
      </c>
      <c r="Q124" s="12">
        <v>14</v>
      </c>
      <c r="R124" s="12">
        <v>15</v>
      </c>
      <c r="S124" s="12">
        <v>16</v>
      </c>
      <c r="T124" s="12">
        <v>17</v>
      </c>
      <c r="U124" s="12">
        <v>18</v>
      </c>
      <c r="V124" s="12">
        <v>19</v>
      </c>
      <c r="W124" s="12">
        <v>20</v>
      </c>
      <c r="X124" s="12">
        <v>21</v>
      </c>
      <c r="Y124" s="12">
        <v>22</v>
      </c>
      <c r="Z124" s="12">
        <v>23</v>
      </c>
      <c r="AA124" s="12">
        <v>24</v>
      </c>
      <c r="AB124" s="12">
        <v>25</v>
      </c>
      <c r="AC124" s="12">
        <v>26</v>
      </c>
      <c r="AD124" s="12">
        <v>27</v>
      </c>
      <c r="AE124" s="12">
        <v>28</v>
      </c>
      <c r="AF124" s="12">
        <v>29</v>
      </c>
      <c r="AG124" s="12">
        <v>30</v>
      </c>
      <c r="AH124" s="12"/>
      <c r="AI124" s="105"/>
    </row>
    <row r="125" spans="2:35" ht="44.45" customHeight="1" x14ac:dyDescent="0.25">
      <c r="B125" s="108" t="s">
        <v>68</v>
      </c>
      <c r="C125" s="109"/>
      <c r="D125" s="61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  <c r="AC125" s="62"/>
      <c r="AD125" s="62"/>
      <c r="AE125" s="62"/>
      <c r="AF125" s="62"/>
      <c r="AG125" s="62"/>
      <c r="AH125" s="62"/>
      <c r="AI125" s="105"/>
    </row>
    <row r="126" spans="2:35" ht="44.45" customHeight="1" x14ac:dyDescent="0.25">
      <c r="B126" s="110" t="s">
        <v>59</v>
      </c>
      <c r="C126" s="111"/>
      <c r="D126" s="64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  <c r="AA126" s="65"/>
      <c r="AB126" s="65"/>
      <c r="AC126" s="65"/>
      <c r="AD126" s="65"/>
      <c r="AE126" s="65"/>
      <c r="AF126" s="65"/>
      <c r="AG126" s="65"/>
      <c r="AH126" s="65"/>
      <c r="AI126" s="105"/>
    </row>
    <row r="127" spans="2:35" ht="44.45" customHeight="1" x14ac:dyDescent="0.25">
      <c r="B127" s="110" t="s">
        <v>60</v>
      </c>
      <c r="C127" s="111"/>
      <c r="D127" s="63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105"/>
    </row>
    <row r="128" spans="2:35" ht="44.45" customHeight="1" x14ac:dyDescent="0.25">
      <c r="B128" s="110" t="s">
        <v>61</v>
      </c>
      <c r="C128" s="111"/>
      <c r="D128" s="64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  <c r="AA128" s="65"/>
      <c r="AB128" s="65"/>
      <c r="AC128" s="65"/>
      <c r="AD128" s="65"/>
      <c r="AE128" s="65"/>
      <c r="AF128" s="65"/>
      <c r="AG128" s="65"/>
      <c r="AH128" s="65"/>
      <c r="AI128" s="105"/>
    </row>
    <row r="129" spans="2:35" ht="44.45" customHeight="1" x14ac:dyDescent="0.25">
      <c r="B129" s="110" t="s">
        <v>62</v>
      </c>
      <c r="C129" s="111"/>
      <c r="D129" s="63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105"/>
    </row>
    <row r="130" spans="2:35" ht="44.45" customHeight="1" x14ac:dyDescent="0.25">
      <c r="B130" s="110" t="s">
        <v>63</v>
      </c>
      <c r="C130" s="111"/>
      <c r="D130" s="64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  <c r="AA130" s="65"/>
      <c r="AB130" s="65"/>
      <c r="AC130" s="65"/>
      <c r="AD130" s="65"/>
      <c r="AE130" s="65"/>
      <c r="AF130" s="65"/>
      <c r="AG130" s="65"/>
      <c r="AH130" s="65"/>
      <c r="AI130" s="105"/>
    </row>
    <row r="131" spans="2:35" ht="44.45" customHeight="1" x14ac:dyDescent="0.25">
      <c r="B131" s="110" t="s">
        <v>64</v>
      </c>
      <c r="C131" s="111"/>
      <c r="D131" s="63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105"/>
    </row>
    <row r="132" spans="2:35" ht="44.45" customHeight="1" thickBot="1" x14ac:dyDescent="0.3">
      <c r="B132" s="99" t="s">
        <v>65</v>
      </c>
      <c r="C132" s="100"/>
      <c r="D132" s="66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  <c r="AA132" s="67"/>
      <c r="AB132" s="67"/>
      <c r="AC132" s="67"/>
      <c r="AD132" s="67"/>
      <c r="AE132" s="67"/>
      <c r="AF132" s="67"/>
      <c r="AG132" s="67"/>
      <c r="AH132" s="67"/>
      <c r="AI132" s="105"/>
    </row>
    <row r="133" spans="2:35" ht="16.149999999999999" customHeight="1" thickBot="1" x14ac:dyDescent="0.3">
      <c r="B133" s="101" t="s">
        <v>53</v>
      </c>
      <c r="C133" s="102"/>
      <c r="D133" s="70">
        <f t="shared" ref="D133:AH133" si="8">COUNTA(D125:D132)</f>
        <v>0</v>
      </c>
      <c r="E133" s="68">
        <f t="shared" si="8"/>
        <v>0</v>
      </c>
      <c r="F133" s="68">
        <f t="shared" si="8"/>
        <v>0</v>
      </c>
      <c r="G133" s="68">
        <f t="shared" si="8"/>
        <v>0</v>
      </c>
      <c r="H133" s="68">
        <f t="shared" si="8"/>
        <v>0</v>
      </c>
      <c r="I133" s="68">
        <f t="shared" si="8"/>
        <v>0</v>
      </c>
      <c r="J133" s="68">
        <f t="shared" si="8"/>
        <v>0</v>
      </c>
      <c r="K133" s="68">
        <f t="shared" si="8"/>
        <v>0</v>
      </c>
      <c r="L133" s="68">
        <f t="shared" si="8"/>
        <v>0</v>
      </c>
      <c r="M133" s="68">
        <f t="shared" si="8"/>
        <v>0</v>
      </c>
      <c r="N133" s="68">
        <f t="shared" si="8"/>
        <v>0</v>
      </c>
      <c r="O133" s="68">
        <f t="shared" si="8"/>
        <v>0</v>
      </c>
      <c r="P133" s="68">
        <f t="shared" si="8"/>
        <v>0</v>
      </c>
      <c r="Q133" s="68">
        <f t="shared" si="8"/>
        <v>0</v>
      </c>
      <c r="R133" s="68">
        <f t="shared" si="8"/>
        <v>0</v>
      </c>
      <c r="S133" s="68">
        <f t="shared" si="8"/>
        <v>0</v>
      </c>
      <c r="T133" s="68">
        <f t="shared" si="8"/>
        <v>0</v>
      </c>
      <c r="U133" s="68">
        <f t="shared" si="8"/>
        <v>0</v>
      </c>
      <c r="V133" s="68">
        <f t="shared" si="8"/>
        <v>0</v>
      </c>
      <c r="W133" s="68">
        <f t="shared" si="8"/>
        <v>0</v>
      </c>
      <c r="X133" s="68">
        <f t="shared" si="8"/>
        <v>0</v>
      </c>
      <c r="Y133" s="68">
        <f t="shared" si="8"/>
        <v>0</v>
      </c>
      <c r="Z133" s="68">
        <f t="shared" si="8"/>
        <v>0</v>
      </c>
      <c r="AA133" s="68">
        <f t="shared" si="8"/>
        <v>0</v>
      </c>
      <c r="AB133" s="68">
        <f t="shared" si="8"/>
        <v>0</v>
      </c>
      <c r="AC133" s="68">
        <f t="shared" si="8"/>
        <v>0</v>
      </c>
      <c r="AD133" s="68">
        <f t="shared" si="8"/>
        <v>0</v>
      </c>
      <c r="AE133" s="68">
        <f t="shared" si="8"/>
        <v>0</v>
      </c>
      <c r="AF133" s="68">
        <f t="shared" si="8"/>
        <v>0</v>
      </c>
      <c r="AG133" s="68">
        <f t="shared" si="8"/>
        <v>0</v>
      </c>
      <c r="AH133" s="69">
        <f t="shared" si="8"/>
        <v>0</v>
      </c>
      <c r="AI133" s="106"/>
    </row>
    <row r="135" spans="2:35" ht="15.75" thickBot="1" x14ac:dyDescent="0.3"/>
    <row r="136" spans="2:35" ht="23.25" x14ac:dyDescent="0.35">
      <c r="B136" s="84" t="s">
        <v>50</v>
      </c>
      <c r="C136" s="85"/>
      <c r="D136" s="77" t="s">
        <v>18</v>
      </c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78"/>
      <c r="AG136" s="78"/>
      <c r="AH136" s="79"/>
      <c r="AI136" s="104">
        <v>2018</v>
      </c>
    </row>
    <row r="137" spans="2:35" x14ac:dyDescent="0.25">
      <c r="B137" s="86"/>
      <c r="C137" s="87"/>
      <c r="D137" s="14" t="s">
        <v>69</v>
      </c>
      <c r="E137" s="14" t="s">
        <v>74</v>
      </c>
      <c r="F137" s="14" t="s">
        <v>75</v>
      </c>
      <c r="G137" s="14" t="s">
        <v>70</v>
      </c>
      <c r="H137" s="14" t="s">
        <v>71</v>
      </c>
      <c r="I137" s="14" t="s">
        <v>72</v>
      </c>
      <c r="J137" s="14" t="s">
        <v>73</v>
      </c>
      <c r="K137" s="14" t="s">
        <v>69</v>
      </c>
      <c r="L137" s="14" t="s">
        <v>74</v>
      </c>
      <c r="M137" s="14" t="s">
        <v>75</v>
      </c>
      <c r="N137" s="14" t="s">
        <v>70</v>
      </c>
      <c r="O137" s="14" t="s">
        <v>71</v>
      </c>
      <c r="P137" s="14" t="s">
        <v>72</v>
      </c>
      <c r="Q137" s="14" t="s">
        <v>73</v>
      </c>
      <c r="R137" s="14" t="s">
        <v>69</v>
      </c>
      <c r="S137" s="14" t="s">
        <v>74</v>
      </c>
      <c r="T137" s="14" t="s">
        <v>75</v>
      </c>
      <c r="U137" s="14" t="s">
        <v>70</v>
      </c>
      <c r="V137" s="14" t="s">
        <v>71</v>
      </c>
      <c r="W137" s="14" t="s">
        <v>72</v>
      </c>
      <c r="X137" s="14" t="s">
        <v>73</v>
      </c>
      <c r="Y137" s="14" t="s">
        <v>69</v>
      </c>
      <c r="Z137" s="14" t="s">
        <v>74</v>
      </c>
      <c r="AA137" s="14" t="s">
        <v>75</v>
      </c>
      <c r="AB137" s="14" t="s">
        <v>70</v>
      </c>
      <c r="AC137" s="14" t="s">
        <v>71</v>
      </c>
      <c r="AD137" s="14" t="s">
        <v>72</v>
      </c>
      <c r="AE137" s="14" t="s">
        <v>73</v>
      </c>
      <c r="AF137" s="14" t="s">
        <v>69</v>
      </c>
      <c r="AG137" s="14" t="s">
        <v>74</v>
      </c>
      <c r="AH137" s="14" t="s">
        <v>75</v>
      </c>
      <c r="AI137" s="105"/>
    </row>
    <row r="138" spans="2:35" ht="15.75" thickBot="1" x14ac:dyDescent="0.3">
      <c r="B138" s="88"/>
      <c r="C138" s="89"/>
      <c r="D138" s="12">
        <v>1</v>
      </c>
      <c r="E138" s="12">
        <v>2</v>
      </c>
      <c r="F138" s="12">
        <v>3</v>
      </c>
      <c r="G138" s="12">
        <v>4</v>
      </c>
      <c r="H138" s="12">
        <v>5</v>
      </c>
      <c r="I138" s="12">
        <v>6</v>
      </c>
      <c r="J138" s="12">
        <v>7</v>
      </c>
      <c r="K138" s="12">
        <v>8</v>
      </c>
      <c r="L138" s="12">
        <v>9</v>
      </c>
      <c r="M138" s="12">
        <v>10</v>
      </c>
      <c r="N138" s="12">
        <v>11</v>
      </c>
      <c r="O138" s="12">
        <v>12</v>
      </c>
      <c r="P138" s="12">
        <v>13</v>
      </c>
      <c r="Q138" s="12">
        <v>14</v>
      </c>
      <c r="R138" s="12">
        <v>15</v>
      </c>
      <c r="S138" s="12">
        <v>16</v>
      </c>
      <c r="T138" s="12">
        <v>17</v>
      </c>
      <c r="U138" s="12">
        <v>18</v>
      </c>
      <c r="V138" s="12">
        <v>19</v>
      </c>
      <c r="W138" s="12">
        <v>20</v>
      </c>
      <c r="X138" s="12">
        <v>21</v>
      </c>
      <c r="Y138" s="12">
        <v>22</v>
      </c>
      <c r="Z138" s="12">
        <v>23</v>
      </c>
      <c r="AA138" s="12">
        <v>24</v>
      </c>
      <c r="AB138" s="12">
        <v>25</v>
      </c>
      <c r="AC138" s="12">
        <v>26</v>
      </c>
      <c r="AD138" s="12">
        <v>27</v>
      </c>
      <c r="AE138" s="12">
        <v>28</v>
      </c>
      <c r="AF138" s="12">
        <v>29</v>
      </c>
      <c r="AG138" s="12">
        <v>30</v>
      </c>
      <c r="AH138" s="12">
        <v>31</v>
      </c>
      <c r="AI138" s="105"/>
    </row>
    <row r="139" spans="2:35" ht="44.45" customHeight="1" x14ac:dyDescent="0.25">
      <c r="B139" s="108" t="s">
        <v>68</v>
      </c>
      <c r="C139" s="109"/>
      <c r="D139" s="61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62"/>
      <c r="AC139" s="62"/>
      <c r="AD139" s="62"/>
      <c r="AE139" s="62"/>
      <c r="AF139" s="62"/>
      <c r="AG139" s="62"/>
      <c r="AH139" s="62"/>
      <c r="AI139" s="105"/>
    </row>
    <row r="140" spans="2:35" ht="44.45" customHeight="1" x14ac:dyDescent="0.25">
      <c r="B140" s="110" t="s">
        <v>59</v>
      </c>
      <c r="C140" s="111"/>
      <c r="D140" s="64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  <c r="AA140" s="65"/>
      <c r="AB140" s="65"/>
      <c r="AC140" s="65"/>
      <c r="AD140" s="65"/>
      <c r="AE140" s="65"/>
      <c r="AF140" s="65"/>
      <c r="AG140" s="65"/>
      <c r="AH140" s="65"/>
      <c r="AI140" s="105"/>
    </row>
    <row r="141" spans="2:35" ht="44.45" customHeight="1" x14ac:dyDescent="0.25">
      <c r="B141" s="110" t="s">
        <v>60</v>
      </c>
      <c r="C141" s="111"/>
      <c r="D141" s="63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105"/>
    </row>
    <row r="142" spans="2:35" ht="44.45" customHeight="1" x14ac:dyDescent="0.25">
      <c r="B142" s="110" t="s">
        <v>61</v>
      </c>
      <c r="C142" s="111"/>
      <c r="D142" s="64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  <c r="AD142" s="65"/>
      <c r="AE142" s="65"/>
      <c r="AF142" s="65"/>
      <c r="AG142" s="65"/>
      <c r="AH142" s="65"/>
      <c r="AI142" s="105"/>
    </row>
    <row r="143" spans="2:35" ht="44.45" customHeight="1" x14ac:dyDescent="0.25">
      <c r="B143" s="110" t="s">
        <v>62</v>
      </c>
      <c r="C143" s="111"/>
      <c r="D143" s="63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105"/>
    </row>
    <row r="144" spans="2:35" ht="44.45" customHeight="1" x14ac:dyDescent="0.25">
      <c r="B144" s="110" t="s">
        <v>63</v>
      </c>
      <c r="C144" s="111"/>
      <c r="D144" s="64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  <c r="AA144" s="65"/>
      <c r="AB144" s="65"/>
      <c r="AC144" s="65"/>
      <c r="AD144" s="65"/>
      <c r="AE144" s="65"/>
      <c r="AF144" s="65"/>
      <c r="AG144" s="65"/>
      <c r="AH144" s="65"/>
      <c r="AI144" s="105"/>
    </row>
    <row r="145" spans="2:35" ht="44.45" customHeight="1" x14ac:dyDescent="0.25">
      <c r="B145" s="110" t="s">
        <v>64</v>
      </c>
      <c r="C145" s="111"/>
      <c r="D145" s="63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105"/>
    </row>
    <row r="146" spans="2:35" ht="44.45" customHeight="1" thickBot="1" x14ac:dyDescent="0.3">
      <c r="B146" s="99" t="s">
        <v>65</v>
      </c>
      <c r="C146" s="100"/>
      <c r="D146" s="66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  <c r="AA146" s="67"/>
      <c r="AB146" s="67"/>
      <c r="AC146" s="67"/>
      <c r="AD146" s="67"/>
      <c r="AE146" s="67"/>
      <c r="AF146" s="67"/>
      <c r="AG146" s="67"/>
      <c r="AH146" s="67"/>
      <c r="AI146" s="105"/>
    </row>
    <row r="147" spans="2:35" ht="16.5" thickBot="1" x14ac:dyDescent="0.3">
      <c r="B147" s="101" t="s">
        <v>53</v>
      </c>
      <c r="C147" s="102"/>
      <c r="D147" s="70">
        <f t="shared" ref="D147:AH147" si="9">COUNTA(D139:D146)</f>
        <v>0</v>
      </c>
      <c r="E147" s="68">
        <f t="shared" si="9"/>
        <v>0</v>
      </c>
      <c r="F147" s="68">
        <f t="shared" si="9"/>
        <v>0</v>
      </c>
      <c r="G147" s="68">
        <f t="shared" si="9"/>
        <v>0</v>
      </c>
      <c r="H147" s="68">
        <f t="shared" si="9"/>
        <v>0</v>
      </c>
      <c r="I147" s="68">
        <f t="shared" si="9"/>
        <v>0</v>
      </c>
      <c r="J147" s="68">
        <f t="shared" si="9"/>
        <v>0</v>
      </c>
      <c r="K147" s="68">
        <f t="shared" si="9"/>
        <v>0</v>
      </c>
      <c r="L147" s="68">
        <f t="shared" si="9"/>
        <v>0</v>
      </c>
      <c r="M147" s="68">
        <f t="shared" si="9"/>
        <v>0</v>
      </c>
      <c r="N147" s="68">
        <f t="shared" si="9"/>
        <v>0</v>
      </c>
      <c r="O147" s="68">
        <f t="shared" si="9"/>
        <v>0</v>
      </c>
      <c r="P147" s="68">
        <f t="shared" si="9"/>
        <v>0</v>
      </c>
      <c r="Q147" s="68">
        <f t="shared" si="9"/>
        <v>0</v>
      </c>
      <c r="R147" s="68">
        <f t="shared" si="9"/>
        <v>0</v>
      </c>
      <c r="S147" s="68">
        <f t="shared" si="9"/>
        <v>0</v>
      </c>
      <c r="T147" s="68">
        <f t="shared" si="9"/>
        <v>0</v>
      </c>
      <c r="U147" s="68">
        <f t="shared" si="9"/>
        <v>0</v>
      </c>
      <c r="V147" s="68">
        <f t="shared" si="9"/>
        <v>0</v>
      </c>
      <c r="W147" s="68">
        <f t="shared" si="9"/>
        <v>0</v>
      </c>
      <c r="X147" s="68">
        <f t="shared" si="9"/>
        <v>0</v>
      </c>
      <c r="Y147" s="68">
        <f t="shared" si="9"/>
        <v>0</v>
      </c>
      <c r="Z147" s="68">
        <f t="shared" si="9"/>
        <v>0</v>
      </c>
      <c r="AA147" s="68">
        <f t="shared" si="9"/>
        <v>0</v>
      </c>
      <c r="AB147" s="68">
        <f t="shared" si="9"/>
        <v>0</v>
      </c>
      <c r="AC147" s="68">
        <f t="shared" si="9"/>
        <v>0</v>
      </c>
      <c r="AD147" s="68">
        <f t="shared" si="9"/>
        <v>0</v>
      </c>
      <c r="AE147" s="68">
        <f t="shared" si="9"/>
        <v>0</v>
      </c>
      <c r="AF147" s="68">
        <f t="shared" si="9"/>
        <v>0</v>
      </c>
      <c r="AG147" s="68">
        <f t="shared" si="9"/>
        <v>0</v>
      </c>
      <c r="AH147" s="69">
        <f t="shared" si="9"/>
        <v>0</v>
      </c>
      <c r="AI147" s="107"/>
    </row>
    <row r="149" spans="2:35" ht="15.75" thickBot="1" x14ac:dyDescent="0.3"/>
    <row r="150" spans="2:35" ht="23.25" x14ac:dyDescent="0.35">
      <c r="B150" s="84" t="s">
        <v>51</v>
      </c>
      <c r="C150" s="85"/>
      <c r="D150" s="77" t="s">
        <v>18</v>
      </c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8"/>
      <c r="S150" s="78"/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9"/>
      <c r="AI150" s="104">
        <f>$AI$10</f>
        <v>2018</v>
      </c>
    </row>
    <row r="151" spans="2:35" ht="14.45" customHeight="1" x14ac:dyDescent="0.25">
      <c r="B151" s="86"/>
      <c r="C151" s="87"/>
      <c r="D151" s="14" t="s">
        <v>70</v>
      </c>
      <c r="E151" s="14" t="s">
        <v>71</v>
      </c>
      <c r="F151" s="14" t="s">
        <v>72</v>
      </c>
      <c r="G151" s="14" t="s">
        <v>73</v>
      </c>
      <c r="H151" s="14" t="s">
        <v>69</v>
      </c>
      <c r="I151" s="14" t="s">
        <v>74</v>
      </c>
      <c r="J151" s="14" t="s">
        <v>75</v>
      </c>
      <c r="K151" s="14" t="s">
        <v>70</v>
      </c>
      <c r="L151" s="14" t="s">
        <v>71</v>
      </c>
      <c r="M151" s="14" t="s">
        <v>72</v>
      </c>
      <c r="N151" s="14" t="s">
        <v>73</v>
      </c>
      <c r="O151" s="14" t="s">
        <v>69</v>
      </c>
      <c r="P151" s="14" t="s">
        <v>74</v>
      </c>
      <c r="Q151" s="14" t="s">
        <v>75</v>
      </c>
      <c r="R151" s="14" t="s">
        <v>70</v>
      </c>
      <c r="S151" s="14" t="s">
        <v>71</v>
      </c>
      <c r="T151" s="14" t="s">
        <v>72</v>
      </c>
      <c r="U151" s="14" t="s">
        <v>73</v>
      </c>
      <c r="V151" s="14" t="s">
        <v>69</v>
      </c>
      <c r="W151" s="14" t="s">
        <v>74</v>
      </c>
      <c r="X151" s="14" t="s">
        <v>75</v>
      </c>
      <c r="Y151" s="14" t="s">
        <v>70</v>
      </c>
      <c r="Z151" s="14" t="s">
        <v>71</v>
      </c>
      <c r="AA151" s="14" t="s">
        <v>72</v>
      </c>
      <c r="AB151" s="14" t="s">
        <v>73</v>
      </c>
      <c r="AC151" s="14" t="s">
        <v>69</v>
      </c>
      <c r="AD151" s="14" t="s">
        <v>74</v>
      </c>
      <c r="AE151" s="14" t="s">
        <v>75</v>
      </c>
      <c r="AF151" s="14" t="s">
        <v>70</v>
      </c>
      <c r="AG151" s="14" t="s">
        <v>71</v>
      </c>
      <c r="AH151" s="14"/>
      <c r="AI151" s="105"/>
    </row>
    <row r="152" spans="2:35" ht="15" customHeight="1" thickBot="1" x14ac:dyDescent="0.3">
      <c r="B152" s="88"/>
      <c r="C152" s="89"/>
      <c r="D152" s="12">
        <v>1</v>
      </c>
      <c r="E152" s="12">
        <v>2</v>
      </c>
      <c r="F152" s="12">
        <v>3</v>
      </c>
      <c r="G152" s="12">
        <v>4</v>
      </c>
      <c r="H152" s="12">
        <v>5</v>
      </c>
      <c r="I152" s="12">
        <v>6</v>
      </c>
      <c r="J152" s="12">
        <v>7</v>
      </c>
      <c r="K152" s="12">
        <v>8</v>
      </c>
      <c r="L152" s="12">
        <v>9</v>
      </c>
      <c r="M152" s="12">
        <v>10</v>
      </c>
      <c r="N152" s="12">
        <v>11</v>
      </c>
      <c r="O152" s="12">
        <v>12</v>
      </c>
      <c r="P152" s="12">
        <v>13</v>
      </c>
      <c r="Q152" s="12">
        <v>14</v>
      </c>
      <c r="R152" s="12">
        <v>15</v>
      </c>
      <c r="S152" s="12">
        <v>16</v>
      </c>
      <c r="T152" s="12">
        <v>17</v>
      </c>
      <c r="U152" s="12">
        <v>18</v>
      </c>
      <c r="V152" s="12">
        <v>19</v>
      </c>
      <c r="W152" s="12">
        <v>20</v>
      </c>
      <c r="X152" s="12">
        <v>21</v>
      </c>
      <c r="Y152" s="12">
        <v>22</v>
      </c>
      <c r="Z152" s="12">
        <v>23</v>
      </c>
      <c r="AA152" s="12">
        <v>24</v>
      </c>
      <c r="AB152" s="12">
        <v>25</v>
      </c>
      <c r="AC152" s="12">
        <v>26</v>
      </c>
      <c r="AD152" s="12">
        <v>27</v>
      </c>
      <c r="AE152" s="12">
        <v>28</v>
      </c>
      <c r="AF152" s="12">
        <v>29</v>
      </c>
      <c r="AG152" s="12">
        <v>30</v>
      </c>
      <c r="AH152" s="12"/>
      <c r="AI152" s="105"/>
    </row>
    <row r="153" spans="2:35" ht="44.45" customHeight="1" x14ac:dyDescent="0.25">
      <c r="B153" s="108" t="s">
        <v>68</v>
      </c>
      <c r="C153" s="109"/>
      <c r="D153" s="61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  <c r="AC153" s="62"/>
      <c r="AD153" s="62"/>
      <c r="AE153" s="62"/>
      <c r="AF153" s="62"/>
      <c r="AG153" s="62"/>
      <c r="AH153" s="62"/>
      <c r="AI153" s="105"/>
    </row>
    <row r="154" spans="2:35" ht="44.45" customHeight="1" x14ac:dyDescent="0.25">
      <c r="B154" s="110" t="s">
        <v>59</v>
      </c>
      <c r="C154" s="111"/>
      <c r="D154" s="64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  <c r="AA154" s="65"/>
      <c r="AB154" s="65"/>
      <c r="AC154" s="65"/>
      <c r="AD154" s="65"/>
      <c r="AE154" s="65"/>
      <c r="AF154" s="65"/>
      <c r="AG154" s="65"/>
      <c r="AH154" s="65"/>
      <c r="AI154" s="105"/>
    </row>
    <row r="155" spans="2:35" ht="44.45" customHeight="1" x14ac:dyDescent="0.25">
      <c r="B155" s="110" t="s">
        <v>60</v>
      </c>
      <c r="C155" s="111"/>
      <c r="D155" s="63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105"/>
    </row>
    <row r="156" spans="2:35" ht="44.45" customHeight="1" x14ac:dyDescent="0.25">
      <c r="B156" s="110" t="s">
        <v>61</v>
      </c>
      <c r="C156" s="111"/>
      <c r="D156" s="64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  <c r="AA156" s="65"/>
      <c r="AB156" s="65"/>
      <c r="AC156" s="65"/>
      <c r="AD156" s="65"/>
      <c r="AE156" s="65"/>
      <c r="AF156" s="65"/>
      <c r="AG156" s="65"/>
      <c r="AH156" s="65"/>
      <c r="AI156" s="105"/>
    </row>
    <row r="157" spans="2:35" ht="44.45" customHeight="1" x14ac:dyDescent="0.25">
      <c r="B157" s="110" t="s">
        <v>62</v>
      </c>
      <c r="C157" s="111"/>
      <c r="D157" s="63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105"/>
    </row>
    <row r="158" spans="2:35" ht="44.45" customHeight="1" x14ac:dyDescent="0.25">
      <c r="B158" s="110" t="s">
        <v>63</v>
      </c>
      <c r="C158" s="111"/>
      <c r="D158" s="64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  <c r="AA158" s="65"/>
      <c r="AB158" s="65"/>
      <c r="AC158" s="65"/>
      <c r="AD158" s="65"/>
      <c r="AE158" s="65"/>
      <c r="AF158" s="65"/>
      <c r="AG158" s="65"/>
      <c r="AH158" s="65"/>
      <c r="AI158" s="105"/>
    </row>
    <row r="159" spans="2:35" ht="44.45" customHeight="1" x14ac:dyDescent="0.25">
      <c r="B159" s="110" t="s">
        <v>64</v>
      </c>
      <c r="C159" s="111"/>
      <c r="D159" s="63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105"/>
    </row>
    <row r="160" spans="2:35" ht="44.45" customHeight="1" thickBot="1" x14ac:dyDescent="0.3">
      <c r="B160" s="99" t="s">
        <v>65</v>
      </c>
      <c r="C160" s="100"/>
      <c r="D160" s="66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  <c r="AA160" s="67"/>
      <c r="AB160" s="67"/>
      <c r="AC160" s="67"/>
      <c r="AD160" s="67"/>
      <c r="AE160" s="67"/>
      <c r="AF160" s="67"/>
      <c r="AG160" s="67"/>
      <c r="AH160" s="67"/>
      <c r="AI160" s="105"/>
    </row>
    <row r="161" spans="2:35" ht="16.149999999999999" customHeight="1" thickBot="1" x14ac:dyDescent="0.3">
      <c r="B161" s="101" t="s">
        <v>53</v>
      </c>
      <c r="C161" s="102"/>
      <c r="D161" s="70">
        <f t="shared" ref="D161:AH161" si="10">COUNTA(D153:D160)</f>
        <v>0</v>
      </c>
      <c r="E161" s="68">
        <f t="shared" si="10"/>
        <v>0</v>
      </c>
      <c r="F161" s="68">
        <f t="shared" si="10"/>
        <v>0</v>
      </c>
      <c r="G161" s="68">
        <f t="shared" si="10"/>
        <v>0</v>
      </c>
      <c r="H161" s="68">
        <f t="shared" si="10"/>
        <v>0</v>
      </c>
      <c r="I161" s="68">
        <f t="shared" si="10"/>
        <v>0</v>
      </c>
      <c r="J161" s="68">
        <f t="shared" si="10"/>
        <v>0</v>
      </c>
      <c r="K161" s="68">
        <f t="shared" si="10"/>
        <v>0</v>
      </c>
      <c r="L161" s="68">
        <f t="shared" si="10"/>
        <v>0</v>
      </c>
      <c r="M161" s="68">
        <f t="shared" si="10"/>
        <v>0</v>
      </c>
      <c r="N161" s="68">
        <f t="shared" si="10"/>
        <v>0</v>
      </c>
      <c r="O161" s="68">
        <f t="shared" si="10"/>
        <v>0</v>
      </c>
      <c r="P161" s="68">
        <f t="shared" si="10"/>
        <v>0</v>
      </c>
      <c r="Q161" s="68">
        <f t="shared" si="10"/>
        <v>0</v>
      </c>
      <c r="R161" s="68">
        <f t="shared" si="10"/>
        <v>0</v>
      </c>
      <c r="S161" s="68">
        <f t="shared" si="10"/>
        <v>0</v>
      </c>
      <c r="T161" s="68">
        <f t="shared" si="10"/>
        <v>0</v>
      </c>
      <c r="U161" s="68">
        <f t="shared" si="10"/>
        <v>0</v>
      </c>
      <c r="V161" s="68">
        <f t="shared" si="10"/>
        <v>0</v>
      </c>
      <c r="W161" s="68">
        <f t="shared" si="10"/>
        <v>0</v>
      </c>
      <c r="X161" s="68">
        <f t="shared" si="10"/>
        <v>0</v>
      </c>
      <c r="Y161" s="68">
        <f t="shared" si="10"/>
        <v>0</v>
      </c>
      <c r="Z161" s="68">
        <f t="shared" si="10"/>
        <v>0</v>
      </c>
      <c r="AA161" s="68">
        <f t="shared" si="10"/>
        <v>0</v>
      </c>
      <c r="AB161" s="68">
        <f t="shared" si="10"/>
        <v>0</v>
      </c>
      <c r="AC161" s="68">
        <f t="shared" si="10"/>
        <v>0</v>
      </c>
      <c r="AD161" s="68">
        <f t="shared" si="10"/>
        <v>0</v>
      </c>
      <c r="AE161" s="68">
        <f t="shared" si="10"/>
        <v>0</v>
      </c>
      <c r="AF161" s="68">
        <f t="shared" si="10"/>
        <v>0</v>
      </c>
      <c r="AG161" s="68">
        <f t="shared" si="10"/>
        <v>0</v>
      </c>
      <c r="AH161" s="69">
        <f t="shared" si="10"/>
        <v>0</v>
      </c>
      <c r="AI161" s="106"/>
    </row>
    <row r="163" spans="2:35" ht="15.75" thickBot="1" x14ac:dyDescent="0.3"/>
    <row r="164" spans="2:35" ht="23.25" x14ac:dyDescent="0.35">
      <c r="B164" s="84" t="s">
        <v>52</v>
      </c>
      <c r="C164" s="85"/>
      <c r="D164" s="77" t="s">
        <v>18</v>
      </c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8"/>
      <c r="S164" s="78"/>
      <c r="T164" s="78"/>
      <c r="U164" s="78"/>
      <c r="V164" s="78"/>
      <c r="W164" s="78"/>
      <c r="X164" s="78"/>
      <c r="Y164" s="78"/>
      <c r="Z164" s="78"/>
      <c r="AA164" s="78"/>
      <c r="AB164" s="78"/>
      <c r="AC164" s="78"/>
      <c r="AD164" s="78"/>
      <c r="AE164" s="78"/>
      <c r="AF164" s="78"/>
      <c r="AG164" s="78"/>
      <c r="AH164" s="79"/>
      <c r="AI164" s="104">
        <f>$AI$10</f>
        <v>2018</v>
      </c>
    </row>
    <row r="165" spans="2:35" ht="14.45" customHeight="1" x14ac:dyDescent="0.25">
      <c r="B165" s="86"/>
      <c r="C165" s="87"/>
      <c r="D165" s="14" t="s">
        <v>72</v>
      </c>
      <c r="E165" s="14" t="s">
        <v>73</v>
      </c>
      <c r="F165" s="14" t="s">
        <v>69</v>
      </c>
      <c r="G165" s="14" t="s">
        <v>74</v>
      </c>
      <c r="H165" s="14" t="s">
        <v>75</v>
      </c>
      <c r="I165" s="14" t="s">
        <v>70</v>
      </c>
      <c r="J165" s="14" t="s">
        <v>71</v>
      </c>
      <c r="K165" s="14" t="s">
        <v>72</v>
      </c>
      <c r="L165" s="14" t="s">
        <v>73</v>
      </c>
      <c r="M165" s="14" t="s">
        <v>69</v>
      </c>
      <c r="N165" s="14" t="s">
        <v>74</v>
      </c>
      <c r="O165" s="14" t="s">
        <v>75</v>
      </c>
      <c r="P165" s="14" t="s">
        <v>70</v>
      </c>
      <c r="Q165" s="14" t="s">
        <v>71</v>
      </c>
      <c r="R165" s="14" t="s">
        <v>72</v>
      </c>
      <c r="S165" s="14" t="s">
        <v>73</v>
      </c>
      <c r="T165" s="14" t="s">
        <v>69</v>
      </c>
      <c r="U165" s="14" t="s">
        <v>74</v>
      </c>
      <c r="V165" s="14" t="s">
        <v>75</v>
      </c>
      <c r="W165" s="14" t="s">
        <v>70</v>
      </c>
      <c r="X165" s="14" t="s">
        <v>71</v>
      </c>
      <c r="Y165" s="14" t="s">
        <v>72</v>
      </c>
      <c r="Z165" s="14" t="s">
        <v>73</v>
      </c>
      <c r="AA165" s="14" t="s">
        <v>69</v>
      </c>
      <c r="AB165" s="14" t="s">
        <v>74</v>
      </c>
      <c r="AC165" s="14" t="s">
        <v>75</v>
      </c>
      <c r="AD165" s="14" t="s">
        <v>70</v>
      </c>
      <c r="AE165" s="14" t="s">
        <v>71</v>
      </c>
      <c r="AF165" s="14" t="s">
        <v>72</v>
      </c>
      <c r="AG165" s="14" t="s">
        <v>73</v>
      </c>
      <c r="AH165" s="14" t="s">
        <v>69</v>
      </c>
      <c r="AI165" s="105"/>
    </row>
    <row r="166" spans="2:35" ht="15" customHeight="1" thickBot="1" x14ac:dyDescent="0.3">
      <c r="B166" s="88"/>
      <c r="C166" s="89"/>
      <c r="D166" s="12">
        <v>1</v>
      </c>
      <c r="E166" s="12">
        <v>2</v>
      </c>
      <c r="F166" s="12">
        <v>3</v>
      </c>
      <c r="G166" s="12">
        <v>4</v>
      </c>
      <c r="H166" s="12">
        <v>5</v>
      </c>
      <c r="I166" s="12">
        <v>6</v>
      </c>
      <c r="J166" s="12">
        <v>7</v>
      </c>
      <c r="K166" s="12">
        <v>8</v>
      </c>
      <c r="L166" s="12">
        <v>9</v>
      </c>
      <c r="M166" s="12">
        <v>10</v>
      </c>
      <c r="N166" s="12">
        <v>11</v>
      </c>
      <c r="O166" s="12">
        <v>12</v>
      </c>
      <c r="P166" s="12">
        <v>13</v>
      </c>
      <c r="Q166" s="12">
        <v>14</v>
      </c>
      <c r="R166" s="12">
        <v>15</v>
      </c>
      <c r="S166" s="12">
        <v>16</v>
      </c>
      <c r="T166" s="12">
        <v>17</v>
      </c>
      <c r="U166" s="12">
        <v>18</v>
      </c>
      <c r="V166" s="12">
        <v>19</v>
      </c>
      <c r="W166" s="12">
        <v>20</v>
      </c>
      <c r="X166" s="12">
        <v>21</v>
      </c>
      <c r="Y166" s="12">
        <v>22</v>
      </c>
      <c r="Z166" s="12">
        <v>23</v>
      </c>
      <c r="AA166" s="12">
        <v>24</v>
      </c>
      <c r="AB166" s="12">
        <v>25</v>
      </c>
      <c r="AC166" s="12">
        <v>26</v>
      </c>
      <c r="AD166" s="12">
        <v>27</v>
      </c>
      <c r="AE166" s="12">
        <v>28</v>
      </c>
      <c r="AF166" s="12">
        <v>29</v>
      </c>
      <c r="AG166" s="12">
        <v>30</v>
      </c>
      <c r="AH166" s="12">
        <v>31</v>
      </c>
      <c r="AI166" s="105"/>
    </row>
    <row r="167" spans="2:35" ht="44.45" customHeight="1" x14ac:dyDescent="0.25">
      <c r="B167" s="108" t="s">
        <v>68</v>
      </c>
      <c r="C167" s="109"/>
      <c r="D167" s="61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  <c r="AA167" s="62"/>
      <c r="AB167" s="62"/>
      <c r="AC167" s="62"/>
      <c r="AD167" s="62"/>
      <c r="AE167" s="62"/>
      <c r="AF167" s="62"/>
      <c r="AG167" s="62"/>
      <c r="AH167" s="62"/>
      <c r="AI167" s="105"/>
    </row>
    <row r="168" spans="2:35" ht="44.45" customHeight="1" x14ac:dyDescent="0.25">
      <c r="B168" s="110" t="s">
        <v>59</v>
      </c>
      <c r="C168" s="111"/>
      <c r="D168" s="64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105"/>
    </row>
    <row r="169" spans="2:35" ht="44.45" customHeight="1" x14ac:dyDescent="0.25">
      <c r="B169" s="110" t="s">
        <v>60</v>
      </c>
      <c r="C169" s="111"/>
      <c r="D169" s="63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105"/>
    </row>
    <row r="170" spans="2:35" ht="44.45" customHeight="1" x14ac:dyDescent="0.25">
      <c r="B170" s="110" t="s">
        <v>61</v>
      </c>
      <c r="C170" s="111"/>
      <c r="D170" s="64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65"/>
      <c r="AH170" s="65"/>
      <c r="AI170" s="105"/>
    </row>
    <row r="171" spans="2:35" ht="44.45" customHeight="1" x14ac:dyDescent="0.25">
      <c r="B171" s="110" t="s">
        <v>62</v>
      </c>
      <c r="C171" s="111"/>
      <c r="D171" s="63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105"/>
    </row>
    <row r="172" spans="2:35" ht="44.45" customHeight="1" x14ac:dyDescent="0.25">
      <c r="B172" s="110" t="s">
        <v>63</v>
      </c>
      <c r="C172" s="111"/>
      <c r="D172" s="64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105"/>
    </row>
    <row r="173" spans="2:35" ht="44.45" customHeight="1" x14ac:dyDescent="0.25">
      <c r="B173" s="110" t="s">
        <v>64</v>
      </c>
      <c r="C173" s="111"/>
      <c r="D173" s="63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105"/>
    </row>
    <row r="174" spans="2:35" ht="44.45" customHeight="1" thickBot="1" x14ac:dyDescent="0.3">
      <c r="B174" s="99" t="s">
        <v>65</v>
      </c>
      <c r="C174" s="100"/>
      <c r="D174" s="66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  <c r="AA174" s="67"/>
      <c r="AB174" s="67"/>
      <c r="AC174" s="67"/>
      <c r="AD174" s="67"/>
      <c r="AE174" s="67"/>
      <c r="AF174" s="67"/>
      <c r="AG174" s="67"/>
      <c r="AH174" s="67"/>
      <c r="AI174" s="105"/>
    </row>
    <row r="175" spans="2:35" ht="16.149999999999999" customHeight="1" thickBot="1" x14ac:dyDescent="0.3">
      <c r="B175" s="101" t="s">
        <v>53</v>
      </c>
      <c r="C175" s="102"/>
      <c r="D175" s="70">
        <f t="shared" ref="D175:AH175" si="11">COUNTA(D167:D174)</f>
        <v>0</v>
      </c>
      <c r="E175" s="68">
        <f t="shared" si="11"/>
        <v>0</v>
      </c>
      <c r="F175" s="68">
        <f t="shared" si="11"/>
        <v>0</v>
      </c>
      <c r="G175" s="68">
        <f t="shared" si="11"/>
        <v>0</v>
      </c>
      <c r="H175" s="68">
        <f t="shared" si="11"/>
        <v>0</v>
      </c>
      <c r="I175" s="68">
        <f t="shared" si="11"/>
        <v>0</v>
      </c>
      <c r="J175" s="68">
        <f t="shared" si="11"/>
        <v>0</v>
      </c>
      <c r="K175" s="68">
        <f t="shared" si="11"/>
        <v>0</v>
      </c>
      <c r="L175" s="68">
        <f t="shared" si="11"/>
        <v>0</v>
      </c>
      <c r="M175" s="68">
        <f t="shared" si="11"/>
        <v>0</v>
      </c>
      <c r="N175" s="68">
        <f t="shared" si="11"/>
        <v>0</v>
      </c>
      <c r="O175" s="68">
        <f t="shared" si="11"/>
        <v>0</v>
      </c>
      <c r="P175" s="68">
        <f t="shared" si="11"/>
        <v>0</v>
      </c>
      <c r="Q175" s="68">
        <f t="shared" si="11"/>
        <v>0</v>
      </c>
      <c r="R175" s="68">
        <f t="shared" si="11"/>
        <v>0</v>
      </c>
      <c r="S175" s="68">
        <f t="shared" si="11"/>
        <v>0</v>
      </c>
      <c r="T175" s="68">
        <f t="shared" si="11"/>
        <v>0</v>
      </c>
      <c r="U175" s="68">
        <f t="shared" si="11"/>
        <v>0</v>
      </c>
      <c r="V175" s="68">
        <f t="shared" si="11"/>
        <v>0</v>
      </c>
      <c r="W175" s="68">
        <f t="shared" si="11"/>
        <v>0</v>
      </c>
      <c r="X175" s="68">
        <f t="shared" si="11"/>
        <v>0</v>
      </c>
      <c r="Y175" s="68">
        <f t="shared" si="11"/>
        <v>0</v>
      </c>
      <c r="Z175" s="68">
        <f t="shared" si="11"/>
        <v>0</v>
      </c>
      <c r="AA175" s="68">
        <f t="shared" si="11"/>
        <v>0</v>
      </c>
      <c r="AB175" s="68">
        <f t="shared" si="11"/>
        <v>0</v>
      </c>
      <c r="AC175" s="68">
        <f t="shared" si="11"/>
        <v>0</v>
      </c>
      <c r="AD175" s="68">
        <f t="shared" si="11"/>
        <v>0</v>
      </c>
      <c r="AE175" s="68">
        <f t="shared" si="11"/>
        <v>0</v>
      </c>
      <c r="AF175" s="68">
        <f t="shared" si="11"/>
        <v>0</v>
      </c>
      <c r="AG175" s="68">
        <f t="shared" si="11"/>
        <v>0</v>
      </c>
      <c r="AH175" s="69">
        <f t="shared" si="11"/>
        <v>0</v>
      </c>
      <c r="AI175" s="106"/>
    </row>
  </sheetData>
  <mergeCells count="156">
    <mergeCell ref="B164:C166"/>
    <mergeCell ref="D164:AH164"/>
    <mergeCell ref="B146:C146"/>
    <mergeCell ref="B147:C147"/>
    <mergeCell ref="B150:C152"/>
    <mergeCell ref="D150:AH150"/>
    <mergeCell ref="AI164:AI175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AI150:AI161"/>
    <mergeCell ref="B153:C153"/>
    <mergeCell ref="B154:C154"/>
    <mergeCell ref="B155:C155"/>
    <mergeCell ref="B156:C156"/>
    <mergeCell ref="B157:C157"/>
    <mergeCell ref="B158:C158"/>
    <mergeCell ref="B159:C159"/>
    <mergeCell ref="B161:C161"/>
    <mergeCell ref="B122:C124"/>
    <mergeCell ref="D122:AH122"/>
    <mergeCell ref="B104:C104"/>
    <mergeCell ref="B105:C105"/>
    <mergeCell ref="B108:C110"/>
    <mergeCell ref="D108:AH108"/>
    <mergeCell ref="AI122:AI133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AI108:AI119"/>
    <mergeCell ref="B111:C111"/>
    <mergeCell ref="B112:C112"/>
    <mergeCell ref="B113:C113"/>
    <mergeCell ref="B114:C114"/>
    <mergeCell ref="B115:C115"/>
    <mergeCell ref="B136:C138"/>
    <mergeCell ref="AI94:AI105"/>
    <mergeCell ref="B97:C97"/>
    <mergeCell ref="B98:C98"/>
    <mergeCell ref="B99:C99"/>
    <mergeCell ref="B100:C100"/>
    <mergeCell ref="B101:C101"/>
    <mergeCell ref="B102:C102"/>
    <mergeCell ref="B103:C103"/>
    <mergeCell ref="B160:C160"/>
    <mergeCell ref="D136:AH136"/>
    <mergeCell ref="AI136:AI147"/>
    <mergeCell ref="B139:C139"/>
    <mergeCell ref="B140:C140"/>
    <mergeCell ref="B141:C141"/>
    <mergeCell ref="B142:C142"/>
    <mergeCell ref="B143:C143"/>
    <mergeCell ref="B144:C144"/>
    <mergeCell ref="B145:C145"/>
    <mergeCell ref="B116:C116"/>
    <mergeCell ref="B117:C117"/>
    <mergeCell ref="B118:C118"/>
    <mergeCell ref="B119:C119"/>
    <mergeCell ref="B62:C62"/>
    <mergeCell ref="B63:C63"/>
    <mergeCell ref="B66:C68"/>
    <mergeCell ref="D66:AH66"/>
    <mergeCell ref="B94:C96"/>
    <mergeCell ref="D94:AH94"/>
    <mergeCell ref="B74:C74"/>
    <mergeCell ref="B75:C75"/>
    <mergeCell ref="B76:C76"/>
    <mergeCell ref="B77:C77"/>
    <mergeCell ref="AI80:AI91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80:C82"/>
    <mergeCell ref="D80:AH80"/>
    <mergeCell ref="AI24:AI35"/>
    <mergeCell ref="B27:C27"/>
    <mergeCell ref="B28:C28"/>
    <mergeCell ref="B29:C29"/>
    <mergeCell ref="B30:C30"/>
    <mergeCell ref="B31:C31"/>
    <mergeCell ref="B32:C32"/>
    <mergeCell ref="B33:C33"/>
    <mergeCell ref="AI66:AI77"/>
    <mergeCell ref="B69:C69"/>
    <mergeCell ref="B70:C70"/>
    <mergeCell ref="B71:C71"/>
    <mergeCell ref="B72:C72"/>
    <mergeCell ref="B73:C73"/>
    <mergeCell ref="B52:C54"/>
    <mergeCell ref="D52:AH52"/>
    <mergeCell ref="AI52:AI63"/>
    <mergeCell ref="B55:C55"/>
    <mergeCell ref="B56:C56"/>
    <mergeCell ref="B57:C57"/>
    <mergeCell ref="B58:C58"/>
    <mergeCell ref="B59:C59"/>
    <mergeCell ref="B60:C60"/>
    <mergeCell ref="B61:C61"/>
    <mergeCell ref="AI10:AI21"/>
    <mergeCell ref="B13:C13"/>
    <mergeCell ref="B14:C14"/>
    <mergeCell ref="B15:C15"/>
    <mergeCell ref="B16:C16"/>
    <mergeCell ref="B17:C17"/>
    <mergeCell ref="B18:C18"/>
    <mergeCell ref="B19:C19"/>
    <mergeCell ref="B38:C40"/>
    <mergeCell ref="D38:AH38"/>
    <mergeCell ref="B20:C20"/>
    <mergeCell ref="B21:C21"/>
    <mergeCell ref="B24:C26"/>
    <mergeCell ref="D24:AH24"/>
    <mergeCell ref="AI38:AI49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34:C34"/>
    <mergeCell ref="B35:C35"/>
    <mergeCell ref="E5:I5"/>
    <mergeCell ref="J5:N5"/>
    <mergeCell ref="O5:S5"/>
    <mergeCell ref="T5:X5"/>
    <mergeCell ref="Y5:AC5"/>
    <mergeCell ref="AD5:AH5"/>
    <mergeCell ref="D4:H4"/>
    <mergeCell ref="I4:M4"/>
    <mergeCell ref="N4:R4"/>
    <mergeCell ref="S4:W4"/>
    <mergeCell ref="X4:AB4"/>
    <mergeCell ref="AC4:AG4"/>
    <mergeCell ref="B10:C12"/>
    <mergeCell ref="D10:AH10"/>
  </mergeCells>
  <conditionalFormatting sqref="D21:AH22">
    <cfRule type="dataBar" priority="25">
      <dataBar>
        <cfvo type="num" val="0"/>
        <cfvo type="num" val="31"/>
        <color rgb="FFFF5757"/>
      </dataBar>
      <extLst>
        <ext xmlns:x14="http://schemas.microsoft.com/office/spreadsheetml/2009/9/main" uri="{B025F937-C7B1-47D3-B67F-A62EFF666E3E}">
          <x14:id>{9938901F-9367-473F-A9E1-EC767CF33873}</x14:id>
        </ext>
      </extLst>
    </cfRule>
  </conditionalFormatting>
  <conditionalFormatting sqref="D13:AH20">
    <cfRule type="expression" dxfId="11" priority="26">
      <formula>NOT(ISBLANK(D13))</formula>
    </cfRule>
  </conditionalFormatting>
  <conditionalFormatting sqref="D27:AH34">
    <cfRule type="expression" dxfId="10" priority="22">
      <formula>NOT(ISBLANK(D27))</formula>
    </cfRule>
  </conditionalFormatting>
  <conditionalFormatting sqref="D35:AH35">
    <cfRule type="dataBar" priority="21">
      <dataBar>
        <cfvo type="num" val="0"/>
        <cfvo type="num" val="31"/>
        <color rgb="FFFF5757"/>
      </dataBar>
      <extLst>
        <ext xmlns:x14="http://schemas.microsoft.com/office/spreadsheetml/2009/9/main" uri="{B025F937-C7B1-47D3-B67F-A62EFF666E3E}">
          <x14:id>{8FC024C0-2384-492F-9FCE-F8348E3AD194}</x14:id>
        </ext>
      </extLst>
    </cfRule>
  </conditionalFormatting>
  <conditionalFormatting sqref="D41:AH48">
    <cfRule type="expression" dxfId="9" priority="20">
      <formula>NOT(ISBLANK(D41))</formula>
    </cfRule>
  </conditionalFormatting>
  <conditionalFormatting sqref="D49:AH49">
    <cfRule type="dataBar" priority="19">
      <dataBar>
        <cfvo type="num" val="0"/>
        <cfvo type="num" val="31"/>
        <color rgb="FFFF5757"/>
      </dataBar>
      <extLst>
        <ext xmlns:x14="http://schemas.microsoft.com/office/spreadsheetml/2009/9/main" uri="{B025F937-C7B1-47D3-B67F-A62EFF666E3E}">
          <x14:id>{3C32DE5D-2A49-4AA3-B6EF-A8DEB7A5BEFF}</x14:id>
        </ext>
      </extLst>
    </cfRule>
  </conditionalFormatting>
  <conditionalFormatting sqref="D55:AH62">
    <cfRule type="expression" dxfId="8" priority="18">
      <formula>NOT(ISBLANK(D55))</formula>
    </cfRule>
  </conditionalFormatting>
  <conditionalFormatting sqref="D63:AH63">
    <cfRule type="dataBar" priority="17">
      <dataBar>
        <cfvo type="num" val="0"/>
        <cfvo type="num" val="31"/>
        <color rgb="FFFF5757"/>
      </dataBar>
      <extLst>
        <ext xmlns:x14="http://schemas.microsoft.com/office/spreadsheetml/2009/9/main" uri="{B025F937-C7B1-47D3-B67F-A62EFF666E3E}">
          <x14:id>{07CE9223-72A2-45C1-8C84-CAC2E534956F}</x14:id>
        </ext>
      </extLst>
    </cfRule>
  </conditionalFormatting>
  <conditionalFormatting sqref="D69:AH76">
    <cfRule type="expression" dxfId="7" priority="16">
      <formula>NOT(ISBLANK(D69))</formula>
    </cfRule>
  </conditionalFormatting>
  <conditionalFormatting sqref="D77:AH77">
    <cfRule type="dataBar" priority="15">
      <dataBar>
        <cfvo type="num" val="0"/>
        <cfvo type="num" val="31"/>
        <color rgb="FFFF5757"/>
      </dataBar>
      <extLst>
        <ext xmlns:x14="http://schemas.microsoft.com/office/spreadsheetml/2009/9/main" uri="{B025F937-C7B1-47D3-B67F-A62EFF666E3E}">
          <x14:id>{7BC26F89-A627-4C48-842C-EB3C7DD65AFD}</x14:id>
        </ext>
      </extLst>
    </cfRule>
  </conditionalFormatting>
  <conditionalFormatting sqref="D83:AH90">
    <cfRule type="expression" dxfId="6" priority="14">
      <formula>NOT(ISBLANK(D83))</formula>
    </cfRule>
  </conditionalFormatting>
  <conditionalFormatting sqref="D91:AH91">
    <cfRule type="dataBar" priority="13">
      <dataBar>
        <cfvo type="num" val="0"/>
        <cfvo type="num" val="31"/>
        <color rgb="FFFF5757"/>
      </dataBar>
      <extLst>
        <ext xmlns:x14="http://schemas.microsoft.com/office/spreadsheetml/2009/9/main" uri="{B025F937-C7B1-47D3-B67F-A62EFF666E3E}">
          <x14:id>{4AF26FF0-869D-4C99-8664-6DB93AAE5C8D}</x14:id>
        </ext>
      </extLst>
    </cfRule>
  </conditionalFormatting>
  <conditionalFormatting sqref="D97:AH104">
    <cfRule type="expression" dxfId="5" priority="12">
      <formula>NOT(ISBLANK(D97))</formula>
    </cfRule>
  </conditionalFormatting>
  <conditionalFormatting sqref="D105:AH105">
    <cfRule type="dataBar" priority="11">
      <dataBar>
        <cfvo type="num" val="0"/>
        <cfvo type="num" val="31"/>
        <color rgb="FFFF5757"/>
      </dataBar>
      <extLst>
        <ext xmlns:x14="http://schemas.microsoft.com/office/spreadsheetml/2009/9/main" uri="{B025F937-C7B1-47D3-B67F-A62EFF666E3E}">
          <x14:id>{9B46560E-6A51-485E-B0F0-D39704B398B0}</x14:id>
        </ext>
      </extLst>
    </cfRule>
  </conditionalFormatting>
  <conditionalFormatting sqref="D111:AH118">
    <cfRule type="expression" dxfId="4" priority="10">
      <formula>NOT(ISBLANK(D111))</formula>
    </cfRule>
  </conditionalFormatting>
  <conditionalFormatting sqref="D119:AH119">
    <cfRule type="dataBar" priority="9">
      <dataBar>
        <cfvo type="num" val="0"/>
        <cfvo type="num" val="31"/>
        <color rgb="FFFF5757"/>
      </dataBar>
      <extLst>
        <ext xmlns:x14="http://schemas.microsoft.com/office/spreadsheetml/2009/9/main" uri="{B025F937-C7B1-47D3-B67F-A62EFF666E3E}">
          <x14:id>{4B02C8E9-B67A-4B47-8AF3-73C67E682D0F}</x14:id>
        </ext>
      </extLst>
    </cfRule>
  </conditionalFormatting>
  <conditionalFormatting sqref="D125:AH132">
    <cfRule type="expression" dxfId="3" priority="8">
      <formula>NOT(ISBLANK(D125))</formula>
    </cfRule>
  </conditionalFormatting>
  <conditionalFormatting sqref="D133:AH133">
    <cfRule type="dataBar" priority="7">
      <dataBar>
        <cfvo type="num" val="0"/>
        <cfvo type="num" val="31"/>
        <color rgb="FFFF5757"/>
      </dataBar>
      <extLst>
        <ext xmlns:x14="http://schemas.microsoft.com/office/spreadsheetml/2009/9/main" uri="{B025F937-C7B1-47D3-B67F-A62EFF666E3E}">
          <x14:id>{170F96D7-45FF-4A04-9F23-F929EFE95BA1}</x14:id>
        </ext>
      </extLst>
    </cfRule>
  </conditionalFormatting>
  <conditionalFormatting sqref="D139:AH146">
    <cfRule type="expression" dxfId="2" priority="6">
      <formula>NOT(ISBLANK(D139))</formula>
    </cfRule>
  </conditionalFormatting>
  <conditionalFormatting sqref="D147:AH147">
    <cfRule type="dataBar" priority="5">
      <dataBar>
        <cfvo type="num" val="0"/>
        <cfvo type="num" val="31"/>
        <color rgb="FFFF5757"/>
      </dataBar>
      <extLst>
        <ext xmlns:x14="http://schemas.microsoft.com/office/spreadsheetml/2009/9/main" uri="{B025F937-C7B1-47D3-B67F-A62EFF666E3E}">
          <x14:id>{3AC78EFE-C06C-46F3-AFA0-1048370F8758}</x14:id>
        </ext>
      </extLst>
    </cfRule>
  </conditionalFormatting>
  <conditionalFormatting sqref="D153:AH160">
    <cfRule type="expression" dxfId="1" priority="4">
      <formula>NOT(ISBLANK(D153))</formula>
    </cfRule>
  </conditionalFormatting>
  <conditionalFormatting sqref="D161:AH161">
    <cfRule type="dataBar" priority="3">
      <dataBar>
        <cfvo type="num" val="0"/>
        <cfvo type="num" val="31"/>
        <color rgb="FFFF5757"/>
      </dataBar>
      <extLst>
        <ext xmlns:x14="http://schemas.microsoft.com/office/spreadsheetml/2009/9/main" uri="{B025F937-C7B1-47D3-B67F-A62EFF666E3E}">
          <x14:id>{CC8ADF5C-6707-432E-801C-B3142DDBE09A}</x14:id>
        </ext>
      </extLst>
    </cfRule>
  </conditionalFormatting>
  <conditionalFormatting sqref="D167:AH174">
    <cfRule type="expression" dxfId="0" priority="2">
      <formula>NOT(ISBLANK(D167))</formula>
    </cfRule>
  </conditionalFormatting>
  <conditionalFormatting sqref="D175:AH175">
    <cfRule type="dataBar" priority="1">
      <dataBar>
        <cfvo type="num" val="0"/>
        <cfvo type="num" val="31"/>
        <color rgb="FFFF5757"/>
      </dataBar>
      <extLst>
        <ext xmlns:x14="http://schemas.microsoft.com/office/spreadsheetml/2009/9/main" uri="{B025F937-C7B1-47D3-B67F-A62EFF666E3E}">
          <x14:id>{A8F947C3-27CB-451A-BD60-362A6172DC17}</x14:id>
        </ext>
      </extLst>
    </cfRule>
  </conditionalFormatting>
  <dataValidations count="5">
    <dataValidation allowBlank="1" showInputMessage="1" showErrorMessage="1" prompt="Les cellules des lignes 6, 8, 10, 12, 14, 16 des colonnes B à H contiennent les jours." sqref="B45:B50 C7:H14 B26:B31 B36:B41 B6:B14 B16:H23"/>
    <dataValidation type="list" allowBlank="1" showInputMessage="1" showErrorMessage="1" error="Sélectionnez Réessayer et tapez le nom complet du mois ou appuyez sur Alt+Bas, puis sur Entrée pour faire votre choix dans la liste. Cliquez sur Annuler pour quitter la cellule." prompt="Sélectionnez un mois dans cette liste déroulante pour afficher les activités de ce mois. Appuyez sur Alt+Bas, Entrée pour sélectionner dans la liste ou tapez le nom complet d’un mois dans cette cellule." sqref="B3">
      <formula1>"Janvier,Février,Mars,Avril,Mai,Juin,Juillet,Août,Septembre,Octobre,Novembre,Décembre"</formula1>
    </dataValidation>
    <dataValidation allowBlank="1" showInputMessage="1" showErrorMessage="1" prompt="Entrez l’année de ce calendrier." sqref="C3"/>
    <dataValidation allowBlank="1" showInputMessage="1" showErrorMessage="1" prompt="Les activités sont automatiquement mises à jour à partir de la feuille de calcul Activités dans les lignes 7, 9, 11, 13, 15 et 17 des colonnes B à H." sqref="B51 B42 B32"/>
    <dataValidation allowBlank="1" showInputMessage="1" showErrorMessage="1" prompt="Jours du mois dans cette ligne, de la colonne B à la colonne H, le lundi étant le premier jour." sqref="B5"/>
  </dataValidations>
  <hyperlinks>
    <hyperlink ref="D4:H4" location="Feuil1!B10" display="JANVIER"/>
    <hyperlink ref="I4:M4" location="Feuil1!B24" display="FEVRIER"/>
    <hyperlink ref="N4:R4" location="Feuil1!B38" display="MARS"/>
    <hyperlink ref="S4:W4" location="Feuil1!B52" display="AVRIL"/>
    <hyperlink ref="X4:AB4" location="Feuil1!B66" display="MAI"/>
    <hyperlink ref="AC4:AG4" location="Feuil1!B80" display="JUIN"/>
    <hyperlink ref="E5:I5" location="Feuil1!B94" display="JUILLET"/>
    <hyperlink ref="J5:N5" location="Feuil1!B108" display="AOUT"/>
    <hyperlink ref="O5:S5" location="Feuil1!B122" display="SEPTEMBRE"/>
    <hyperlink ref="T5:X5" location="Feuil1!B136" display="OCTOBRE"/>
    <hyperlink ref="Y5:AC5" location="Feuil1!B150" display="NOVEMBRE"/>
    <hyperlink ref="AD5:AH5" location="Feuil1!B164" display="DECEMBRE"/>
  </hyperlink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38901F-9367-473F-A9E1-EC767CF33873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D21:AH22</xm:sqref>
        </x14:conditionalFormatting>
        <x14:conditionalFormatting xmlns:xm="http://schemas.microsoft.com/office/excel/2006/main">
          <x14:cfRule type="dataBar" id="{8FC024C0-2384-492F-9FCE-F8348E3AD194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D35:AH35</xm:sqref>
        </x14:conditionalFormatting>
        <x14:conditionalFormatting xmlns:xm="http://schemas.microsoft.com/office/excel/2006/main">
          <x14:cfRule type="dataBar" id="{3C32DE5D-2A49-4AA3-B6EF-A8DEB7A5BEFF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D49:AH49</xm:sqref>
        </x14:conditionalFormatting>
        <x14:conditionalFormatting xmlns:xm="http://schemas.microsoft.com/office/excel/2006/main">
          <x14:cfRule type="dataBar" id="{07CE9223-72A2-45C1-8C84-CAC2E534956F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D63:AH63</xm:sqref>
        </x14:conditionalFormatting>
        <x14:conditionalFormatting xmlns:xm="http://schemas.microsoft.com/office/excel/2006/main">
          <x14:cfRule type="dataBar" id="{7BC26F89-A627-4C48-842C-EB3C7DD65AFD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D77:AH77</xm:sqref>
        </x14:conditionalFormatting>
        <x14:conditionalFormatting xmlns:xm="http://schemas.microsoft.com/office/excel/2006/main">
          <x14:cfRule type="dataBar" id="{4AF26FF0-869D-4C99-8664-6DB93AAE5C8D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D91:AH91</xm:sqref>
        </x14:conditionalFormatting>
        <x14:conditionalFormatting xmlns:xm="http://schemas.microsoft.com/office/excel/2006/main">
          <x14:cfRule type="dataBar" id="{9B46560E-6A51-485E-B0F0-D39704B398B0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D105:AH105</xm:sqref>
        </x14:conditionalFormatting>
        <x14:conditionalFormatting xmlns:xm="http://schemas.microsoft.com/office/excel/2006/main">
          <x14:cfRule type="dataBar" id="{4B02C8E9-B67A-4B47-8AF3-73C67E682D0F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D119:AH119</xm:sqref>
        </x14:conditionalFormatting>
        <x14:conditionalFormatting xmlns:xm="http://schemas.microsoft.com/office/excel/2006/main">
          <x14:cfRule type="dataBar" id="{170F96D7-45FF-4A04-9F23-F929EFE95BA1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D133:AH133</xm:sqref>
        </x14:conditionalFormatting>
        <x14:conditionalFormatting xmlns:xm="http://schemas.microsoft.com/office/excel/2006/main">
          <x14:cfRule type="dataBar" id="{3AC78EFE-C06C-46F3-AFA0-1048370F8758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D147:AH147</xm:sqref>
        </x14:conditionalFormatting>
        <x14:conditionalFormatting xmlns:xm="http://schemas.microsoft.com/office/excel/2006/main">
          <x14:cfRule type="dataBar" id="{CC8ADF5C-6707-432E-801C-B3142DDBE09A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D161:AH161</xm:sqref>
        </x14:conditionalFormatting>
        <x14:conditionalFormatting xmlns:xm="http://schemas.microsoft.com/office/excel/2006/main">
          <x14:cfRule type="dataBar" id="{A8F947C3-27CB-451A-BD60-362A6172DC17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D175:AH175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20"/>
  <sheetViews>
    <sheetView topLeftCell="A10" workbookViewId="0">
      <selection activeCell="E24" sqref="E24"/>
    </sheetView>
  </sheetViews>
  <sheetFormatPr baseColWidth="10" defaultRowHeight="15" x14ac:dyDescent="0.25"/>
  <cols>
    <col min="1" max="1" width="15.7109375" bestFit="1" customWidth="1"/>
  </cols>
  <sheetData>
    <row r="1" spans="1:3" x14ac:dyDescent="0.25">
      <c r="A1" t="s">
        <v>29</v>
      </c>
      <c r="B1" t="b">
        <v>0</v>
      </c>
    </row>
    <row r="2" spans="1:3" x14ac:dyDescent="0.25">
      <c r="A2" t="s">
        <v>36</v>
      </c>
      <c r="B2" t="b">
        <v>0</v>
      </c>
    </row>
    <row r="3" spans="1:3" x14ac:dyDescent="0.25">
      <c r="A3" t="s">
        <v>43</v>
      </c>
      <c r="B3" t="b">
        <v>0</v>
      </c>
    </row>
    <row r="5" spans="1:3" x14ac:dyDescent="0.25">
      <c r="A5" t="s">
        <v>54</v>
      </c>
      <c r="B5" t="b">
        <v>0</v>
      </c>
    </row>
    <row r="6" spans="1:3" x14ac:dyDescent="0.25">
      <c r="A6" t="s">
        <v>55</v>
      </c>
      <c r="B6" t="b">
        <v>0</v>
      </c>
    </row>
    <row r="11" spans="1:3" ht="15.75" thickBot="1" x14ac:dyDescent="0.3"/>
    <row r="12" spans="1:3" x14ac:dyDescent="0.25">
      <c r="A12" s="114" t="s">
        <v>58</v>
      </c>
      <c r="B12" s="114"/>
      <c r="C12" s="114"/>
    </row>
    <row r="19" spans="15:15" ht="14.45" customHeight="1" x14ac:dyDescent="0.25">
      <c r="O19" t="s">
        <v>56</v>
      </c>
    </row>
    <row r="20" spans="15:15" ht="14.45" customHeight="1" x14ac:dyDescent="0.25">
      <c r="O20" t="s">
        <v>57</v>
      </c>
    </row>
  </sheetData>
  <mergeCells count="1">
    <mergeCell ref="A12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Accueil</vt:lpstr>
      <vt:lpstr>Information personnelle</vt:lpstr>
      <vt:lpstr>Calendrier Hôtel</vt:lpstr>
      <vt:lpstr>Calendrier SPA</vt:lpstr>
      <vt:lpstr>Feuil2</vt:lpstr>
      <vt:lpstr>Calendrier Tennis</vt:lpstr>
      <vt:lpstr>Prix</vt:lpstr>
      <vt:lpstr>Fichier Clients</vt:lpstr>
      <vt:lpstr>Facture</vt:lpstr>
      <vt:lpstr>Donnée pour automatisation</vt:lpstr>
      <vt:lpstr>AnnéeCalendrier</vt:lpstr>
      <vt:lpstr>'Calendrier Hôtel'!NomMois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BIGONNET Amandine</dc:creator>
  <cp:lastModifiedBy>patrice phishert</cp:lastModifiedBy>
  <dcterms:created xsi:type="dcterms:W3CDTF">2018-04-23T06:31:05Z</dcterms:created>
  <dcterms:modified xsi:type="dcterms:W3CDTF">2018-05-30T18:48:29Z</dcterms:modified>
</cp:coreProperties>
</file>