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815" tabRatio="699"/>
  </bookViews>
  <sheets>
    <sheet name="Accueil" sheetId="1" r:id="rId1"/>
    <sheet name="ENTREES BDD" sheetId="2" state="hidden" r:id="rId2"/>
    <sheet name="C.A par semaine" sheetId="3" r:id="rId3"/>
    <sheet name="C.A par mois" sheetId="4" r:id="rId4"/>
    <sheet name="Suivi Départements" sheetId="8" r:id="rId5"/>
    <sheet name="DEPOT TP" sheetId="9" r:id="rId6"/>
    <sheet name="Dpt BDD" sheetId="7" r:id="rId7"/>
    <sheet name="BDD" sheetId="6" state="hidden" r:id="rId8"/>
  </sheets>
  <definedNames>
    <definedName name="liste_dates" localSheetId="4">'Suivi Départements'!$B$14:$B$44</definedName>
    <definedName name="liste_pays" localSheetId="4">'Suivi Départements'!$C$12:$DK$13</definedName>
    <definedName name="quantités_pays" localSheetId="4">'Suivi Départements'!$C$14:$DK$44</definedName>
    <definedName name="_xlnm.Print_Area" localSheetId="4">'Suivi Départements'!$A$11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H46" i="8" l="1"/>
  <c r="HG46" i="8"/>
  <c r="HF46" i="8"/>
  <c r="HE46" i="8"/>
  <c r="HD46" i="8"/>
  <c r="HC46" i="8"/>
  <c r="HB46" i="8"/>
  <c r="HA46" i="8"/>
  <c r="GZ46" i="8"/>
  <c r="GY46" i="8"/>
  <c r="GX46" i="8"/>
  <c r="GW46" i="8"/>
  <c r="GV46" i="8"/>
  <c r="GU46" i="8"/>
  <c r="GT46" i="8"/>
  <c r="GS46" i="8"/>
  <c r="GR46" i="8"/>
  <c r="GQ46" i="8"/>
  <c r="GP46" i="8"/>
  <c r="GO46" i="8"/>
  <c r="GN46" i="8"/>
  <c r="GM46" i="8"/>
  <c r="GL46" i="8"/>
  <c r="GK46" i="8"/>
  <c r="GJ46" i="8"/>
  <c r="GI46" i="8"/>
  <c r="GH46" i="8"/>
  <c r="GG46" i="8"/>
  <c r="GF46" i="8"/>
  <c r="GE46" i="8"/>
  <c r="GD46" i="8"/>
  <c r="GC46" i="8"/>
  <c r="GB46" i="8"/>
  <c r="GA46" i="8"/>
  <c r="FZ46" i="8"/>
  <c r="FY46" i="8"/>
  <c r="FX46" i="8"/>
  <c r="FW46" i="8"/>
  <c r="FV46" i="8"/>
  <c r="FU46" i="8"/>
  <c r="FT46" i="8"/>
  <c r="FS46" i="8"/>
  <c r="FR46" i="8"/>
  <c r="FQ46" i="8"/>
  <c r="FP46" i="8"/>
  <c r="FO46" i="8"/>
  <c r="FN46" i="8"/>
  <c r="FM46" i="8"/>
  <c r="FL46" i="8"/>
  <c r="FK46" i="8"/>
  <c r="FJ46" i="8"/>
  <c r="FI46" i="8"/>
  <c r="FH46" i="8"/>
  <c r="FG46" i="8"/>
  <c r="FF46" i="8"/>
  <c r="FE46" i="8"/>
  <c r="FD46" i="8"/>
  <c r="FC46" i="8"/>
  <c r="FB46" i="8"/>
  <c r="FA46" i="8"/>
  <c r="EZ46" i="8"/>
  <c r="EY46" i="8"/>
  <c r="EX46" i="8"/>
  <c r="EW46" i="8"/>
  <c r="EV46" i="8"/>
  <c r="EU46" i="8"/>
  <c r="ET46" i="8"/>
  <c r="ES46" i="8"/>
  <c r="ER46" i="8"/>
  <c r="EQ46" i="8"/>
  <c r="EP46" i="8"/>
  <c r="EO46" i="8"/>
  <c r="EN46" i="8"/>
  <c r="EM46" i="8"/>
  <c r="EL46" i="8"/>
  <c r="EK46" i="8"/>
  <c r="EJ46" i="8"/>
  <c r="EI46" i="8"/>
  <c r="EH46" i="8"/>
  <c r="EG46" i="8"/>
  <c r="EF46" i="8"/>
  <c r="EE46" i="8"/>
  <c r="ED46" i="8"/>
  <c r="EC46" i="8"/>
  <c r="EB46" i="8"/>
  <c r="EA46" i="8"/>
  <c r="DZ46" i="8"/>
  <c r="DY46" i="8"/>
  <c r="DX46" i="8"/>
  <c r="DW46" i="8"/>
  <c r="DV46" i="8"/>
  <c r="DU46" i="8"/>
  <c r="DT46" i="8"/>
  <c r="DS46" i="8"/>
  <c r="DR46" i="8"/>
  <c r="DQ46" i="8"/>
  <c r="DP46" i="8"/>
  <c r="DO46" i="8"/>
  <c r="DN46" i="8"/>
  <c r="DM46" i="8"/>
  <c r="DL46" i="8"/>
  <c r="DK46" i="8"/>
  <c r="DJ46" i="8"/>
  <c r="DI46" i="8"/>
  <c r="DH46" i="8"/>
  <c r="DG46" i="8"/>
  <c r="DF46" i="8"/>
  <c r="DE46" i="8"/>
  <c r="DD46" i="8"/>
  <c r="DC46" i="8"/>
  <c r="DB46" i="8"/>
  <c r="DA46" i="8"/>
  <c r="CZ46" i="8"/>
  <c r="CY46" i="8"/>
  <c r="CX46" i="8"/>
  <c r="CW46" i="8"/>
  <c r="CV46" i="8"/>
  <c r="CU46" i="8"/>
  <c r="CT46" i="8"/>
  <c r="CS46" i="8"/>
  <c r="CR46" i="8"/>
  <c r="CQ46" i="8"/>
  <c r="CP46" i="8"/>
  <c r="CO46" i="8"/>
  <c r="CN46" i="8"/>
  <c r="CM46" i="8"/>
  <c r="CL46" i="8"/>
  <c r="CK46" i="8"/>
  <c r="CJ46" i="8"/>
  <c r="CI46" i="8"/>
  <c r="CH46" i="8"/>
  <c r="CG46" i="8"/>
  <c r="CF46" i="8"/>
  <c r="CE46" i="8"/>
  <c r="CD46" i="8"/>
  <c r="CC46" i="8"/>
  <c r="CB46" i="8"/>
  <c r="CA46" i="8"/>
  <c r="BZ46" i="8"/>
  <c r="BY46" i="8"/>
  <c r="BX46" i="8"/>
  <c r="BW46" i="8"/>
  <c r="BV46" i="8"/>
  <c r="BU46" i="8"/>
  <c r="BT46" i="8"/>
  <c r="BS46" i="8"/>
  <c r="BR46" i="8"/>
  <c r="BQ46" i="8"/>
  <c r="BP46" i="8"/>
  <c r="BO46" i="8"/>
  <c r="BN46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D46" i="8"/>
  <c r="C46" i="8"/>
  <c r="E10" i="8" l="1"/>
  <c r="FR44" i="8" l="1"/>
  <c r="FQ44" i="8"/>
  <c r="FP44" i="8"/>
  <c r="FR43" i="8"/>
  <c r="FQ43" i="8"/>
  <c r="FP43" i="8"/>
  <c r="FR42" i="8"/>
  <c r="FQ42" i="8"/>
  <c r="FP42" i="8"/>
  <c r="FR41" i="8"/>
  <c r="FQ41" i="8"/>
  <c r="FP41" i="8"/>
  <c r="FR40" i="8"/>
  <c r="FQ40" i="8"/>
  <c r="FP40" i="8"/>
  <c r="FR39" i="8"/>
  <c r="FQ39" i="8"/>
  <c r="FP39" i="8"/>
  <c r="FR38" i="8"/>
  <c r="FQ38" i="8"/>
  <c r="FP38" i="8"/>
  <c r="FR37" i="8"/>
  <c r="FQ37" i="8"/>
  <c r="FP37" i="8"/>
  <c r="FR36" i="8"/>
  <c r="FQ36" i="8"/>
  <c r="FP36" i="8"/>
  <c r="FR35" i="8"/>
  <c r="FQ35" i="8"/>
  <c r="FP35" i="8"/>
  <c r="FR34" i="8"/>
  <c r="FQ34" i="8"/>
  <c r="FP34" i="8"/>
  <c r="FR33" i="8"/>
  <c r="FQ33" i="8"/>
  <c r="FP33" i="8"/>
  <c r="FR32" i="8"/>
  <c r="FQ32" i="8"/>
  <c r="FP32" i="8"/>
  <c r="FR31" i="8"/>
  <c r="FQ31" i="8"/>
  <c r="FP31" i="8"/>
  <c r="FR30" i="8"/>
  <c r="FQ30" i="8"/>
  <c r="FP30" i="8"/>
  <c r="FR29" i="8"/>
  <c r="FQ29" i="8"/>
  <c r="FP29" i="8"/>
  <c r="FR28" i="8"/>
  <c r="FQ28" i="8"/>
  <c r="FP28" i="8"/>
  <c r="FR27" i="8"/>
  <c r="FQ27" i="8"/>
  <c r="FP27" i="8"/>
  <c r="FR26" i="8"/>
  <c r="FQ26" i="8"/>
  <c r="FP26" i="8"/>
  <c r="FR25" i="8"/>
  <c r="FQ25" i="8"/>
  <c r="FP25" i="8"/>
  <c r="FR24" i="8"/>
  <c r="FQ24" i="8"/>
  <c r="FP24" i="8"/>
  <c r="FR23" i="8"/>
  <c r="FQ23" i="8"/>
  <c r="FP23" i="8"/>
  <c r="FR22" i="8"/>
  <c r="FQ22" i="8"/>
  <c r="FP22" i="8"/>
  <c r="FR21" i="8"/>
  <c r="FQ21" i="8"/>
  <c r="FP21" i="8"/>
  <c r="FR20" i="8"/>
  <c r="FQ20" i="8"/>
  <c r="FP20" i="8"/>
  <c r="FR19" i="8"/>
  <c r="FQ19" i="8"/>
  <c r="FP19" i="8"/>
  <c r="FR18" i="8"/>
  <c r="FQ18" i="8"/>
  <c r="FP18" i="8"/>
  <c r="FR17" i="8"/>
  <c r="FQ17" i="8"/>
  <c r="FP17" i="8"/>
  <c r="FR16" i="8"/>
  <c r="FQ16" i="8"/>
  <c r="FP16" i="8"/>
  <c r="FR15" i="8"/>
  <c r="FQ15" i="8"/>
  <c r="FP15" i="8"/>
  <c r="FC44" i="8"/>
  <c r="FB44" i="8"/>
  <c r="FC43" i="8"/>
  <c r="FB43" i="8"/>
  <c r="FC42" i="8"/>
  <c r="FB42" i="8"/>
  <c r="FC41" i="8"/>
  <c r="FB41" i="8"/>
  <c r="FC40" i="8"/>
  <c r="FB40" i="8"/>
  <c r="FC39" i="8"/>
  <c r="FB39" i="8"/>
  <c r="FC38" i="8"/>
  <c r="FB38" i="8"/>
  <c r="FC37" i="8"/>
  <c r="FB37" i="8"/>
  <c r="FC36" i="8"/>
  <c r="FB36" i="8"/>
  <c r="FC35" i="8"/>
  <c r="FB35" i="8"/>
  <c r="FC34" i="8"/>
  <c r="FB34" i="8"/>
  <c r="FC33" i="8"/>
  <c r="FB33" i="8"/>
  <c r="FC32" i="8"/>
  <c r="FB32" i="8"/>
  <c r="FC31" i="8"/>
  <c r="FB31" i="8"/>
  <c r="FC30" i="8"/>
  <c r="FB30" i="8"/>
  <c r="FC29" i="8"/>
  <c r="FB29" i="8"/>
  <c r="FC28" i="8"/>
  <c r="FB28" i="8"/>
  <c r="FC27" i="8"/>
  <c r="FB27" i="8"/>
  <c r="FC26" i="8"/>
  <c r="FB26" i="8"/>
  <c r="FC25" i="8"/>
  <c r="FB25" i="8"/>
  <c r="FC24" i="8"/>
  <c r="FB24" i="8"/>
  <c r="FC23" i="8"/>
  <c r="FB23" i="8"/>
  <c r="FC22" i="8"/>
  <c r="FB22" i="8"/>
  <c r="FC21" i="8"/>
  <c r="FB21" i="8"/>
  <c r="FC20" i="8"/>
  <c r="FB20" i="8"/>
  <c r="FC19" i="8"/>
  <c r="FB19" i="8"/>
  <c r="FC18" i="8"/>
  <c r="FB18" i="8"/>
  <c r="FC17" i="8"/>
  <c r="FB17" i="8"/>
  <c r="FC16" i="8"/>
  <c r="FB16" i="8"/>
  <c r="FC15" i="8"/>
  <c r="FB15" i="8"/>
  <c r="HH44" i="8"/>
  <c r="HG44" i="8"/>
  <c r="HF44" i="8"/>
  <c r="HE44" i="8"/>
  <c r="HD44" i="8"/>
  <c r="HC44" i="8"/>
  <c r="HB44" i="8"/>
  <c r="HA44" i="8"/>
  <c r="GZ44" i="8"/>
  <c r="GY44" i="8"/>
  <c r="GX44" i="8"/>
  <c r="GW44" i="8"/>
  <c r="GV44" i="8"/>
  <c r="GU44" i="8"/>
  <c r="GT44" i="8"/>
  <c r="GS44" i="8"/>
  <c r="GR44" i="8"/>
  <c r="GQ44" i="8"/>
  <c r="GP44" i="8"/>
  <c r="GO44" i="8"/>
  <c r="GN44" i="8"/>
  <c r="GM44" i="8"/>
  <c r="GL44" i="8"/>
  <c r="GK44" i="8"/>
  <c r="GJ44" i="8"/>
  <c r="GI44" i="8"/>
  <c r="GH44" i="8"/>
  <c r="GG44" i="8"/>
  <c r="GF44" i="8"/>
  <c r="GE44" i="8"/>
  <c r="GD44" i="8"/>
  <c r="GC44" i="8"/>
  <c r="GB44" i="8"/>
  <c r="GA44" i="8"/>
  <c r="FZ44" i="8"/>
  <c r="FY44" i="8"/>
  <c r="FX44" i="8"/>
  <c r="FW44" i="8"/>
  <c r="FV44" i="8"/>
  <c r="FU44" i="8"/>
  <c r="FT44" i="8"/>
  <c r="FS44" i="8"/>
  <c r="FO44" i="8"/>
  <c r="FN44" i="8"/>
  <c r="FM44" i="8"/>
  <c r="FL44" i="8"/>
  <c r="FK44" i="8"/>
  <c r="FJ44" i="8"/>
  <c r="FI44" i="8"/>
  <c r="FH44" i="8"/>
  <c r="FG44" i="8"/>
  <c r="FF44" i="8"/>
  <c r="FE44" i="8"/>
  <c r="FD44" i="8"/>
  <c r="FA44" i="8"/>
  <c r="EZ44" i="8"/>
  <c r="EY44" i="8"/>
  <c r="EX44" i="8"/>
  <c r="EW44" i="8"/>
  <c r="EV44" i="8"/>
  <c r="EU44" i="8"/>
  <c r="ET44" i="8"/>
  <c r="ES44" i="8"/>
  <c r="ER44" i="8"/>
  <c r="HH43" i="8"/>
  <c r="HG43" i="8"/>
  <c r="HF43" i="8"/>
  <c r="HE43" i="8"/>
  <c r="HD43" i="8"/>
  <c r="HC43" i="8"/>
  <c r="HB43" i="8"/>
  <c r="HA43" i="8"/>
  <c r="GZ43" i="8"/>
  <c r="GY43" i="8"/>
  <c r="GX43" i="8"/>
  <c r="GW43" i="8"/>
  <c r="GV43" i="8"/>
  <c r="GU43" i="8"/>
  <c r="GT43" i="8"/>
  <c r="GS43" i="8"/>
  <c r="GR43" i="8"/>
  <c r="GQ43" i="8"/>
  <c r="GP43" i="8"/>
  <c r="GO43" i="8"/>
  <c r="GN43" i="8"/>
  <c r="GM43" i="8"/>
  <c r="GL43" i="8"/>
  <c r="GK43" i="8"/>
  <c r="GJ43" i="8"/>
  <c r="GI43" i="8"/>
  <c r="GH43" i="8"/>
  <c r="GG43" i="8"/>
  <c r="GF43" i="8"/>
  <c r="GE43" i="8"/>
  <c r="GD43" i="8"/>
  <c r="GC43" i="8"/>
  <c r="GB43" i="8"/>
  <c r="GA43" i="8"/>
  <c r="FZ43" i="8"/>
  <c r="FY43" i="8"/>
  <c r="FX43" i="8"/>
  <c r="FW43" i="8"/>
  <c r="FV43" i="8"/>
  <c r="FU43" i="8"/>
  <c r="FT43" i="8"/>
  <c r="FS43" i="8"/>
  <c r="FO43" i="8"/>
  <c r="FN43" i="8"/>
  <c r="FM43" i="8"/>
  <c r="FL43" i="8"/>
  <c r="FK43" i="8"/>
  <c r="FJ43" i="8"/>
  <c r="FI43" i="8"/>
  <c r="FH43" i="8"/>
  <c r="FG43" i="8"/>
  <c r="FF43" i="8"/>
  <c r="FE43" i="8"/>
  <c r="FD43" i="8"/>
  <c r="FA43" i="8"/>
  <c r="EZ43" i="8"/>
  <c r="EY43" i="8"/>
  <c r="EX43" i="8"/>
  <c r="EW43" i="8"/>
  <c r="EV43" i="8"/>
  <c r="EU43" i="8"/>
  <c r="ET43" i="8"/>
  <c r="ES43" i="8"/>
  <c r="ER43" i="8"/>
  <c r="HH42" i="8"/>
  <c r="HG42" i="8"/>
  <c r="HF42" i="8"/>
  <c r="HE42" i="8"/>
  <c r="HD42" i="8"/>
  <c r="HC42" i="8"/>
  <c r="HB42" i="8"/>
  <c r="HA42" i="8"/>
  <c r="GZ42" i="8"/>
  <c r="GY42" i="8"/>
  <c r="GX42" i="8"/>
  <c r="GW42" i="8"/>
  <c r="GV42" i="8"/>
  <c r="GU42" i="8"/>
  <c r="GT42" i="8"/>
  <c r="GS42" i="8"/>
  <c r="GR42" i="8"/>
  <c r="GQ42" i="8"/>
  <c r="GP42" i="8"/>
  <c r="GO42" i="8"/>
  <c r="GN42" i="8"/>
  <c r="GM42" i="8"/>
  <c r="GL42" i="8"/>
  <c r="GK42" i="8"/>
  <c r="GJ42" i="8"/>
  <c r="GI42" i="8"/>
  <c r="GH42" i="8"/>
  <c r="GG42" i="8"/>
  <c r="GF42" i="8"/>
  <c r="GE42" i="8"/>
  <c r="GD42" i="8"/>
  <c r="GC42" i="8"/>
  <c r="GB42" i="8"/>
  <c r="GA42" i="8"/>
  <c r="FZ42" i="8"/>
  <c r="FY42" i="8"/>
  <c r="FX42" i="8"/>
  <c r="FW42" i="8"/>
  <c r="FV42" i="8"/>
  <c r="FU42" i="8"/>
  <c r="FT42" i="8"/>
  <c r="FS42" i="8"/>
  <c r="FO42" i="8"/>
  <c r="FN42" i="8"/>
  <c r="FM42" i="8"/>
  <c r="FL42" i="8"/>
  <c r="FK42" i="8"/>
  <c r="FJ42" i="8"/>
  <c r="FI42" i="8"/>
  <c r="FH42" i="8"/>
  <c r="FG42" i="8"/>
  <c r="FF42" i="8"/>
  <c r="FE42" i="8"/>
  <c r="FD42" i="8"/>
  <c r="FA42" i="8"/>
  <c r="EZ42" i="8"/>
  <c r="EY42" i="8"/>
  <c r="EX42" i="8"/>
  <c r="EW42" i="8"/>
  <c r="EV42" i="8"/>
  <c r="EU42" i="8"/>
  <c r="ET42" i="8"/>
  <c r="ES42" i="8"/>
  <c r="ER42" i="8"/>
  <c r="HH41" i="8"/>
  <c r="HG41" i="8"/>
  <c r="HF41" i="8"/>
  <c r="HE41" i="8"/>
  <c r="HD41" i="8"/>
  <c r="HC41" i="8"/>
  <c r="HB41" i="8"/>
  <c r="HA41" i="8"/>
  <c r="GZ41" i="8"/>
  <c r="GY41" i="8"/>
  <c r="GX41" i="8"/>
  <c r="GW41" i="8"/>
  <c r="GV41" i="8"/>
  <c r="GU41" i="8"/>
  <c r="GT41" i="8"/>
  <c r="GS41" i="8"/>
  <c r="GR41" i="8"/>
  <c r="GQ41" i="8"/>
  <c r="GP41" i="8"/>
  <c r="GO41" i="8"/>
  <c r="GN41" i="8"/>
  <c r="GM41" i="8"/>
  <c r="GL41" i="8"/>
  <c r="GK41" i="8"/>
  <c r="GJ41" i="8"/>
  <c r="GI41" i="8"/>
  <c r="GH41" i="8"/>
  <c r="GG41" i="8"/>
  <c r="GF41" i="8"/>
  <c r="GE41" i="8"/>
  <c r="GD41" i="8"/>
  <c r="GC41" i="8"/>
  <c r="GB41" i="8"/>
  <c r="GA41" i="8"/>
  <c r="FZ41" i="8"/>
  <c r="FY41" i="8"/>
  <c r="FX41" i="8"/>
  <c r="FW41" i="8"/>
  <c r="FV41" i="8"/>
  <c r="FU41" i="8"/>
  <c r="FT41" i="8"/>
  <c r="FS41" i="8"/>
  <c r="FO41" i="8"/>
  <c r="FN41" i="8"/>
  <c r="FM41" i="8"/>
  <c r="FL41" i="8"/>
  <c r="FK41" i="8"/>
  <c r="FJ41" i="8"/>
  <c r="FI41" i="8"/>
  <c r="FH41" i="8"/>
  <c r="FG41" i="8"/>
  <c r="FF41" i="8"/>
  <c r="FE41" i="8"/>
  <c r="FD41" i="8"/>
  <c r="FA41" i="8"/>
  <c r="EZ41" i="8"/>
  <c r="EY41" i="8"/>
  <c r="EX41" i="8"/>
  <c r="EW41" i="8"/>
  <c r="EV41" i="8"/>
  <c r="EU41" i="8"/>
  <c r="ET41" i="8"/>
  <c r="ES41" i="8"/>
  <c r="ER41" i="8"/>
  <c r="HH40" i="8"/>
  <c r="HG40" i="8"/>
  <c r="HF40" i="8"/>
  <c r="HE40" i="8"/>
  <c r="HD40" i="8"/>
  <c r="HC40" i="8"/>
  <c r="HB40" i="8"/>
  <c r="HA40" i="8"/>
  <c r="GZ40" i="8"/>
  <c r="GY40" i="8"/>
  <c r="GX40" i="8"/>
  <c r="GW40" i="8"/>
  <c r="GV40" i="8"/>
  <c r="GU40" i="8"/>
  <c r="GT40" i="8"/>
  <c r="GS40" i="8"/>
  <c r="GR40" i="8"/>
  <c r="GQ40" i="8"/>
  <c r="GP40" i="8"/>
  <c r="GO40" i="8"/>
  <c r="GN40" i="8"/>
  <c r="GM40" i="8"/>
  <c r="GL40" i="8"/>
  <c r="GK40" i="8"/>
  <c r="GJ40" i="8"/>
  <c r="GI40" i="8"/>
  <c r="GH40" i="8"/>
  <c r="GG40" i="8"/>
  <c r="GF40" i="8"/>
  <c r="GE40" i="8"/>
  <c r="GD40" i="8"/>
  <c r="GC40" i="8"/>
  <c r="GB40" i="8"/>
  <c r="GA40" i="8"/>
  <c r="FZ40" i="8"/>
  <c r="FY40" i="8"/>
  <c r="FX40" i="8"/>
  <c r="FW40" i="8"/>
  <c r="FV40" i="8"/>
  <c r="FU40" i="8"/>
  <c r="FT40" i="8"/>
  <c r="FS40" i="8"/>
  <c r="FO40" i="8"/>
  <c r="FN40" i="8"/>
  <c r="FM40" i="8"/>
  <c r="FL40" i="8"/>
  <c r="FK40" i="8"/>
  <c r="FJ40" i="8"/>
  <c r="FI40" i="8"/>
  <c r="FH40" i="8"/>
  <c r="FG40" i="8"/>
  <c r="FF40" i="8"/>
  <c r="FE40" i="8"/>
  <c r="FD40" i="8"/>
  <c r="FA40" i="8"/>
  <c r="EZ40" i="8"/>
  <c r="EY40" i="8"/>
  <c r="EX40" i="8"/>
  <c r="EW40" i="8"/>
  <c r="EV40" i="8"/>
  <c r="EU40" i="8"/>
  <c r="ET40" i="8"/>
  <c r="ES40" i="8"/>
  <c r="ER40" i="8"/>
  <c r="HH39" i="8"/>
  <c r="HG39" i="8"/>
  <c r="HF39" i="8"/>
  <c r="HE39" i="8"/>
  <c r="HD39" i="8"/>
  <c r="HC39" i="8"/>
  <c r="HB39" i="8"/>
  <c r="HA39" i="8"/>
  <c r="GZ39" i="8"/>
  <c r="GY39" i="8"/>
  <c r="GX39" i="8"/>
  <c r="GW39" i="8"/>
  <c r="GV39" i="8"/>
  <c r="GU39" i="8"/>
  <c r="GT39" i="8"/>
  <c r="GS39" i="8"/>
  <c r="GR39" i="8"/>
  <c r="GQ39" i="8"/>
  <c r="GP39" i="8"/>
  <c r="GO39" i="8"/>
  <c r="GN39" i="8"/>
  <c r="GM39" i="8"/>
  <c r="GL39" i="8"/>
  <c r="GK39" i="8"/>
  <c r="GJ39" i="8"/>
  <c r="GI39" i="8"/>
  <c r="GH39" i="8"/>
  <c r="GG39" i="8"/>
  <c r="GF39" i="8"/>
  <c r="GE39" i="8"/>
  <c r="GD39" i="8"/>
  <c r="GC39" i="8"/>
  <c r="GB39" i="8"/>
  <c r="GA39" i="8"/>
  <c r="FZ39" i="8"/>
  <c r="FY39" i="8"/>
  <c r="FX39" i="8"/>
  <c r="FW39" i="8"/>
  <c r="FV39" i="8"/>
  <c r="FU39" i="8"/>
  <c r="FT39" i="8"/>
  <c r="FS39" i="8"/>
  <c r="FO39" i="8"/>
  <c r="FN39" i="8"/>
  <c r="FM39" i="8"/>
  <c r="FL39" i="8"/>
  <c r="FK39" i="8"/>
  <c r="FJ39" i="8"/>
  <c r="FI39" i="8"/>
  <c r="FH39" i="8"/>
  <c r="FG39" i="8"/>
  <c r="FF39" i="8"/>
  <c r="FE39" i="8"/>
  <c r="FD39" i="8"/>
  <c r="FA39" i="8"/>
  <c r="EZ39" i="8"/>
  <c r="EY39" i="8"/>
  <c r="EX39" i="8"/>
  <c r="EW39" i="8"/>
  <c r="EV39" i="8"/>
  <c r="EU39" i="8"/>
  <c r="ET39" i="8"/>
  <c r="ES39" i="8"/>
  <c r="ER39" i="8"/>
  <c r="HH38" i="8"/>
  <c r="HG38" i="8"/>
  <c r="HF38" i="8"/>
  <c r="HE38" i="8"/>
  <c r="HD38" i="8"/>
  <c r="HC38" i="8"/>
  <c r="HB38" i="8"/>
  <c r="HA38" i="8"/>
  <c r="GZ38" i="8"/>
  <c r="GY38" i="8"/>
  <c r="GX38" i="8"/>
  <c r="GW38" i="8"/>
  <c r="GV38" i="8"/>
  <c r="GU38" i="8"/>
  <c r="GT38" i="8"/>
  <c r="GS38" i="8"/>
  <c r="GR38" i="8"/>
  <c r="GQ38" i="8"/>
  <c r="GP38" i="8"/>
  <c r="GO38" i="8"/>
  <c r="GN38" i="8"/>
  <c r="GM38" i="8"/>
  <c r="GL38" i="8"/>
  <c r="GK38" i="8"/>
  <c r="GJ38" i="8"/>
  <c r="GI38" i="8"/>
  <c r="GH38" i="8"/>
  <c r="GG38" i="8"/>
  <c r="GF38" i="8"/>
  <c r="GE38" i="8"/>
  <c r="GD38" i="8"/>
  <c r="GC38" i="8"/>
  <c r="GB38" i="8"/>
  <c r="GA38" i="8"/>
  <c r="FZ38" i="8"/>
  <c r="FY38" i="8"/>
  <c r="FX38" i="8"/>
  <c r="FW38" i="8"/>
  <c r="FV38" i="8"/>
  <c r="FU38" i="8"/>
  <c r="FT38" i="8"/>
  <c r="FS38" i="8"/>
  <c r="FO38" i="8"/>
  <c r="FN38" i="8"/>
  <c r="FM38" i="8"/>
  <c r="FL38" i="8"/>
  <c r="FK38" i="8"/>
  <c r="FJ38" i="8"/>
  <c r="FI38" i="8"/>
  <c r="FH38" i="8"/>
  <c r="FG38" i="8"/>
  <c r="FF38" i="8"/>
  <c r="FE38" i="8"/>
  <c r="FD38" i="8"/>
  <c r="FA38" i="8"/>
  <c r="EZ38" i="8"/>
  <c r="EY38" i="8"/>
  <c r="EX38" i="8"/>
  <c r="EW38" i="8"/>
  <c r="EV38" i="8"/>
  <c r="EU38" i="8"/>
  <c r="ET38" i="8"/>
  <c r="ES38" i="8"/>
  <c r="ER38" i="8"/>
  <c r="HH37" i="8"/>
  <c r="HG37" i="8"/>
  <c r="HF37" i="8"/>
  <c r="HE37" i="8"/>
  <c r="HD37" i="8"/>
  <c r="HC37" i="8"/>
  <c r="HB37" i="8"/>
  <c r="HA37" i="8"/>
  <c r="GZ37" i="8"/>
  <c r="GY37" i="8"/>
  <c r="GX37" i="8"/>
  <c r="GW37" i="8"/>
  <c r="GV37" i="8"/>
  <c r="GU37" i="8"/>
  <c r="GT37" i="8"/>
  <c r="GS37" i="8"/>
  <c r="GR37" i="8"/>
  <c r="GQ37" i="8"/>
  <c r="GP37" i="8"/>
  <c r="GO37" i="8"/>
  <c r="GN37" i="8"/>
  <c r="GM37" i="8"/>
  <c r="GL37" i="8"/>
  <c r="GK37" i="8"/>
  <c r="GJ37" i="8"/>
  <c r="GI37" i="8"/>
  <c r="GH37" i="8"/>
  <c r="GG37" i="8"/>
  <c r="GF37" i="8"/>
  <c r="GE37" i="8"/>
  <c r="GD37" i="8"/>
  <c r="GC37" i="8"/>
  <c r="GB37" i="8"/>
  <c r="GA37" i="8"/>
  <c r="FZ37" i="8"/>
  <c r="FY37" i="8"/>
  <c r="FX37" i="8"/>
  <c r="FW37" i="8"/>
  <c r="FV37" i="8"/>
  <c r="FU37" i="8"/>
  <c r="FT37" i="8"/>
  <c r="FS37" i="8"/>
  <c r="FO37" i="8"/>
  <c r="FN37" i="8"/>
  <c r="FM37" i="8"/>
  <c r="FL37" i="8"/>
  <c r="FK37" i="8"/>
  <c r="FJ37" i="8"/>
  <c r="FI37" i="8"/>
  <c r="FH37" i="8"/>
  <c r="FG37" i="8"/>
  <c r="FF37" i="8"/>
  <c r="FE37" i="8"/>
  <c r="FD37" i="8"/>
  <c r="FA37" i="8"/>
  <c r="EZ37" i="8"/>
  <c r="EY37" i="8"/>
  <c r="EX37" i="8"/>
  <c r="EW37" i="8"/>
  <c r="EV37" i="8"/>
  <c r="EU37" i="8"/>
  <c r="ET37" i="8"/>
  <c r="ES37" i="8"/>
  <c r="ER37" i="8"/>
  <c r="HH36" i="8"/>
  <c r="HG36" i="8"/>
  <c r="HF36" i="8"/>
  <c r="HE36" i="8"/>
  <c r="HD36" i="8"/>
  <c r="HC36" i="8"/>
  <c r="HB36" i="8"/>
  <c r="HA36" i="8"/>
  <c r="GZ36" i="8"/>
  <c r="GY36" i="8"/>
  <c r="GX36" i="8"/>
  <c r="GW36" i="8"/>
  <c r="GV36" i="8"/>
  <c r="GU36" i="8"/>
  <c r="GT36" i="8"/>
  <c r="GS36" i="8"/>
  <c r="GR36" i="8"/>
  <c r="GQ36" i="8"/>
  <c r="GP36" i="8"/>
  <c r="GO36" i="8"/>
  <c r="GN36" i="8"/>
  <c r="GM36" i="8"/>
  <c r="GL36" i="8"/>
  <c r="GK36" i="8"/>
  <c r="GJ36" i="8"/>
  <c r="GI36" i="8"/>
  <c r="GH36" i="8"/>
  <c r="GG36" i="8"/>
  <c r="GF36" i="8"/>
  <c r="GE36" i="8"/>
  <c r="GD36" i="8"/>
  <c r="GC36" i="8"/>
  <c r="GB36" i="8"/>
  <c r="GA36" i="8"/>
  <c r="FZ36" i="8"/>
  <c r="FY36" i="8"/>
  <c r="FX36" i="8"/>
  <c r="FW36" i="8"/>
  <c r="FV36" i="8"/>
  <c r="FU36" i="8"/>
  <c r="FT36" i="8"/>
  <c r="FS36" i="8"/>
  <c r="FO36" i="8"/>
  <c r="FN36" i="8"/>
  <c r="FM36" i="8"/>
  <c r="FL36" i="8"/>
  <c r="FK36" i="8"/>
  <c r="FJ36" i="8"/>
  <c r="FI36" i="8"/>
  <c r="FH36" i="8"/>
  <c r="FG36" i="8"/>
  <c r="FF36" i="8"/>
  <c r="FE36" i="8"/>
  <c r="FD36" i="8"/>
  <c r="FA36" i="8"/>
  <c r="EZ36" i="8"/>
  <c r="EY36" i="8"/>
  <c r="EX36" i="8"/>
  <c r="EW36" i="8"/>
  <c r="EV36" i="8"/>
  <c r="EU36" i="8"/>
  <c r="ET36" i="8"/>
  <c r="ES36" i="8"/>
  <c r="ER36" i="8"/>
  <c r="HH35" i="8"/>
  <c r="HG35" i="8"/>
  <c r="HF35" i="8"/>
  <c r="HE35" i="8"/>
  <c r="HD35" i="8"/>
  <c r="HC35" i="8"/>
  <c r="HB35" i="8"/>
  <c r="HA35" i="8"/>
  <c r="GZ35" i="8"/>
  <c r="GY35" i="8"/>
  <c r="GX35" i="8"/>
  <c r="GW35" i="8"/>
  <c r="GV35" i="8"/>
  <c r="GU35" i="8"/>
  <c r="GT35" i="8"/>
  <c r="GS35" i="8"/>
  <c r="GR35" i="8"/>
  <c r="GQ35" i="8"/>
  <c r="GP35" i="8"/>
  <c r="GO35" i="8"/>
  <c r="GN35" i="8"/>
  <c r="GM35" i="8"/>
  <c r="GL35" i="8"/>
  <c r="GK35" i="8"/>
  <c r="GJ35" i="8"/>
  <c r="GI35" i="8"/>
  <c r="GH35" i="8"/>
  <c r="GG35" i="8"/>
  <c r="GF35" i="8"/>
  <c r="GE35" i="8"/>
  <c r="GD35" i="8"/>
  <c r="GC35" i="8"/>
  <c r="GB35" i="8"/>
  <c r="GA35" i="8"/>
  <c r="FZ35" i="8"/>
  <c r="FY35" i="8"/>
  <c r="FX35" i="8"/>
  <c r="FW35" i="8"/>
  <c r="FV35" i="8"/>
  <c r="FU35" i="8"/>
  <c r="FT35" i="8"/>
  <c r="FS35" i="8"/>
  <c r="FO35" i="8"/>
  <c r="FN35" i="8"/>
  <c r="FM35" i="8"/>
  <c r="FL35" i="8"/>
  <c r="FK35" i="8"/>
  <c r="FJ35" i="8"/>
  <c r="FI35" i="8"/>
  <c r="FH35" i="8"/>
  <c r="FG35" i="8"/>
  <c r="FF35" i="8"/>
  <c r="FE35" i="8"/>
  <c r="FD35" i="8"/>
  <c r="FA35" i="8"/>
  <c r="EZ35" i="8"/>
  <c r="EY35" i="8"/>
  <c r="EX35" i="8"/>
  <c r="EW35" i="8"/>
  <c r="EV35" i="8"/>
  <c r="EU35" i="8"/>
  <c r="ET35" i="8"/>
  <c r="ES35" i="8"/>
  <c r="ER35" i="8"/>
  <c r="HH34" i="8"/>
  <c r="HG34" i="8"/>
  <c r="HF34" i="8"/>
  <c r="HE34" i="8"/>
  <c r="HD34" i="8"/>
  <c r="HC34" i="8"/>
  <c r="HB34" i="8"/>
  <c r="HA34" i="8"/>
  <c r="GZ34" i="8"/>
  <c r="GY34" i="8"/>
  <c r="GX34" i="8"/>
  <c r="GW34" i="8"/>
  <c r="GV34" i="8"/>
  <c r="GU34" i="8"/>
  <c r="GT34" i="8"/>
  <c r="GS34" i="8"/>
  <c r="GR34" i="8"/>
  <c r="GQ34" i="8"/>
  <c r="GP34" i="8"/>
  <c r="GO34" i="8"/>
  <c r="GN34" i="8"/>
  <c r="GM34" i="8"/>
  <c r="GL34" i="8"/>
  <c r="GK34" i="8"/>
  <c r="GJ34" i="8"/>
  <c r="GI34" i="8"/>
  <c r="GH34" i="8"/>
  <c r="GG34" i="8"/>
  <c r="GF34" i="8"/>
  <c r="GE34" i="8"/>
  <c r="GD34" i="8"/>
  <c r="GC34" i="8"/>
  <c r="GB34" i="8"/>
  <c r="GA34" i="8"/>
  <c r="FZ34" i="8"/>
  <c r="FY34" i="8"/>
  <c r="FX34" i="8"/>
  <c r="FW34" i="8"/>
  <c r="FV34" i="8"/>
  <c r="FU34" i="8"/>
  <c r="FT34" i="8"/>
  <c r="FS34" i="8"/>
  <c r="FO34" i="8"/>
  <c r="FN34" i="8"/>
  <c r="FM34" i="8"/>
  <c r="FL34" i="8"/>
  <c r="FK34" i="8"/>
  <c r="FJ34" i="8"/>
  <c r="FI34" i="8"/>
  <c r="FH34" i="8"/>
  <c r="FG34" i="8"/>
  <c r="FF34" i="8"/>
  <c r="FE34" i="8"/>
  <c r="FD34" i="8"/>
  <c r="FA34" i="8"/>
  <c r="EZ34" i="8"/>
  <c r="EY34" i="8"/>
  <c r="EX34" i="8"/>
  <c r="EW34" i="8"/>
  <c r="EV34" i="8"/>
  <c r="EU34" i="8"/>
  <c r="ET34" i="8"/>
  <c r="ES34" i="8"/>
  <c r="ER34" i="8"/>
  <c r="HH33" i="8"/>
  <c r="HG33" i="8"/>
  <c r="HF33" i="8"/>
  <c r="HE33" i="8"/>
  <c r="HD33" i="8"/>
  <c r="HC33" i="8"/>
  <c r="HB33" i="8"/>
  <c r="HA33" i="8"/>
  <c r="GZ33" i="8"/>
  <c r="GY33" i="8"/>
  <c r="GX33" i="8"/>
  <c r="GW33" i="8"/>
  <c r="GV33" i="8"/>
  <c r="GU33" i="8"/>
  <c r="GT33" i="8"/>
  <c r="GS33" i="8"/>
  <c r="GR33" i="8"/>
  <c r="GQ33" i="8"/>
  <c r="GP33" i="8"/>
  <c r="GO33" i="8"/>
  <c r="GN33" i="8"/>
  <c r="GM33" i="8"/>
  <c r="GL33" i="8"/>
  <c r="GK33" i="8"/>
  <c r="GJ33" i="8"/>
  <c r="GI33" i="8"/>
  <c r="GH33" i="8"/>
  <c r="GG33" i="8"/>
  <c r="GF33" i="8"/>
  <c r="GE33" i="8"/>
  <c r="GD33" i="8"/>
  <c r="GC33" i="8"/>
  <c r="GB33" i="8"/>
  <c r="GA33" i="8"/>
  <c r="FZ33" i="8"/>
  <c r="FY33" i="8"/>
  <c r="FX33" i="8"/>
  <c r="FW33" i="8"/>
  <c r="FV33" i="8"/>
  <c r="FU33" i="8"/>
  <c r="FT33" i="8"/>
  <c r="FS33" i="8"/>
  <c r="FO33" i="8"/>
  <c r="FN33" i="8"/>
  <c r="FM33" i="8"/>
  <c r="FL33" i="8"/>
  <c r="FK33" i="8"/>
  <c r="FJ33" i="8"/>
  <c r="FI33" i="8"/>
  <c r="FH33" i="8"/>
  <c r="FG33" i="8"/>
  <c r="FF33" i="8"/>
  <c r="FE33" i="8"/>
  <c r="FD33" i="8"/>
  <c r="FA33" i="8"/>
  <c r="EZ33" i="8"/>
  <c r="EY33" i="8"/>
  <c r="EX33" i="8"/>
  <c r="EW33" i="8"/>
  <c r="EV33" i="8"/>
  <c r="EU33" i="8"/>
  <c r="ET33" i="8"/>
  <c r="ES33" i="8"/>
  <c r="ER33" i="8"/>
  <c r="HH32" i="8"/>
  <c r="HG32" i="8"/>
  <c r="HF32" i="8"/>
  <c r="HE32" i="8"/>
  <c r="HD32" i="8"/>
  <c r="HC32" i="8"/>
  <c r="HB32" i="8"/>
  <c r="HA32" i="8"/>
  <c r="GZ32" i="8"/>
  <c r="GY32" i="8"/>
  <c r="GX32" i="8"/>
  <c r="GW32" i="8"/>
  <c r="GV32" i="8"/>
  <c r="GU32" i="8"/>
  <c r="GT32" i="8"/>
  <c r="GS32" i="8"/>
  <c r="GR32" i="8"/>
  <c r="GQ32" i="8"/>
  <c r="GP32" i="8"/>
  <c r="GO32" i="8"/>
  <c r="GN32" i="8"/>
  <c r="GM32" i="8"/>
  <c r="GL32" i="8"/>
  <c r="GK32" i="8"/>
  <c r="GJ32" i="8"/>
  <c r="GI32" i="8"/>
  <c r="GH32" i="8"/>
  <c r="GG32" i="8"/>
  <c r="GF32" i="8"/>
  <c r="GE32" i="8"/>
  <c r="GD32" i="8"/>
  <c r="GC32" i="8"/>
  <c r="GB32" i="8"/>
  <c r="GA32" i="8"/>
  <c r="FZ32" i="8"/>
  <c r="FY32" i="8"/>
  <c r="FX32" i="8"/>
  <c r="FW32" i="8"/>
  <c r="FV32" i="8"/>
  <c r="FU32" i="8"/>
  <c r="FT32" i="8"/>
  <c r="FS32" i="8"/>
  <c r="FO32" i="8"/>
  <c r="FN32" i="8"/>
  <c r="FM32" i="8"/>
  <c r="FL32" i="8"/>
  <c r="FK32" i="8"/>
  <c r="FJ32" i="8"/>
  <c r="FI32" i="8"/>
  <c r="FH32" i="8"/>
  <c r="FG32" i="8"/>
  <c r="FF32" i="8"/>
  <c r="FE32" i="8"/>
  <c r="FD32" i="8"/>
  <c r="FA32" i="8"/>
  <c r="EZ32" i="8"/>
  <c r="EY32" i="8"/>
  <c r="EX32" i="8"/>
  <c r="EW32" i="8"/>
  <c r="EV32" i="8"/>
  <c r="EU32" i="8"/>
  <c r="ET32" i="8"/>
  <c r="ES32" i="8"/>
  <c r="ER32" i="8"/>
  <c r="HH31" i="8"/>
  <c r="HG31" i="8"/>
  <c r="HF31" i="8"/>
  <c r="HE31" i="8"/>
  <c r="HD31" i="8"/>
  <c r="HC31" i="8"/>
  <c r="HB31" i="8"/>
  <c r="HA31" i="8"/>
  <c r="GZ31" i="8"/>
  <c r="GY31" i="8"/>
  <c r="GX31" i="8"/>
  <c r="GW31" i="8"/>
  <c r="GV31" i="8"/>
  <c r="GU31" i="8"/>
  <c r="GT31" i="8"/>
  <c r="GS31" i="8"/>
  <c r="GR31" i="8"/>
  <c r="GQ31" i="8"/>
  <c r="GP31" i="8"/>
  <c r="GO31" i="8"/>
  <c r="GN31" i="8"/>
  <c r="GM31" i="8"/>
  <c r="GL31" i="8"/>
  <c r="GK31" i="8"/>
  <c r="GJ31" i="8"/>
  <c r="GI31" i="8"/>
  <c r="GH31" i="8"/>
  <c r="GG31" i="8"/>
  <c r="GF31" i="8"/>
  <c r="GE31" i="8"/>
  <c r="GD31" i="8"/>
  <c r="GC31" i="8"/>
  <c r="GB31" i="8"/>
  <c r="GA31" i="8"/>
  <c r="FZ31" i="8"/>
  <c r="FY31" i="8"/>
  <c r="FX31" i="8"/>
  <c r="FW31" i="8"/>
  <c r="FV31" i="8"/>
  <c r="FU31" i="8"/>
  <c r="FT31" i="8"/>
  <c r="FS31" i="8"/>
  <c r="FO31" i="8"/>
  <c r="FN31" i="8"/>
  <c r="FM31" i="8"/>
  <c r="FL31" i="8"/>
  <c r="FK31" i="8"/>
  <c r="FJ31" i="8"/>
  <c r="FI31" i="8"/>
  <c r="FH31" i="8"/>
  <c r="FG31" i="8"/>
  <c r="FF31" i="8"/>
  <c r="FE31" i="8"/>
  <c r="FD31" i="8"/>
  <c r="FA31" i="8"/>
  <c r="EZ31" i="8"/>
  <c r="EY31" i="8"/>
  <c r="EX31" i="8"/>
  <c r="EW31" i="8"/>
  <c r="EV31" i="8"/>
  <c r="EU31" i="8"/>
  <c r="ET31" i="8"/>
  <c r="ES31" i="8"/>
  <c r="ER31" i="8"/>
  <c r="HH30" i="8"/>
  <c r="HG30" i="8"/>
  <c r="HF30" i="8"/>
  <c r="HE30" i="8"/>
  <c r="HD30" i="8"/>
  <c r="HC30" i="8"/>
  <c r="HB30" i="8"/>
  <c r="HA30" i="8"/>
  <c r="GZ30" i="8"/>
  <c r="GY30" i="8"/>
  <c r="GX30" i="8"/>
  <c r="GW30" i="8"/>
  <c r="GV30" i="8"/>
  <c r="GU30" i="8"/>
  <c r="GT30" i="8"/>
  <c r="GS30" i="8"/>
  <c r="GR30" i="8"/>
  <c r="GQ30" i="8"/>
  <c r="GP30" i="8"/>
  <c r="GO30" i="8"/>
  <c r="GN30" i="8"/>
  <c r="GM30" i="8"/>
  <c r="GL30" i="8"/>
  <c r="GK30" i="8"/>
  <c r="GJ30" i="8"/>
  <c r="GI30" i="8"/>
  <c r="GH30" i="8"/>
  <c r="GG30" i="8"/>
  <c r="GF30" i="8"/>
  <c r="GE30" i="8"/>
  <c r="GD30" i="8"/>
  <c r="GC30" i="8"/>
  <c r="GB30" i="8"/>
  <c r="GA30" i="8"/>
  <c r="FZ30" i="8"/>
  <c r="FY30" i="8"/>
  <c r="FX30" i="8"/>
  <c r="FW30" i="8"/>
  <c r="FV30" i="8"/>
  <c r="FU30" i="8"/>
  <c r="FT30" i="8"/>
  <c r="FS30" i="8"/>
  <c r="FO30" i="8"/>
  <c r="FN30" i="8"/>
  <c r="FM30" i="8"/>
  <c r="FL30" i="8"/>
  <c r="FK30" i="8"/>
  <c r="FJ30" i="8"/>
  <c r="FI30" i="8"/>
  <c r="FH30" i="8"/>
  <c r="FG30" i="8"/>
  <c r="FF30" i="8"/>
  <c r="FE30" i="8"/>
  <c r="FD30" i="8"/>
  <c r="FA30" i="8"/>
  <c r="EZ30" i="8"/>
  <c r="EY30" i="8"/>
  <c r="EX30" i="8"/>
  <c r="EW30" i="8"/>
  <c r="EV30" i="8"/>
  <c r="EU30" i="8"/>
  <c r="ET30" i="8"/>
  <c r="ES30" i="8"/>
  <c r="ER30" i="8"/>
  <c r="HH29" i="8"/>
  <c r="HG29" i="8"/>
  <c r="HF29" i="8"/>
  <c r="HE29" i="8"/>
  <c r="HD29" i="8"/>
  <c r="HC29" i="8"/>
  <c r="HB29" i="8"/>
  <c r="HA29" i="8"/>
  <c r="GZ29" i="8"/>
  <c r="GY29" i="8"/>
  <c r="GX29" i="8"/>
  <c r="GW29" i="8"/>
  <c r="GV29" i="8"/>
  <c r="GU29" i="8"/>
  <c r="GT29" i="8"/>
  <c r="GS29" i="8"/>
  <c r="GR29" i="8"/>
  <c r="GQ29" i="8"/>
  <c r="GP29" i="8"/>
  <c r="GO29" i="8"/>
  <c r="GN29" i="8"/>
  <c r="GM29" i="8"/>
  <c r="GL29" i="8"/>
  <c r="GK29" i="8"/>
  <c r="GJ29" i="8"/>
  <c r="GI29" i="8"/>
  <c r="GH29" i="8"/>
  <c r="GG29" i="8"/>
  <c r="GF29" i="8"/>
  <c r="GE29" i="8"/>
  <c r="GD29" i="8"/>
  <c r="GC29" i="8"/>
  <c r="GB29" i="8"/>
  <c r="GA29" i="8"/>
  <c r="FZ29" i="8"/>
  <c r="FY29" i="8"/>
  <c r="FX29" i="8"/>
  <c r="FW29" i="8"/>
  <c r="FV29" i="8"/>
  <c r="FU29" i="8"/>
  <c r="FT29" i="8"/>
  <c r="FS29" i="8"/>
  <c r="FO29" i="8"/>
  <c r="FN29" i="8"/>
  <c r="FM29" i="8"/>
  <c r="FL29" i="8"/>
  <c r="FK29" i="8"/>
  <c r="FJ29" i="8"/>
  <c r="FI29" i="8"/>
  <c r="FH29" i="8"/>
  <c r="FG29" i="8"/>
  <c r="FF29" i="8"/>
  <c r="FE29" i="8"/>
  <c r="FD29" i="8"/>
  <c r="FA29" i="8"/>
  <c r="EZ29" i="8"/>
  <c r="EY29" i="8"/>
  <c r="EX29" i="8"/>
  <c r="EW29" i="8"/>
  <c r="EV29" i="8"/>
  <c r="EU29" i="8"/>
  <c r="ET29" i="8"/>
  <c r="ES29" i="8"/>
  <c r="ER29" i="8"/>
  <c r="HH28" i="8"/>
  <c r="HG28" i="8"/>
  <c r="HF28" i="8"/>
  <c r="HE28" i="8"/>
  <c r="HD28" i="8"/>
  <c r="HC28" i="8"/>
  <c r="HB28" i="8"/>
  <c r="HA28" i="8"/>
  <c r="GZ28" i="8"/>
  <c r="GY28" i="8"/>
  <c r="GX28" i="8"/>
  <c r="GW28" i="8"/>
  <c r="GV28" i="8"/>
  <c r="GU28" i="8"/>
  <c r="GT28" i="8"/>
  <c r="GS28" i="8"/>
  <c r="GR28" i="8"/>
  <c r="GQ28" i="8"/>
  <c r="GP28" i="8"/>
  <c r="GO28" i="8"/>
  <c r="GN28" i="8"/>
  <c r="GM28" i="8"/>
  <c r="GL28" i="8"/>
  <c r="GK28" i="8"/>
  <c r="GJ28" i="8"/>
  <c r="GI28" i="8"/>
  <c r="GH28" i="8"/>
  <c r="GG28" i="8"/>
  <c r="GF28" i="8"/>
  <c r="GE28" i="8"/>
  <c r="GD28" i="8"/>
  <c r="GC28" i="8"/>
  <c r="GB28" i="8"/>
  <c r="GA28" i="8"/>
  <c r="FZ28" i="8"/>
  <c r="FY28" i="8"/>
  <c r="FX28" i="8"/>
  <c r="FW28" i="8"/>
  <c r="FV28" i="8"/>
  <c r="FU28" i="8"/>
  <c r="FT28" i="8"/>
  <c r="FS28" i="8"/>
  <c r="FO28" i="8"/>
  <c r="FN28" i="8"/>
  <c r="FM28" i="8"/>
  <c r="FL28" i="8"/>
  <c r="FK28" i="8"/>
  <c r="FJ28" i="8"/>
  <c r="FI28" i="8"/>
  <c r="FH28" i="8"/>
  <c r="FG28" i="8"/>
  <c r="FF28" i="8"/>
  <c r="FE28" i="8"/>
  <c r="FD28" i="8"/>
  <c r="FA28" i="8"/>
  <c r="EZ28" i="8"/>
  <c r="EY28" i="8"/>
  <c r="EX28" i="8"/>
  <c r="EW28" i="8"/>
  <c r="EV28" i="8"/>
  <c r="EU28" i="8"/>
  <c r="ET28" i="8"/>
  <c r="ES28" i="8"/>
  <c r="ER28" i="8"/>
  <c r="HH27" i="8"/>
  <c r="HG27" i="8"/>
  <c r="HF27" i="8"/>
  <c r="HE27" i="8"/>
  <c r="HD27" i="8"/>
  <c r="HC27" i="8"/>
  <c r="HB27" i="8"/>
  <c r="HA27" i="8"/>
  <c r="GZ27" i="8"/>
  <c r="GY27" i="8"/>
  <c r="GX27" i="8"/>
  <c r="GW27" i="8"/>
  <c r="GV27" i="8"/>
  <c r="GU27" i="8"/>
  <c r="GT27" i="8"/>
  <c r="GS27" i="8"/>
  <c r="GR27" i="8"/>
  <c r="GQ27" i="8"/>
  <c r="GP27" i="8"/>
  <c r="GO27" i="8"/>
  <c r="GN27" i="8"/>
  <c r="GM27" i="8"/>
  <c r="GL27" i="8"/>
  <c r="GK27" i="8"/>
  <c r="GJ27" i="8"/>
  <c r="GI27" i="8"/>
  <c r="GH27" i="8"/>
  <c r="GG27" i="8"/>
  <c r="GF27" i="8"/>
  <c r="GE27" i="8"/>
  <c r="GD27" i="8"/>
  <c r="GC27" i="8"/>
  <c r="GB27" i="8"/>
  <c r="GA27" i="8"/>
  <c r="FZ27" i="8"/>
  <c r="FY27" i="8"/>
  <c r="FX27" i="8"/>
  <c r="FW27" i="8"/>
  <c r="FV27" i="8"/>
  <c r="FU27" i="8"/>
  <c r="FT27" i="8"/>
  <c r="FS27" i="8"/>
  <c r="FO27" i="8"/>
  <c r="FN27" i="8"/>
  <c r="FM27" i="8"/>
  <c r="FL27" i="8"/>
  <c r="FK27" i="8"/>
  <c r="FJ27" i="8"/>
  <c r="FI27" i="8"/>
  <c r="FH27" i="8"/>
  <c r="FG27" i="8"/>
  <c r="FF27" i="8"/>
  <c r="FE27" i="8"/>
  <c r="FD27" i="8"/>
  <c r="FA27" i="8"/>
  <c r="EZ27" i="8"/>
  <c r="EY27" i="8"/>
  <c r="EX27" i="8"/>
  <c r="EW27" i="8"/>
  <c r="EV27" i="8"/>
  <c r="EU27" i="8"/>
  <c r="ET27" i="8"/>
  <c r="ES27" i="8"/>
  <c r="ER27" i="8"/>
  <c r="HH26" i="8"/>
  <c r="HG26" i="8"/>
  <c r="HF26" i="8"/>
  <c r="HE26" i="8"/>
  <c r="HD26" i="8"/>
  <c r="HC26" i="8"/>
  <c r="HB26" i="8"/>
  <c r="HA26" i="8"/>
  <c r="GZ26" i="8"/>
  <c r="GY26" i="8"/>
  <c r="GX26" i="8"/>
  <c r="GW26" i="8"/>
  <c r="GV26" i="8"/>
  <c r="GU26" i="8"/>
  <c r="GT26" i="8"/>
  <c r="GS26" i="8"/>
  <c r="GR26" i="8"/>
  <c r="GQ26" i="8"/>
  <c r="GP26" i="8"/>
  <c r="GO26" i="8"/>
  <c r="GN26" i="8"/>
  <c r="GM26" i="8"/>
  <c r="GL26" i="8"/>
  <c r="GK26" i="8"/>
  <c r="GJ26" i="8"/>
  <c r="GI26" i="8"/>
  <c r="GH26" i="8"/>
  <c r="GG26" i="8"/>
  <c r="GF26" i="8"/>
  <c r="GE26" i="8"/>
  <c r="GD26" i="8"/>
  <c r="GC26" i="8"/>
  <c r="GB26" i="8"/>
  <c r="GA26" i="8"/>
  <c r="FZ26" i="8"/>
  <c r="FY26" i="8"/>
  <c r="FX26" i="8"/>
  <c r="FW26" i="8"/>
  <c r="FV26" i="8"/>
  <c r="FU26" i="8"/>
  <c r="FT26" i="8"/>
  <c r="FS26" i="8"/>
  <c r="FO26" i="8"/>
  <c r="FN26" i="8"/>
  <c r="FM26" i="8"/>
  <c r="FL26" i="8"/>
  <c r="FK26" i="8"/>
  <c r="FJ26" i="8"/>
  <c r="FI26" i="8"/>
  <c r="FH26" i="8"/>
  <c r="FG26" i="8"/>
  <c r="FF26" i="8"/>
  <c r="FE26" i="8"/>
  <c r="FD26" i="8"/>
  <c r="FA26" i="8"/>
  <c r="EZ26" i="8"/>
  <c r="EY26" i="8"/>
  <c r="EX26" i="8"/>
  <c r="EW26" i="8"/>
  <c r="EV26" i="8"/>
  <c r="EU26" i="8"/>
  <c r="ET26" i="8"/>
  <c r="ES26" i="8"/>
  <c r="ER26" i="8"/>
  <c r="HH25" i="8"/>
  <c r="HG25" i="8"/>
  <c r="HF25" i="8"/>
  <c r="HE25" i="8"/>
  <c r="HD25" i="8"/>
  <c r="HC25" i="8"/>
  <c r="HB25" i="8"/>
  <c r="HA25" i="8"/>
  <c r="GZ25" i="8"/>
  <c r="GY25" i="8"/>
  <c r="GX25" i="8"/>
  <c r="GW25" i="8"/>
  <c r="GV25" i="8"/>
  <c r="GU25" i="8"/>
  <c r="GT25" i="8"/>
  <c r="GS25" i="8"/>
  <c r="GR25" i="8"/>
  <c r="GQ25" i="8"/>
  <c r="GP25" i="8"/>
  <c r="GO25" i="8"/>
  <c r="GN25" i="8"/>
  <c r="GM25" i="8"/>
  <c r="GL25" i="8"/>
  <c r="GK25" i="8"/>
  <c r="GJ25" i="8"/>
  <c r="GI25" i="8"/>
  <c r="GH25" i="8"/>
  <c r="GG25" i="8"/>
  <c r="GF25" i="8"/>
  <c r="GE25" i="8"/>
  <c r="GD25" i="8"/>
  <c r="GC25" i="8"/>
  <c r="GB25" i="8"/>
  <c r="GA25" i="8"/>
  <c r="FZ25" i="8"/>
  <c r="FY25" i="8"/>
  <c r="FX25" i="8"/>
  <c r="FW25" i="8"/>
  <c r="FV25" i="8"/>
  <c r="FU25" i="8"/>
  <c r="FT25" i="8"/>
  <c r="FS25" i="8"/>
  <c r="FO25" i="8"/>
  <c r="FN25" i="8"/>
  <c r="FM25" i="8"/>
  <c r="FL25" i="8"/>
  <c r="FK25" i="8"/>
  <c r="FJ25" i="8"/>
  <c r="FI25" i="8"/>
  <c r="FH25" i="8"/>
  <c r="FG25" i="8"/>
  <c r="FF25" i="8"/>
  <c r="FE25" i="8"/>
  <c r="FD25" i="8"/>
  <c r="FA25" i="8"/>
  <c r="EZ25" i="8"/>
  <c r="EY25" i="8"/>
  <c r="EX25" i="8"/>
  <c r="EW25" i="8"/>
  <c r="EV25" i="8"/>
  <c r="EU25" i="8"/>
  <c r="ET25" i="8"/>
  <c r="ES25" i="8"/>
  <c r="ER25" i="8"/>
  <c r="HH24" i="8"/>
  <c r="HG24" i="8"/>
  <c r="HF24" i="8"/>
  <c r="HE24" i="8"/>
  <c r="HD24" i="8"/>
  <c r="HC24" i="8"/>
  <c r="HB24" i="8"/>
  <c r="HA24" i="8"/>
  <c r="GZ24" i="8"/>
  <c r="GY24" i="8"/>
  <c r="GX24" i="8"/>
  <c r="GW24" i="8"/>
  <c r="GV24" i="8"/>
  <c r="GU24" i="8"/>
  <c r="GT24" i="8"/>
  <c r="GS24" i="8"/>
  <c r="GR24" i="8"/>
  <c r="GQ24" i="8"/>
  <c r="GP24" i="8"/>
  <c r="GO24" i="8"/>
  <c r="GN24" i="8"/>
  <c r="GM24" i="8"/>
  <c r="GL24" i="8"/>
  <c r="GK24" i="8"/>
  <c r="GJ24" i="8"/>
  <c r="GI24" i="8"/>
  <c r="GH24" i="8"/>
  <c r="GG24" i="8"/>
  <c r="GF24" i="8"/>
  <c r="GE24" i="8"/>
  <c r="GD24" i="8"/>
  <c r="GC24" i="8"/>
  <c r="GB24" i="8"/>
  <c r="GA24" i="8"/>
  <c r="FZ24" i="8"/>
  <c r="FY24" i="8"/>
  <c r="FX24" i="8"/>
  <c r="FW24" i="8"/>
  <c r="FV24" i="8"/>
  <c r="FU24" i="8"/>
  <c r="FT24" i="8"/>
  <c r="FS24" i="8"/>
  <c r="FO24" i="8"/>
  <c r="FN24" i="8"/>
  <c r="FM24" i="8"/>
  <c r="FL24" i="8"/>
  <c r="FK24" i="8"/>
  <c r="FJ24" i="8"/>
  <c r="FI24" i="8"/>
  <c r="FH24" i="8"/>
  <c r="FG24" i="8"/>
  <c r="FF24" i="8"/>
  <c r="FE24" i="8"/>
  <c r="FD24" i="8"/>
  <c r="FA24" i="8"/>
  <c r="EZ24" i="8"/>
  <c r="EY24" i="8"/>
  <c r="EX24" i="8"/>
  <c r="EW24" i="8"/>
  <c r="EV24" i="8"/>
  <c r="EU24" i="8"/>
  <c r="ET24" i="8"/>
  <c r="ES24" i="8"/>
  <c r="ER24" i="8"/>
  <c r="HH23" i="8"/>
  <c r="HG23" i="8"/>
  <c r="HF23" i="8"/>
  <c r="HE23" i="8"/>
  <c r="HD23" i="8"/>
  <c r="HC23" i="8"/>
  <c r="HB23" i="8"/>
  <c r="HA23" i="8"/>
  <c r="GZ23" i="8"/>
  <c r="GY23" i="8"/>
  <c r="GX23" i="8"/>
  <c r="GW23" i="8"/>
  <c r="GV23" i="8"/>
  <c r="GU23" i="8"/>
  <c r="GT23" i="8"/>
  <c r="GS23" i="8"/>
  <c r="GR23" i="8"/>
  <c r="GQ23" i="8"/>
  <c r="GP23" i="8"/>
  <c r="GO23" i="8"/>
  <c r="GN23" i="8"/>
  <c r="GM23" i="8"/>
  <c r="GL23" i="8"/>
  <c r="GK23" i="8"/>
  <c r="GJ23" i="8"/>
  <c r="GI23" i="8"/>
  <c r="GH23" i="8"/>
  <c r="GG23" i="8"/>
  <c r="GF23" i="8"/>
  <c r="GE23" i="8"/>
  <c r="GD23" i="8"/>
  <c r="GC23" i="8"/>
  <c r="GB23" i="8"/>
  <c r="GA23" i="8"/>
  <c r="FZ23" i="8"/>
  <c r="FY23" i="8"/>
  <c r="FX23" i="8"/>
  <c r="FW23" i="8"/>
  <c r="FV23" i="8"/>
  <c r="FU23" i="8"/>
  <c r="FT23" i="8"/>
  <c r="FS23" i="8"/>
  <c r="FO23" i="8"/>
  <c r="FN23" i="8"/>
  <c r="FM23" i="8"/>
  <c r="FL23" i="8"/>
  <c r="FK23" i="8"/>
  <c r="FJ23" i="8"/>
  <c r="FI23" i="8"/>
  <c r="FH23" i="8"/>
  <c r="FG23" i="8"/>
  <c r="FF23" i="8"/>
  <c r="FE23" i="8"/>
  <c r="FD23" i="8"/>
  <c r="FA23" i="8"/>
  <c r="EZ23" i="8"/>
  <c r="EY23" i="8"/>
  <c r="EX23" i="8"/>
  <c r="EW23" i="8"/>
  <c r="EV23" i="8"/>
  <c r="EU23" i="8"/>
  <c r="ET23" i="8"/>
  <c r="ES23" i="8"/>
  <c r="ER23" i="8"/>
  <c r="HH22" i="8"/>
  <c r="HG22" i="8"/>
  <c r="HF22" i="8"/>
  <c r="HE22" i="8"/>
  <c r="HD22" i="8"/>
  <c r="HC22" i="8"/>
  <c r="HB22" i="8"/>
  <c r="HA22" i="8"/>
  <c r="GZ22" i="8"/>
  <c r="GY22" i="8"/>
  <c r="GX22" i="8"/>
  <c r="GW22" i="8"/>
  <c r="GV22" i="8"/>
  <c r="GU22" i="8"/>
  <c r="GT22" i="8"/>
  <c r="GS22" i="8"/>
  <c r="GR22" i="8"/>
  <c r="GQ22" i="8"/>
  <c r="GP22" i="8"/>
  <c r="GO22" i="8"/>
  <c r="GN22" i="8"/>
  <c r="GM22" i="8"/>
  <c r="GL22" i="8"/>
  <c r="GK22" i="8"/>
  <c r="GJ22" i="8"/>
  <c r="GI22" i="8"/>
  <c r="GH22" i="8"/>
  <c r="GG22" i="8"/>
  <c r="GF22" i="8"/>
  <c r="GE22" i="8"/>
  <c r="GD22" i="8"/>
  <c r="GC22" i="8"/>
  <c r="GB22" i="8"/>
  <c r="GA22" i="8"/>
  <c r="FZ22" i="8"/>
  <c r="FY22" i="8"/>
  <c r="FX22" i="8"/>
  <c r="FW22" i="8"/>
  <c r="FV22" i="8"/>
  <c r="FU22" i="8"/>
  <c r="FT22" i="8"/>
  <c r="FS22" i="8"/>
  <c r="FO22" i="8"/>
  <c r="FN22" i="8"/>
  <c r="FM22" i="8"/>
  <c r="FL22" i="8"/>
  <c r="FK22" i="8"/>
  <c r="FJ22" i="8"/>
  <c r="FI22" i="8"/>
  <c r="FH22" i="8"/>
  <c r="FG22" i="8"/>
  <c r="FF22" i="8"/>
  <c r="FE22" i="8"/>
  <c r="FD22" i="8"/>
  <c r="FA22" i="8"/>
  <c r="EZ22" i="8"/>
  <c r="EY22" i="8"/>
  <c r="EX22" i="8"/>
  <c r="EW22" i="8"/>
  <c r="EV22" i="8"/>
  <c r="EU22" i="8"/>
  <c r="ET22" i="8"/>
  <c r="ES22" i="8"/>
  <c r="ER22" i="8"/>
  <c r="HH21" i="8"/>
  <c r="HG21" i="8"/>
  <c r="HF21" i="8"/>
  <c r="HE21" i="8"/>
  <c r="HD21" i="8"/>
  <c r="HC21" i="8"/>
  <c r="HB21" i="8"/>
  <c r="HA21" i="8"/>
  <c r="GZ21" i="8"/>
  <c r="GY21" i="8"/>
  <c r="GX21" i="8"/>
  <c r="GW21" i="8"/>
  <c r="GV21" i="8"/>
  <c r="GU21" i="8"/>
  <c r="GT21" i="8"/>
  <c r="GS21" i="8"/>
  <c r="GR21" i="8"/>
  <c r="GQ21" i="8"/>
  <c r="GP21" i="8"/>
  <c r="GO21" i="8"/>
  <c r="GN21" i="8"/>
  <c r="GM21" i="8"/>
  <c r="GL21" i="8"/>
  <c r="GK21" i="8"/>
  <c r="GJ21" i="8"/>
  <c r="GI21" i="8"/>
  <c r="GH21" i="8"/>
  <c r="GG21" i="8"/>
  <c r="GF21" i="8"/>
  <c r="GE21" i="8"/>
  <c r="GD21" i="8"/>
  <c r="GC21" i="8"/>
  <c r="GB21" i="8"/>
  <c r="GA21" i="8"/>
  <c r="FZ21" i="8"/>
  <c r="FY21" i="8"/>
  <c r="FX21" i="8"/>
  <c r="FW21" i="8"/>
  <c r="FV21" i="8"/>
  <c r="FU21" i="8"/>
  <c r="FT21" i="8"/>
  <c r="FS21" i="8"/>
  <c r="FO21" i="8"/>
  <c r="FN21" i="8"/>
  <c r="FM21" i="8"/>
  <c r="FL21" i="8"/>
  <c r="FK21" i="8"/>
  <c r="FJ21" i="8"/>
  <c r="FI21" i="8"/>
  <c r="FH21" i="8"/>
  <c r="FG21" i="8"/>
  <c r="FF21" i="8"/>
  <c r="FE21" i="8"/>
  <c r="FD21" i="8"/>
  <c r="FA21" i="8"/>
  <c r="EZ21" i="8"/>
  <c r="EY21" i="8"/>
  <c r="EX21" i="8"/>
  <c r="EW21" i="8"/>
  <c r="EV21" i="8"/>
  <c r="EU21" i="8"/>
  <c r="ET21" i="8"/>
  <c r="ES21" i="8"/>
  <c r="ER21" i="8"/>
  <c r="HH20" i="8"/>
  <c r="HG20" i="8"/>
  <c r="HF20" i="8"/>
  <c r="HE20" i="8"/>
  <c r="HD20" i="8"/>
  <c r="HC20" i="8"/>
  <c r="HB20" i="8"/>
  <c r="HA20" i="8"/>
  <c r="GZ20" i="8"/>
  <c r="GY20" i="8"/>
  <c r="GX20" i="8"/>
  <c r="GW20" i="8"/>
  <c r="GV20" i="8"/>
  <c r="GU20" i="8"/>
  <c r="GT20" i="8"/>
  <c r="GS20" i="8"/>
  <c r="GR20" i="8"/>
  <c r="GQ20" i="8"/>
  <c r="GP20" i="8"/>
  <c r="GO20" i="8"/>
  <c r="GN20" i="8"/>
  <c r="GM20" i="8"/>
  <c r="GL20" i="8"/>
  <c r="GK20" i="8"/>
  <c r="GJ20" i="8"/>
  <c r="GI20" i="8"/>
  <c r="GH20" i="8"/>
  <c r="GG20" i="8"/>
  <c r="GF20" i="8"/>
  <c r="GE20" i="8"/>
  <c r="GD20" i="8"/>
  <c r="GC20" i="8"/>
  <c r="GB20" i="8"/>
  <c r="GA20" i="8"/>
  <c r="FZ20" i="8"/>
  <c r="FY20" i="8"/>
  <c r="FX20" i="8"/>
  <c r="FW20" i="8"/>
  <c r="FV20" i="8"/>
  <c r="FU20" i="8"/>
  <c r="FT20" i="8"/>
  <c r="FS20" i="8"/>
  <c r="FO20" i="8"/>
  <c r="FN20" i="8"/>
  <c r="FM20" i="8"/>
  <c r="FL20" i="8"/>
  <c r="FK20" i="8"/>
  <c r="FJ20" i="8"/>
  <c r="FI20" i="8"/>
  <c r="FH20" i="8"/>
  <c r="FG20" i="8"/>
  <c r="FF20" i="8"/>
  <c r="FE20" i="8"/>
  <c r="FD20" i="8"/>
  <c r="FA20" i="8"/>
  <c r="EZ20" i="8"/>
  <c r="EY20" i="8"/>
  <c r="EX20" i="8"/>
  <c r="EW20" i="8"/>
  <c r="EV20" i="8"/>
  <c r="EU20" i="8"/>
  <c r="ET20" i="8"/>
  <c r="ES20" i="8"/>
  <c r="ER20" i="8"/>
  <c r="HH19" i="8"/>
  <c r="HG19" i="8"/>
  <c r="HF19" i="8"/>
  <c r="HE19" i="8"/>
  <c r="HD19" i="8"/>
  <c r="HC19" i="8"/>
  <c r="HB19" i="8"/>
  <c r="HA19" i="8"/>
  <c r="GZ19" i="8"/>
  <c r="GY19" i="8"/>
  <c r="GX19" i="8"/>
  <c r="GW19" i="8"/>
  <c r="GV19" i="8"/>
  <c r="GU19" i="8"/>
  <c r="GT19" i="8"/>
  <c r="GS19" i="8"/>
  <c r="GR19" i="8"/>
  <c r="GQ19" i="8"/>
  <c r="GP19" i="8"/>
  <c r="GO19" i="8"/>
  <c r="GN19" i="8"/>
  <c r="GM19" i="8"/>
  <c r="GL19" i="8"/>
  <c r="GK19" i="8"/>
  <c r="GJ19" i="8"/>
  <c r="GI19" i="8"/>
  <c r="GH19" i="8"/>
  <c r="GG19" i="8"/>
  <c r="GF19" i="8"/>
  <c r="GE19" i="8"/>
  <c r="GD19" i="8"/>
  <c r="GC19" i="8"/>
  <c r="GB19" i="8"/>
  <c r="GA19" i="8"/>
  <c r="FZ19" i="8"/>
  <c r="FY19" i="8"/>
  <c r="FX19" i="8"/>
  <c r="FW19" i="8"/>
  <c r="FV19" i="8"/>
  <c r="FU19" i="8"/>
  <c r="FT19" i="8"/>
  <c r="FS19" i="8"/>
  <c r="FO19" i="8"/>
  <c r="FN19" i="8"/>
  <c r="FM19" i="8"/>
  <c r="FL19" i="8"/>
  <c r="FK19" i="8"/>
  <c r="FJ19" i="8"/>
  <c r="FI19" i="8"/>
  <c r="FH19" i="8"/>
  <c r="FG19" i="8"/>
  <c r="FF19" i="8"/>
  <c r="FE19" i="8"/>
  <c r="FD19" i="8"/>
  <c r="FA19" i="8"/>
  <c r="EZ19" i="8"/>
  <c r="EY19" i="8"/>
  <c r="EX19" i="8"/>
  <c r="EW19" i="8"/>
  <c r="EV19" i="8"/>
  <c r="EU19" i="8"/>
  <c r="ET19" i="8"/>
  <c r="ES19" i="8"/>
  <c r="ER19" i="8"/>
  <c r="HH18" i="8"/>
  <c r="HG18" i="8"/>
  <c r="HF18" i="8"/>
  <c r="HE18" i="8"/>
  <c r="HD18" i="8"/>
  <c r="HC18" i="8"/>
  <c r="HB18" i="8"/>
  <c r="HA18" i="8"/>
  <c r="GZ18" i="8"/>
  <c r="GY18" i="8"/>
  <c r="GX18" i="8"/>
  <c r="GW18" i="8"/>
  <c r="GV18" i="8"/>
  <c r="GU18" i="8"/>
  <c r="GT18" i="8"/>
  <c r="GS18" i="8"/>
  <c r="GR18" i="8"/>
  <c r="GQ18" i="8"/>
  <c r="GP18" i="8"/>
  <c r="GO18" i="8"/>
  <c r="GN18" i="8"/>
  <c r="GM18" i="8"/>
  <c r="GL18" i="8"/>
  <c r="GK18" i="8"/>
  <c r="GJ18" i="8"/>
  <c r="GI18" i="8"/>
  <c r="GH18" i="8"/>
  <c r="GG18" i="8"/>
  <c r="GF18" i="8"/>
  <c r="GE18" i="8"/>
  <c r="GD18" i="8"/>
  <c r="GC18" i="8"/>
  <c r="GB18" i="8"/>
  <c r="GA18" i="8"/>
  <c r="FZ18" i="8"/>
  <c r="FY18" i="8"/>
  <c r="FX18" i="8"/>
  <c r="FW18" i="8"/>
  <c r="FV18" i="8"/>
  <c r="FU18" i="8"/>
  <c r="FT18" i="8"/>
  <c r="FS18" i="8"/>
  <c r="FO18" i="8"/>
  <c r="FN18" i="8"/>
  <c r="FM18" i="8"/>
  <c r="FL18" i="8"/>
  <c r="FK18" i="8"/>
  <c r="FJ18" i="8"/>
  <c r="FI18" i="8"/>
  <c r="FH18" i="8"/>
  <c r="FG18" i="8"/>
  <c r="FF18" i="8"/>
  <c r="FE18" i="8"/>
  <c r="FD18" i="8"/>
  <c r="FA18" i="8"/>
  <c r="EZ18" i="8"/>
  <c r="EY18" i="8"/>
  <c r="EX18" i="8"/>
  <c r="EW18" i="8"/>
  <c r="EV18" i="8"/>
  <c r="EU18" i="8"/>
  <c r="ET18" i="8"/>
  <c r="ES18" i="8"/>
  <c r="ER18" i="8"/>
  <c r="HH17" i="8"/>
  <c r="HG17" i="8"/>
  <c r="HF17" i="8"/>
  <c r="HE17" i="8"/>
  <c r="HD17" i="8"/>
  <c r="HC17" i="8"/>
  <c r="HB17" i="8"/>
  <c r="HA17" i="8"/>
  <c r="GZ17" i="8"/>
  <c r="GY17" i="8"/>
  <c r="GX17" i="8"/>
  <c r="GW17" i="8"/>
  <c r="GV17" i="8"/>
  <c r="GU17" i="8"/>
  <c r="GT17" i="8"/>
  <c r="GS17" i="8"/>
  <c r="GR17" i="8"/>
  <c r="GQ17" i="8"/>
  <c r="GP17" i="8"/>
  <c r="GO17" i="8"/>
  <c r="GN17" i="8"/>
  <c r="GM17" i="8"/>
  <c r="GL17" i="8"/>
  <c r="GK17" i="8"/>
  <c r="GJ17" i="8"/>
  <c r="GI17" i="8"/>
  <c r="GH17" i="8"/>
  <c r="GG17" i="8"/>
  <c r="GF17" i="8"/>
  <c r="GE17" i="8"/>
  <c r="GD17" i="8"/>
  <c r="GC17" i="8"/>
  <c r="GB17" i="8"/>
  <c r="GA17" i="8"/>
  <c r="FZ17" i="8"/>
  <c r="FY17" i="8"/>
  <c r="FX17" i="8"/>
  <c r="FW17" i="8"/>
  <c r="FV17" i="8"/>
  <c r="FU17" i="8"/>
  <c r="FT17" i="8"/>
  <c r="FS17" i="8"/>
  <c r="FO17" i="8"/>
  <c r="FN17" i="8"/>
  <c r="FM17" i="8"/>
  <c r="FL17" i="8"/>
  <c r="FK17" i="8"/>
  <c r="FJ17" i="8"/>
  <c r="FI17" i="8"/>
  <c r="FH17" i="8"/>
  <c r="FG17" i="8"/>
  <c r="FF17" i="8"/>
  <c r="FE17" i="8"/>
  <c r="FD17" i="8"/>
  <c r="FA17" i="8"/>
  <c r="EZ17" i="8"/>
  <c r="EY17" i="8"/>
  <c r="EX17" i="8"/>
  <c r="EW17" i="8"/>
  <c r="EV17" i="8"/>
  <c r="EU17" i="8"/>
  <c r="ET17" i="8"/>
  <c r="ES17" i="8"/>
  <c r="ER17" i="8"/>
  <c r="HH16" i="8"/>
  <c r="HG16" i="8"/>
  <c r="HF16" i="8"/>
  <c r="HE16" i="8"/>
  <c r="HD16" i="8"/>
  <c r="HC16" i="8"/>
  <c r="HB16" i="8"/>
  <c r="HA16" i="8"/>
  <c r="GZ16" i="8"/>
  <c r="GY16" i="8"/>
  <c r="GX16" i="8"/>
  <c r="GW16" i="8"/>
  <c r="GV16" i="8"/>
  <c r="GU16" i="8"/>
  <c r="GT16" i="8"/>
  <c r="GS16" i="8"/>
  <c r="GR16" i="8"/>
  <c r="GQ16" i="8"/>
  <c r="GP16" i="8"/>
  <c r="GO16" i="8"/>
  <c r="GN16" i="8"/>
  <c r="GM16" i="8"/>
  <c r="GL16" i="8"/>
  <c r="GK16" i="8"/>
  <c r="GJ16" i="8"/>
  <c r="GI16" i="8"/>
  <c r="GH16" i="8"/>
  <c r="GG16" i="8"/>
  <c r="GF16" i="8"/>
  <c r="GE16" i="8"/>
  <c r="GD16" i="8"/>
  <c r="GC16" i="8"/>
  <c r="GB16" i="8"/>
  <c r="GA16" i="8"/>
  <c r="FZ16" i="8"/>
  <c r="FY16" i="8"/>
  <c r="FX16" i="8"/>
  <c r="FW16" i="8"/>
  <c r="FV16" i="8"/>
  <c r="FU16" i="8"/>
  <c r="FT16" i="8"/>
  <c r="FS16" i="8"/>
  <c r="FO16" i="8"/>
  <c r="FN16" i="8"/>
  <c r="FM16" i="8"/>
  <c r="FL16" i="8"/>
  <c r="FK16" i="8"/>
  <c r="FJ16" i="8"/>
  <c r="FI16" i="8"/>
  <c r="FH16" i="8"/>
  <c r="FG16" i="8"/>
  <c r="FF16" i="8"/>
  <c r="FE16" i="8"/>
  <c r="FD16" i="8"/>
  <c r="FA16" i="8"/>
  <c r="EZ16" i="8"/>
  <c r="EY16" i="8"/>
  <c r="EX16" i="8"/>
  <c r="EW16" i="8"/>
  <c r="EV16" i="8"/>
  <c r="EU16" i="8"/>
  <c r="ET16" i="8"/>
  <c r="ES16" i="8"/>
  <c r="ER16" i="8"/>
  <c r="HH15" i="8"/>
  <c r="HG15" i="8"/>
  <c r="HB15" i="8"/>
  <c r="HA15" i="8"/>
  <c r="GZ15" i="8"/>
  <c r="GY15" i="8"/>
  <c r="GX15" i="8"/>
  <c r="GW15" i="8"/>
  <c r="GV15" i="8"/>
  <c r="GU15" i="8"/>
  <c r="GT15" i="8"/>
  <c r="GS15" i="8"/>
  <c r="GR15" i="8"/>
  <c r="GQ15" i="8"/>
  <c r="GP15" i="8"/>
  <c r="GO15" i="8"/>
  <c r="GN15" i="8"/>
  <c r="GM15" i="8"/>
  <c r="GI15" i="8"/>
  <c r="GH15" i="8"/>
  <c r="GG15" i="8"/>
  <c r="GF15" i="8"/>
  <c r="GE15" i="8"/>
  <c r="GD15" i="8"/>
  <c r="GC15" i="8"/>
  <c r="FW15" i="8"/>
  <c r="FV15" i="8"/>
  <c r="FU15" i="8"/>
  <c r="FO15" i="8"/>
  <c r="FN15" i="8"/>
  <c r="FM15" i="8"/>
  <c r="FL15" i="8"/>
  <c r="FK15" i="8"/>
  <c r="FJ15" i="8"/>
  <c r="FI15" i="8"/>
  <c r="FH15" i="8"/>
  <c r="FG15" i="8"/>
  <c r="FF15" i="8"/>
  <c r="FE15" i="8"/>
  <c r="FA15" i="8"/>
  <c r="EZ15" i="8"/>
  <c r="EY15" i="8"/>
  <c r="EX15" i="8"/>
  <c r="EW15" i="8"/>
  <c r="EV15" i="8"/>
  <c r="EU15" i="8"/>
  <c r="ET15" i="8"/>
  <c r="HH14" i="8"/>
  <c r="HG14" i="8"/>
  <c r="HB14" i="8"/>
  <c r="HA14" i="8"/>
  <c r="GZ14" i="8"/>
  <c r="GY14" i="8"/>
  <c r="GX14" i="8"/>
  <c r="GW14" i="8"/>
  <c r="GV14" i="8"/>
  <c r="GU14" i="8"/>
  <c r="GT14" i="8"/>
  <c r="GS14" i="8"/>
  <c r="GR14" i="8"/>
  <c r="GQ14" i="8"/>
  <c r="GP14" i="8"/>
  <c r="GO14" i="8"/>
  <c r="GN14" i="8"/>
  <c r="GM14" i="8"/>
  <c r="GI14" i="8"/>
  <c r="GH14" i="8"/>
  <c r="GG14" i="8"/>
  <c r="GF14" i="8"/>
  <c r="GE14" i="8"/>
  <c r="GD14" i="8"/>
  <c r="GC14" i="8"/>
  <c r="FW14" i="8"/>
  <c r="FV14" i="8"/>
  <c r="FU14" i="8"/>
  <c r="FO14" i="8"/>
  <c r="FN14" i="8"/>
  <c r="FM14" i="8"/>
  <c r="FL14" i="8"/>
  <c r="FK14" i="8"/>
  <c r="FJ14" i="8"/>
  <c r="FI14" i="8"/>
  <c r="FH14" i="8"/>
  <c r="FG14" i="8"/>
  <c r="FF14" i="8"/>
  <c r="FE14" i="8"/>
  <c r="FA14" i="8"/>
  <c r="EZ14" i="8"/>
  <c r="EY14" i="8"/>
  <c r="EX14" i="8"/>
  <c r="EW14" i="8"/>
  <c r="EV14" i="8"/>
  <c r="EU14" i="8"/>
  <c r="ET14" i="8"/>
  <c r="EO44" i="8"/>
  <c r="EN44" i="8"/>
  <c r="EM44" i="8"/>
  <c r="EL44" i="8"/>
  <c r="EK44" i="8"/>
  <c r="EJ44" i="8"/>
  <c r="EI44" i="8"/>
  <c r="EH44" i="8"/>
  <c r="EG44" i="8"/>
  <c r="EF44" i="8"/>
  <c r="EE44" i="8"/>
  <c r="ED44" i="8"/>
  <c r="EC44" i="8"/>
  <c r="EB44" i="8"/>
  <c r="EA44" i="8"/>
  <c r="DZ44" i="8"/>
  <c r="DY44" i="8"/>
  <c r="DX44" i="8"/>
  <c r="DW44" i="8"/>
  <c r="DV44" i="8"/>
  <c r="DU44" i="8"/>
  <c r="DT44" i="8"/>
  <c r="DS44" i="8"/>
  <c r="DR44" i="8"/>
  <c r="DQ44" i="8"/>
  <c r="DO44" i="8"/>
  <c r="DN44" i="8"/>
  <c r="DM44" i="8"/>
  <c r="DL44" i="8"/>
  <c r="EO43" i="8"/>
  <c r="EN43" i="8"/>
  <c r="EM43" i="8"/>
  <c r="EL43" i="8"/>
  <c r="EK43" i="8"/>
  <c r="EJ43" i="8"/>
  <c r="EI43" i="8"/>
  <c r="EH43" i="8"/>
  <c r="EG43" i="8"/>
  <c r="EF43" i="8"/>
  <c r="EE43" i="8"/>
  <c r="ED43" i="8"/>
  <c r="EC43" i="8"/>
  <c r="EB43" i="8"/>
  <c r="EA43" i="8"/>
  <c r="DZ43" i="8"/>
  <c r="DY43" i="8"/>
  <c r="DX43" i="8"/>
  <c r="DW43" i="8"/>
  <c r="DV43" i="8"/>
  <c r="DU43" i="8"/>
  <c r="DT43" i="8"/>
  <c r="DS43" i="8"/>
  <c r="DR43" i="8"/>
  <c r="DQ43" i="8"/>
  <c r="DO43" i="8"/>
  <c r="DN43" i="8"/>
  <c r="DM43" i="8"/>
  <c r="DL43" i="8"/>
  <c r="EO42" i="8"/>
  <c r="EN42" i="8"/>
  <c r="EM42" i="8"/>
  <c r="EL42" i="8"/>
  <c r="EK42" i="8"/>
  <c r="EJ42" i="8"/>
  <c r="EI42" i="8"/>
  <c r="EH42" i="8"/>
  <c r="EG42" i="8"/>
  <c r="EF42" i="8"/>
  <c r="EE42" i="8"/>
  <c r="ED42" i="8"/>
  <c r="EC42" i="8"/>
  <c r="EB42" i="8"/>
  <c r="EA42" i="8"/>
  <c r="DZ42" i="8"/>
  <c r="DY42" i="8"/>
  <c r="DX42" i="8"/>
  <c r="DW42" i="8"/>
  <c r="DV42" i="8"/>
  <c r="DU42" i="8"/>
  <c r="DT42" i="8"/>
  <c r="DS42" i="8"/>
  <c r="DR42" i="8"/>
  <c r="DQ42" i="8"/>
  <c r="DO42" i="8"/>
  <c r="DN42" i="8"/>
  <c r="DM42" i="8"/>
  <c r="DL42" i="8"/>
  <c r="EO41" i="8"/>
  <c r="EN41" i="8"/>
  <c r="EM41" i="8"/>
  <c r="EL41" i="8"/>
  <c r="EK41" i="8"/>
  <c r="EJ41" i="8"/>
  <c r="EI41" i="8"/>
  <c r="EH41" i="8"/>
  <c r="EG41" i="8"/>
  <c r="EF41" i="8"/>
  <c r="EE41" i="8"/>
  <c r="ED41" i="8"/>
  <c r="EC41" i="8"/>
  <c r="EB41" i="8"/>
  <c r="EA41" i="8"/>
  <c r="DZ41" i="8"/>
  <c r="DY41" i="8"/>
  <c r="DX41" i="8"/>
  <c r="DW41" i="8"/>
  <c r="DV41" i="8"/>
  <c r="DU41" i="8"/>
  <c r="DT41" i="8"/>
  <c r="DS41" i="8"/>
  <c r="DR41" i="8"/>
  <c r="DQ41" i="8"/>
  <c r="DO41" i="8"/>
  <c r="DN41" i="8"/>
  <c r="DM41" i="8"/>
  <c r="DL41" i="8"/>
  <c r="EO40" i="8"/>
  <c r="EN40" i="8"/>
  <c r="EM40" i="8"/>
  <c r="EL40" i="8"/>
  <c r="EK40" i="8"/>
  <c r="EJ40" i="8"/>
  <c r="EI40" i="8"/>
  <c r="EH40" i="8"/>
  <c r="EG40" i="8"/>
  <c r="EF40" i="8"/>
  <c r="EE40" i="8"/>
  <c r="ED40" i="8"/>
  <c r="EC40" i="8"/>
  <c r="EB40" i="8"/>
  <c r="EA40" i="8"/>
  <c r="DZ40" i="8"/>
  <c r="DY40" i="8"/>
  <c r="DX40" i="8"/>
  <c r="DW40" i="8"/>
  <c r="DV40" i="8"/>
  <c r="DU40" i="8"/>
  <c r="DT40" i="8"/>
  <c r="DS40" i="8"/>
  <c r="DR40" i="8"/>
  <c r="DQ40" i="8"/>
  <c r="DO40" i="8"/>
  <c r="DN40" i="8"/>
  <c r="DM40" i="8"/>
  <c r="DL40" i="8"/>
  <c r="EO39" i="8"/>
  <c r="EN39" i="8"/>
  <c r="EM39" i="8"/>
  <c r="EL39" i="8"/>
  <c r="EK39" i="8"/>
  <c r="EJ39" i="8"/>
  <c r="EI39" i="8"/>
  <c r="EH39" i="8"/>
  <c r="EG39" i="8"/>
  <c r="EF39" i="8"/>
  <c r="EE39" i="8"/>
  <c r="ED39" i="8"/>
  <c r="EC39" i="8"/>
  <c r="EB39" i="8"/>
  <c r="EA39" i="8"/>
  <c r="DZ39" i="8"/>
  <c r="DY39" i="8"/>
  <c r="DX39" i="8"/>
  <c r="DW39" i="8"/>
  <c r="DV39" i="8"/>
  <c r="DU39" i="8"/>
  <c r="DT39" i="8"/>
  <c r="DS39" i="8"/>
  <c r="DR39" i="8"/>
  <c r="DQ39" i="8"/>
  <c r="DO39" i="8"/>
  <c r="DN39" i="8"/>
  <c r="DM39" i="8"/>
  <c r="DL39" i="8"/>
  <c r="EO38" i="8"/>
  <c r="EN38" i="8"/>
  <c r="EM38" i="8"/>
  <c r="EL38" i="8"/>
  <c r="EK38" i="8"/>
  <c r="EJ38" i="8"/>
  <c r="EI38" i="8"/>
  <c r="EH38" i="8"/>
  <c r="EG38" i="8"/>
  <c r="EF38" i="8"/>
  <c r="EE38" i="8"/>
  <c r="ED38" i="8"/>
  <c r="EC38" i="8"/>
  <c r="EB38" i="8"/>
  <c r="EA38" i="8"/>
  <c r="DZ38" i="8"/>
  <c r="DY38" i="8"/>
  <c r="DX38" i="8"/>
  <c r="DW38" i="8"/>
  <c r="DV38" i="8"/>
  <c r="DU38" i="8"/>
  <c r="DT38" i="8"/>
  <c r="DS38" i="8"/>
  <c r="DR38" i="8"/>
  <c r="DQ38" i="8"/>
  <c r="DO38" i="8"/>
  <c r="DN38" i="8"/>
  <c r="DM38" i="8"/>
  <c r="DL38" i="8"/>
  <c r="EO37" i="8"/>
  <c r="EN37" i="8"/>
  <c r="EM37" i="8"/>
  <c r="EL37" i="8"/>
  <c r="EK37" i="8"/>
  <c r="EJ37" i="8"/>
  <c r="EI37" i="8"/>
  <c r="EH37" i="8"/>
  <c r="EG37" i="8"/>
  <c r="EF37" i="8"/>
  <c r="EE37" i="8"/>
  <c r="ED37" i="8"/>
  <c r="EC37" i="8"/>
  <c r="EB37" i="8"/>
  <c r="EA37" i="8"/>
  <c r="DZ37" i="8"/>
  <c r="DY37" i="8"/>
  <c r="DX37" i="8"/>
  <c r="DW37" i="8"/>
  <c r="DV37" i="8"/>
  <c r="DU37" i="8"/>
  <c r="DT37" i="8"/>
  <c r="DS37" i="8"/>
  <c r="DR37" i="8"/>
  <c r="DQ37" i="8"/>
  <c r="DO37" i="8"/>
  <c r="DN37" i="8"/>
  <c r="DM37" i="8"/>
  <c r="DL37" i="8"/>
  <c r="EO36" i="8"/>
  <c r="EN36" i="8"/>
  <c r="EM36" i="8"/>
  <c r="EL36" i="8"/>
  <c r="EK36" i="8"/>
  <c r="EJ36" i="8"/>
  <c r="EI36" i="8"/>
  <c r="EH36" i="8"/>
  <c r="EG36" i="8"/>
  <c r="EF36" i="8"/>
  <c r="EE36" i="8"/>
  <c r="ED36" i="8"/>
  <c r="EC36" i="8"/>
  <c r="EB36" i="8"/>
  <c r="EA36" i="8"/>
  <c r="DZ36" i="8"/>
  <c r="DY36" i="8"/>
  <c r="DX36" i="8"/>
  <c r="DW36" i="8"/>
  <c r="DV36" i="8"/>
  <c r="DU36" i="8"/>
  <c r="DT36" i="8"/>
  <c r="DS36" i="8"/>
  <c r="DR36" i="8"/>
  <c r="DQ36" i="8"/>
  <c r="DO36" i="8"/>
  <c r="DN36" i="8"/>
  <c r="DM36" i="8"/>
  <c r="DL36" i="8"/>
  <c r="EO35" i="8"/>
  <c r="EN35" i="8"/>
  <c r="EM35" i="8"/>
  <c r="EL35" i="8"/>
  <c r="EK35" i="8"/>
  <c r="EJ35" i="8"/>
  <c r="EI35" i="8"/>
  <c r="EH35" i="8"/>
  <c r="EG35" i="8"/>
  <c r="EF35" i="8"/>
  <c r="EE35" i="8"/>
  <c r="ED35" i="8"/>
  <c r="EC35" i="8"/>
  <c r="EB35" i="8"/>
  <c r="EA35" i="8"/>
  <c r="DZ35" i="8"/>
  <c r="DY35" i="8"/>
  <c r="DX35" i="8"/>
  <c r="DW35" i="8"/>
  <c r="DV35" i="8"/>
  <c r="DU35" i="8"/>
  <c r="DT35" i="8"/>
  <c r="DS35" i="8"/>
  <c r="DR35" i="8"/>
  <c r="DQ35" i="8"/>
  <c r="DO35" i="8"/>
  <c r="DN35" i="8"/>
  <c r="DM35" i="8"/>
  <c r="DL35" i="8"/>
  <c r="EO34" i="8"/>
  <c r="EN34" i="8"/>
  <c r="EM34" i="8"/>
  <c r="EL34" i="8"/>
  <c r="EK34" i="8"/>
  <c r="EJ34" i="8"/>
  <c r="EI34" i="8"/>
  <c r="EH34" i="8"/>
  <c r="EG34" i="8"/>
  <c r="EF34" i="8"/>
  <c r="EE34" i="8"/>
  <c r="ED34" i="8"/>
  <c r="EC34" i="8"/>
  <c r="EB34" i="8"/>
  <c r="EA34" i="8"/>
  <c r="DZ34" i="8"/>
  <c r="DY34" i="8"/>
  <c r="DX34" i="8"/>
  <c r="DW34" i="8"/>
  <c r="DV34" i="8"/>
  <c r="DU34" i="8"/>
  <c r="DT34" i="8"/>
  <c r="DS34" i="8"/>
  <c r="DR34" i="8"/>
  <c r="DQ34" i="8"/>
  <c r="DO34" i="8"/>
  <c r="DN34" i="8"/>
  <c r="DM34" i="8"/>
  <c r="DL34" i="8"/>
  <c r="EO33" i="8"/>
  <c r="EN33" i="8"/>
  <c r="EM33" i="8"/>
  <c r="EL33" i="8"/>
  <c r="EK33" i="8"/>
  <c r="EJ33" i="8"/>
  <c r="EI33" i="8"/>
  <c r="EH33" i="8"/>
  <c r="EG33" i="8"/>
  <c r="EF33" i="8"/>
  <c r="EE33" i="8"/>
  <c r="ED33" i="8"/>
  <c r="EC33" i="8"/>
  <c r="EB33" i="8"/>
  <c r="EA33" i="8"/>
  <c r="DZ33" i="8"/>
  <c r="DY33" i="8"/>
  <c r="DX33" i="8"/>
  <c r="DW33" i="8"/>
  <c r="DV33" i="8"/>
  <c r="DU33" i="8"/>
  <c r="DT33" i="8"/>
  <c r="DS33" i="8"/>
  <c r="DR33" i="8"/>
  <c r="DQ33" i="8"/>
  <c r="DO33" i="8"/>
  <c r="DN33" i="8"/>
  <c r="DM33" i="8"/>
  <c r="DL33" i="8"/>
  <c r="EO32" i="8"/>
  <c r="EN32" i="8"/>
  <c r="EM32" i="8"/>
  <c r="EL32" i="8"/>
  <c r="EK32" i="8"/>
  <c r="EJ32" i="8"/>
  <c r="EI32" i="8"/>
  <c r="EH32" i="8"/>
  <c r="EG32" i="8"/>
  <c r="EF32" i="8"/>
  <c r="EE32" i="8"/>
  <c r="ED32" i="8"/>
  <c r="EC32" i="8"/>
  <c r="EB32" i="8"/>
  <c r="EA32" i="8"/>
  <c r="DZ32" i="8"/>
  <c r="DY32" i="8"/>
  <c r="DX32" i="8"/>
  <c r="DW32" i="8"/>
  <c r="DV32" i="8"/>
  <c r="DU32" i="8"/>
  <c r="DT32" i="8"/>
  <c r="DS32" i="8"/>
  <c r="DR32" i="8"/>
  <c r="DQ32" i="8"/>
  <c r="DO32" i="8"/>
  <c r="DN32" i="8"/>
  <c r="DM32" i="8"/>
  <c r="DL32" i="8"/>
  <c r="EO31" i="8"/>
  <c r="EN31" i="8"/>
  <c r="EM31" i="8"/>
  <c r="EL31" i="8"/>
  <c r="EK31" i="8"/>
  <c r="EJ31" i="8"/>
  <c r="EI31" i="8"/>
  <c r="EH31" i="8"/>
  <c r="EG31" i="8"/>
  <c r="EF31" i="8"/>
  <c r="EE31" i="8"/>
  <c r="ED31" i="8"/>
  <c r="EC31" i="8"/>
  <c r="EB31" i="8"/>
  <c r="EA31" i="8"/>
  <c r="DZ31" i="8"/>
  <c r="DY31" i="8"/>
  <c r="DX31" i="8"/>
  <c r="DW31" i="8"/>
  <c r="DV31" i="8"/>
  <c r="DU31" i="8"/>
  <c r="DT31" i="8"/>
  <c r="DS31" i="8"/>
  <c r="DR31" i="8"/>
  <c r="DQ31" i="8"/>
  <c r="DO31" i="8"/>
  <c r="DN31" i="8"/>
  <c r="DM31" i="8"/>
  <c r="DL31" i="8"/>
  <c r="EO30" i="8"/>
  <c r="EN30" i="8"/>
  <c r="EM30" i="8"/>
  <c r="EL30" i="8"/>
  <c r="EK30" i="8"/>
  <c r="EJ30" i="8"/>
  <c r="EI30" i="8"/>
  <c r="EH30" i="8"/>
  <c r="EG30" i="8"/>
  <c r="EF30" i="8"/>
  <c r="EE30" i="8"/>
  <c r="ED30" i="8"/>
  <c r="EC30" i="8"/>
  <c r="EB30" i="8"/>
  <c r="EA30" i="8"/>
  <c r="DZ30" i="8"/>
  <c r="DY30" i="8"/>
  <c r="DX30" i="8"/>
  <c r="DW30" i="8"/>
  <c r="DV30" i="8"/>
  <c r="DU30" i="8"/>
  <c r="DT30" i="8"/>
  <c r="DS30" i="8"/>
  <c r="DR30" i="8"/>
  <c r="DQ30" i="8"/>
  <c r="DO30" i="8"/>
  <c r="DN30" i="8"/>
  <c r="DM30" i="8"/>
  <c r="DL30" i="8"/>
  <c r="EO29" i="8"/>
  <c r="EN29" i="8"/>
  <c r="EM29" i="8"/>
  <c r="EL29" i="8"/>
  <c r="EK29" i="8"/>
  <c r="EJ29" i="8"/>
  <c r="EI29" i="8"/>
  <c r="EH29" i="8"/>
  <c r="EG29" i="8"/>
  <c r="EF29" i="8"/>
  <c r="EE29" i="8"/>
  <c r="ED29" i="8"/>
  <c r="EC29" i="8"/>
  <c r="EB29" i="8"/>
  <c r="EA29" i="8"/>
  <c r="DZ29" i="8"/>
  <c r="DY29" i="8"/>
  <c r="DX29" i="8"/>
  <c r="DW29" i="8"/>
  <c r="DV29" i="8"/>
  <c r="DU29" i="8"/>
  <c r="DT29" i="8"/>
  <c r="DS29" i="8"/>
  <c r="DR29" i="8"/>
  <c r="DQ29" i="8"/>
  <c r="DO29" i="8"/>
  <c r="DN29" i="8"/>
  <c r="DM29" i="8"/>
  <c r="DL29" i="8"/>
  <c r="EO28" i="8"/>
  <c r="EN28" i="8"/>
  <c r="EM28" i="8"/>
  <c r="EL28" i="8"/>
  <c r="EK28" i="8"/>
  <c r="EJ28" i="8"/>
  <c r="EI28" i="8"/>
  <c r="EH28" i="8"/>
  <c r="EG28" i="8"/>
  <c r="EF28" i="8"/>
  <c r="EE28" i="8"/>
  <c r="ED28" i="8"/>
  <c r="EC28" i="8"/>
  <c r="EB28" i="8"/>
  <c r="EA28" i="8"/>
  <c r="DZ28" i="8"/>
  <c r="DY28" i="8"/>
  <c r="DX28" i="8"/>
  <c r="DW28" i="8"/>
  <c r="DV28" i="8"/>
  <c r="DU28" i="8"/>
  <c r="DT28" i="8"/>
  <c r="DS28" i="8"/>
  <c r="DR28" i="8"/>
  <c r="DQ28" i="8"/>
  <c r="DO28" i="8"/>
  <c r="DN28" i="8"/>
  <c r="DM28" i="8"/>
  <c r="DL28" i="8"/>
  <c r="EO27" i="8"/>
  <c r="EN27" i="8"/>
  <c r="EM27" i="8"/>
  <c r="EL27" i="8"/>
  <c r="EK27" i="8"/>
  <c r="EJ27" i="8"/>
  <c r="EI27" i="8"/>
  <c r="EH27" i="8"/>
  <c r="EG27" i="8"/>
  <c r="EF27" i="8"/>
  <c r="EE27" i="8"/>
  <c r="ED27" i="8"/>
  <c r="EC27" i="8"/>
  <c r="EB27" i="8"/>
  <c r="EA27" i="8"/>
  <c r="DZ27" i="8"/>
  <c r="DY27" i="8"/>
  <c r="DX27" i="8"/>
  <c r="DW27" i="8"/>
  <c r="DV27" i="8"/>
  <c r="DU27" i="8"/>
  <c r="DT27" i="8"/>
  <c r="DS27" i="8"/>
  <c r="DR27" i="8"/>
  <c r="DQ27" i="8"/>
  <c r="DO27" i="8"/>
  <c r="DN27" i="8"/>
  <c r="DM27" i="8"/>
  <c r="DL27" i="8"/>
  <c r="EO26" i="8"/>
  <c r="EN26" i="8"/>
  <c r="EM26" i="8"/>
  <c r="EL26" i="8"/>
  <c r="EK26" i="8"/>
  <c r="EJ26" i="8"/>
  <c r="EI26" i="8"/>
  <c r="EH26" i="8"/>
  <c r="EG26" i="8"/>
  <c r="EF26" i="8"/>
  <c r="EE26" i="8"/>
  <c r="ED26" i="8"/>
  <c r="EC26" i="8"/>
  <c r="EB26" i="8"/>
  <c r="EA26" i="8"/>
  <c r="DZ26" i="8"/>
  <c r="DY26" i="8"/>
  <c r="DX26" i="8"/>
  <c r="DW26" i="8"/>
  <c r="DV26" i="8"/>
  <c r="DU26" i="8"/>
  <c r="DT26" i="8"/>
  <c r="DS26" i="8"/>
  <c r="DR26" i="8"/>
  <c r="DQ26" i="8"/>
  <c r="DO26" i="8"/>
  <c r="DN26" i="8"/>
  <c r="DM26" i="8"/>
  <c r="DL26" i="8"/>
  <c r="EO25" i="8"/>
  <c r="EN25" i="8"/>
  <c r="EM25" i="8"/>
  <c r="EL25" i="8"/>
  <c r="EK25" i="8"/>
  <c r="EJ25" i="8"/>
  <c r="EI25" i="8"/>
  <c r="EH25" i="8"/>
  <c r="EG25" i="8"/>
  <c r="EF25" i="8"/>
  <c r="EE25" i="8"/>
  <c r="ED25" i="8"/>
  <c r="EC25" i="8"/>
  <c r="EB25" i="8"/>
  <c r="EA25" i="8"/>
  <c r="DZ25" i="8"/>
  <c r="DY25" i="8"/>
  <c r="DX25" i="8"/>
  <c r="DW25" i="8"/>
  <c r="DV25" i="8"/>
  <c r="DU25" i="8"/>
  <c r="DT25" i="8"/>
  <c r="DS25" i="8"/>
  <c r="DR25" i="8"/>
  <c r="DQ25" i="8"/>
  <c r="DO25" i="8"/>
  <c r="DN25" i="8"/>
  <c r="DM25" i="8"/>
  <c r="DL25" i="8"/>
  <c r="EO24" i="8"/>
  <c r="EN24" i="8"/>
  <c r="EM24" i="8"/>
  <c r="EL24" i="8"/>
  <c r="EK24" i="8"/>
  <c r="EJ24" i="8"/>
  <c r="EI24" i="8"/>
  <c r="EH24" i="8"/>
  <c r="EG24" i="8"/>
  <c r="EF24" i="8"/>
  <c r="EE24" i="8"/>
  <c r="ED24" i="8"/>
  <c r="EC24" i="8"/>
  <c r="EB24" i="8"/>
  <c r="EA24" i="8"/>
  <c r="DZ24" i="8"/>
  <c r="DY24" i="8"/>
  <c r="DX24" i="8"/>
  <c r="DW24" i="8"/>
  <c r="DV24" i="8"/>
  <c r="DU24" i="8"/>
  <c r="DT24" i="8"/>
  <c r="DS24" i="8"/>
  <c r="DR24" i="8"/>
  <c r="DQ24" i="8"/>
  <c r="DO24" i="8"/>
  <c r="DN24" i="8"/>
  <c r="DM24" i="8"/>
  <c r="DL24" i="8"/>
  <c r="EO23" i="8"/>
  <c r="EN23" i="8"/>
  <c r="EM23" i="8"/>
  <c r="EL23" i="8"/>
  <c r="EK23" i="8"/>
  <c r="EJ23" i="8"/>
  <c r="EI23" i="8"/>
  <c r="EH23" i="8"/>
  <c r="EG23" i="8"/>
  <c r="EF23" i="8"/>
  <c r="EE23" i="8"/>
  <c r="ED23" i="8"/>
  <c r="EC23" i="8"/>
  <c r="EB23" i="8"/>
  <c r="EA23" i="8"/>
  <c r="DZ23" i="8"/>
  <c r="DY23" i="8"/>
  <c r="DX23" i="8"/>
  <c r="DW23" i="8"/>
  <c r="DV23" i="8"/>
  <c r="DU23" i="8"/>
  <c r="DT23" i="8"/>
  <c r="DS23" i="8"/>
  <c r="DR23" i="8"/>
  <c r="DQ23" i="8"/>
  <c r="DO23" i="8"/>
  <c r="DN23" i="8"/>
  <c r="DM23" i="8"/>
  <c r="DL23" i="8"/>
  <c r="EO22" i="8"/>
  <c r="EN22" i="8"/>
  <c r="EM22" i="8"/>
  <c r="EL22" i="8"/>
  <c r="EK22" i="8"/>
  <c r="EJ22" i="8"/>
  <c r="EI22" i="8"/>
  <c r="EH22" i="8"/>
  <c r="EG22" i="8"/>
  <c r="EF22" i="8"/>
  <c r="EE22" i="8"/>
  <c r="ED22" i="8"/>
  <c r="EC22" i="8"/>
  <c r="EB22" i="8"/>
  <c r="EA22" i="8"/>
  <c r="DZ22" i="8"/>
  <c r="DY22" i="8"/>
  <c r="DX22" i="8"/>
  <c r="DW22" i="8"/>
  <c r="DV22" i="8"/>
  <c r="DU22" i="8"/>
  <c r="DT22" i="8"/>
  <c r="DS22" i="8"/>
  <c r="DR22" i="8"/>
  <c r="DQ22" i="8"/>
  <c r="DO22" i="8"/>
  <c r="DN22" i="8"/>
  <c r="DM22" i="8"/>
  <c r="DL22" i="8"/>
  <c r="EO21" i="8"/>
  <c r="EN21" i="8"/>
  <c r="EM21" i="8"/>
  <c r="EL21" i="8"/>
  <c r="EK21" i="8"/>
  <c r="EJ21" i="8"/>
  <c r="EI21" i="8"/>
  <c r="EH21" i="8"/>
  <c r="EG21" i="8"/>
  <c r="EF21" i="8"/>
  <c r="EE21" i="8"/>
  <c r="ED21" i="8"/>
  <c r="EC21" i="8"/>
  <c r="EB21" i="8"/>
  <c r="EA21" i="8"/>
  <c r="DZ21" i="8"/>
  <c r="DY21" i="8"/>
  <c r="DX21" i="8"/>
  <c r="DW21" i="8"/>
  <c r="DV21" i="8"/>
  <c r="DU21" i="8"/>
  <c r="DT21" i="8"/>
  <c r="DS21" i="8"/>
  <c r="DR21" i="8"/>
  <c r="DQ21" i="8"/>
  <c r="DO21" i="8"/>
  <c r="DN21" i="8"/>
  <c r="DM21" i="8"/>
  <c r="DL21" i="8"/>
  <c r="EO20" i="8"/>
  <c r="EN20" i="8"/>
  <c r="EM20" i="8"/>
  <c r="EL20" i="8"/>
  <c r="EK20" i="8"/>
  <c r="EJ20" i="8"/>
  <c r="EI20" i="8"/>
  <c r="EH20" i="8"/>
  <c r="EG20" i="8"/>
  <c r="EF20" i="8"/>
  <c r="EE20" i="8"/>
  <c r="ED20" i="8"/>
  <c r="EC20" i="8"/>
  <c r="EB20" i="8"/>
  <c r="EA20" i="8"/>
  <c r="DZ20" i="8"/>
  <c r="DY20" i="8"/>
  <c r="DX20" i="8"/>
  <c r="DW20" i="8"/>
  <c r="DV20" i="8"/>
  <c r="DU20" i="8"/>
  <c r="DT20" i="8"/>
  <c r="DS20" i="8"/>
  <c r="DR20" i="8"/>
  <c r="DQ20" i="8"/>
  <c r="DO20" i="8"/>
  <c r="DN20" i="8"/>
  <c r="DM20" i="8"/>
  <c r="DL20" i="8"/>
  <c r="EO19" i="8"/>
  <c r="EN19" i="8"/>
  <c r="EM19" i="8"/>
  <c r="EL19" i="8"/>
  <c r="EK19" i="8"/>
  <c r="EJ19" i="8"/>
  <c r="EI19" i="8"/>
  <c r="EH19" i="8"/>
  <c r="EG19" i="8"/>
  <c r="EF19" i="8"/>
  <c r="EE19" i="8"/>
  <c r="ED19" i="8"/>
  <c r="EC19" i="8"/>
  <c r="EB19" i="8"/>
  <c r="EA19" i="8"/>
  <c r="DZ19" i="8"/>
  <c r="DY19" i="8"/>
  <c r="DX19" i="8"/>
  <c r="DW19" i="8"/>
  <c r="DV19" i="8"/>
  <c r="DU19" i="8"/>
  <c r="DT19" i="8"/>
  <c r="DS19" i="8"/>
  <c r="DR19" i="8"/>
  <c r="DQ19" i="8"/>
  <c r="DO19" i="8"/>
  <c r="DN19" i="8"/>
  <c r="DM19" i="8"/>
  <c r="DL19" i="8"/>
  <c r="EO18" i="8"/>
  <c r="EN18" i="8"/>
  <c r="EM18" i="8"/>
  <c r="EL18" i="8"/>
  <c r="EK18" i="8"/>
  <c r="EJ18" i="8"/>
  <c r="EI18" i="8"/>
  <c r="EH18" i="8"/>
  <c r="EG18" i="8"/>
  <c r="EF18" i="8"/>
  <c r="EE18" i="8"/>
  <c r="ED18" i="8"/>
  <c r="EC18" i="8"/>
  <c r="EB18" i="8"/>
  <c r="EA18" i="8"/>
  <c r="DZ18" i="8"/>
  <c r="DY18" i="8"/>
  <c r="DX18" i="8"/>
  <c r="DW18" i="8"/>
  <c r="DV18" i="8"/>
  <c r="DU18" i="8"/>
  <c r="DT18" i="8"/>
  <c r="DS18" i="8"/>
  <c r="DR18" i="8"/>
  <c r="DQ18" i="8"/>
  <c r="DO18" i="8"/>
  <c r="DN18" i="8"/>
  <c r="DM18" i="8"/>
  <c r="DL18" i="8"/>
  <c r="EO17" i="8"/>
  <c r="EN17" i="8"/>
  <c r="EM17" i="8"/>
  <c r="EL17" i="8"/>
  <c r="EK17" i="8"/>
  <c r="EJ17" i="8"/>
  <c r="EI17" i="8"/>
  <c r="EH17" i="8"/>
  <c r="EG17" i="8"/>
  <c r="EF17" i="8"/>
  <c r="EE17" i="8"/>
  <c r="ED17" i="8"/>
  <c r="EC17" i="8"/>
  <c r="EB17" i="8"/>
  <c r="EA17" i="8"/>
  <c r="DZ17" i="8"/>
  <c r="DY17" i="8"/>
  <c r="DX17" i="8"/>
  <c r="DW17" i="8"/>
  <c r="DV17" i="8"/>
  <c r="DU17" i="8"/>
  <c r="DT17" i="8"/>
  <c r="DS17" i="8"/>
  <c r="DR17" i="8"/>
  <c r="DQ17" i="8"/>
  <c r="DO17" i="8"/>
  <c r="DN17" i="8"/>
  <c r="DM17" i="8"/>
  <c r="DL17" i="8"/>
  <c r="EO16" i="8"/>
  <c r="EN16" i="8"/>
  <c r="EM16" i="8"/>
  <c r="EL16" i="8"/>
  <c r="EK16" i="8"/>
  <c r="EJ16" i="8"/>
  <c r="EI16" i="8"/>
  <c r="EH16" i="8"/>
  <c r="EG16" i="8"/>
  <c r="EF16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6" i="8"/>
  <c r="DR16" i="8"/>
  <c r="DQ16" i="8"/>
  <c r="DO16" i="8"/>
  <c r="DN16" i="8"/>
  <c r="DM16" i="8"/>
  <c r="DL16" i="8"/>
  <c r="EO15" i="8"/>
  <c r="EN15" i="8"/>
  <c r="EM15" i="8"/>
  <c r="EL15" i="8"/>
  <c r="EI15" i="8"/>
  <c r="EH15" i="8"/>
  <c r="EE15" i="8"/>
  <c r="ED15" i="8"/>
  <c r="EC15" i="8"/>
  <c r="EB15" i="8"/>
  <c r="EA15" i="8"/>
  <c r="DZ15" i="8"/>
  <c r="DW15" i="8"/>
  <c r="DV15" i="8"/>
  <c r="DU15" i="8"/>
  <c r="DT15" i="8"/>
  <c r="DS15" i="8"/>
  <c r="DR15" i="8"/>
  <c r="DQ15" i="8"/>
  <c r="EO14" i="8"/>
  <c r="EN14" i="8"/>
  <c r="EM14" i="8"/>
  <c r="EL14" i="8"/>
  <c r="EI14" i="8"/>
  <c r="EH14" i="8"/>
  <c r="EE14" i="8"/>
  <c r="ED14" i="8"/>
  <c r="EC14" i="8"/>
  <c r="EB14" i="8"/>
  <c r="EA14" i="8"/>
  <c r="DZ14" i="8"/>
  <c r="DW14" i="8"/>
  <c r="DV14" i="8"/>
  <c r="DU14" i="8"/>
  <c r="DT14" i="8"/>
  <c r="DS14" i="8"/>
  <c r="DR14" i="8"/>
  <c r="DQ14" i="8"/>
  <c r="DP44" i="8"/>
  <c r="DP43" i="8"/>
  <c r="DP42" i="8"/>
  <c r="DP41" i="8"/>
  <c r="DP40" i="8"/>
  <c r="DP39" i="8"/>
  <c r="DP38" i="8"/>
  <c r="DP37" i="8"/>
  <c r="DP36" i="8"/>
  <c r="DP35" i="8"/>
  <c r="DP34" i="8"/>
  <c r="DP33" i="8"/>
  <c r="DP32" i="8"/>
  <c r="DP31" i="8"/>
  <c r="DP30" i="8"/>
  <c r="DP29" i="8"/>
  <c r="DP28" i="8"/>
  <c r="DP27" i="8"/>
  <c r="DP26" i="8"/>
  <c r="DP25" i="8"/>
  <c r="DP24" i="8"/>
  <c r="DP23" i="8"/>
  <c r="DP22" i="8"/>
  <c r="DP21" i="8"/>
  <c r="DP20" i="8"/>
  <c r="DP19" i="8"/>
  <c r="DP18" i="8"/>
  <c r="DP17" i="8"/>
  <c r="EQ44" i="8"/>
  <c r="EP44" i="8"/>
  <c r="EQ43" i="8"/>
  <c r="EP43" i="8"/>
  <c r="EQ42" i="8"/>
  <c r="EP42" i="8"/>
  <c r="EQ41" i="8"/>
  <c r="EP41" i="8"/>
  <c r="EQ40" i="8"/>
  <c r="EP40" i="8"/>
  <c r="EQ39" i="8"/>
  <c r="EP39" i="8"/>
  <c r="EQ38" i="8"/>
  <c r="EP38" i="8"/>
  <c r="EQ37" i="8"/>
  <c r="EP37" i="8"/>
  <c r="EQ36" i="8"/>
  <c r="EP36" i="8"/>
  <c r="EQ35" i="8"/>
  <c r="EP35" i="8"/>
  <c r="EQ34" i="8"/>
  <c r="EP34" i="8"/>
  <c r="EQ33" i="8"/>
  <c r="EP33" i="8"/>
  <c r="EQ32" i="8"/>
  <c r="EP32" i="8"/>
  <c r="EQ31" i="8"/>
  <c r="EP31" i="8"/>
  <c r="EQ30" i="8"/>
  <c r="EP30" i="8"/>
  <c r="EQ29" i="8"/>
  <c r="EP29" i="8"/>
  <c r="EQ28" i="8"/>
  <c r="EP28" i="8"/>
  <c r="EQ27" i="8"/>
  <c r="EP27" i="8"/>
  <c r="EQ26" i="8"/>
  <c r="EP26" i="8"/>
  <c r="EQ25" i="8"/>
  <c r="EP25" i="8"/>
  <c r="EQ24" i="8"/>
  <c r="EP24" i="8"/>
  <c r="EQ23" i="8"/>
  <c r="EP23" i="8"/>
  <c r="EQ22" i="8"/>
  <c r="EP22" i="8"/>
  <c r="EQ21" i="8"/>
  <c r="EP21" i="8"/>
  <c r="EQ20" i="8"/>
  <c r="EP20" i="8"/>
  <c r="EQ19" i="8"/>
  <c r="EP19" i="8"/>
  <c r="EQ18" i="8"/>
  <c r="EP18" i="8"/>
  <c r="EQ17" i="8"/>
  <c r="EP17" i="8"/>
  <c r="EQ16" i="8"/>
  <c r="EP16" i="8"/>
  <c r="EF15" i="8" l="1"/>
  <c r="GA15" i="8"/>
  <c r="GB15" i="8"/>
  <c r="HF14" i="8"/>
  <c r="DN15" i="8"/>
  <c r="HE14" i="8"/>
  <c r="FS14" i="8"/>
  <c r="ER15" i="8"/>
  <c r="DN14" i="8"/>
  <c r="EF14" i="8"/>
  <c r="DL15" i="8"/>
  <c r="DY15" i="8"/>
  <c r="DL14" i="8"/>
  <c r="GJ14" i="8"/>
  <c r="FY14" i="8"/>
  <c r="GB14" i="8"/>
  <c r="DM15" i="8"/>
  <c r="GK15" i="8"/>
  <c r="FD14" i="8"/>
  <c r="ES14" i="8"/>
  <c r="EJ14" i="8"/>
  <c r="DY14" i="8"/>
  <c r="HC15" i="8"/>
  <c r="GL15" i="8"/>
  <c r="EP15" i="8"/>
  <c r="FT15" i="8"/>
  <c r="EK14" i="8"/>
  <c r="EG14" i="8"/>
  <c r="GJ15" i="8"/>
  <c r="DP16" i="8"/>
  <c r="ER14" i="8"/>
  <c r="GA14" i="8"/>
  <c r="EJ15" i="8"/>
  <c r="FZ15" i="8"/>
  <c r="DM14" i="8"/>
  <c r="GK14" i="8"/>
  <c r="FZ14" i="8"/>
  <c r="DP14" i="8"/>
  <c r="HD15" i="8"/>
  <c r="HF15" i="8"/>
  <c r="EQ15" i="8"/>
  <c r="EK15" i="8"/>
  <c r="HD14" i="8"/>
  <c r="EQ14" i="8"/>
  <c r="DO15" i="8"/>
  <c r="DX14" i="8"/>
  <c r="FX15" i="8"/>
  <c r="DO14" i="8"/>
  <c r="FY15" i="8"/>
  <c r="FX14" i="8"/>
  <c r="FD15" i="8"/>
  <c r="ES15" i="8"/>
  <c r="DP15" i="8"/>
  <c r="HC14" i="8"/>
  <c r="GL14" i="8"/>
  <c r="EP14" i="8"/>
  <c r="FT14" i="8"/>
  <c r="HE15" i="8"/>
  <c r="FS15" i="8"/>
  <c r="DX15" i="8"/>
  <c r="EG15" i="8"/>
  <c r="FC14" i="8"/>
  <c r="FQ14" i="8"/>
  <c r="FP14" i="8"/>
  <c r="FB14" i="8"/>
  <c r="FR14" i="8"/>
  <c r="AI3" i="2"/>
  <c r="AH3" i="2"/>
  <c r="AG3" i="2"/>
  <c r="AE3" i="2"/>
  <c r="AC3" i="2"/>
  <c r="AA3" i="2"/>
  <c r="Y3" i="2"/>
  <c r="W3" i="2"/>
  <c r="U3" i="2"/>
  <c r="S3" i="2"/>
  <c r="Q3" i="2"/>
  <c r="O3" i="2"/>
  <c r="M3" i="2"/>
  <c r="K3" i="2"/>
  <c r="I3" i="2"/>
  <c r="G3" i="2"/>
  <c r="E3" i="2"/>
  <c r="C3" i="2"/>
  <c r="Q99" i="6"/>
  <c r="Q100" i="6"/>
  <c r="Q101" i="6"/>
  <c r="Q102" i="6"/>
  <c r="Q98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11" i="6"/>
  <c r="Q3" i="6"/>
  <c r="Q4" i="6"/>
  <c r="Q5" i="6"/>
  <c r="Q6" i="6"/>
  <c r="Q7" i="6"/>
  <c r="Q8" i="6"/>
  <c r="Q9" i="6"/>
  <c r="Q10" i="6"/>
  <c r="Q2" i="6"/>
  <c r="C41" i="9"/>
  <c r="I12" i="6"/>
  <c r="I11" i="6"/>
  <c r="I10" i="6"/>
  <c r="I9" i="6"/>
  <c r="I8" i="6"/>
  <c r="I7" i="6"/>
  <c r="I6" i="6"/>
  <c r="I5" i="6"/>
  <c r="I4" i="6"/>
  <c r="I3" i="6"/>
  <c r="I2" i="6"/>
  <c r="I1" i="6"/>
  <c r="F5" i="8" s="1"/>
  <c r="B14" i="8" l="1"/>
  <c r="F12" i="6"/>
  <c r="F11" i="6"/>
  <c r="F10" i="6"/>
  <c r="F9" i="6"/>
  <c r="F8" i="6"/>
  <c r="F7" i="6"/>
  <c r="F6" i="6"/>
  <c r="G3" i="9" s="1"/>
  <c r="G4" i="9" s="1"/>
  <c r="F5" i="6"/>
  <c r="F4" i="6"/>
  <c r="F3" i="6"/>
  <c r="F2" i="6"/>
  <c r="F1" i="6"/>
  <c r="H10" i="9" l="1"/>
  <c r="H12" i="9" s="1"/>
  <c r="B9" i="9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J10" i="8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4" i="6"/>
  <c r="E12" i="6" l="1"/>
  <c r="E11" i="6"/>
  <c r="E10" i="6"/>
  <c r="E9" i="6"/>
  <c r="E8" i="6"/>
  <c r="E7" i="6"/>
  <c r="E6" i="6"/>
  <c r="E5" i="6"/>
  <c r="E4" i="6"/>
  <c r="E3" i="6"/>
  <c r="E2" i="6"/>
  <c r="E1" i="6"/>
  <c r="F6" i="8" l="1"/>
  <c r="B15" i="8" s="1"/>
  <c r="G3" i="4"/>
  <c r="G4" i="4"/>
  <c r="H1" i="6" s="1"/>
  <c r="I41" i="3"/>
  <c r="H41" i="3"/>
  <c r="G41" i="3"/>
  <c r="F41" i="3"/>
  <c r="E41" i="3"/>
  <c r="D41" i="3"/>
  <c r="C41" i="3"/>
  <c r="I40" i="3"/>
  <c r="H40" i="3"/>
  <c r="G40" i="3"/>
  <c r="F40" i="3"/>
  <c r="E40" i="3"/>
  <c r="D40" i="3"/>
  <c r="C40" i="3"/>
  <c r="I39" i="3"/>
  <c r="H39" i="3"/>
  <c r="G39" i="3"/>
  <c r="F39" i="3"/>
  <c r="E39" i="3"/>
  <c r="D39" i="3"/>
  <c r="C39" i="3"/>
  <c r="I38" i="3"/>
  <c r="H38" i="3"/>
  <c r="G38" i="3"/>
  <c r="F38" i="3"/>
  <c r="E38" i="3"/>
  <c r="D38" i="3"/>
  <c r="C38" i="3"/>
  <c r="I37" i="3"/>
  <c r="H37" i="3"/>
  <c r="G37" i="3"/>
  <c r="F37" i="3"/>
  <c r="E37" i="3"/>
  <c r="D37" i="3"/>
  <c r="C37" i="3"/>
  <c r="I36" i="3"/>
  <c r="H36" i="3"/>
  <c r="G36" i="3"/>
  <c r="F36" i="3"/>
  <c r="E36" i="3"/>
  <c r="D36" i="3"/>
  <c r="C36" i="3"/>
  <c r="I35" i="3"/>
  <c r="H35" i="3"/>
  <c r="G35" i="3"/>
  <c r="F35" i="3"/>
  <c r="E35" i="3"/>
  <c r="D35" i="3"/>
  <c r="C35" i="3"/>
  <c r="I34" i="3"/>
  <c r="H34" i="3"/>
  <c r="G34" i="3"/>
  <c r="F34" i="3"/>
  <c r="E34" i="3"/>
  <c r="D34" i="3"/>
  <c r="C34" i="3"/>
  <c r="I33" i="3"/>
  <c r="H33" i="3"/>
  <c r="G33" i="3"/>
  <c r="F33" i="3"/>
  <c r="E33" i="3"/>
  <c r="D33" i="3"/>
  <c r="C33" i="3"/>
  <c r="I32" i="3"/>
  <c r="H32" i="3"/>
  <c r="G32" i="3"/>
  <c r="F32" i="3"/>
  <c r="E32" i="3"/>
  <c r="D32" i="3"/>
  <c r="C32" i="3"/>
  <c r="I31" i="3"/>
  <c r="H31" i="3"/>
  <c r="G31" i="3"/>
  <c r="F31" i="3"/>
  <c r="E31" i="3"/>
  <c r="D31" i="3"/>
  <c r="C31" i="3"/>
  <c r="I30" i="3"/>
  <c r="H30" i="3"/>
  <c r="G30" i="3"/>
  <c r="F30" i="3"/>
  <c r="E30" i="3"/>
  <c r="D30" i="3"/>
  <c r="C30" i="3"/>
  <c r="I29" i="3"/>
  <c r="H29" i="3"/>
  <c r="G29" i="3"/>
  <c r="F29" i="3"/>
  <c r="E29" i="3"/>
  <c r="D29" i="3"/>
  <c r="C29" i="3"/>
  <c r="I28" i="3"/>
  <c r="H28" i="3"/>
  <c r="G28" i="3"/>
  <c r="F28" i="3"/>
  <c r="E28" i="3"/>
  <c r="D28" i="3"/>
  <c r="C28" i="3"/>
  <c r="I27" i="3"/>
  <c r="H27" i="3"/>
  <c r="G27" i="3"/>
  <c r="F27" i="3"/>
  <c r="E27" i="3"/>
  <c r="D27" i="3"/>
  <c r="C27" i="3"/>
  <c r="I26" i="3"/>
  <c r="H26" i="3"/>
  <c r="G26" i="3"/>
  <c r="F26" i="3"/>
  <c r="E26" i="3"/>
  <c r="D26" i="3"/>
  <c r="C26" i="3"/>
  <c r="I25" i="3"/>
  <c r="H25" i="3"/>
  <c r="G25" i="3"/>
  <c r="F25" i="3"/>
  <c r="E25" i="3"/>
  <c r="D25" i="3"/>
  <c r="C25" i="3"/>
  <c r="I24" i="3"/>
  <c r="H24" i="3"/>
  <c r="G24" i="3"/>
  <c r="F24" i="3"/>
  <c r="E24" i="3"/>
  <c r="D24" i="3"/>
  <c r="C24" i="3"/>
  <c r="I23" i="3"/>
  <c r="H23" i="3"/>
  <c r="G23" i="3"/>
  <c r="F23" i="3"/>
  <c r="E23" i="3"/>
  <c r="D23" i="3"/>
  <c r="C23" i="3"/>
  <c r="I22" i="3"/>
  <c r="H22" i="3"/>
  <c r="G22" i="3"/>
  <c r="F22" i="3"/>
  <c r="E22" i="3"/>
  <c r="D22" i="3"/>
  <c r="C22" i="3"/>
  <c r="I21" i="3"/>
  <c r="H21" i="3"/>
  <c r="G21" i="3"/>
  <c r="F21" i="3"/>
  <c r="E21" i="3"/>
  <c r="D21" i="3"/>
  <c r="C21" i="3"/>
  <c r="I20" i="3"/>
  <c r="H20" i="3"/>
  <c r="G20" i="3"/>
  <c r="F20" i="3"/>
  <c r="E20" i="3"/>
  <c r="D20" i="3"/>
  <c r="C20" i="3"/>
  <c r="I19" i="3"/>
  <c r="H19" i="3"/>
  <c r="G19" i="3"/>
  <c r="F19" i="3"/>
  <c r="E19" i="3"/>
  <c r="D19" i="3"/>
  <c r="C19" i="3"/>
  <c r="I18" i="3"/>
  <c r="H18" i="3"/>
  <c r="G18" i="3"/>
  <c r="F18" i="3"/>
  <c r="E18" i="3"/>
  <c r="D18" i="3"/>
  <c r="C18" i="3"/>
  <c r="I17" i="3"/>
  <c r="H17" i="3"/>
  <c r="G17" i="3"/>
  <c r="F17" i="3"/>
  <c r="E17" i="3"/>
  <c r="D17" i="3"/>
  <c r="C17" i="3"/>
  <c r="I16" i="3"/>
  <c r="H16" i="3"/>
  <c r="G16" i="3"/>
  <c r="F16" i="3"/>
  <c r="E16" i="3"/>
  <c r="D16" i="3"/>
  <c r="C16" i="3"/>
  <c r="I15" i="3"/>
  <c r="H15" i="3"/>
  <c r="G15" i="3"/>
  <c r="F15" i="3"/>
  <c r="E15" i="3"/>
  <c r="D15" i="3"/>
  <c r="C15" i="3"/>
  <c r="I14" i="3"/>
  <c r="H14" i="3"/>
  <c r="G14" i="3"/>
  <c r="F14" i="3"/>
  <c r="E14" i="3"/>
  <c r="D14" i="3"/>
  <c r="C14" i="3"/>
  <c r="I13" i="3"/>
  <c r="H13" i="3"/>
  <c r="G13" i="3"/>
  <c r="F13" i="3"/>
  <c r="E13" i="3"/>
  <c r="D13" i="3"/>
  <c r="C13" i="3"/>
  <c r="I12" i="3"/>
  <c r="H12" i="3"/>
  <c r="G12" i="3"/>
  <c r="F12" i="3"/>
  <c r="E12" i="3"/>
  <c r="D12" i="3"/>
  <c r="C12" i="3"/>
  <c r="C10" i="3"/>
  <c r="H9" i="4" l="1"/>
  <c r="H38" i="4" s="1"/>
  <c r="G9" i="4"/>
  <c r="F9" i="4"/>
  <c r="F32" i="4" s="1"/>
  <c r="I9" i="4"/>
  <c r="I31" i="4" s="1"/>
  <c r="E9" i="4"/>
  <c r="E40" i="4" s="1"/>
  <c r="D9" i="4"/>
  <c r="F36" i="4"/>
  <c r="J14" i="3"/>
  <c r="J18" i="3"/>
  <c r="J22" i="3"/>
  <c r="J26" i="3"/>
  <c r="J30" i="3"/>
  <c r="J34" i="3"/>
  <c r="J38" i="3"/>
  <c r="J33" i="3"/>
  <c r="J37" i="3"/>
  <c r="J41" i="3"/>
  <c r="J12" i="3"/>
  <c r="J15" i="3"/>
  <c r="J19" i="3"/>
  <c r="J23" i="3"/>
  <c r="J27" i="3"/>
  <c r="J31" i="3"/>
  <c r="J35" i="3"/>
  <c r="J39" i="3"/>
  <c r="J17" i="3"/>
  <c r="J21" i="3"/>
  <c r="J25" i="3"/>
  <c r="J29" i="3"/>
  <c r="C42" i="3"/>
  <c r="J13" i="3"/>
  <c r="J16" i="3"/>
  <c r="J20" i="3"/>
  <c r="J24" i="3"/>
  <c r="J28" i="3"/>
  <c r="J32" i="3"/>
  <c r="J36" i="3"/>
  <c r="J40" i="3"/>
  <c r="I11" i="3"/>
  <c r="I43" i="3" s="1"/>
  <c r="I10" i="3"/>
  <c r="I42" i="3" s="1"/>
  <c r="H11" i="3"/>
  <c r="H43" i="3" s="1"/>
  <c r="H10" i="3"/>
  <c r="H42" i="3" s="1"/>
  <c r="G11" i="3"/>
  <c r="G43" i="3" s="1"/>
  <c r="G10" i="3"/>
  <c r="G42" i="3" s="1"/>
  <c r="F11" i="3"/>
  <c r="F43" i="3" s="1"/>
  <c r="F10" i="3"/>
  <c r="F42" i="3" s="1"/>
  <c r="E11" i="3"/>
  <c r="E43" i="3" s="1"/>
  <c r="E10" i="3"/>
  <c r="E42" i="3" s="1"/>
  <c r="D11" i="3"/>
  <c r="D43" i="3" s="1"/>
  <c r="D10" i="3"/>
  <c r="D42" i="3" s="1"/>
  <c r="C11" i="3"/>
  <c r="G4" i="3"/>
  <c r="G3" i="3"/>
  <c r="D40" i="4" l="1"/>
  <c r="D10" i="4"/>
  <c r="H24" i="4"/>
  <c r="E26" i="4"/>
  <c r="F11" i="4"/>
  <c r="F27" i="4"/>
  <c r="F20" i="4"/>
  <c r="F22" i="4"/>
  <c r="H30" i="4"/>
  <c r="E34" i="4"/>
  <c r="B16" i="8"/>
  <c r="E10" i="4"/>
  <c r="F13" i="4"/>
  <c r="F41" i="4"/>
  <c r="H40" i="4"/>
  <c r="I36" i="4"/>
  <c r="I23" i="4"/>
  <c r="F29" i="4"/>
  <c r="F28" i="4"/>
  <c r="E24" i="4"/>
  <c r="H20" i="4"/>
  <c r="E22" i="4"/>
  <c r="E38" i="4"/>
  <c r="H27" i="4"/>
  <c r="H37" i="4"/>
  <c r="E19" i="4"/>
  <c r="D31" i="4"/>
  <c r="F25" i="4"/>
  <c r="F15" i="4"/>
  <c r="F31" i="4"/>
  <c r="H15" i="4"/>
  <c r="H35" i="4"/>
  <c r="D38" i="4"/>
  <c r="E21" i="4"/>
  <c r="E33" i="4"/>
  <c r="D16" i="4"/>
  <c r="D11" i="4"/>
  <c r="D12" i="4"/>
  <c r="D24" i="4"/>
  <c r="E12" i="4"/>
  <c r="E30" i="4"/>
  <c r="E27" i="4"/>
  <c r="E37" i="4"/>
  <c r="E36" i="4"/>
  <c r="D23" i="4"/>
  <c r="D39" i="4"/>
  <c r="E29" i="4"/>
  <c r="E17" i="4"/>
  <c r="E31" i="4"/>
  <c r="E39" i="4"/>
  <c r="H11" i="4"/>
  <c r="I12" i="4"/>
  <c r="H31" i="4"/>
  <c r="H17" i="4"/>
  <c r="H28" i="4"/>
  <c r="H14" i="4"/>
  <c r="H22" i="4"/>
  <c r="H39" i="4"/>
  <c r="H34" i="4"/>
  <c r="I34" i="4"/>
  <c r="I10" i="4"/>
  <c r="H10" i="4"/>
  <c r="I18" i="4"/>
  <c r="F14" i="4"/>
  <c r="F24" i="4"/>
  <c r="F21" i="4"/>
  <c r="F40" i="4"/>
  <c r="F35" i="4"/>
  <c r="F38" i="4"/>
  <c r="H12" i="4"/>
  <c r="H21" i="4"/>
  <c r="H25" i="4"/>
  <c r="H16" i="4"/>
  <c r="H26" i="4"/>
  <c r="H41" i="4"/>
  <c r="H36" i="4"/>
  <c r="D15" i="4"/>
  <c r="D20" i="4"/>
  <c r="D29" i="4"/>
  <c r="D33" i="4"/>
  <c r="I35" i="4"/>
  <c r="F10" i="4"/>
  <c r="E11" i="4"/>
  <c r="I13" i="4"/>
  <c r="F16" i="4"/>
  <c r="F12" i="4"/>
  <c r="F23" i="4"/>
  <c r="F34" i="4"/>
  <c r="F39" i="4"/>
  <c r="H19" i="4"/>
  <c r="H13" i="4"/>
  <c r="H23" i="4"/>
  <c r="H29" i="4"/>
  <c r="H18" i="4"/>
  <c r="H32" i="4"/>
  <c r="H33" i="4"/>
  <c r="D21" i="4"/>
  <c r="D14" i="4"/>
  <c r="D37" i="4"/>
  <c r="D34" i="4"/>
  <c r="E16" i="4"/>
  <c r="E13" i="4"/>
  <c r="E25" i="4"/>
  <c r="E28" i="4"/>
  <c r="E41" i="4"/>
  <c r="I30" i="4"/>
  <c r="G30" i="4"/>
  <c r="G28" i="4"/>
  <c r="G29" i="4"/>
  <c r="G39" i="4"/>
  <c r="G40" i="4"/>
  <c r="G33" i="4"/>
  <c r="G18" i="4"/>
  <c r="G26" i="4"/>
  <c r="G15" i="4"/>
  <c r="G13" i="4"/>
  <c r="G37" i="4"/>
  <c r="G36" i="4"/>
  <c r="G12" i="4"/>
  <c r="G20" i="4"/>
  <c r="G19" i="4"/>
  <c r="G11" i="4"/>
  <c r="G17" i="4"/>
  <c r="G23" i="4"/>
  <c r="G35" i="4"/>
  <c r="G34" i="4"/>
  <c r="G14" i="4"/>
  <c r="G22" i="4"/>
  <c r="G27" i="4"/>
  <c r="G10" i="4"/>
  <c r="G25" i="4"/>
  <c r="G21" i="4"/>
  <c r="G41" i="4"/>
  <c r="G32" i="4"/>
  <c r="G38" i="4"/>
  <c r="G16" i="4"/>
  <c r="G24" i="4"/>
  <c r="G31" i="4"/>
  <c r="I14" i="4"/>
  <c r="I42" i="4" s="1"/>
  <c r="I26" i="4"/>
  <c r="I15" i="4"/>
  <c r="I24" i="4"/>
  <c r="I38" i="4"/>
  <c r="I40" i="4"/>
  <c r="I39" i="4"/>
  <c r="I22" i="4"/>
  <c r="I16" i="4"/>
  <c r="I17" i="4"/>
  <c r="I25" i="4"/>
  <c r="D17" i="4"/>
  <c r="D26" i="4"/>
  <c r="D28" i="4"/>
  <c r="D18" i="4"/>
  <c r="D30" i="4"/>
  <c r="D41" i="4"/>
  <c r="D36" i="4"/>
  <c r="I33" i="4"/>
  <c r="I43" i="4" s="1"/>
  <c r="I28" i="4"/>
  <c r="I29" i="4"/>
  <c r="I27" i="4"/>
  <c r="I11" i="4"/>
  <c r="I20" i="4"/>
  <c r="I19" i="4"/>
  <c r="I21" i="4"/>
  <c r="F19" i="4"/>
  <c r="F18" i="4"/>
  <c r="F26" i="4"/>
  <c r="F17" i="4"/>
  <c r="F33" i="4"/>
  <c r="F30" i="4"/>
  <c r="F37" i="4"/>
  <c r="D25" i="4"/>
  <c r="D19" i="4"/>
  <c r="D27" i="4"/>
  <c r="D13" i="4"/>
  <c r="D22" i="4"/>
  <c r="D35" i="4"/>
  <c r="D32" i="4"/>
  <c r="E18" i="4"/>
  <c r="E14" i="4"/>
  <c r="E15" i="4"/>
  <c r="E23" i="4"/>
  <c r="E20" i="4"/>
  <c r="E35" i="4"/>
  <c r="E32" i="4"/>
  <c r="I41" i="4"/>
  <c r="I32" i="4"/>
  <c r="I37" i="4"/>
  <c r="E6" i="3"/>
  <c r="C43" i="3"/>
  <c r="G6" i="3" s="1"/>
  <c r="J11" i="3"/>
  <c r="J10" i="3"/>
  <c r="J26" i="4" l="1"/>
  <c r="B17" i="8"/>
  <c r="J16" i="4"/>
  <c r="J13" i="4"/>
  <c r="J14" i="4"/>
  <c r="J15" i="4"/>
  <c r="J37" i="4"/>
  <c r="J19" i="4"/>
  <c r="J24" i="4"/>
  <c r="J31" i="4"/>
  <c r="J22" i="4"/>
  <c r="F43" i="4"/>
  <c r="J27" i="4"/>
  <c r="J38" i="4"/>
  <c r="J12" i="4"/>
  <c r="J40" i="4"/>
  <c r="J11" i="4"/>
  <c r="J29" i="4"/>
  <c r="J41" i="4"/>
  <c r="H42" i="4"/>
  <c r="H43" i="4"/>
  <c r="J39" i="4"/>
  <c r="J21" i="4"/>
  <c r="J34" i="4"/>
  <c r="E42" i="4"/>
  <c r="J23" i="4"/>
  <c r="J32" i="4"/>
  <c r="J30" i="4"/>
  <c r="F42" i="4"/>
  <c r="J20" i="4"/>
  <c r="J36" i="4"/>
  <c r="J28" i="4"/>
  <c r="J25" i="4"/>
  <c r="J17" i="4"/>
  <c r="J18" i="4"/>
  <c r="E43" i="4"/>
  <c r="J35" i="4"/>
  <c r="J33" i="4"/>
  <c r="D42" i="4"/>
  <c r="G42" i="4"/>
  <c r="D43" i="4"/>
  <c r="G43" i="4"/>
  <c r="J10" i="4"/>
  <c r="B18" i="8" l="1"/>
  <c r="G6" i="4"/>
  <c r="E6" i="4"/>
  <c r="B19" i="8" l="1"/>
  <c r="B20" i="8" l="1"/>
  <c r="B21" i="8" l="1"/>
  <c r="B22" i="8" l="1"/>
  <c r="B23" i="8" l="1"/>
  <c r="B24" i="8" l="1"/>
  <c r="B25" i="8" l="1"/>
  <c r="B26" i="8" l="1"/>
  <c r="B27" i="8" l="1"/>
  <c r="B28" i="8" l="1"/>
  <c r="B29" i="8" l="1"/>
  <c r="B30" i="8" l="1"/>
  <c r="B31" i="8" l="1"/>
  <c r="B32" i="8" l="1"/>
  <c r="B33" i="8" l="1"/>
  <c r="B34" i="8" l="1"/>
  <c r="B35" i="8" l="1"/>
  <c r="B36" i="8" l="1"/>
  <c r="B37" i="8" l="1"/>
  <c r="B38" i="8" l="1"/>
  <c r="B39" i="8" l="1"/>
  <c r="B40" i="8" l="1"/>
  <c r="B41" i="8" l="1"/>
  <c r="B42" i="8" l="1"/>
  <c r="B43" i="8" l="1"/>
  <c r="B44" i="8" l="1"/>
</calcChain>
</file>

<file path=xl/sharedStrings.xml><?xml version="1.0" encoding="utf-8"?>
<sst xmlns="http://schemas.openxmlformats.org/spreadsheetml/2006/main" count="967" uniqueCount="326">
  <si>
    <t>Date</t>
  </si>
  <si>
    <t>Tarif plein</t>
  </si>
  <si>
    <t>Tarif réduit</t>
  </si>
  <si>
    <t>Groupe adulte</t>
  </si>
  <si>
    <t>Qté</t>
  </si>
  <si>
    <t>Montant</t>
  </si>
  <si>
    <t>Groupe scolaire</t>
  </si>
  <si>
    <t>Pass famille</t>
  </si>
  <si>
    <t>Pass 3 sites tarif plein</t>
  </si>
  <si>
    <t>Pass 3 sites tarif réduit</t>
  </si>
  <si>
    <t>Pass 3 sites tarif famille</t>
  </si>
  <si>
    <t>- de 8 ans</t>
  </si>
  <si>
    <t>gratuits</t>
  </si>
  <si>
    <t>Groupe SEP</t>
  </si>
  <si>
    <t>Groupe scolaire Dinan</t>
  </si>
  <si>
    <t>Visites nocturnes</t>
  </si>
  <si>
    <t>Pass médiéval plein</t>
  </si>
  <si>
    <t>Pass médiéval réduit</t>
  </si>
  <si>
    <t>Pass médiéval famille</t>
  </si>
  <si>
    <t>XX</t>
  </si>
  <si>
    <t>Choisir la semaine :</t>
  </si>
  <si>
    <t>Lundi</t>
  </si>
  <si>
    <t>Mardi</t>
  </si>
  <si>
    <t>Mercredi</t>
  </si>
  <si>
    <t>Jeudi</t>
  </si>
  <si>
    <t>Vendredi</t>
  </si>
  <si>
    <t>Samedi</t>
  </si>
  <si>
    <t>Dimanche</t>
  </si>
  <si>
    <t>Individuels</t>
  </si>
  <si>
    <t>- 8 ans</t>
  </si>
  <si>
    <t>Adultes gratuits</t>
  </si>
  <si>
    <t>Groupes</t>
  </si>
  <si>
    <t>Adultes</t>
  </si>
  <si>
    <t>Scolaires</t>
  </si>
  <si>
    <t>Dinan</t>
  </si>
  <si>
    <t>SEP</t>
  </si>
  <si>
    <t>PASS Famille</t>
  </si>
  <si>
    <t>Tarif unique</t>
  </si>
  <si>
    <t>3 sites</t>
  </si>
  <si>
    <t>Tarif famille</t>
  </si>
  <si>
    <t>Médiéval</t>
  </si>
  <si>
    <t>Nocturne</t>
  </si>
  <si>
    <t>Nbre de personnes</t>
  </si>
  <si>
    <t>du</t>
  </si>
  <si>
    <t>au</t>
  </si>
  <si>
    <t>AnnéeMois</t>
  </si>
  <si>
    <t>Année :</t>
  </si>
  <si>
    <t>Choisir le mois :</t>
  </si>
  <si>
    <t>Octobre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</si>
  <si>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</si>
  <si>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</si>
  <si>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</si>
  <si>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</si>
  <si>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</si>
  <si>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</si>
  <si>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</si>
  <si>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</si>
  <si>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</si>
  <si>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</si>
  <si>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</si>
  <si>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</si>
  <si>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 xml:space="preserve">Ne pas toucher : </t>
  </si>
  <si>
    <t>C.A par semaine</t>
  </si>
  <si>
    <t>C.A par mois</t>
  </si>
  <si>
    <t>Total semaine :</t>
  </si>
  <si>
    <t>Nombre d'entrées :</t>
  </si>
  <si>
    <t>C.A :</t>
  </si>
  <si>
    <t>Total mois :</t>
  </si>
  <si>
    <t>Sélectionner le suivi à réaliser</t>
  </si>
  <si>
    <t>N° département</t>
  </si>
  <si>
    <t>Pays</t>
  </si>
  <si>
    <t>Quantité</t>
  </si>
  <si>
    <t>Départements</t>
  </si>
  <si>
    <t>France</t>
  </si>
  <si>
    <t>Angleterre</t>
  </si>
  <si>
    <t>Espagne</t>
  </si>
  <si>
    <t>Allemagne</t>
  </si>
  <si>
    <t>Belgique</t>
  </si>
  <si>
    <t>Italie</t>
  </si>
  <si>
    <t>Portugual</t>
  </si>
  <si>
    <t>Suisse</t>
  </si>
  <si>
    <t>Pays-Bas</t>
  </si>
  <si>
    <t>Russie</t>
  </si>
  <si>
    <t>Pays de l'Est</t>
  </si>
  <si>
    <t>Pays Nordiques</t>
  </si>
  <si>
    <t>Asie</t>
  </si>
  <si>
    <t>Grand Est</t>
  </si>
  <si>
    <t>Occitanie</t>
  </si>
  <si>
    <t>Normandie</t>
  </si>
  <si>
    <t>2A</t>
  </si>
  <si>
    <t>Corse</t>
  </si>
  <si>
    <t>2B</t>
  </si>
  <si>
    <t>Bretagne</t>
  </si>
  <si>
    <t>Vienne</t>
  </si>
  <si>
    <t>Pays de la Loire</t>
  </si>
  <si>
    <t>Mayenne</t>
  </si>
  <si>
    <t xml:space="preserve"> </t>
  </si>
  <si>
    <t>Guadeloupe</t>
  </si>
  <si>
    <t>Martinique</t>
  </si>
  <si>
    <t>Guyane</t>
  </si>
  <si>
    <t>La Réunion</t>
  </si>
  <si>
    <t>Paris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</si>
  <si>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</si>
  <si>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</si>
  <si>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</si>
  <si>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</si>
  <si>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</si>
  <si>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</si>
  <si>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</si>
  <si>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</si>
  <si>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</si>
  <si>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</si>
  <si>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</si>
  <si>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</si>
  <si>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</si>
  <si>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</si>
  <si>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</si>
  <si>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</si>
  <si>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</si>
  <si>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</si>
  <si>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</si>
  <si>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</si>
  <si>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</si>
  <si>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</si>
  <si>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</si>
  <si>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</si>
  <si>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</si>
  <si>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</si>
  <si>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</si>
  <si>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</si>
  <si>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</si>
  <si>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</si>
  <si>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</si>
  <si>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</si>
  <si>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</si>
  <si>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</si>
  <si>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</si>
  <si>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</si>
  <si>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</si>
  <si>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</si>
  <si>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</si>
  <si>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</si>
  <si>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</si>
  <si>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</si>
  <si>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</si>
  <si>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</si>
  <si>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</si>
  <si>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</si>
  <si>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</si>
  <si>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</si>
  <si>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</si>
  <si>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</si>
  <si>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</si>
  <si>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</si>
  <si>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</si>
  <si>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</si>
  <si>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</si>
  <si>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</si>
  <si>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</si>
  <si>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</si>
  <si>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</si>
  <si>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</si>
  <si>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</si>
  <si>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</si>
  <si>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</si>
  <si>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</si>
  <si>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</si>
  <si>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</si>
  <si>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</si>
  <si>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</si>
  <si>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Haute-Saône</t>
  </si>
  <si>
    <t>Saône-et-Loire</t>
  </si>
  <si>
    <t>Sarthe</t>
  </si>
  <si>
    <t>Savoie</t>
  </si>
  <si>
    <t>Haute-Savoie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</si>
  <si>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</si>
  <si>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</si>
  <si>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</si>
  <si>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</si>
  <si>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</si>
  <si>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</si>
  <si>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</si>
  <si>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</si>
  <si>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</si>
  <si>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</si>
  <si>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</si>
  <si>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</si>
  <si>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</si>
  <si>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</si>
  <si>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</si>
  <si>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</si>
  <si>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</si>
  <si>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</si>
  <si>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</si>
  <si>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Mayotte</t>
  </si>
  <si>
    <t>Région</t>
  </si>
  <si>
    <t>Département par mois</t>
  </si>
  <si>
    <t>Choisir une région :</t>
  </si>
  <si>
    <t>---------------------------------</t>
  </si>
  <si>
    <t>Par département</t>
  </si>
  <si>
    <t>Auvergne Rhône Alpes</t>
  </si>
  <si>
    <t>Hauts de France</t>
  </si>
  <si>
    <t xml:space="preserve">Provence Alpes Côte d'Azur </t>
  </si>
  <si>
    <t>Nouvelle Aquitaine</t>
  </si>
  <si>
    <t>Centre Val de Loire</t>
  </si>
  <si>
    <t xml:space="preserve">Bourgogne Franche Comté </t>
  </si>
  <si>
    <t xml:space="preserve">Nouvelle Aquitaine </t>
  </si>
  <si>
    <t xml:space="preserve">Auvergne Rhône Alpes </t>
  </si>
  <si>
    <t>Île de France</t>
  </si>
  <si>
    <t>N° colonne</t>
  </si>
  <si>
    <t>N° colonne suivante</t>
  </si>
  <si>
    <t>Dépôt réalisé</t>
  </si>
  <si>
    <t>Fond de caisse début mois :</t>
  </si>
  <si>
    <t>Fond de caisse actuel :</t>
  </si>
  <si>
    <t>Dépôt à réaliser 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</si>
  <si>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</si>
  <si>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</si>
  <si>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</si>
  <si>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</si>
  <si>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</si>
  <si>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</si>
  <si>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</si>
  <si>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</si>
  <si>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</si>
  <si>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022</t>
  </si>
  <si>
    <t>000</t>
  </si>
  <si>
    <t>011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</si>
  <si>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</si>
  <si>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</si>
  <si>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</si>
  <si>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</si>
  <si>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</si>
  <si>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</si>
  <si>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</si>
  <si>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</si>
  <si>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</si>
  <si>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</si>
  <si>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012</t>
  </si>
  <si>
    <t>013</t>
  </si>
  <si>
    <t>014</t>
  </si>
  <si>
    <t>015</t>
  </si>
  <si>
    <t>016</t>
  </si>
  <si>
    <t>017</t>
  </si>
  <si>
    <t>018</t>
  </si>
  <si>
    <t>019</t>
  </si>
  <si>
    <t>021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</si>
  <si>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</si>
  <si>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</si>
  <si>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</si>
  <si>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</si>
  <si>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</si>
  <si>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</si>
  <si>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</si>
  <si>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</si>
  <si>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</si>
  <si>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</si>
  <si>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</si>
  <si>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</si>
  <si>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</si>
  <si>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</si>
  <si>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</si>
  <si>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</si>
  <si>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</si>
  <si>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</si>
  <si>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</si>
  <si>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</si>
  <si>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</si>
  <si>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</si>
  <si>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</si>
  <si>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</si>
  <si>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</si>
  <si>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</si>
  <si>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</si>
  <si>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</si>
  <si>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</si>
  <si>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</si>
  <si>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</si>
  <si>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</si>
  <si>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</si>
  <si>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</si>
  <si>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</si>
  <si>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</si>
  <si>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</si>
  <si>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</si>
  <si>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</si>
  <si>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</si>
  <si>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</si>
  <si>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</si>
  <si>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</si>
  <si>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</si>
  <si>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</si>
  <si>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</si>
  <si>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</si>
  <si>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</si>
  <si>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</si>
  <si>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</si>
  <si>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</si>
  <si>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</si>
  <si>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</si>
  <si>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</si>
  <si>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</si>
  <si>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</si>
  <si>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</si>
  <si>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</si>
  <si>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</si>
  <si>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</si>
  <si>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</si>
  <si>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</si>
  <si>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</si>
  <si>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</si>
  <si>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</si>
  <si>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</si>
  <si>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</si>
  <si>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</si>
  <si>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</si>
  <si>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</si>
  <si>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</si>
  <si>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</si>
  <si>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</si>
  <si>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971</t>
  </si>
  <si>
    <t>972</t>
  </si>
  <si>
    <t>973</t>
  </si>
  <si>
    <t>974</t>
  </si>
  <si>
    <t>976</t>
  </si>
  <si>
    <t>02A</t>
  </si>
  <si>
    <t>02B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</si>
</sst>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[$-40C]mmmmm;@"/>
    <numFmt numFmtId="166" formatCode="#,##0.00\ &quot;€&quot;"/>
  </numFmts>
  <fonts count="17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sz val="11"/>
      <color theme="1" tint="0.499984740745262"/>
      <name val="Verdana"/>
      <family val="2"/>
    </font>
    <font>
      <sz val="9"/>
      <color rgb="FFFFFF00"/>
      <name val="Verdana"/>
      <family val="2"/>
    </font>
    <font>
      <b/>
      <sz val="16"/>
      <color theme="0"/>
      <name val="Verdana"/>
      <family val="2"/>
    </font>
    <font>
      <b/>
      <sz val="9"/>
      <color theme="0"/>
      <name val="Verdana"/>
      <family val="2"/>
    </font>
    <font>
      <sz val="9"/>
      <color theme="0"/>
      <name val="Verdana"/>
      <family val="2"/>
    </font>
    <font>
      <sz val="9"/>
      <name val="Verdana"/>
      <family val="2"/>
    </font>
    <font>
      <b/>
      <sz val="10"/>
      <color theme="0"/>
      <name val="Verdana"/>
      <family val="2"/>
    </font>
    <font>
      <sz val="10"/>
      <color theme="1" tint="0.499984740745262"/>
      <name val="Verdana"/>
      <family val="2"/>
    </font>
    <font>
      <sz val="9"/>
      <color theme="1" tint="0.499984740745262"/>
      <name val="Verdana"/>
      <family val="2"/>
    </font>
    <font>
      <b/>
      <sz val="9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1">
    <xf numFmtId="0" fontId="0" fillId="0" borderId="0" xfId="0"/>
    <xf numFmtId="44" fontId="0" fillId="0" borderId="0" xfId="1" applyFont="1"/>
    <xf numFmtId="14" fontId="0" fillId="0" borderId="0" xfId="0" applyNumberFormat="1"/>
    <xf numFmtId="14" fontId="0" fillId="0" borderId="0" xfId="0" applyNumberFormat="1" applyAlignment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2" borderId="1" xfId="0" applyFont="1" applyFill="1" applyBorder="1" applyAlignment="1">
      <alignment horizontal="right" vertical="center"/>
    </xf>
    <xf numFmtId="44" fontId="8" fillId="2" borderId="1" xfId="1" applyFont="1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44" fontId="0" fillId="4" borderId="1" xfId="1" applyFont="1" applyFill="1" applyBorder="1" applyAlignment="1">
      <alignment horizontal="right" vertical="center"/>
    </xf>
    <xf numFmtId="0" fontId="0" fillId="5" borderId="1" xfId="0" applyFill="1" applyBorder="1" applyAlignment="1">
      <alignment horizontal="right" vertical="center"/>
    </xf>
    <xf numFmtId="44" fontId="0" fillId="5" borderId="1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0" borderId="0" xfId="0" applyBorder="1"/>
    <xf numFmtId="44" fontId="8" fillId="2" borderId="1" xfId="0" applyNumberFormat="1" applyFont="1" applyFill="1" applyBorder="1" applyAlignment="1">
      <alignment horizontal="right" vertical="center"/>
    </xf>
    <xf numFmtId="0" fontId="0" fillId="3" borderId="0" xfId="0" applyFill="1"/>
    <xf numFmtId="0" fontId="10" fillId="3" borderId="11" xfId="0" applyFont="1" applyFill="1" applyBorder="1" applyAlignment="1">
      <alignment horizontal="right" vertical="center"/>
    </xf>
    <xf numFmtId="0" fontId="10" fillId="3" borderId="12" xfId="0" applyFont="1" applyFill="1" applyBorder="1" applyAlignment="1">
      <alignment horizontal="right" vertical="center"/>
    </xf>
    <xf numFmtId="0" fontId="10" fillId="3" borderId="11" xfId="0" applyFont="1" applyFill="1" applyBorder="1" applyAlignment="1">
      <alignment horizontal="center" vertical="center"/>
    </xf>
    <xf numFmtId="0" fontId="0" fillId="0" borderId="15" xfId="0" applyBorder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right" vertical="center"/>
    </xf>
    <xf numFmtId="3" fontId="0" fillId="0" borderId="0" xfId="0" applyNumberFormat="1"/>
    <xf numFmtId="0" fontId="0" fillId="0" borderId="0" xfId="0" applyAlignment="1">
      <alignment textRotation="90"/>
    </xf>
    <xf numFmtId="0" fontId="0" fillId="0" borderId="0" xfId="0" applyAlignment="1"/>
    <xf numFmtId="0" fontId="0" fillId="0" borderId="0" xfId="0" quotePrefix="1"/>
    <xf numFmtId="0" fontId="0" fillId="0" borderId="0" xfId="0" applyAlignment="1">
      <alignment horizontal="center"/>
    </xf>
    <xf numFmtId="0" fontId="11" fillId="3" borderId="0" xfId="0" applyFont="1" applyFill="1" applyAlignment="1">
      <alignment horizontal="right"/>
    </xf>
    <xf numFmtId="0" fontId="0" fillId="3" borderId="0" xfId="0" applyFill="1" applyAlignment="1">
      <alignment textRotation="90"/>
    </xf>
    <xf numFmtId="0" fontId="11" fillId="0" borderId="0" xfId="0" applyFont="1" applyAlignment="1">
      <alignment horizontal="center"/>
    </xf>
    <xf numFmtId="0" fontId="0" fillId="0" borderId="0" xfId="0" applyFill="1" applyAlignment="1">
      <alignment textRotation="90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/>
    <xf numFmtId="164" fontId="6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4" fontId="0" fillId="0" borderId="0" xfId="0" applyNumberFormat="1"/>
    <xf numFmtId="0" fontId="11" fillId="3" borderId="0" xfId="0" applyFont="1" applyFill="1"/>
    <xf numFmtId="14" fontId="11" fillId="3" borderId="0" xfId="0" applyNumberFormat="1" applyFont="1" applyFill="1"/>
    <xf numFmtId="0" fontId="16" fillId="3" borderId="0" xfId="0" applyFont="1" applyFill="1"/>
    <xf numFmtId="49" fontId="0" fillId="0" borderId="0" xfId="0" applyNumberFormat="1" applyAlignment="1">
      <alignment horizontal="center"/>
    </xf>
    <xf numFmtId="0" fontId="0" fillId="0" borderId="0" xfId="0" applyNumberFormat="1"/>
    <xf numFmtId="14" fontId="0" fillId="4" borderId="0" xfId="0" applyNumberFormat="1" applyFill="1"/>
    <xf numFmtId="14" fontId="0" fillId="5" borderId="0" xfId="0" applyNumberFormat="1" applyFill="1"/>
    <xf numFmtId="0" fontId="8" fillId="2" borderId="0" xfId="0" applyFont="1" applyFill="1" applyAlignment="1">
      <alignment horizontal="right"/>
    </xf>
    <xf numFmtId="0" fontId="0" fillId="4" borderId="17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14" fontId="0" fillId="4" borderId="17" xfId="0" applyNumberFormat="1" applyFill="1" applyBorder="1"/>
    <xf numFmtId="14" fontId="0" fillId="5" borderId="17" xfId="0" applyNumberFormat="1" applyFill="1" applyBorder="1"/>
    <xf numFmtId="49" fontId="0" fillId="0" borderId="17" xfId="0" applyNumberFormat="1" applyFont="1" applyBorder="1" applyAlignment="1">
      <alignment wrapText="1"/>
    </xf>
    <xf numFmtId="49" fontId="0" fillId="0" borderId="17" xfId="0" applyNumberFormat="1" applyFont="1" applyBorder="1" applyAlignment="1">
      <alignment horizontal="right" wrapText="1"/>
    </xf>
    <xf numFmtId="0" fontId="0" fillId="0" borderId="18" xfId="0" applyFont="1" applyBorder="1" applyAlignment="1">
      <alignment textRotation="90" wrapText="1"/>
    </xf>
    <xf numFmtId="3" fontId="0" fillId="0" borderId="18" xfId="0" applyNumberFormat="1" applyFont="1" applyBorder="1" applyAlignment="1">
      <alignment textRotation="90" wrapText="1"/>
    </xf>
    <xf numFmtId="0" fontId="7" fillId="3" borderId="0" xfId="0" applyFont="1" applyFill="1" applyBorder="1" applyAlignment="1">
      <alignment horizontal="center" vertical="center"/>
    </xf>
    <xf numFmtId="164" fontId="6" fillId="3" borderId="0" xfId="0" applyNumberFormat="1" applyFont="1" applyFill="1" applyBorder="1" applyAlignment="1"/>
    <xf numFmtId="164" fontId="6" fillId="3" borderId="0" xfId="0" applyNumberFormat="1" applyFont="1" applyFill="1" applyBorder="1" applyAlignment="1">
      <alignment vertical="center"/>
    </xf>
    <xf numFmtId="0" fontId="0" fillId="4" borderId="17" xfId="0" applyNumberFormat="1" applyFill="1" applyBorder="1" applyAlignment="1">
      <alignment horizontal="center"/>
    </xf>
    <xf numFmtId="49" fontId="0" fillId="5" borderId="17" xfId="0" applyNumberFormat="1" applyFill="1" applyBorder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9" fillId="6" borderId="0" xfId="0" applyFont="1" applyFill="1" applyAlignment="1">
      <alignment horizontal="center" vertical="center"/>
    </xf>
    <xf numFmtId="0" fontId="10" fillId="3" borderId="11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164" fontId="6" fillId="3" borderId="3" xfId="0" applyNumberFormat="1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left" vertical="center"/>
    </xf>
    <xf numFmtId="164" fontId="6" fillId="3" borderId="6" xfId="0" applyNumberFormat="1" applyFont="1" applyFill="1" applyBorder="1" applyAlignment="1">
      <alignment horizontal="left" vertical="center"/>
    </xf>
    <xf numFmtId="164" fontId="6" fillId="3" borderId="7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66" fontId="10" fillId="3" borderId="11" xfId="0" applyNumberFormat="1" applyFont="1" applyFill="1" applyBorder="1" applyAlignment="1">
      <alignment horizontal="left" vertical="center"/>
    </xf>
    <xf numFmtId="166" fontId="10" fillId="3" borderId="13" xfId="0" applyNumberFormat="1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5" borderId="1" xfId="0" quotePrefix="1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65" fontId="7" fillId="0" borderId="3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5" borderId="16" xfId="0" applyFill="1" applyBorder="1" applyAlignment="1">
      <alignment horizontal="right" vertical="center"/>
    </xf>
    <xf numFmtId="0" fontId="0" fillId="5" borderId="14" xfId="0" applyFill="1" applyBorder="1" applyAlignment="1">
      <alignment horizontal="right" vertical="center"/>
    </xf>
    <xf numFmtId="0" fontId="0" fillId="4" borderId="16" xfId="0" quotePrefix="1" applyFill="1" applyBorder="1" applyAlignment="1">
      <alignment horizontal="right" vertical="center"/>
    </xf>
    <xf numFmtId="0" fontId="0" fillId="4" borderId="14" xfId="0" quotePrefix="1" applyFill="1" applyBorder="1" applyAlignment="1">
      <alignment horizontal="right" vertical="center"/>
    </xf>
    <xf numFmtId="0" fontId="0" fillId="5" borderId="16" xfId="0" quotePrefix="1" applyFill="1" applyBorder="1" applyAlignment="1">
      <alignment horizontal="right" vertical="center"/>
    </xf>
    <xf numFmtId="0" fontId="0" fillId="5" borderId="14" xfId="0" quotePrefix="1" applyFill="1" applyBorder="1" applyAlignment="1">
      <alignment horizontal="right" vertical="center"/>
    </xf>
    <xf numFmtId="0" fontId="0" fillId="4" borderId="16" xfId="0" applyFill="1" applyBorder="1" applyAlignment="1">
      <alignment horizontal="right" vertical="center"/>
    </xf>
    <xf numFmtId="0" fontId="0" fillId="4" borderId="14" xfId="0" applyFill="1" applyBorder="1" applyAlignment="1">
      <alignment horizontal="right" vertical="center"/>
    </xf>
    <xf numFmtId="0" fontId="13" fillId="3" borderId="0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right"/>
    </xf>
    <xf numFmtId="0" fontId="15" fillId="3" borderId="0" xfId="0" applyFont="1" applyFill="1" applyAlignment="1">
      <alignment horizontal="center"/>
    </xf>
    <xf numFmtId="164" fontId="6" fillId="3" borderId="0" xfId="0" applyNumberFormat="1" applyFont="1" applyFill="1" applyBorder="1" applyAlignment="1">
      <alignment horizontal="left"/>
    </xf>
    <xf numFmtId="164" fontId="6" fillId="3" borderId="0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/>
    </xf>
    <xf numFmtId="0" fontId="0" fillId="0" borderId="18" xfId="0" applyFont="1" applyBorder="1" applyAlignment="1">
      <alignment horizontal="center" textRotation="90" wrapText="1"/>
    </xf>
    <xf numFmtId="0" fontId="0" fillId="0" borderId="17" xfId="0" applyFont="1" applyBorder="1" applyAlignment="1">
      <alignment horizontal="center" textRotation="90" wrapText="1"/>
    </xf>
    <xf numFmtId="0" fontId="0" fillId="0" borderId="18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3" fontId="0" fillId="0" borderId="18" xfId="0" applyNumberFormat="1" applyFont="1" applyBorder="1" applyAlignment="1">
      <alignment horizontal="center" textRotation="90" wrapText="1"/>
    </xf>
    <xf numFmtId="165" fontId="14" fillId="0" borderId="0" xfId="0" applyNumberFormat="1" applyFont="1" applyBorder="1" applyAlignment="1">
      <alignment horizontal="center" vertical="center"/>
    </xf>
    <xf numFmtId="0" fontId="13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 vertical="center"/>
    </xf>
    <xf numFmtId="44" fontId="11" fillId="3" borderId="0" xfId="1" applyFont="1" applyFill="1" applyAlignment="1">
      <alignment horizontal="center"/>
    </xf>
    <xf numFmtId="44" fontId="0" fillId="5" borderId="19" xfId="1" applyFont="1" applyFill="1" applyBorder="1" applyAlignment="1">
      <alignment horizontal="center"/>
    </xf>
    <xf numFmtId="44" fontId="0" fillId="5" borderId="10" xfId="1" applyFont="1" applyFill="1" applyBorder="1" applyAlignment="1">
      <alignment horizontal="center"/>
    </xf>
    <xf numFmtId="44" fontId="0" fillId="4" borderId="19" xfId="1" applyFont="1" applyFill="1" applyBorder="1" applyAlignment="1">
      <alignment horizontal="center"/>
    </xf>
    <xf numFmtId="44" fontId="0" fillId="4" borderId="10" xfId="1" applyFont="1" applyFill="1" applyBorder="1" applyAlignment="1">
      <alignment horizontal="center"/>
    </xf>
    <xf numFmtId="44" fontId="8" fillId="2" borderId="0" xfId="1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right"/>
    </xf>
    <xf numFmtId="0" fontId="2" fillId="0" borderId="0" xfId="0" applyFont="1" applyAlignment="1">
      <alignment horizontal="center"/>
    </xf>
    <xf numFmtId="44" fontId="0" fillId="4" borderId="19" xfId="1" applyFont="1" applyFill="1" applyBorder="1" applyAlignment="1">
      <alignment horizontal="center" vertical="center"/>
    </xf>
    <xf numFmtId="44" fontId="0" fillId="4" borderId="10" xfId="1" applyFont="1" applyFill="1" applyBorder="1" applyAlignment="1">
      <alignment horizontal="center" vertical="center"/>
    </xf>
    <xf numFmtId="44" fontId="15" fillId="7" borderId="0" xfId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5</xdr:row>
      <xdr:rowOff>38100</xdr:rowOff>
    </xdr:from>
    <xdr:to>
      <xdr:col>4</xdr:col>
      <xdr:colOff>57150</xdr:colOff>
      <xdr:row>10</xdr:row>
      <xdr:rowOff>38100</xdr:rowOff>
    </xdr:to>
    <xdr:sp macro="[0]!userform" textlink="">
      <xdr:nvSpPr>
        <xdr:cNvPr id="2" name="Rectangle 1"/>
        <xdr:cNvSpPr/>
      </xdr:nvSpPr>
      <xdr:spPr>
        <a:xfrm>
          <a:off x="1638300" y="752475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C.A du jour</a:t>
          </a:r>
        </a:p>
      </xdr:txBody>
    </xdr:sp>
    <xdr:clientData/>
  </xdr:twoCellAnchor>
  <xdr:twoCellAnchor>
    <xdr:from>
      <xdr:col>1</xdr:col>
      <xdr:colOff>781050</xdr:colOff>
      <xdr:row>13</xdr:row>
      <xdr:rowOff>123825</xdr:rowOff>
    </xdr:from>
    <xdr:to>
      <xdr:col>4</xdr:col>
      <xdr:colOff>38100</xdr:colOff>
      <xdr:row>18</xdr:row>
      <xdr:rowOff>123825</xdr:rowOff>
    </xdr:to>
    <xdr:sp macro="[0]!UserForm_dpt" textlink="">
      <xdr:nvSpPr>
        <xdr:cNvPr id="3" name="Rectangle 2"/>
        <xdr:cNvSpPr/>
      </xdr:nvSpPr>
      <xdr:spPr>
        <a:xfrm>
          <a:off x="1619250" y="1981200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Enquête départements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123825</xdr:rowOff>
    </xdr:from>
    <xdr:to>
      <xdr:col>9</xdr:col>
      <xdr:colOff>838200</xdr:colOff>
      <xdr:row>6</xdr:row>
      <xdr:rowOff>19050</xdr:rowOff>
    </xdr:to>
    <xdr:sp macro="[0]!ImprimerSemaine" textlink="">
      <xdr:nvSpPr>
        <xdr:cNvPr id="2" name="Rectangle 1"/>
        <xdr:cNvSpPr/>
      </xdr:nvSpPr>
      <xdr:spPr>
        <a:xfrm>
          <a:off x="8458200" y="419100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6</xdr:row>
      <xdr:rowOff>66675</xdr:rowOff>
    </xdr:to>
    <xdr:sp macro="[0]!ImprimerMois" textlink="">
      <xdr:nvSpPr>
        <xdr:cNvPr id="2" name="Rectangle 1"/>
        <xdr:cNvSpPr/>
      </xdr:nvSpPr>
      <xdr:spPr>
        <a:xfrm>
          <a:off x="77343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46464</xdr:colOff>
      <xdr:row>0</xdr:row>
      <xdr:rowOff>23232</xdr:rowOff>
    </xdr:from>
    <xdr:to>
      <xdr:col>0</xdr:col>
      <xdr:colOff>789414</xdr:colOff>
      <xdr:row>3</xdr:row>
      <xdr:rowOff>45070</xdr:rowOff>
    </xdr:to>
    <xdr:sp macro="[0]!ImprimerDpt" textlink="">
      <xdr:nvSpPr>
        <xdr:cNvPr id="2" name="Rectangle 1"/>
        <xdr:cNvSpPr/>
      </xdr:nvSpPr>
      <xdr:spPr>
        <a:xfrm>
          <a:off x="46464" y="23232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suivi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5</xdr:row>
      <xdr:rowOff>66675</xdr:rowOff>
    </xdr:to>
    <xdr:sp macro="[0]!ImprimerMois" textlink="">
      <xdr:nvSpPr>
        <xdr:cNvPr id="2" name="Rectangle 1"/>
        <xdr:cNvSpPr/>
      </xdr:nvSpPr>
      <xdr:spPr>
        <a:xfrm>
          <a:off x="85725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21"/>
  <sheetViews>
    <sheetView showGridLines="0" tabSelected="1" workbookViewId="0">
      <selection activeCell="H16" sqref="H16"/>
    </sheetView>
  </sheetViews>
  <sheetFormatPr baseColWidth="10" defaultRowHeight="11.25" x14ac:dyDescent="0.15"/>
  <sheetData>
    <row r="3" spans="2:5" x14ac:dyDescent="0.15">
      <c r="B3" s="70" t="s">
        <v>68</v>
      </c>
      <c r="C3" s="70"/>
      <c r="D3" s="70"/>
      <c r="E3" s="70"/>
    </row>
    <row r="4" spans="2:5" x14ac:dyDescent="0.15">
      <c r="B4" s="70"/>
      <c r="C4" s="70"/>
      <c r="D4" s="70"/>
      <c r="E4" s="70"/>
    </row>
    <row r="5" spans="2:5" x14ac:dyDescent="0.15">
      <c r="B5" s="23"/>
      <c r="C5" s="23"/>
      <c r="D5" s="23"/>
      <c r="E5" s="23"/>
    </row>
    <row r="6" spans="2:5" x14ac:dyDescent="0.15">
      <c r="B6" s="23"/>
      <c r="C6" s="23"/>
      <c r="D6" s="23"/>
      <c r="E6" s="23"/>
    </row>
    <row r="7" spans="2:5" x14ac:dyDescent="0.15">
      <c r="B7" s="23"/>
      <c r="C7" s="23"/>
      <c r="D7" s="23"/>
      <c r="E7" s="23"/>
    </row>
    <row r="8" spans="2:5" x14ac:dyDescent="0.15">
      <c r="B8" s="23"/>
      <c r="C8" s="23"/>
      <c r="D8" s="23"/>
      <c r="E8" s="23"/>
    </row>
    <row r="9" spans="2:5" x14ac:dyDescent="0.15">
      <c r="B9" s="23"/>
      <c r="C9" s="23"/>
      <c r="D9" s="23"/>
      <c r="E9" s="23"/>
    </row>
    <row r="10" spans="2:5" x14ac:dyDescent="0.15">
      <c r="B10" s="23"/>
      <c r="C10" s="23"/>
      <c r="D10" s="23"/>
      <c r="E10" s="23"/>
    </row>
    <row r="11" spans="2:5" x14ac:dyDescent="0.15">
      <c r="B11" s="23"/>
      <c r="C11" s="23"/>
      <c r="D11" s="23"/>
      <c r="E11" s="23"/>
    </row>
    <row r="12" spans="2:5" x14ac:dyDescent="0.15">
      <c r="B12" s="23"/>
      <c r="C12" s="23"/>
      <c r="D12" s="23"/>
      <c r="E12" s="23"/>
    </row>
    <row r="13" spans="2:5" x14ac:dyDescent="0.15">
      <c r="B13" s="23"/>
      <c r="C13" s="23"/>
      <c r="D13" s="23"/>
      <c r="E13" s="23"/>
    </row>
    <row r="14" spans="2:5" x14ac:dyDescent="0.15">
      <c r="B14" s="23"/>
      <c r="C14" s="23"/>
      <c r="D14" s="23"/>
      <c r="E14" s="23"/>
    </row>
    <row r="15" spans="2:5" x14ac:dyDescent="0.15">
      <c r="B15" s="23"/>
      <c r="C15" s="23"/>
      <c r="D15" s="23"/>
      <c r="E15" s="23"/>
    </row>
    <row r="16" spans="2:5" x14ac:dyDescent="0.15">
      <c r="B16" s="23"/>
      <c r="C16" s="23"/>
      <c r="D16" s="23"/>
      <c r="E16" s="23"/>
    </row>
    <row r="17" spans="2:5" x14ac:dyDescent="0.15">
      <c r="B17" s="23"/>
      <c r="C17" s="23"/>
      <c r="D17" s="23"/>
      <c r="E17" s="23"/>
    </row>
    <row r="18" spans="2:5" x14ac:dyDescent="0.15">
      <c r="B18" s="23"/>
      <c r="C18" s="23"/>
      <c r="D18" s="23"/>
      <c r="E18" s="23"/>
    </row>
    <row r="19" spans="2:5" x14ac:dyDescent="0.15">
      <c r="B19" s="23"/>
      <c r="C19" s="23"/>
      <c r="D19" s="23"/>
      <c r="E19" s="23"/>
    </row>
    <row r="20" spans="2:5" x14ac:dyDescent="0.15">
      <c r="B20" s="23"/>
      <c r="C20" s="23"/>
      <c r="D20" s="23"/>
      <c r="E20" s="23"/>
    </row>
    <row r="21" spans="2:5" x14ac:dyDescent="0.15">
      <c r="B21" s="23"/>
      <c r="C21" s="23"/>
      <c r="D21" s="23"/>
      <c r="E21" s="23"/>
    </row>
  </sheetData>
  <mergeCells count="1">
    <mergeCell ref="B3:E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22"/>
  <sheetViews>
    <sheetView workbookViewId="0">
      <selection activeCell="A3" sqref="A3:AI22"/>
    </sheetView>
  </sheetViews>
  <sheetFormatPr baseColWidth="10" defaultRowHeight="11.25" x14ac:dyDescent="0.15"/>
  <cols>
    <col min="1" max="1" width="23.25" style="2" bestFit="1" customWidth="1"/>
    <col min="3" max="3" width="11" style="1"/>
    <col min="5" max="5" width="11" style="1"/>
    <col min="7" max="7" width="11" style="1"/>
    <col min="9" max="9" width="11" style="1"/>
    <col min="11" max="11" width="11" style="1"/>
    <col min="13" max="13" width="11" style="1"/>
    <col min="15" max="15" width="11" style="1"/>
    <col min="17" max="17" width="11" style="1"/>
    <col min="19" max="19" width="11" style="1"/>
    <col min="21" max="21" width="11" style="1"/>
    <col min="23" max="23" width="11" style="1"/>
    <col min="25" max="25" width="11" style="1"/>
    <col min="27" max="27" width="11" style="1"/>
    <col min="29" max="29" width="11" style="1"/>
    <col min="31" max="31" width="11" style="1"/>
    <col min="33" max="33" width="11" style="1"/>
  </cols>
  <sheetData>
    <row r="1" spans="1:35" x14ac:dyDescent="0.15">
      <c r="A1" s="3" t="s">
        <v>19</v>
      </c>
      <c r="B1" s="72" t="s">
        <v>1</v>
      </c>
      <c r="C1" s="72"/>
      <c r="D1" s="72" t="s">
        <v>2</v>
      </c>
      <c r="E1" s="72"/>
      <c r="F1" s="72" t="s">
        <v>3</v>
      </c>
      <c r="G1" s="72"/>
      <c r="H1" s="72" t="s">
        <v>6</v>
      </c>
      <c r="I1" s="72"/>
      <c r="J1" s="72" t="s">
        <v>7</v>
      </c>
      <c r="K1" s="72"/>
      <c r="L1" s="72" t="s">
        <v>8</v>
      </c>
      <c r="M1" s="72"/>
      <c r="N1" s="72" t="s">
        <v>9</v>
      </c>
      <c r="O1" s="72"/>
      <c r="P1" s="72" t="s">
        <v>10</v>
      </c>
      <c r="Q1" s="72"/>
      <c r="R1" s="71" t="s">
        <v>11</v>
      </c>
      <c r="S1" s="72"/>
      <c r="T1" s="71" t="s">
        <v>12</v>
      </c>
      <c r="U1" s="72"/>
      <c r="V1" s="71" t="s">
        <v>13</v>
      </c>
      <c r="W1" s="72"/>
      <c r="X1" s="71" t="s">
        <v>14</v>
      </c>
      <c r="Y1" s="72"/>
      <c r="Z1" s="71" t="s">
        <v>15</v>
      </c>
      <c r="AA1" s="72"/>
      <c r="AB1" s="71" t="s">
        <v>16</v>
      </c>
      <c r="AC1" s="72"/>
      <c r="AD1" s="71" t="s">
        <v>17</v>
      </c>
      <c r="AE1" s="72"/>
      <c r="AF1" s="71" t="s">
        <v>18</v>
      </c>
      <c r="AG1" s="72"/>
      <c r="AH1" t="s">
        <v>19</v>
      </c>
      <c r="AI1" t="s">
        <v>19</v>
      </c>
    </row>
    <row r="2" spans="1:35" x14ac:dyDescent="0.15">
      <c r="A2" s="3" t="s">
        <v>0</v>
      </c>
      <c r="B2" t="s">
        <v>4</v>
      </c>
      <c r="C2" s="1" t="s">
        <v>5</v>
      </c>
      <c r="D2" t="s">
        <v>4</v>
      </c>
      <c r="E2" s="1" t="s">
        <v>5</v>
      </c>
      <c r="F2" t="s">
        <v>4</v>
      </c>
      <c r="G2" s="1" t="s">
        <v>5</v>
      </c>
      <c r="H2" t="s">
        <v>4</v>
      </c>
      <c r="I2" s="1" t="s">
        <v>5</v>
      </c>
      <c r="J2" t="s">
        <v>4</v>
      </c>
      <c r="K2" s="1" t="s">
        <v>5</v>
      </c>
      <c r="L2" t="s">
        <v>4</v>
      </c>
      <c r="M2" s="1" t="s">
        <v>5</v>
      </c>
      <c r="N2" t="s">
        <v>4</v>
      </c>
      <c r="O2" s="1" t="s">
        <v>5</v>
      </c>
      <c r="P2" t="s">
        <v>4</v>
      </c>
      <c r="Q2" s="1" t="s">
        <v>5</v>
      </c>
      <c r="R2" t="s">
        <v>4</v>
      </c>
      <c r="S2" s="1" t="s">
        <v>5</v>
      </c>
      <c r="T2" t="s">
        <v>4</v>
      </c>
      <c r="U2" s="1" t="s">
        <v>5</v>
      </c>
      <c r="V2" t="s">
        <v>4</v>
      </c>
      <c r="W2" s="1" t="s">
        <v>5</v>
      </c>
      <c r="X2" t="s">
        <v>4</v>
      </c>
      <c r="Y2" s="1" t="s">
        <v>5</v>
      </c>
      <c r="Z2" t="s">
        <v>4</v>
      </c>
      <c r="AA2" s="1" t="s">
        <v>5</v>
      </c>
      <c r="AB2" t="s">
        <v>4</v>
      </c>
      <c r="AC2" s="1" t="s">
        <v>5</v>
      </c>
      <c r="AD2" t="s">
        <v>4</v>
      </c>
      <c r="AE2" s="1" t="s">
        <v>5</v>
      </c>
      <c r="AF2" t="s">
        <v>4</v>
      </c>
      <c r="AG2" s="1" t="s">
        <v>5</v>
      </c>
      <c r="AH2" t="s">
        <v>45</v>
      </c>
      <c r="AI2" s="1" t="s">
        <v>179</v>
      </c>
    </row>
    <row r="3" spans="1:35" x14ac:dyDescent="0.15">
      <c r="A3" s="2">
        <v>43128</v>
      </c>
      <c r="B3">
        <v>10</v>
      </c>
      <c r="C3" s="1">
        <f>B3*5.3</f>
        <v>53</v>
      </c>
      <c r="D3">
        <v>5</v>
      </c>
      <c r="E3" s="1">
        <f>D3*2.9</f>
        <v>14.5</v>
      </c>
      <c r="F3">
        <v>15</v>
      </c>
      <c r="G3" s="1">
        <f>F3*3.5</f>
        <v>52.5</v>
      </c>
      <c r="H3">
        <v>30</v>
      </c>
      <c r="I3" s="1">
        <f>H3*2</f>
        <v>60</v>
      </c>
      <c r="J3">
        <v>20</v>
      </c>
      <c r="K3" s="1">
        <f>(J3*13.5)/4</f>
        <v>67.5</v>
      </c>
      <c r="L3">
        <v>0</v>
      </c>
      <c r="M3" s="1">
        <f>L3*0</f>
        <v>0</v>
      </c>
      <c r="N3">
        <v>0</v>
      </c>
      <c r="O3" s="1">
        <f>N3*0</f>
        <v>0</v>
      </c>
      <c r="P3">
        <v>0</v>
      </c>
      <c r="Q3" s="1">
        <f>P3*0</f>
        <v>0</v>
      </c>
      <c r="R3">
        <v>3</v>
      </c>
      <c r="S3" s="1">
        <f>R3*0</f>
        <v>0</v>
      </c>
      <c r="T3">
        <v>1</v>
      </c>
      <c r="U3" s="1">
        <f>T3*0</f>
        <v>0</v>
      </c>
      <c r="V3">
        <v>60</v>
      </c>
      <c r="W3" s="1">
        <f>V3*0</f>
        <v>0</v>
      </c>
      <c r="X3">
        <v>25</v>
      </c>
      <c r="Y3" s="1">
        <f>X3*0</f>
        <v>0</v>
      </c>
      <c r="Z3">
        <v>0</v>
      </c>
      <c r="AA3" s="1">
        <f>Z3*0</f>
        <v>0</v>
      </c>
      <c r="AB3">
        <v>0</v>
      </c>
      <c r="AC3" s="1">
        <f>AB3*15</f>
        <v>0</v>
      </c>
      <c r="AD3">
        <v>0</v>
      </c>
      <c r="AE3" s="1">
        <f>AD3*10</f>
        <v>0</v>
      </c>
      <c r="AF3">
        <v>0</v>
      </c>
      <c r="AG3" s="1">
        <f>(AF3*35)/4</f>
        <v>0</v>
      </c>
      <c r="AH3" t="str">
        <f>(YEAR(A3))&amp;(WEEKNUM(A3))</f>
        <v>20185</v>
      </c>
      <c r="AI3" s="46">
        <f>C3+E3+G3+I3+K3+M3+O3+Q3+S3+U3+W3+Y3+AA3+AC3+AE3+AG3</f>
        <v>247.5</v>
      </c>
    </row>
    <row r="4" spans="1:35" x14ac:dyDescent="0.15">
      <c r="AI4" s="46"/>
    </row>
    <row r="5" spans="1:35" x14ac:dyDescent="0.15">
      <c r="AI5" s="46"/>
    </row>
    <row r="6" spans="1:35" x14ac:dyDescent="0.15">
      <c r="AI6" s="46"/>
    </row>
    <row r="7" spans="1:35" x14ac:dyDescent="0.15">
      <c r="AI7" s="46"/>
    </row>
    <row r="8" spans="1:35" x14ac:dyDescent="0.15">
      <c r="AI8" s="46"/>
    </row>
    <row r="9" spans="1:35" x14ac:dyDescent="0.15">
      <c r="AI9" s="46"/>
    </row>
    <row r="10" spans="1:35" x14ac:dyDescent="0.15">
      <c r="D10" s="1"/>
      <c r="F10" s="1"/>
      <c r="H10" s="1"/>
      <c r="J10" s="1"/>
      <c r="L10" s="1"/>
      <c r="N10" s="1"/>
      <c r="P10" s="1"/>
      <c r="R10" s="1"/>
      <c r="T10" s="1"/>
      <c r="V10" s="1"/>
      <c r="X10" s="1"/>
      <c r="Z10" s="1"/>
      <c r="AB10" s="1"/>
      <c r="AD10" s="1"/>
      <c r="AF10" s="1"/>
      <c r="AH10" s="1"/>
      <c r="AI10" s="46"/>
    </row>
    <row r="11" spans="1:35" x14ac:dyDescent="0.15">
      <c r="AI11" s="46"/>
    </row>
    <row r="12" spans="1:35" x14ac:dyDescent="0.15">
      <c r="AI12" s="46"/>
    </row>
    <row r="13" spans="1:35" x14ac:dyDescent="0.15">
      <c r="AI13" s="46"/>
    </row>
    <row r="14" spans="1:35" x14ac:dyDescent="0.15">
      <c r="AI14" s="46"/>
    </row>
    <row r="15" spans="1:35" x14ac:dyDescent="0.15">
      <c r="AI15" s="46"/>
    </row>
    <row r="16" spans="1:35" x14ac:dyDescent="0.15">
      <c r="AI16" s="46"/>
    </row>
    <row r="17" spans="35:35" x14ac:dyDescent="0.15">
      <c r="AI17" s="46"/>
    </row>
    <row r="18" spans="35:35" x14ac:dyDescent="0.15">
      <c r="AI18" s="46"/>
    </row>
    <row r="19" spans="35:35" x14ac:dyDescent="0.15">
      <c r="AI19" s="46"/>
    </row>
    <row r="20" spans="35:35" x14ac:dyDescent="0.15">
      <c r="AI20" s="46"/>
    </row>
    <row r="21" spans="35:35" x14ac:dyDescent="0.15">
      <c r="AI21" s="46"/>
    </row>
    <row r="22" spans="35:35" x14ac:dyDescent="0.15">
      <c r="AI22" s="46"/>
    </row>
  </sheetData>
  <mergeCells count="16">
    <mergeCell ref="L1:M1"/>
    <mergeCell ref="B1:C1"/>
    <mergeCell ref="D1:E1"/>
    <mergeCell ref="F1:G1"/>
    <mergeCell ref="H1:I1"/>
    <mergeCell ref="J1:K1"/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X1:Y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43"/>
  <sheetViews>
    <sheetView showGridLines="0" topLeftCell="A15" zoomScaleNormal="100" workbookViewId="0">
      <selection activeCell="I42" sqref="I42"/>
    </sheetView>
  </sheetViews>
  <sheetFormatPr baseColWidth="10" defaultRowHeight="11.25" x14ac:dyDescent="0.15"/>
  <cols>
    <col min="1" max="1" width="10.75" bestFit="1" customWidth="1"/>
    <col min="2" max="2" width="21.125" bestFit="1" customWidth="1"/>
    <col min="3" max="10" width="11.125" customWidth="1"/>
  </cols>
  <sheetData>
    <row r="1" spans="1:10" ht="23.25" customHeight="1" x14ac:dyDescent="0.15">
      <c r="A1" s="73" t="s">
        <v>62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12" thickBot="1" x14ac:dyDescent="0.2"/>
    <row r="3" spans="1:10" s="9" customFormat="1" ht="14.25" x14ac:dyDescent="0.15">
      <c r="B3" s="80" t="s">
        <v>20</v>
      </c>
      <c r="C3" s="82">
        <v>4</v>
      </c>
      <c r="D3" s="84" t="s">
        <v>46</v>
      </c>
      <c r="E3" s="82">
        <v>2018</v>
      </c>
      <c r="F3" s="18" t="s">
        <v>43</v>
      </c>
      <c r="G3" s="76">
        <f>7*C3+DATE(E3,1,3)-WEEKDAY(DATE(E3,1,3))-5</f>
        <v>43122</v>
      </c>
      <c r="H3" s="76"/>
      <c r="I3" s="77"/>
    </row>
    <row r="4" spans="1:10" s="9" customFormat="1" ht="15" thickBot="1" x14ac:dyDescent="0.2">
      <c r="B4" s="81"/>
      <c r="C4" s="83"/>
      <c r="D4" s="85"/>
      <c r="E4" s="83"/>
      <c r="F4" s="19" t="s">
        <v>44</v>
      </c>
      <c r="G4" s="78">
        <f>7*C3+DATE(E3,1,3)-WEEKDAY(DATE(E3,1,3))+1</f>
        <v>43128</v>
      </c>
      <c r="H4" s="78"/>
      <c r="I4" s="79"/>
    </row>
    <row r="5" spans="1:10" s="9" customFormat="1" ht="15" thickBot="1" x14ac:dyDescent="0.2"/>
    <row r="6" spans="1:10" s="9" customFormat="1" ht="15" thickBot="1" x14ac:dyDescent="0.2">
      <c r="B6" s="25" t="s">
        <v>64</v>
      </c>
      <c r="C6" s="74" t="s">
        <v>65</v>
      </c>
      <c r="D6" s="74"/>
      <c r="E6" s="26">
        <f>SUM(C42:I42)</f>
        <v>169</v>
      </c>
      <c r="F6" s="24" t="s">
        <v>66</v>
      </c>
      <c r="G6" s="86">
        <f>SUM(C43:I43)</f>
        <v>247.5</v>
      </c>
      <c r="H6" s="86"/>
      <c r="I6" s="87"/>
    </row>
    <row r="7" spans="1:10" x14ac:dyDescent="0.15">
      <c r="C7" s="75"/>
      <c r="D7" s="75"/>
      <c r="I7" s="2"/>
    </row>
    <row r="9" spans="1:10" ht="12.75" x14ac:dyDescent="0.2"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  <c r="H9" s="10" t="s">
        <v>26</v>
      </c>
      <c r="I9" s="10" t="s">
        <v>27</v>
      </c>
      <c r="J9" s="10" t="s">
        <v>49</v>
      </c>
    </row>
    <row r="10" spans="1:10" x14ac:dyDescent="0.15">
      <c r="A10" s="96" t="s">
        <v>28</v>
      </c>
      <c r="B10" s="89" t="s">
        <v>1</v>
      </c>
      <c r="C10" s="13">
        <f>IF(ISERROR(VLOOKUP((7*$C$3+DATE($E$3,1,3)-WEEKDAY(DATE($E$3,1,3))-5),'ENTREES BDD'!$A:$AH,2,FALSE)),0,VLOOKUP((7*$C$3+DATE($E$3,1,3)-WEEKDAY(DATE($E$3,1,3))-5),'ENTREES BDD'!$A:$AH,2,FALSE))</f>
        <v>0</v>
      </c>
      <c r="D10" s="13">
        <f>IF(ISERROR(VLOOKUP((7*$C$3+DATE($E$3,1,3)-WEEKDAY(DATE($E$3,1,3))-4),'ENTREES BDD'!$A:$AH,2,FALSE)),0,VLOOKUP((7*$C$3+DATE($E$3,1,3)-WEEKDAY(DATE($E$3,1,3))-4),'ENTREES BDD'!$A:$AH,2,FALSE))</f>
        <v>0</v>
      </c>
      <c r="E10" s="13">
        <f>IF(ISERROR(VLOOKUP((7*$C$3+DATE($E$3,1,3)-WEEKDAY(DATE($E$3,1,3))-3),'ENTREES BDD'!$A:$AH,2,FALSE)),0,VLOOKUP((7*$C$3+DATE($E$3,1,3)-WEEKDAY(DATE($E$3,1,3))-3),'ENTREES BDD'!$A:$AH,2,FALSE))</f>
        <v>0</v>
      </c>
      <c r="F10" s="13">
        <f>IF(ISERROR(VLOOKUP((7*$C$3+DATE($E$3,1,3)-WEEKDAY(DATE($E$3,1,3))-2),'ENTREES BDD'!$A:$AH,2,FALSE)),0,VLOOKUP((7*$C$3+DATE($E$3,1,3)-WEEKDAY(DATE($E$3,1,3))-2),'ENTREES BDD'!$A:$AH,2,FALSE))</f>
        <v>0</v>
      </c>
      <c r="G10" s="13">
        <f>IF(ISERROR(VLOOKUP((7*$C$3+DATE($E$3,1,3)-WEEKDAY(DATE($E$3,1,3))-1),'ENTREES BDD'!$A:$AH,2,FALSE)),0,VLOOKUP((7*$C$3+DATE($E$3,1,3)-WEEKDAY(DATE($E$3,1,3))-1),'ENTREES BDD'!$A:$AH,2,FALSE))</f>
        <v>0</v>
      </c>
      <c r="H10" s="13">
        <f>IF(ISERROR(VLOOKUP((7*$C$3+DATE($E$3,1,3)-WEEKDAY(DATE($E$3,1,3))),'ENTREES BDD'!$A:$AH,2,FALSE)),0,VLOOKUP((7*$C$3+DATE($E$3,1,3)-WEEKDAY(DATE($E$3,1,3))),'ENTREES BDD'!$A:$AH,2,FALSE))</f>
        <v>0</v>
      </c>
      <c r="I10" s="13">
        <f>IF(ISERROR(VLOOKUP((7*$C$3+DATE($E$3,1,3)-WEEKDAY(DATE($E$3,1,3))+1),'ENTREES BDD'!$A:$AH,2,FALSE)),0,VLOOKUP((7*$C$3+DATE($E$3,1,3)-WEEKDAY(DATE($E$3,1,3))+1),'ENTREES BDD'!$A:$AH,2,FALSE))</f>
        <v>10</v>
      </c>
      <c r="J10" s="11">
        <f>SUM(C10:I10)</f>
        <v>10</v>
      </c>
    </row>
    <row r="11" spans="1:10" x14ac:dyDescent="0.15">
      <c r="A11" s="96"/>
      <c r="B11" s="89"/>
      <c r="C11" s="14">
        <f>IF(ISERROR(VLOOKUP((7*$C$3+DATE($E$3,1,3)-WEEKDAY(DATE($E$3,1,3))-5),'ENTREES BDD'!$A:$AH,3,FALSE)),0,VLOOKUP((7*$C$3+DATE($E$3,1,3)-WEEKDAY(DATE($E$3,1,3))-5),'ENTREES BDD'!$A:$AH,3,FALSE))</f>
        <v>0</v>
      </c>
      <c r="D11" s="14">
        <f>IF(ISERROR(VLOOKUP((7*$C$3+DATE($E$3,1,3)-WEEKDAY(DATE($E$3,1,3))-4),'ENTREES BDD'!$A:$AH,3,FALSE)),0,VLOOKUP((7*$C$3+DATE($E$3,1,3)-WEEKDAY(DATE($E$3,1,3))-4),'ENTREES BDD'!$A:$AH,3,FALSE))</f>
        <v>0</v>
      </c>
      <c r="E11" s="14">
        <f>IF(ISERROR(VLOOKUP((7*$C$3+DATE($E$3,1,3)-WEEKDAY(DATE($E$3,1,3))-3),'ENTREES BDD'!$A:$AH,3,FALSE)),0,VLOOKUP((7*$C$3+DATE($E$3,1,3)-WEEKDAY(DATE($E$3,1,3))-3),'ENTREES BDD'!$A:$AH,3,FALSE))</f>
        <v>0</v>
      </c>
      <c r="F11" s="14">
        <f>IF(ISERROR(VLOOKUP((7*$C$3+DATE($E$3,1,3)-WEEKDAY(DATE($E$3,1,3))-2),'ENTREES BDD'!$A:$AH,3,FALSE)),0,VLOOKUP((7*$C$3+DATE($E$3,1,3)-WEEKDAY(DATE($E$3,1,3))-2),'ENTREES BDD'!$A:$AH,3,FALSE))</f>
        <v>0</v>
      </c>
      <c r="G11" s="14">
        <f>IF(ISERROR(VLOOKUP((7*$C$3+DATE($E$3,1,3)-WEEKDAY(DATE($E$3,1,3))-1),'ENTREES BDD'!$A:$AH,3,FALSE)),0,VLOOKUP((7*$C$3+DATE($E$3,1,3)-WEEKDAY(DATE($E$3,1,3))-1),'ENTREES BDD'!$A:$AH,3,FALSE))</f>
        <v>0</v>
      </c>
      <c r="H11" s="14">
        <f>IF(ISERROR(VLOOKUP((7*$C$3+DATE($E$3,1,3)-WEEKDAY(DATE($E$3,1,3))),'ENTREES BDD'!$A:$AH,3,FALSE)),0,VLOOKUP((7*$C$3+DATE($E$3,1,3)-WEEKDAY(DATE($E$3,1,3))),'ENTREES BDD'!$A:$AH,3,FALSE))</f>
        <v>0</v>
      </c>
      <c r="I11" s="14">
        <f>IF(ISERROR(VLOOKUP((7*$C$3+DATE($E$3,1,3)-WEEKDAY(DATE($E$3,1,3))+1),'ENTREES BDD'!$A:$AH,3,FALSE)),0,VLOOKUP((7*$C$3+DATE($E$3,1,3)-WEEKDAY(DATE($E$3,1,3))+1),'ENTREES BDD'!$A:$AH,3,FALSE))</f>
        <v>53</v>
      </c>
      <c r="J11" s="12">
        <f t="shared" ref="J11:J41" si="0">SUM(C11:I11)</f>
        <v>53</v>
      </c>
    </row>
    <row r="12" spans="1:10" x14ac:dyDescent="0.15">
      <c r="A12" s="96"/>
      <c r="B12" s="89" t="s">
        <v>2</v>
      </c>
      <c r="C12" s="13">
        <f>IF(ISERROR(VLOOKUP((7*$C$3+DATE($E$3,1,3)-WEEKDAY(DATE($E$3,1,3))-5),'ENTREES BDD'!$A:$AH,4,FALSE)),0,VLOOKUP((7*$C$3+DATE($E$3,1,3)-WEEKDAY(DATE($E$3,1,3))-5),'ENTREES BDD'!$A:$AH,4,FALSE))</f>
        <v>0</v>
      </c>
      <c r="D12" s="13">
        <f>IF(ISERROR(VLOOKUP((7*$C$3+DATE($E$3,1,3)-WEEKDAY(DATE($E$3,1,3))-4),'ENTREES BDD'!$A:$AH,4,FALSE)),0,VLOOKUP((7*$C$3+DATE($E$3,1,3)-WEEKDAY(DATE($E$3,1,3))-4),'ENTREES BDD'!$A:$AH,4,FALSE))</f>
        <v>0</v>
      </c>
      <c r="E12" s="13">
        <f>IF(ISERROR(VLOOKUP((7*$C$3+DATE($E$3,1,3)-WEEKDAY(DATE($E$3,1,3))-3),'ENTREES BDD'!$A:$AH,4,FALSE)),0,VLOOKUP((7*$C$3+DATE($E$3,1,3)-WEEKDAY(DATE($E$3,1,3))-3),'ENTREES BDD'!$A:$AH,4,FALSE))</f>
        <v>0</v>
      </c>
      <c r="F12" s="13">
        <f>IF(ISERROR(VLOOKUP((7*$C$3+DATE($E$3,1,3)-WEEKDAY(DATE($E$3,1,3))-2),'ENTREES BDD'!$A:$AH,4,FALSE)),0,VLOOKUP((7*$C$3+DATE($E$3,1,3)-WEEKDAY(DATE($E$3,1,3))-2),'ENTREES BDD'!$A:$AH,4,FALSE))</f>
        <v>0</v>
      </c>
      <c r="G12" s="13">
        <f>IF(ISERROR(VLOOKUP((7*$C$3+DATE($E$3,1,3)-WEEKDAY(DATE($E$3,1,3))-1),'ENTREES BDD'!$A:$AH,4,FALSE)),0,VLOOKUP((7*$C$3+DATE($E$3,1,3)-WEEKDAY(DATE($E$3,1,3))-1),'ENTREES BDD'!$A:$AH,4,FALSE))</f>
        <v>0</v>
      </c>
      <c r="H12" s="13">
        <f>IF(ISERROR(VLOOKUP((7*$C$3+DATE($E$3,1,3)-WEEKDAY(DATE($E$3,1,3))),'ENTREES BDD'!$A:$AH,4,FALSE)),0,VLOOKUP((7*$C$3+DATE($E$3,1,3)-WEEKDAY(DATE($E$3,1,3))),'ENTREES BDD'!$A:$AH,4,FALSE))</f>
        <v>0</v>
      </c>
      <c r="I12" s="13">
        <f>IF(ISERROR(VLOOKUP((7*$C$3+DATE($E$3,1,3)-WEEKDAY(DATE($E$3,1,3))+1),'ENTREES BDD'!$A:$AH,4,FALSE)),0,VLOOKUP((7*$C$3+DATE($E$3,1,3)-WEEKDAY(DATE($E$3,1,3))+1),'ENTREES BDD'!$A:$AH,4,FALSE))</f>
        <v>5</v>
      </c>
      <c r="J12" s="11">
        <f t="shared" si="0"/>
        <v>5</v>
      </c>
    </row>
    <row r="13" spans="1:10" x14ac:dyDescent="0.15">
      <c r="A13" s="96"/>
      <c r="B13" s="89"/>
      <c r="C13" s="14">
        <f>IF(ISERROR(VLOOKUP((7*$C$3+DATE($E$3,1,3)-WEEKDAY(DATE($E$3,1,3))-5),'ENTREES BDD'!$A:$AH,5,FALSE)),0,VLOOKUP((7*$C$3+DATE($E$3,1,3)-WEEKDAY(DATE($E$3,1,3))-5),'ENTREES BDD'!$A:$AH,5,FALSE))</f>
        <v>0</v>
      </c>
      <c r="D13" s="14">
        <f>IF(ISERROR(VLOOKUP((7*$C$3+DATE($E$3,1,3)-WEEKDAY(DATE($E$3,1,3))-4),'ENTREES BDD'!$A:$AH,5,FALSE)),0,VLOOKUP((7*$C$3+DATE($E$3,1,3)-WEEKDAY(DATE($E$3,1,3))-4),'ENTREES BDD'!$A:$AH,5,FALSE))</f>
        <v>0</v>
      </c>
      <c r="E13" s="14">
        <f>IF(ISERROR(VLOOKUP((7*$C$3+DATE($E$3,1,3)-WEEKDAY(DATE($E$3,1,3))-3),'ENTREES BDD'!$A:$AH,5,FALSE)),0,VLOOKUP((7*$C$3+DATE($E$3,1,3)-WEEKDAY(DATE($E$3,1,3))-3),'ENTREES BDD'!$A:$AH,5,FALSE))</f>
        <v>0</v>
      </c>
      <c r="F13" s="14">
        <f>IF(ISERROR(VLOOKUP((7*$C$3+DATE($E$3,1,3)-WEEKDAY(DATE($E$3,1,3))-2),'ENTREES BDD'!$A:$AH,5,FALSE)),0,VLOOKUP((7*$C$3+DATE($E$3,1,3)-WEEKDAY(DATE($E$3,1,3))-2),'ENTREES BDD'!$A:$AH,5,FALSE))</f>
        <v>0</v>
      </c>
      <c r="G13" s="14">
        <f>IF(ISERROR(VLOOKUP((7*$C$3+DATE($E$3,1,3)-WEEKDAY(DATE($E$3,1,3))-1),'ENTREES BDD'!$A:$AH,5,FALSE)),0,VLOOKUP((7*$C$3+DATE($E$3,1,3)-WEEKDAY(DATE($E$3,1,3))-1),'ENTREES BDD'!$A:$AH,5,FALSE))</f>
        <v>0</v>
      </c>
      <c r="H13" s="14">
        <f>IF(ISERROR(VLOOKUP((7*$C$3+DATE($E$3,1,3)-WEEKDAY(DATE($E$3,1,3))),'ENTREES BDD'!$A:$AH,5,FALSE)),0,VLOOKUP((7*$C$3+DATE($E$3,1,3)-WEEKDAY(DATE($E$3,1,3))),'ENTREES BDD'!$A:$AH,5,FALSE))</f>
        <v>0</v>
      </c>
      <c r="I13" s="14">
        <f>IF(ISERROR(VLOOKUP((7*$C$3+DATE($E$3,1,3)-WEEKDAY(DATE($E$3,1,3))+1),'ENTREES BDD'!$A:$AH,5,FALSE)),0,VLOOKUP((7*$C$3+DATE($E$3,1,3)-WEEKDAY(DATE($E$3,1,3))+1),'ENTREES BDD'!$A:$AH,5,FALSE))</f>
        <v>14.5</v>
      </c>
      <c r="J13" s="12">
        <f t="shared" si="0"/>
        <v>14.5</v>
      </c>
    </row>
    <row r="14" spans="1:10" x14ac:dyDescent="0.15">
      <c r="A14" s="96"/>
      <c r="B14" s="89" t="s">
        <v>29</v>
      </c>
      <c r="C14" s="13">
        <f>IF(ISERROR(VLOOKUP((7*$C$3+DATE($E$3,1,3)-WEEKDAY(DATE($E$3,1,3))-5),'ENTREES BDD'!$A:$AH,18,FALSE)),0,VLOOKUP((7*$C$3+DATE($E$3,1,3)-WEEKDAY(DATE($E$3,1,3))-5),'ENTREES BDD'!$A:$AH,18,FALSE))</f>
        <v>0</v>
      </c>
      <c r="D14" s="13">
        <f>IF(ISERROR(VLOOKUP((7*$C$3+DATE($E$3,1,3)-WEEKDAY(DATE($E$3,1,3))-4),'ENTREES BDD'!$A:$AH,18,FALSE)),0,VLOOKUP((7*$C$3+DATE($E$3,1,3)-WEEKDAY(DATE($E$3,1,3))-4),'ENTREES BDD'!$A:$AH,18,FALSE))</f>
        <v>0</v>
      </c>
      <c r="E14" s="13">
        <f>IF(ISERROR(VLOOKUP((7*$C$3+DATE($E$3,1,3)-WEEKDAY(DATE($E$3,1,3))-3),'ENTREES BDD'!$A:$AH,18,FALSE)),0,VLOOKUP((7*$C$3+DATE($E$3,1,3)-WEEKDAY(DATE($E$3,1,3))-3),'ENTREES BDD'!$A:$AH,18,FALSE))</f>
        <v>0</v>
      </c>
      <c r="F14" s="13">
        <f>IF(ISERROR(VLOOKUP((7*$C$3+DATE($E$3,1,3)-WEEKDAY(DATE($E$3,1,3))-2),'ENTREES BDD'!$A:$AH,18,FALSE)),0,VLOOKUP((7*$C$3+DATE($E$3,1,3)-WEEKDAY(DATE($E$3,1,3))-2),'ENTREES BDD'!$A:$AH,18,FALSE))</f>
        <v>0</v>
      </c>
      <c r="G14" s="13">
        <f>IF(ISERROR(VLOOKUP((7*$C$3+DATE($E$3,1,3)-WEEKDAY(DATE($E$3,1,3))-1),'ENTREES BDD'!$A:$AH,18,FALSE)),0,VLOOKUP((7*$C$3+DATE($E$3,1,3)-WEEKDAY(DATE($E$3,1,3))-1),'ENTREES BDD'!$A:$AH,18,FALSE))</f>
        <v>0</v>
      </c>
      <c r="H14" s="13">
        <f>IF(ISERROR(VLOOKUP((7*$C$3+DATE($E$3,1,3)-WEEKDAY(DATE($E$3,1,3))),'ENTREES BDD'!$A:$AH,18,FALSE)),0,VLOOKUP((7*$C$3+DATE($E$3,1,3)-WEEKDAY(DATE($E$3,1,3))),'ENTREES BDD'!$A:$AH,18,FALSE))</f>
        <v>0</v>
      </c>
      <c r="I14" s="13">
        <f>IF(ISERROR(VLOOKUP((7*$C$3+DATE($E$3,1,3)-WEEKDAY(DATE($E$3,1,3))+1),'ENTREES BDD'!$A:$AH,18,FALSE)),0,VLOOKUP((7*$C$3+DATE($E$3,1,3)-WEEKDAY(DATE($E$3,1,3))+1),'ENTREES BDD'!$A:$AH,18,FALSE))</f>
        <v>3</v>
      </c>
      <c r="J14" s="11">
        <f t="shared" si="0"/>
        <v>3</v>
      </c>
    </row>
    <row r="15" spans="1:10" x14ac:dyDescent="0.15">
      <c r="A15" s="96"/>
      <c r="B15" s="89"/>
      <c r="C15" s="14">
        <f>IF(ISERROR(VLOOKUP((7*$C$3+DATE($E$3,1,3)-WEEKDAY(DATE($E$3,1,3))-5),'ENTREES BDD'!$A:$AH,19,FALSE)),0,VLOOKUP((7*$C$3+DATE($E$3,1,3)-WEEKDAY(DATE($E$3,1,3))-5),'ENTREES BDD'!$A:$AH,19,FALSE))</f>
        <v>0</v>
      </c>
      <c r="D15" s="14">
        <f>IF(ISERROR(VLOOKUP((7*$C$3+DATE($E$3,1,3)-WEEKDAY(DATE($E$3,1,3))-4),'ENTREES BDD'!$A:$AH,19,FALSE)),0,VLOOKUP((7*$C$3+DATE($E$3,1,3)-WEEKDAY(DATE($E$3,1,3))-4),'ENTREES BDD'!$A:$AH,19,FALSE))</f>
        <v>0</v>
      </c>
      <c r="E15" s="14">
        <f>IF(ISERROR(VLOOKUP((7*$C$3+DATE($E$3,1,3)-WEEKDAY(DATE($E$3,1,3))-3),'ENTREES BDD'!$A:$AH,19,FALSE)),0,VLOOKUP((7*$C$3+DATE($E$3,1,3)-WEEKDAY(DATE($E$3,1,3))-3),'ENTREES BDD'!$A:$AH,19,FALSE))</f>
        <v>0</v>
      </c>
      <c r="F15" s="14">
        <f>IF(ISERROR(VLOOKUP((7*$C$3+DATE($E$3,1,3)-WEEKDAY(DATE($E$3,1,3))-2),'ENTREES BDD'!$A:$AH,19,FALSE)),0,VLOOKUP((7*$C$3+DATE($E$3,1,3)-WEEKDAY(DATE($E$3,1,3))-2),'ENTREES BDD'!$A:$AH,19,FALSE))</f>
        <v>0</v>
      </c>
      <c r="G15" s="14">
        <f>IF(ISERROR(VLOOKUP((7*$C$3+DATE($E$3,1,3)-WEEKDAY(DATE($E$3,1,3))-1),'ENTREES BDD'!$A:$AH,19,FALSE)),0,VLOOKUP((7*$C$3+DATE($E$3,1,3)-WEEKDAY(DATE($E$3,1,3))-1),'ENTREES BDD'!$A:$AH,19,FALSE))</f>
        <v>0</v>
      </c>
      <c r="H15" s="14">
        <f>IF(ISERROR(VLOOKUP((7*$C$3+DATE($E$3,1,3)-WEEKDAY(DATE($E$3,1,3))),'ENTREES BDD'!$A:$AH,19,FALSE)),0,VLOOKUP((7*$C$3+DATE($E$3,1,3)-WEEKDAY(DATE($E$3,1,3))),'ENTREES BDD'!$A:$AH,19,FALSE))</f>
        <v>0</v>
      </c>
      <c r="I15" s="14">
        <f>IF(ISERROR(VLOOKUP((7*$C$3+DATE($E$3,1,3)-WEEKDAY(DATE($E$3,1,3))+1),'ENTREES BDD'!$A:$AH,19,FALSE)),0,VLOOKUP((7*$C$3+DATE($E$3,1,3)-WEEKDAY(DATE($E$3,1,3))+1),'ENTREES BDD'!$A:$AH,19,FALSE))</f>
        <v>0</v>
      </c>
      <c r="J15" s="12">
        <f t="shared" si="0"/>
        <v>0</v>
      </c>
    </row>
    <row r="16" spans="1:10" x14ac:dyDescent="0.15">
      <c r="A16" s="96"/>
      <c r="B16" s="89" t="s">
        <v>30</v>
      </c>
      <c r="C16" s="13">
        <f>IF(ISERROR(VLOOKUP((7*$C$3+DATE($E$3,1,3)-WEEKDAY(DATE($E$3,1,3))-5),'ENTREES BDD'!$A:$AH,20,FALSE)),0,VLOOKUP((7*$C$3+DATE($E$3,1,3)-WEEKDAY(DATE($E$3,1,3))-5),'ENTREES BDD'!$A:$AH,20,FALSE))</f>
        <v>0</v>
      </c>
      <c r="D16" s="13">
        <f>IF(ISERROR(VLOOKUP((7*$C$3+DATE($E$3,1,3)-WEEKDAY(DATE($E$3,1,3))-4),'ENTREES BDD'!$A:$AH,20,FALSE)),0,VLOOKUP((7*$C$3+DATE($E$3,1,3)-WEEKDAY(DATE($E$3,1,3))-4),'ENTREES BDD'!$A:$AH,20,FALSE))</f>
        <v>0</v>
      </c>
      <c r="E16" s="13">
        <f>IF(ISERROR(VLOOKUP((7*$C$3+DATE($E$3,1,3)-WEEKDAY(DATE($E$3,1,3))-3),'ENTREES BDD'!$A:$AH,20,FALSE)),0,VLOOKUP((7*$C$3+DATE($E$3,1,3)-WEEKDAY(DATE($E$3,1,3))-3),'ENTREES BDD'!$A:$AH,20,FALSE))</f>
        <v>0</v>
      </c>
      <c r="F16" s="13">
        <f>IF(ISERROR(VLOOKUP((7*$C$3+DATE($E$3,1,3)-WEEKDAY(DATE($E$3,1,3))-2),'ENTREES BDD'!$A:$AH,20,FALSE)),0,VLOOKUP((7*$C$3+DATE($E$3,1,3)-WEEKDAY(DATE($E$3,1,3))-2),'ENTREES BDD'!$A:$AH,20,FALSE))</f>
        <v>0</v>
      </c>
      <c r="G16" s="13">
        <f>IF(ISERROR(VLOOKUP((7*$C$3+DATE($E$3,1,3)-WEEKDAY(DATE($E$3,1,3))-1),'ENTREES BDD'!$A:$AH,20,FALSE)),0,VLOOKUP((7*$C$3+DATE($E$3,1,3)-WEEKDAY(DATE($E$3,1,3))-1),'ENTREES BDD'!$A:$AH,20,FALSE))</f>
        <v>0</v>
      </c>
      <c r="H16" s="13">
        <f>IF(ISERROR(VLOOKUP((7*$C$3+DATE($E$3,1,3)-WEEKDAY(DATE($E$3,1,3))),'ENTREES BDD'!$A:$AH,20,FALSE)),0,VLOOKUP((7*$C$3+DATE($E$3,1,3)-WEEKDAY(DATE($E$3,1,3))),'ENTREES BDD'!$A:$AH,20,FALSE))</f>
        <v>0</v>
      </c>
      <c r="I16" s="13">
        <f>IF(ISERROR(VLOOKUP((7*$C$3+DATE($E$3,1,3)-WEEKDAY(DATE($E$3,1,3))+1),'ENTREES BDD'!$A:$AH,20,FALSE)),0,VLOOKUP((7*$C$3+DATE($E$3,1,3)-WEEKDAY(DATE($E$3,1,3))+1),'ENTREES BDD'!$A:$AH,20,FALSE))</f>
        <v>1</v>
      </c>
      <c r="J16" s="11">
        <f t="shared" si="0"/>
        <v>1</v>
      </c>
    </row>
    <row r="17" spans="1:10" x14ac:dyDescent="0.15">
      <c r="A17" s="96"/>
      <c r="B17" s="89"/>
      <c r="C17" s="14">
        <f>IF(ISERROR(VLOOKUP((7*$C$3+DATE($E$3,1,3)-WEEKDAY(DATE($E$3,1,3))-5),'ENTREES BDD'!$A:$AH,21,FALSE)),0,VLOOKUP((7*$C$3+DATE($E$3,1,3)-WEEKDAY(DATE($E$3,1,3))-5),'ENTREES BDD'!$A:$AH,21,FALSE))</f>
        <v>0</v>
      </c>
      <c r="D17" s="14">
        <f>IF(ISERROR(VLOOKUP((7*$C$3+DATE($E$3,1,3)-WEEKDAY(DATE($E$3,1,3))-4),'ENTREES BDD'!$A:$AH,21,FALSE)),0,VLOOKUP((7*$C$3+DATE($E$3,1,3)-WEEKDAY(DATE($E$3,1,3))-4),'ENTREES BDD'!$A:$AH,21,FALSE))</f>
        <v>0</v>
      </c>
      <c r="E17" s="14">
        <f>IF(ISERROR(VLOOKUP((7*$C$3+DATE($E$3,1,3)-WEEKDAY(DATE($E$3,1,3))-3),'ENTREES BDD'!$A:$AH,21,FALSE)),0,VLOOKUP((7*$C$3+DATE($E$3,1,3)-WEEKDAY(DATE($E$3,1,3))-3),'ENTREES BDD'!$A:$AH,21,FALSE))</f>
        <v>0</v>
      </c>
      <c r="F17" s="14">
        <f>IF(ISERROR(VLOOKUP((7*$C$3+DATE($E$3,1,3)-WEEKDAY(DATE($E$3,1,3))-2),'ENTREES BDD'!$A:$AH,21,FALSE)),0,VLOOKUP((7*$C$3+DATE($E$3,1,3)-WEEKDAY(DATE($E$3,1,3))-2),'ENTREES BDD'!$A:$AH,21,FALSE))</f>
        <v>0</v>
      </c>
      <c r="G17" s="14">
        <f>IF(ISERROR(VLOOKUP((7*$C$3+DATE($E$3,1,3)-WEEKDAY(DATE($E$3,1,3))-1),'ENTREES BDD'!$A:$AH,21,FALSE)),0,VLOOKUP((7*$C$3+DATE($E$3,1,3)-WEEKDAY(DATE($E$3,1,3))-1),'ENTREES BDD'!$A:$AH,21,FALSE))</f>
        <v>0</v>
      </c>
      <c r="H17" s="14">
        <f>IF(ISERROR(VLOOKUP((7*$C$3+DATE($E$3,1,3)-WEEKDAY(DATE($E$3,1,3))),'ENTREES BDD'!$A:$AH,21,FALSE)),0,VLOOKUP((7*$C$3+DATE($E$3,1,3)-WEEKDAY(DATE($E$3,1,3))),'ENTREES BDD'!$A:$AH,21,FALSE))</f>
        <v>0</v>
      </c>
      <c r="I17" s="14">
        <f>IF(ISERROR(VLOOKUP((7*$C$3+DATE($E$3,1,3)-WEEKDAY(DATE($E$3,1,3))+1),'ENTREES BDD'!$A:$AH,21,FALSE)),0,VLOOKUP((7*$C$3+DATE($E$3,1,3)-WEEKDAY(DATE($E$3,1,3))+1),'ENTREES BDD'!$A:$AH,21,FALSE))</f>
        <v>0</v>
      </c>
      <c r="J17" s="12">
        <f t="shared" si="0"/>
        <v>0</v>
      </c>
    </row>
    <row r="18" spans="1:10" x14ac:dyDescent="0.15">
      <c r="A18" s="97" t="s">
        <v>31</v>
      </c>
      <c r="B18" s="88" t="s">
        <v>32</v>
      </c>
      <c r="C18" s="15">
        <f>IF(ISERROR(VLOOKUP((7*$C$3+DATE($E$3,1,3)-WEEKDAY(DATE($E$3,1,3))-5),'ENTREES BDD'!$A:$AH,6,FALSE)),0,VLOOKUP((7*$C$3+DATE($E$3,1,3)-WEEKDAY(DATE($E$3,1,3))-5),'ENTREES BDD'!$A:$AH,6,FALSE))</f>
        <v>0</v>
      </c>
      <c r="D18" s="15">
        <f>IF(ISERROR(VLOOKUP((7*$C$3+DATE($E$3,1,3)-WEEKDAY(DATE($E$3,1,3))-4),'ENTREES BDD'!$A:$AH,6,FALSE)),0,VLOOKUP((7*$C$3+DATE($E$3,1,3)-WEEKDAY(DATE($E$3,1,3))-4),'ENTREES BDD'!$A:$AH,6,FALSE))</f>
        <v>0</v>
      </c>
      <c r="E18" s="15">
        <f>IF(ISERROR(VLOOKUP((7*$C$3+DATE($E$3,1,3)-WEEKDAY(DATE($E$3,1,3))-3),'ENTREES BDD'!$A:$AH,6,FALSE)),0,VLOOKUP((7*$C$3+DATE($E$3,1,3)-WEEKDAY(DATE($E$3,1,3))-3),'ENTREES BDD'!$A:$AH,6,FALSE))</f>
        <v>0</v>
      </c>
      <c r="F18" s="15">
        <f>IF(ISERROR(VLOOKUP((7*$C$3+DATE($E$3,1,3)-WEEKDAY(DATE($E$3,1,3))-2),'ENTREES BDD'!$A:$AH,6,FALSE)),0,VLOOKUP((7*$C$3+DATE($E$3,1,3)-WEEKDAY(DATE($E$3,1,3))-2),'ENTREES BDD'!$A:$AH,6,FALSE))</f>
        <v>0</v>
      </c>
      <c r="G18" s="15">
        <f>IF(ISERROR(VLOOKUP((7*$C$3+DATE($E$3,1,3)-WEEKDAY(DATE($E$3,1,3))-1),'ENTREES BDD'!$A:$AH,6,FALSE)),0,VLOOKUP((7*$C$3+DATE($E$3,1,3)-WEEKDAY(DATE($E$3,1,3))-1),'ENTREES BDD'!$A:$AH,6,FALSE))</f>
        <v>0</v>
      </c>
      <c r="H18" s="15">
        <f>IF(ISERROR(VLOOKUP((7*$C$3+DATE($E$3,1,3)-WEEKDAY(DATE($E$3,1,3))),'ENTREES BDD'!$A:$AH,6,FALSE)),0,VLOOKUP((7*$C$3+DATE($E$3,1,3)-WEEKDAY(DATE($E$3,1,3))),'ENTREES BDD'!$A:$AH,6,FALSE))</f>
        <v>0</v>
      </c>
      <c r="I18" s="15">
        <f>IF(ISERROR(VLOOKUP((7*$C$3+DATE($E$3,1,3)-WEEKDAY(DATE($E$3,1,3))+1),'ENTREES BDD'!$A:$AH,6,FALSE)),0,VLOOKUP((7*$C$3+DATE($E$3,1,3)-WEEKDAY(DATE($E$3,1,3))+1),'ENTREES BDD'!$A:$AH,6,FALSE))</f>
        <v>15</v>
      </c>
      <c r="J18" s="11">
        <f t="shared" si="0"/>
        <v>15</v>
      </c>
    </row>
    <row r="19" spans="1:10" x14ac:dyDescent="0.15">
      <c r="A19" s="97"/>
      <c r="B19" s="88"/>
      <c r="C19" s="16">
        <f>IF(ISERROR(VLOOKUP((7*$C$3+DATE($E$3,1,3)-WEEKDAY(DATE($E$3,1,3))-5),'ENTREES BDD'!$A:$AH,7,FALSE)),0,VLOOKUP((7*$C$3+DATE($E$3,1,3)-WEEKDAY(DATE($E$3,1,3))-5),'ENTREES BDD'!$A:$AH,7,FALSE))</f>
        <v>0</v>
      </c>
      <c r="D19" s="16">
        <f>IF(ISERROR(VLOOKUP((7*$C$3+DATE($E$3,1,3)-WEEKDAY(DATE($E$3,1,3))-4),'ENTREES BDD'!$A:$AH,7,FALSE)),0,VLOOKUP((7*$C$3+DATE($E$3,1,3)-WEEKDAY(DATE($E$3,1,3))-4),'ENTREES BDD'!$A:$AH,7,FALSE))</f>
        <v>0</v>
      </c>
      <c r="E19" s="16">
        <f>IF(ISERROR(VLOOKUP((7*$C$3+DATE($E$3,1,3)-WEEKDAY(DATE($E$3,1,3))-3),'ENTREES BDD'!$A:$AH,7,FALSE)),0,VLOOKUP((7*$C$3+DATE($E$3,1,3)-WEEKDAY(DATE($E$3,1,3))-3),'ENTREES BDD'!$A:$AH,7,FALSE))</f>
        <v>0</v>
      </c>
      <c r="F19" s="16">
        <f>IF(ISERROR(VLOOKUP((7*$C$3+DATE($E$3,1,3)-WEEKDAY(DATE($E$3,1,3))-2),'ENTREES BDD'!$A:$AH,7,FALSE)),0,VLOOKUP((7*$C$3+DATE($E$3,1,3)-WEEKDAY(DATE($E$3,1,3))-2),'ENTREES BDD'!$A:$AH,7,FALSE))</f>
        <v>0</v>
      </c>
      <c r="G19" s="16">
        <f>IF(ISERROR(VLOOKUP((7*$C$3+DATE($E$3,1,3)-WEEKDAY(DATE($E$3,1,3))-1),'ENTREES BDD'!$A:$AH,7,FALSE)),0,VLOOKUP((7*$C$3+DATE($E$3,1,3)-WEEKDAY(DATE($E$3,1,3))-1),'ENTREES BDD'!$A:$AH,7,FALSE))</f>
        <v>0</v>
      </c>
      <c r="H19" s="16">
        <f>IF(ISERROR(VLOOKUP((7*$C$3+DATE($E$3,1,3)-WEEKDAY(DATE($E$3,1,3))),'ENTREES BDD'!$A:$AH,7,FALSE)),0,VLOOKUP((7*$C$3+DATE($E$3,1,3)-WEEKDAY(DATE($E$3,1,3))),'ENTREES BDD'!$A:$AH,7,FALSE))</f>
        <v>0</v>
      </c>
      <c r="I19" s="16">
        <f>IF(ISERROR(VLOOKUP((7*$C$3+DATE($E$3,1,3)-WEEKDAY(DATE($E$3,1,3))+1),'ENTREES BDD'!$A:$AH,7,FALSE)),0,VLOOKUP((7*$C$3+DATE($E$3,1,3)-WEEKDAY(DATE($E$3,1,3))+1),'ENTREES BDD'!$A:$AH,7,FALSE))</f>
        <v>52.5</v>
      </c>
      <c r="J19" s="12">
        <f t="shared" si="0"/>
        <v>52.5</v>
      </c>
    </row>
    <row r="20" spans="1:10" x14ac:dyDescent="0.15">
      <c r="A20" s="97"/>
      <c r="B20" s="88" t="s">
        <v>33</v>
      </c>
      <c r="C20" s="15">
        <f>IF(ISERROR(VLOOKUP((7*$C$3+DATE($E$3,1,3)-WEEKDAY(DATE($E$3,1,3))-5),'ENTREES BDD'!$A:$AH,8,FALSE)),0,VLOOKUP((7*$C$3+DATE($E$3,1,3)-WEEKDAY(DATE($E$3,1,3))-5),'ENTREES BDD'!$A:$AH,8,FALSE))</f>
        <v>0</v>
      </c>
      <c r="D20" s="15">
        <f>IF(ISERROR(VLOOKUP((7*$C$3+DATE($E$3,1,3)-WEEKDAY(DATE($E$3,1,3))-4),'ENTREES BDD'!$A:$AH,8,FALSE)),0,VLOOKUP((7*$C$3+DATE($E$3,1,3)-WEEKDAY(DATE($E$3,1,3))-4),'ENTREES BDD'!$A:$AH,8,FALSE))</f>
        <v>0</v>
      </c>
      <c r="E20" s="15">
        <f>IF(ISERROR(VLOOKUP((7*$C$3+DATE($E$3,1,3)-WEEKDAY(DATE($E$3,1,3))-3),'ENTREES BDD'!$A:$AH,8,FALSE)),0,VLOOKUP((7*$C$3+DATE($E$3,1,3)-WEEKDAY(DATE($E$3,1,3))-3),'ENTREES BDD'!$A:$AH,8,FALSE))</f>
        <v>0</v>
      </c>
      <c r="F20" s="15">
        <f>IF(ISERROR(VLOOKUP((7*$C$3+DATE($E$3,1,3)-WEEKDAY(DATE($E$3,1,3))-2),'ENTREES BDD'!$A:$AH,8,FALSE)),0,VLOOKUP((7*$C$3+DATE($E$3,1,3)-WEEKDAY(DATE($E$3,1,3))-2),'ENTREES BDD'!$A:$AH,8,FALSE))</f>
        <v>0</v>
      </c>
      <c r="G20" s="15">
        <f>IF(ISERROR(VLOOKUP((7*$C$3+DATE($E$3,1,3)-WEEKDAY(DATE($E$3,1,3))-1),'ENTREES BDD'!$A:$AH,8,FALSE)),0,VLOOKUP((7*$C$3+DATE($E$3,1,3)-WEEKDAY(DATE($E$3,1,3))-1),'ENTREES BDD'!$A:$AH,8,FALSE))</f>
        <v>0</v>
      </c>
      <c r="H20" s="15">
        <f>IF(ISERROR(VLOOKUP((7*$C$3+DATE($E$3,1,3)-WEEKDAY(DATE($E$3,1,3))),'ENTREES BDD'!$A:$AH,8,FALSE)),0,VLOOKUP((7*$C$3+DATE($E$3,1,3)-WEEKDAY(DATE($E$3,1,3))),'ENTREES BDD'!$A:$AH,8,FALSE))</f>
        <v>0</v>
      </c>
      <c r="I20" s="15">
        <f>IF(ISERROR(VLOOKUP((7*$C$3+DATE($E$3,1,3)-WEEKDAY(DATE($E$3,1,3))+1),'ENTREES BDD'!$A:$AH,8,FALSE)),0,VLOOKUP((7*$C$3+DATE($E$3,1,3)-WEEKDAY(DATE($E$3,1,3))+1),'ENTREES BDD'!$A:$AH,8,FALSE))</f>
        <v>30</v>
      </c>
      <c r="J20" s="11">
        <f t="shared" si="0"/>
        <v>30</v>
      </c>
    </row>
    <row r="21" spans="1:10" x14ac:dyDescent="0.15">
      <c r="A21" s="97"/>
      <c r="B21" s="88"/>
      <c r="C21" s="16">
        <f>IF(ISERROR(VLOOKUP((7*$C$3+DATE($E$3,1,3)-WEEKDAY(DATE($E$3,1,3))-5),'ENTREES BDD'!$A:$AH,9,FALSE)),0,VLOOKUP((7*$C$3+DATE($E$3,1,3)-WEEKDAY(DATE($E$3,1,3))-5),'ENTREES BDD'!$A:$AH,9,FALSE))</f>
        <v>0</v>
      </c>
      <c r="D21" s="16">
        <f>IF(ISERROR(VLOOKUP((7*$C$3+DATE($E$3,1,3)-WEEKDAY(DATE($E$3,1,3))-4),'ENTREES BDD'!$A:$AH,9,FALSE)),0,VLOOKUP((7*$C$3+DATE($E$3,1,3)-WEEKDAY(DATE($E$3,1,3))-4),'ENTREES BDD'!$A:$AH,9,FALSE))</f>
        <v>0</v>
      </c>
      <c r="E21" s="16">
        <f>IF(ISERROR(VLOOKUP((7*$C$3+DATE($E$3,1,3)-WEEKDAY(DATE($E$3,1,3))-3),'ENTREES BDD'!$A:$AH,9,FALSE)),0,VLOOKUP((7*$C$3+DATE($E$3,1,3)-WEEKDAY(DATE($E$3,1,3))-3),'ENTREES BDD'!$A:$AH,9,FALSE))</f>
        <v>0</v>
      </c>
      <c r="F21" s="16">
        <f>IF(ISERROR(VLOOKUP((7*$C$3+DATE($E$3,1,3)-WEEKDAY(DATE($E$3,1,3))-2),'ENTREES BDD'!$A:$AH,9,FALSE)),0,VLOOKUP((7*$C$3+DATE($E$3,1,3)-WEEKDAY(DATE($E$3,1,3))-2),'ENTREES BDD'!$A:$AH,9,FALSE))</f>
        <v>0</v>
      </c>
      <c r="G21" s="16">
        <f>IF(ISERROR(VLOOKUP((7*$C$3+DATE($E$3,1,3)-WEEKDAY(DATE($E$3,1,3))-1),'ENTREES BDD'!$A:$AH,9,FALSE)),0,VLOOKUP((7*$C$3+DATE($E$3,1,3)-WEEKDAY(DATE($E$3,1,3))-1),'ENTREES BDD'!$A:$AH,9,FALSE))</f>
        <v>0</v>
      </c>
      <c r="H21" s="16">
        <f>IF(ISERROR(VLOOKUP((7*$C$3+DATE($E$3,1,3)-WEEKDAY(DATE($E$3,1,3))),'ENTREES BDD'!$A:$AH,9,FALSE)),0,VLOOKUP((7*$C$3+DATE($E$3,1,3)-WEEKDAY(DATE($E$3,1,3))),'ENTREES BDD'!$A:$AH,9,FALSE))</f>
        <v>0</v>
      </c>
      <c r="I21" s="16">
        <f>IF(ISERROR(VLOOKUP((7*$C$3+DATE($E$3,1,3)-WEEKDAY(DATE($E$3,1,3))+1),'ENTREES BDD'!$A:$AH,9,FALSE)),0,VLOOKUP((7*$C$3+DATE($E$3,1,3)-WEEKDAY(DATE($E$3,1,3))+1),'ENTREES BDD'!$A:$AH,9,FALSE))</f>
        <v>60</v>
      </c>
      <c r="J21" s="12">
        <f t="shared" si="0"/>
        <v>60</v>
      </c>
    </row>
    <row r="22" spans="1:10" x14ac:dyDescent="0.15">
      <c r="A22" s="97"/>
      <c r="B22" s="88" t="s">
        <v>34</v>
      </c>
      <c r="C22" s="15">
        <f>IF(ISERROR(VLOOKUP((7*$C$3+DATE($E$3,1,3)-WEEKDAY(DATE($E$3,1,3))-5),'ENTREES BDD'!$A:$AH,24,FALSE)),0,VLOOKUP((7*$C$3+DATE($E$3,1,3)-WEEKDAY(DATE($E$3,1,3))-5),'ENTREES BDD'!$A:$AH,24,FALSE))</f>
        <v>0</v>
      </c>
      <c r="D22" s="15">
        <f>IF(ISERROR(VLOOKUP((7*$C$3+DATE($E$3,1,3)-WEEKDAY(DATE($E$3,1,3))-4),'ENTREES BDD'!$A:$AH,24,FALSE)),0,VLOOKUP((7*$C$3+DATE($E$3,1,3)-WEEKDAY(DATE($E$3,1,3))-4),'ENTREES BDD'!$A:$AH,24,FALSE))</f>
        <v>0</v>
      </c>
      <c r="E22" s="15">
        <f>IF(ISERROR(VLOOKUP((7*$C$3+DATE($E$3,1,3)-WEEKDAY(DATE($E$3,1,3))-3),'ENTREES BDD'!$A:$AH,24,FALSE)),0,VLOOKUP((7*$C$3+DATE($E$3,1,3)-WEEKDAY(DATE($E$3,1,3))-3),'ENTREES BDD'!$A:$AH,24,FALSE))</f>
        <v>0</v>
      </c>
      <c r="F22" s="15">
        <f>IF(ISERROR(VLOOKUP((7*$C$3+DATE($E$3,1,3)-WEEKDAY(DATE($E$3,1,3))-2),'ENTREES BDD'!$A:$AH,24,FALSE)),0,VLOOKUP((7*$C$3+DATE($E$3,1,3)-WEEKDAY(DATE($E$3,1,3))-2),'ENTREES BDD'!$A:$AH,24,FALSE))</f>
        <v>0</v>
      </c>
      <c r="G22" s="15">
        <f>IF(ISERROR(VLOOKUP((7*$C$3+DATE($E$3,1,3)-WEEKDAY(DATE($E$3,1,3))-1),'ENTREES BDD'!$A:$AH,24,FALSE)),0,VLOOKUP((7*$C$3+DATE($E$3,1,3)-WEEKDAY(DATE($E$3,1,3))-1),'ENTREES BDD'!$A:$AH,24,FALSE))</f>
        <v>0</v>
      </c>
      <c r="H22" s="15">
        <f>IF(ISERROR(VLOOKUP((7*$C$3+DATE($E$3,1,3)-WEEKDAY(DATE($E$3,1,3))),'ENTREES BDD'!$A:$AH,24,FALSE)),0,VLOOKUP((7*$C$3+DATE($E$3,1,3)-WEEKDAY(DATE($E$3,1,3))),'ENTREES BDD'!$A:$AH,24,FALSE))</f>
        <v>0</v>
      </c>
      <c r="I22" s="15">
        <f>IF(ISERROR(VLOOKUP((7*$C$3+DATE($E$3,1,3)-WEEKDAY(DATE($E$3,1,3))+1),'ENTREES BDD'!$A:$AH,24,FALSE)),0,VLOOKUP((7*$C$3+DATE($E$3,1,3)-WEEKDAY(DATE($E$3,1,3))+1),'ENTREES BDD'!$A:$AH,24,FALSE))</f>
        <v>25</v>
      </c>
      <c r="J22" s="11">
        <f t="shared" si="0"/>
        <v>25</v>
      </c>
    </row>
    <row r="23" spans="1:10" x14ac:dyDescent="0.15">
      <c r="A23" s="97"/>
      <c r="B23" s="88"/>
      <c r="C23" s="16">
        <f>IF(ISERROR(VLOOKUP((7*$C$3+DATE($E$3,1,3)-WEEKDAY(DATE($E$3,1,3))-5),'ENTREES BDD'!$A:$AH,25,FALSE)),0,VLOOKUP((7*$C$3+DATE($E$3,1,3)-WEEKDAY(DATE($E$3,1,3))-5),'ENTREES BDD'!$A:$AH,25,FALSE))</f>
        <v>0</v>
      </c>
      <c r="D23" s="16">
        <f>IF(ISERROR(VLOOKUP((7*$C$3+DATE($E$3,1,3)-WEEKDAY(DATE($E$3,1,3))-4),'ENTREES BDD'!$A:$AH,25,FALSE)),0,VLOOKUP((7*$C$3+DATE($E$3,1,3)-WEEKDAY(DATE($E$3,1,3))-4),'ENTREES BDD'!$A:$AH,25,FALSE))</f>
        <v>0</v>
      </c>
      <c r="E23" s="16">
        <f>IF(ISERROR(VLOOKUP((7*$C$3+DATE($E$3,1,3)-WEEKDAY(DATE($E$3,1,3))-3),'ENTREES BDD'!$A:$AH,25,FALSE)),0,VLOOKUP((7*$C$3+DATE($E$3,1,3)-WEEKDAY(DATE($E$3,1,3))-3),'ENTREES BDD'!$A:$AH,25,FALSE))</f>
        <v>0</v>
      </c>
      <c r="F23" s="16">
        <f>IF(ISERROR(VLOOKUP((7*$C$3+DATE($E$3,1,3)-WEEKDAY(DATE($E$3,1,3))-2),'ENTREES BDD'!$A:$AH,25,FALSE)),0,VLOOKUP((7*$C$3+DATE($E$3,1,3)-WEEKDAY(DATE($E$3,1,3))-2),'ENTREES BDD'!$A:$AH,25,FALSE))</f>
        <v>0</v>
      </c>
      <c r="G23" s="16">
        <f>IF(ISERROR(VLOOKUP((7*$C$3+DATE($E$3,1,3)-WEEKDAY(DATE($E$3,1,3))-1),'ENTREES BDD'!$A:$AH,25,FALSE)),0,VLOOKUP((7*$C$3+DATE($E$3,1,3)-WEEKDAY(DATE($E$3,1,3))-1),'ENTREES BDD'!$A:$AH,25,FALSE))</f>
        <v>0</v>
      </c>
      <c r="H23" s="16">
        <f>IF(ISERROR(VLOOKUP((7*$C$3+DATE($E$3,1,3)-WEEKDAY(DATE($E$3,1,3))),'ENTREES BDD'!$A:$AH,25,FALSE)),0,VLOOKUP((7*$C$3+DATE($E$3,1,3)-WEEKDAY(DATE($E$3,1,3))),'ENTREES BDD'!$A:$AH,25,FALSE))</f>
        <v>0</v>
      </c>
      <c r="I23" s="16">
        <f>IF(ISERROR(VLOOKUP((7*$C$3+DATE($E$3,1,3)-WEEKDAY(DATE($E$3,1,3))+1),'ENTREES BDD'!$A:$AH,25,FALSE)),0,VLOOKUP((7*$C$3+DATE($E$3,1,3)-WEEKDAY(DATE($E$3,1,3))+1),'ENTREES BDD'!$A:$AH,25,FALSE))</f>
        <v>0</v>
      </c>
      <c r="J23" s="12">
        <f t="shared" si="0"/>
        <v>0</v>
      </c>
    </row>
    <row r="24" spans="1:10" x14ac:dyDescent="0.15">
      <c r="A24" s="97"/>
      <c r="B24" s="88" t="s">
        <v>35</v>
      </c>
      <c r="C24" s="15">
        <f>IF(ISERROR(VLOOKUP((7*$C$3+DATE($E$3,1,3)-WEEKDAY(DATE($E$3,1,3))-5),'ENTREES BDD'!$A:$AH,22,FALSE)),0,VLOOKUP((7*$C$3+DATE($E$3,1,3)-WEEKDAY(DATE($E$3,1,3))-5),'ENTREES BDD'!$A:$AH,22,FALSE))</f>
        <v>0</v>
      </c>
      <c r="D24" s="15">
        <f>IF(ISERROR(VLOOKUP((7*$C$3+DATE($E$3,1,3)-WEEKDAY(DATE($E$3,1,3))-4),'ENTREES BDD'!$A:$AH,22,FALSE)),0,VLOOKUP((7*$C$3+DATE($E$3,1,3)-WEEKDAY(DATE($E$3,1,3))-4),'ENTREES BDD'!$A:$AH,22,FALSE))</f>
        <v>0</v>
      </c>
      <c r="E24" s="15">
        <f>IF(ISERROR(VLOOKUP((7*$C$3+DATE($E$3,1,3)-WEEKDAY(DATE($E$3,1,3))-3),'ENTREES BDD'!$A:$AH,22,FALSE)),0,VLOOKUP((7*$C$3+DATE($E$3,1,3)-WEEKDAY(DATE($E$3,1,3))-3),'ENTREES BDD'!$A:$AH,22,FALSE))</f>
        <v>0</v>
      </c>
      <c r="F24" s="15">
        <f>IF(ISERROR(VLOOKUP((7*$C$3+DATE($E$3,1,3)-WEEKDAY(DATE($E$3,1,3))-2),'ENTREES BDD'!$A:$AH,22,FALSE)),0,VLOOKUP((7*$C$3+DATE($E$3,1,3)-WEEKDAY(DATE($E$3,1,3))-2),'ENTREES BDD'!$A:$AH,22,FALSE))</f>
        <v>0</v>
      </c>
      <c r="G24" s="15">
        <f>IF(ISERROR(VLOOKUP((7*$C$3+DATE($E$3,1,3)-WEEKDAY(DATE($E$3,1,3))-1),'ENTREES BDD'!$A:$AH,22,FALSE)),0,VLOOKUP((7*$C$3+DATE($E$3,1,3)-WEEKDAY(DATE($E$3,1,3))-1),'ENTREES BDD'!$A:$AH,22,FALSE))</f>
        <v>0</v>
      </c>
      <c r="H24" s="15">
        <f>IF(ISERROR(VLOOKUP((7*$C$3+DATE($E$3,1,3)-WEEKDAY(DATE($E$3,1,3))),'ENTREES BDD'!$A:$AH,22,FALSE)),0,VLOOKUP((7*$C$3+DATE($E$3,1,3)-WEEKDAY(DATE($E$3,1,3))),'ENTREES BDD'!$A:$AH,22,FALSE))</f>
        <v>0</v>
      </c>
      <c r="I24" s="15">
        <f>IF(ISERROR(VLOOKUP((7*$C$3+DATE($E$3,1,3)-WEEKDAY(DATE($E$3,1,3))+1),'ENTREES BDD'!$A:$AH,22,FALSE)),0,VLOOKUP((7*$C$3+DATE($E$3,1,3)-WEEKDAY(DATE($E$3,1,3))+1),'ENTREES BDD'!$A:$AH,22,FALSE))</f>
        <v>60</v>
      </c>
      <c r="J24" s="11">
        <f t="shared" si="0"/>
        <v>60</v>
      </c>
    </row>
    <row r="25" spans="1:10" x14ac:dyDescent="0.15">
      <c r="A25" s="97"/>
      <c r="B25" s="88"/>
      <c r="C25" s="16">
        <f>IF(ISERROR(VLOOKUP((7*$C$3+DATE($E$3,1,3)-WEEKDAY(DATE($E$3,1,3))-5),'ENTREES BDD'!$A:$AH,23,FALSE)),0,VLOOKUP((7*$C$3+DATE($E$3,1,3)-WEEKDAY(DATE($E$3,1,3))-5),'ENTREES BDD'!$A:$AH,23,FALSE))</f>
        <v>0</v>
      </c>
      <c r="D25" s="16">
        <f>IF(ISERROR(VLOOKUP((7*$C$3+DATE($E$3,1,3)-WEEKDAY(DATE($E$3,1,3))-4),'ENTREES BDD'!$A:$AH,23,FALSE)),0,VLOOKUP((7*$C$3+DATE($E$3,1,3)-WEEKDAY(DATE($E$3,1,3))-4),'ENTREES BDD'!$A:$AH,23,FALSE))</f>
        <v>0</v>
      </c>
      <c r="E25" s="16">
        <f>IF(ISERROR(VLOOKUP((7*$C$3+DATE($E$3,1,3)-WEEKDAY(DATE($E$3,1,3))-3),'ENTREES BDD'!$A:$AH,23,FALSE)),0,VLOOKUP((7*$C$3+DATE($E$3,1,3)-WEEKDAY(DATE($E$3,1,3))-3),'ENTREES BDD'!$A:$AH,23,FALSE))</f>
        <v>0</v>
      </c>
      <c r="F25" s="16">
        <f>IF(ISERROR(VLOOKUP((7*$C$3+DATE($E$3,1,3)-WEEKDAY(DATE($E$3,1,3))-2),'ENTREES BDD'!$A:$AH,23,FALSE)),0,VLOOKUP((7*$C$3+DATE($E$3,1,3)-WEEKDAY(DATE($E$3,1,3))-2),'ENTREES BDD'!$A:$AH,23,FALSE))</f>
        <v>0</v>
      </c>
      <c r="G25" s="16">
        <f>IF(ISERROR(VLOOKUP((7*$C$3+DATE($E$3,1,3)-WEEKDAY(DATE($E$3,1,3))-1),'ENTREES BDD'!$A:$AH,23,FALSE)),0,VLOOKUP((7*$C$3+DATE($E$3,1,3)-WEEKDAY(DATE($E$3,1,3))-1),'ENTREES BDD'!$A:$AH,23,FALSE))</f>
        <v>0</v>
      </c>
      <c r="H25" s="16">
        <f>IF(ISERROR(VLOOKUP((7*$C$3+DATE($E$3,1,3)-WEEKDAY(DATE($E$3,1,3))),'ENTREES BDD'!$A:$AH,23,FALSE)),0,VLOOKUP((7*$C$3+DATE($E$3,1,3)-WEEKDAY(DATE($E$3,1,3))),'ENTREES BDD'!$A:$AH,23,FALSE))</f>
        <v>0</v>
      </c>
      <c r="I25" s="16">
        <f>IF(ISERROR(VLOOKUP((7*$C$3+DATE($E$3,1,3)-WEEKDAY(DATE($E$3,1,3))+1),'ENTREES BDD'!$A:$AH,23,FALSE)),0,VLOOKUP((7*$C$3+DATE($E$3,1,3)-WEEKDAY(DATE($E$3,1,3))+1),'ENTREES BDD'!$A:$AH,23,FALSE))</f>
        <v>0</v>
      </c>
      <c r="J25" s="12">
        <f t="shared" si="0"/>
        <v>0</v>
      </c>
    </row>
    <row r="26" spans="1:10" x14ac:dyDescent="0.15">
      <c r="A26" s="96" t="s">
        <v>36</v>
      </c>
      <c r="B26" s="89" t="s">
        <v>37</v>
      </c>
      <c r="C26" s="13">
        <f>IF(ISERROR(VLOOKUP((7*$C$3+DATE($E$3,1,3)-WEEKDAY(DATE($E$3,1,3))-5),'ENTREES BDD'!$A:$AH,10,FALSE)),0,VLOOKUP((7*$C$3+DATE($E$3,1,3)-WEEKDAY(DATE($E$3,1,3))-5),'ENTREES BDD'!$A:$AH,10,FALSE))</f>
        <v>0</v>
      </c>
      <c r="D26" s="13">
        <f>IF(ISERROR(VLOOKUP((7*$C$3+DATE($E$3,1,3)-WEEKDAY(DATE($E$3,1,3))-4),'ENTREES BDD'!$A:$AH,10,FALSE)),0,VLOOKUP((7*$C$3+DATE($E$3,1,3)-WEEKDAY(DATE($E$3,1,3))-4),'ENTREES BDD'!$A:$AH,10,FALSE))</f>
        <v>0</v>
      </c>
      <c r="E26" s="13">
        <f>IF(ISERROR(VLOOKUP((7*$C$3+DATE($E$3,1,3)-WEEKDAY(DATE($E$3,1,3))-3),'ENTREES BDD'!$A:$AH,10,FALSE)),0,VLOOKUP((7*$C$3+DATE($E$3,1,3)-WEEKDAY(DATE($E$3,1,3))-3),'ENTREES BDD'!$A:$AH,10,FALSE))</f>
        <v>0</v>
      </c>
      <c r="F26" s="13">
        <f>IF(ISERROR(VLOOKUP((7*$C$3+DATE($E$3,1,3)-WEEKDAY(DATE($E$3,1,3))-2),'ENTREES BDD'!$A:$AH,10,FALSE)),0,VLOOKUP((7*$C$3+DATE($E$3,1,3)-WEEKDAY(DATE($E$3,1,3))-2),'ENTREES BDD'!$A:$AH,10,FALSE))</f>
        <v>0</v>
      </c>
      <c r="G26" s="13">
        <f>IF(ISERROR(VLOOKUP((7*$C$3+DATE($E$3,1,3)-WEEKDAY(DATE($E$3,1,3))-1),'ENTREES BDD'!$A:$AH,10,FALSE)),0,VLOOKUP((7*$C$3+DATE($E$3,1,3)-WEEKDAY(DATE($E$3,1,3))-1),'ENTREES BDD'!$A:$AH,10,FALSE))</f>
        <v>0</v>
      </c>
      <c r="H26" s="13">
        <f>IF(ISERROR(VLOOKUP((7*$C$3+DATE($E$3,1,3)-WEEKDAY(DATE($E$3,1,3))),'ENTREES BDD'!$A:$AH,10,FALSE)),0,VLOOKUP((7*$C$3+DATE($E$3,1,3)-WEEKDAY(DATE($E$3,1,3))),'ENTREES BDD'!$A:$AH,10,FALSE))</f>
        <v>0</v>
      </c>
      <c r="I26" s="13">
        <f>IF(ISERROR(VLOOKUP((7*$C$3+DATE($E$3,1,3)-WEEKDAY(DATE($E$3,1,3))+1),'ENTREES BDD'!$A:$AH,10,FALSE)),0,VLOOKUP((7*$C$3+DATE($E$3,1,3)-WEEKDAY(DATE($E$3,1,3))+1),'ENTREES BDD'!$A:$AH,10,FALSE))</f>
        <v>20</v>
      </c>
      <c r="J26" s="11">
        <f t="shared" si="0"/>
        <v>20</v>
      </c>
    </row>
    <row r="27" spans="1:10" x14ac:dyDescent="0.15">
      <c r="A27" s="96"/>
      <c r="B27" s="89"/>
      <c r="C27" s="14">
        <f>IF(ISERROR(VLOOKUP((7*$C$3+DATE($E$3,1,3)-WEEKDAY(DATE($E$3,1,3))-5),'ENTREES BDD'!$A:$AH,11,FALSE)),0,VLOOKUP((7*$C$3+DATE($E$3,1,3)-WEEKDAY(DATE($E$3,1,3))-5),'ENTREES BDD'!$A:$AH,11,FALSE))</f>
        <v>0</v>
      </c>
      <c r="D27" s="14">
        <f>IF(ISERROR(VLOOKUP((7*$C$3+DATE($E$3,1,3)-WEEKDAY(DATE($E$3,1,3))-4),'ENTREES BDD'!$A:$AH,11,FALSE)),0,VLOOKUP((7*$C$3+DATE($E$3,1,3)-WEEKDAY(DATE($E$3,1,3))-4),'ENTREES BDD'!$A:$AH,11,FALSE))</f>
        <v>0</v>
      </c>
      <c r="E27" s="14">
        <f>IF(ISERROR(VLOOKUP((7*$C$3+DATE($E$3,1,3)-WEEKDAY(DATE($E$3,1,3))-3),'ENTREES BDD'!$A:$AH,11,FALSE)),0,VLOOKUP((7*$C$3+DATE($E$3,1,3)-WEEKDAY(DATE($E$3,1,3))-3),'ENTREES BDD'!$A:$AH,11,FALSE))</f>
        <v>0</v>
      </c>
      <c r="F27" s="14">
        <f>IF(ISERROR(VLOOKUP((7*$C$3+DATE($E$3,1,3)-WEEKDAY(DATE($E$3,1,3))-2),'ENTREES BDD'!$A:$AH,11,FALSE)),0,VLOOKUP((7*$C$3+DATE($E$3,1,3)-WEEKDAY(DATE($E$3,1,3))-2),'ENTREES BDD'!$A:$AH,11,FALSE))</f>
        <v>0</v>
      </c>
      <c r="G27" s="14">
        <f>IF(ISERROR(VLOOKUP((7*$C$3+DATE($E$3,1,3)-WEEKDAY(DATE($E$3,1,3))-1),'ENTREES BDD'!$A:$AH,11,FALSE)),0,VLOOKUP((7*$C$3+DATE($E$3,1,3)-WEEKDAY(DATE($E$3,1,3))-1),'ENTREES BDD'!$A:$AH,11,FALSE))</f>
        <v>0</v>
      </c>
      <c r="H27" s="14">
        <f>IF(ISERROR(VLOOKUP((7*$C$3+DATE($E$3,1,3)-WEEKDAY(DATE($E$3,1,3))),'ENTREES BDD'!$A:$AH,11,FALSE)),0,VLOOKUP((7*$C$3+DATE($E$3,1,3)-WEEKDAY(DATE($E$3,1,3))),'ENTREES BDD'!$A:$AH,11,FALSE))</f>
        <v>0</v>
      </c>
      <c r="I27" s="14">
        <f>IF(ISERROR(VLOOKUP((7*$C$3+DATE($E$3,1,3)-WEEKDAY(DATE($E$3,1,3))+1),'ENTREES BDD'!$A:$AH,11,FALSE)),0,VLOOKUP((7*$C$3+DATE($E$3,1,3)-WEEKDAY(DATE($E$3,1,3))+1),'ENTREES BDD'!$A:$AH,11,FALSE))</f>
        <v>67.5</v>
      </c>
      <c r="J27" s="12">
        <f t="shared" si="0"/>
        <v>67.5</v>
      </c>
    </row>
    <row r="28" spans="1:10" x14ac:dyDescent="0.15">
      <c r="A28" s="90" t="s">
        <v>38</v>
      </c>
      <c r="B28" s="88" t="s">
        <v>1</v>
      </c>
      <c r="C28" s="15">
        <f>IF(ISERROR(VLOOKUP((7*$C$3+DATE($E$3,1,3)-WEEKDAY(DATE($E$3,1,3))-5),'ENTREES BDD'!$A:$AH,12,FALSE)),0,VLOOKUP((7*$C$3+DATE($E$3,1,3)-WEEKDAY(DATE($E$3,1,3))-5),'ENTREES BDD'!$A:$AH,12,FALSE))</f>
        <v>0</v>
      </c>
      <c r="D28" s="15">
        <f>IF(ISERROR(VLOOKUP((7*$C$3+DATE($E$3,1,3)-WEEKDAY(DATE($E$3,1,3))-4),'ENTREES BDD'!$A:$AH,12,FALSE)),0,VLOOKUP((7*$C$3+DATE($E$3,1,3)-WEEKDAY(DATE($E$3,1,3))-4),'ENTREES BDD'!$A:$AH,12,FALSE))</f>
        <v>0</v>
      </c>
      <c r="E28" s="15">
        <f>IF(ISERROR(VLOOKUP((7*$C$3+DATE($E$3,1,3)-WEEKDAY(DATE($E$3,1,3))-3),'ENTREES BDD'!$A:$AH,12,FALSE)),0,VLOOKUP((7*$C$3+DATE($E$3,1,3)-WEEKDAY(DATE($E$3,1,3))-3),'ENTREES BDD'!$A:$AH,12,FALSE))</f>
        <v>0</v>
      </c>
      <c r="F28" s="15">
        <f>IF(ISERROR(VLOOKUP((7*$C$3+DATE($E$3,1,3)-WEEKDAY(DATE($E$3,1,3))-2),'ENTREES BDD'!$A:$AH,12,FALSE)),0,VLOOKUP((7*$C$3+DATE($E$3,1,3)-WEEKDAY(DATE($E$3,1,3))-2),'ENTREES BDD'!$A:$AH,12,FALSE))</f>
        <v>0</v>
      </c>
      <c r="G28" s="15">
        <f>IF(ISERROR(VLOOKUP((7*$C$3+DATE($E$3,1,3)-WEEKDAY(DATE($E$3,1,3))-1),'ENTREES BDD'!$A:$AH,12,FALSE)),0,VLOOKUP((7*$C$3+DATE($E$3,1,3)-WEEKDAY(DATE($E$3,1,3))-1),'ENTREES BDD'!$A:$AH,12,FALSE))</f>
        <v>0</v>
      </c>
      <c r="H28" s="15">
        <f>IF(ISERROR(VLOOKUP((7*$C$3+DATE($E$3,1,3)-WEEKDAY(DATE($E$3,1,3))),'ENTREES BDD'!$A:$AH,12,FALSE)),0,VLOOKUP((7*$C$3+DATE($E$3,1,3)-WEEKDAY(DATE($E$3,1,3))),'ENTREES BDD'!$A:$AH,12,FALSE))</f>
        <v>0</v>
      </c>
      <c r="I28" s="15">
        <f>IF(ISERROR(VLOOKUP((7*$C$3+DATE($E$3,1,3)-WEEKDAY(DATE($E$3,1,3))+1),'ENTREES BDD'!$A:$AH,12,FALSE)),0,VLOOKUP((7*$C$3+DATE($E$3,1,3)-WEEKDAY(DATE($E$3,1,3))+1),'ENTREES BDD'!$A:$AH,12,FALSE))</f>
        <v>0</v>
      </c>
      <c r="J28" s="11">
        <f t="shared" si="0"/>
        <v>0</v>
      </c>
    </row>
    <row r="29" spans="1:10" x14ac:dyDescent="0.15">
      <c r="A29" s="90"/>
      <c r="B29" s="88"/>
      <c r="C29" s="16">
        <f>IF(ISERROR(VLOOKUP((7*$C$3+DATE($E$3,1,3)-WEEKDAY(DATE($E$3,1,3))-5),'ENTREES BDD'!$A:$AH,13,FALSE)),0,VLOOKUP((7*$C$3+DATE($E$3,1,3)-WEEKDAY(DATE($E$3,1,3))-5),'ENTREES BDD'!$A:$AH,13,FALSE))</f>
        <v>0</v>
      </c>
      <c r="D29" s="16">
        <f>IF(ISERROR(VLOOKUP((7*$C$3+DATE($E$3,1,3)-WEEKDAY(DATE($E$3,1,3))-4),'ENTREES BDD'!$A:$AH,13,FALSE)),0,VLOOKUP((7*$C$3+DATE($E$3,1,3)-WEEKDAY(DATE($E$3,1,3))-4),'ENTREES BDD'!$A:$AH,13,FALSE))</f>
        <v>0</v>
      </c>
      <c r="E29" s="16">
        <f>IF(ISERROR(VLOOKUP((7*$C$3+DATE($E$3,1,3)-WEEKDAY(DATE($E$3,1,3))-3),'ENTREES BDD'!$A:$AH,13,FALSE)),0,VLOOKUP((7*$C$3+DATE($E$3,1,3)-WEEKDAY(DATE($E$3,1,3))-3),'ENTREES BDD'!$A:$AH,13,FALSE))</f>
        <v>0</v>
      </c>
      <c r="F29" s="16">
        <f>IF(ISERROR(VLOOKUP((7*$C$3+DATE($E$3,1,3)-WEEKDAY(DATE($E$3,1,3))-2),'ENTREES BDD'!$A:$AH,13,FALSE)),0,VLOOKUP((7*$C$3+DATE($E$3,1,3)-WEEKDAY(DATE($E$3,1,3))-2),'ENTREES BDD'!$A:$AH,13,FALSE))</f>
        <v>0</v>
      </c>
      <c r="G29" s="16">
        <f>IF(ISERROR(VLOOKUP((7*$C$3+DATE($E$3,1,3)-WEEKDAY(DATE($E$3,1,3))-1),'ENTREES BDD'!$A:$AH,13,FALSE)),0,VLOOKUP((7*$C$3+DATE($E$3,1,3)-WEEKDAY(DATE($E$3,1,3))-1),'ENTREES BDD'!$A:$AH,13,FALSE))</f>
        <v>0</v>
      </c>
      <c r="H29" s="16">
        <f>IF(ISERROR(VLOOKUP((7*$C$3+DATE($E$3,1,3)-WEEKDAY(DATE($E$3,1,3))),'ENTREES BDD'!$A:$AH,13,FALSE)),0,VLOOKUP((7*$C$3+DATE($E$3,1,3)-WEEKDAY(DATE($E$3,1,3))),'ENTREES BDD'!$A:$AH,13,FALSE))</f>
        <v>0</v>
      </c>
      <c r="I29" s="16">
        <f>IF(ISERROR(VLOOKUP((7*$C$3+DATE($E$3,1,3)-WEEKDAY(DATE($E$3,1,3))+1),'ENTREES BDD'!$A:$AH,13,FALSE)),0,VLOOKUP((7*$C$3+DATE($E$3,1,3)-WEEKDAY(DATE($E$3,1,3))+1),'ENTREES BDD'!$A:$AH,13,FALSE))</f>
        <v>0</v>
      </c>
      <c r="J29" s="12">
        <f t="shared" si="0"/>
        <v>0</v>
      </c>
    </row>
    <row r="30" spans="1:10" x14ac:dyDescent="0.15">
      <c r="A30" s="90"/>
      <c r="B30" s="88" t="s">
        <v>2</v>
      </c>
      <c r="C30" s="15">
        <f>IF(ISERROR(VLOOKUP((7*$C$3+DATE($E$3,1,3)-WEEKDAY(DATE($E$3,1,3))-5),'ENTREES BDD'!$A:$AH,14,FALSE)),0,VLOOKUP((7*$C$3+DATE($E$3,1,3)-WEEKDAY(DATE($E$3,1,3))-5),'ENTREES BDD'!$A:$AH,14,FALSE))</f>
        <v>0</v>
      </c>
      <c r="D30" s="15">
        <f>IF(ISERROR(VLOOKUP((7*$C$3+DATE($E$3,1,3)-WEEKDAY(DATE($E$3,1,3))-4),'ENTREES BDD'!$A:$AH,14,FALSE)),0,VLOOKUP((7*$C$3+DATE($E$3,1,3)-WEEKDAY(DATE($E$3,1,3))-4),'ENTREES BDD'!$A:$AH,14,FALSE))</f>
        <v>0</v>
      </c>
      <c r="E30" s="15">
        <f>IF(ISERROR(VLOOKUP((7*$C$3+DATE($E$3,1,3)-WEEKDAY(DATE($E$3,1,3))-3),'ENTREES BDD'!$A:$AH,14,FALSE)),0,VLOOKUP((7*$C$3+DATE($E$3,1,3)-WEEKDAY(DATE($E$3,1,3))-3),'ENTREES BDD'!$A:$AH,14,FALSE))</f>
        <v>0</v>
      </c>
      <c r="F30" s="15">
        <f>IF(ISERROR(VLOOKUP((7*$C$3+DATE($E$3,1,3)-WEEKDAY(DATE($E$3,1,3))-2),'ENTREES BDD'!$A:$AH,14,FALSE)),0,VLOOKUP((7*$C$3+DATE($E$3,1,3)-WEEKDAY(DATE($E$3,1,3))-2),'ENTREES BDD'!$A:$AH,14,FALSE))</f>
        <v>0</v>
      </c>
      <c r="G30" s="15">
        <f>IF(ISERROR(VLOOKUP((7*$C$3+DATE($E$3,1,3)-WEEKDAY(DATE($E$3,1,3))-1),'ENTREES BDD'!$A:$AH,14,FALSE)),0,VLOOKUP((7*$C$3+DATE($E$3,1,3)-WEEKDAY(DATE($E$3,1,3))-1),'ENTREES BDD'!$A:$AH,14,FALSE))</f>
        <v>0</v>
      </c>
      <c r="H30" s="15">
        <f>IF(ISERROR(VLOOKUP((7*$C$3+DATE($E$3,1,3)-WEEKDAY(DATE($E$3,1,3))),'ENTREES BDD'!$A:$AH,14,FALSE)),0,VLOOKUP((7*$C$3+DATE($E$3,1,3)-WEEKDAY(DATE($E$3,1,3))),'ENTREES BDD'!$A:$AH,14,FALSE))</f>
        <v>0</v>
      </c>
      <c r="I30" s="15">
        <f>IF(ISERROR(VLOOKUP((7*$C$3+DATE($E$3,1,3)-WEEKDAY(DATE($E$3,1,3))+1),'ENTREES BDD'!$A:$AH,14,FALSE)),0,VLOOKUP((7*$C$3+DATE($E$3,1,3)-WEEKDAY(DATE($E$3,1,3))+1),'ENTREES BDD'!$A:$AH,14,FALSE))</f>
        <v>0</v>
      </c>
      <c r="J30" s="11">
        <f t="shared" si="0"/>
        <v>0</v>
      </c>
    </row>
    <row r="31" spans="1:10" x14ac:dyDescent="0.15">
      <c r="A31" s="90"/>
      <c r="B31" s="88"/>
      <c r="C31" s="16">
        <f>IF(ISERROR(VLOOKUP((7*$C$3+DATE($E$3,1,3)-WEEKDAY(DATE($E$3,1,3))-5),'ENTREES BDD'!$A:$AH,15,FALSE)),0,VLOOKUP((7*$C$3+DATE($E$3,1,3)-WEEKDAY(DATE($E$3,1,3))-5),'ENTREES BDD'!$A:$AH,15,FALSE))</f>
        <v>0</v>
      </c>
      <c r="D31" s="16">
        <f>IF(ISERROR(VLOOKUP((7*$C$3+DATE($E$3,1,3)-WEEKDAY(DATE($E$3,1,3))-4),'ENTREES BDD'!$A:$AH,15,FALSE)),0,VLOOKUP((7*$C$3+DATE($E$3,1,3)-WEEKDAY(DATE($E$3,1,3))-4),'ENTREES BDD'!$A:$AH,15,FALSE))</f>
        <v>0</v>
      </c>
      <c r="E31" s="16">
        <f>IF(ISERROR(VLOOKUP((7*$C$3+DATE($E$3,1,3)-WEEKDAY(DATE($E$3,1,3))-3),'ENTREES BDD'!$A:$AH,15,FALSE)),0,VLOOKUP((7*$C$3+DATE($E$3,1,3)-WEEKDAY(DATE($E$3,1,3))-3),'ENTREES BDD'!$A:$AH,15,FALSE))</f>
        <v>0</v>
      </c>
      <c r="F31" s="16">
        <f>IF(ISERROR(VLOOKUP((7*$C$3+DATE($E$3,1,3)-WEEKDAY(DATE($E$3,1,3))-2),'ENTREES BDD'!$A:$AH,15,FALSE)),0,VLOOKUP((7*$C$3+DATE($E$3,1,3)-WEEKDAY(DATE($E$3,1,3))-2),'ENTREES BDD'!$A:$AH,15,FALSE))</f>
        <v>0</v>
      </c>
      <c r="G31" s="16">
        <f>IF(ISERROR(VLOOKUP((7*$C$3+DATE($E$3,1,3)-WEEKDAY(DATE($E$3,1,3))-1),'ENTREES BDD'!$A:$AH,15,FALSE)),0,VLOOKUP((7*$C$3+DATE($E$3,1,3)-WEEKDAY(DATE($E$3,1,3))-1),'ENTREES BDD'!$A:$AH,15,FALSE))</f>
        <v>0</v>
      </c>
      <c r="H31" s="16">
        <f>IF(ISERROR(VLOOKUP((7*$C$3+DATE($E$3,1,3)-WEEKDAY(DATE($E$3,1,3))),'ENTREES BDD'!$A:$AH,15,FALSE)),0,VLOOKUP((7*$C$3+DATE($E$3,1,3)-WEEKDAY(DATE($E$3,1,3))),'ENTREES BDD'!$A:$AH,15,FALSE))</f>
        <v>0</v>
      </c>
      <c r="I31" s="16">
        <f>IF(ISERROR(VLOOKUP((7*$C$3+DATE($E$3,1,3)-WEEKDAY(DATE($E$3,1,3))+1),'ENTREES BDD'!$A:$AH,15,FALSE)),0,VLOOKUP((7*$C$3+DATE($E$3,1,3)-WEEKDAY(DATE($E$3,1,3))+1),'ENTREES BDD'!$A:$AH,15,FALSE))</f>
        <v>0</v>
      </c>
      <c r="J31" s="12">
        <f t="shared" si="0"/>
        <v>0</v>
      </c>
    </row>
    <row r="32" spans="1:10" x14ac:dyDescent="0.15">
      <c r="A32" s="90"/>
      <c r="B32" s="88" t="s">
        <v>39</v>
      </c>
      <c r="C32" s="15">
        <f>IF(ISERROR(VLOOKUP((7*$C$3+DATE($E$3,1,3)-WEEKDAY(DATE($E$3,1,3))-5),'ENTREES BDD'!$A:$AH,16,FALSE)),0,VLOOKUP((7*$C$3+DATE($E$3,1,3)-WEEKDAY(DATE($E$3,1,3))-5),'ENTREES BDD'!$A:$AH,16,FALSE))</f>
        <v>0</v>
      </c>
      <c r="D32" s="15">
        <f>IF(ISERROR(VLOOKUP((7*$C$3+DATE($E$3,1,3)-WEEKDAY(DATE($E$3,1,3))-4),'ENTREES BDD'!$A:$AH,16,FALSE)),0,VLOOKUP((7*$C$3+DATE($E$3,1,3)-WEEKDAY(DATE($E$3,1,3))-4),'ENTREES BDD'!$A:$AH,16,FALSE))</f>
        <v>0</v>
      </c>
      <c r="E32" s="15">
        <f>IF(ISERROR(VLOOKUP((7*$C$3+DATE($E$3,1,3)-WEEKDAY(DATE($E$3,1,3))-3),'ENTREES BDD'!$A:$AH,16,FALSE)),0,VLOOKUP((7*$C$3+DATE($E$3,1,3)-WEEKDAY(DATE($E$3,1,3))-3),'ENTREES BDD'!$A:$AH,16,FALSE))</f>
        <v>0</v>
      </c>
      <c r="F32" s="15">
        <f>IF(ISERROR(VLOOKUP((7*$C$3+DATE($E$3,1,3)-WEEKDAY(DATE($E$3,1,3))-2),'ENTREES BDD'!$A:$AH,16,FALSE)),0,VLOOKUP((7*$C$3+DATE($E$3,1,3)-WEEKDAY(DATE($E$3,1,3))-2),'ENTREES BDD'!$A:$AH,16,FALSE))</f>
        <v>0</v>
      </c>
      <c r="G32" s="15">
        <f>IF(ISERROR(VLOOKUP((7*$C$3+DATE($E$3,1,3)-WEEKDAY(DATE($E$3,1,3))-1),'ENTREES BDD'!$A:$AH,16,FALSE)),0,VLOOKUP((7*$C$3+DATE($E$3,1,3)-WEEKDAY(DATE($E$3,1,3))-1),'ENTREES BDD'!$A:$AH,16,FALSE))</f>
        <v>0</v>
      </c>
      <c r="H32" s="15">
        <f>IF(ISERROR(VLOOKUP((7*$C$3+DATE($E$3,1,3)-WEEKDAY(DATE($E$3,1,3))),'ENTREES BDD'!$A:$AH,16,FALSE)),0,VLOOKUP((7*$C$3+DATE($E$3,1,3)-WEEKDAY(DATE($E$3,1,3))),'ENTREES BDD'!$A:$AH,16,FALSE))</f>
        <v>0</v>
      </c>
      <c r="I32" s="15">
        <f>IF(ISERROR(VLOOKUP((7*$C$3+DATE($E$3,1,3)-WEEKDAY(DATE($E$3,1,3))+1),'ENTREES BDD'!$A:$AH,16,FALSE)),0,VLOOKUP((7*$C$3+DATE($E$3,1,3)-WEEKDAY(DATE($E$3,1,3))+1),'ENTREES BDD'!$A:$AH,16,FALSE))</f>
        <v>0</v>
      </c>
      <c r="J32" s="11">
        <f t="shared" si="0"/>
        <v>0</v>
      </c>
    </row>
    <row r="33" spans="1:10" x14ac:dyDescent="0.15">
      <c r="A33" s="90"/>
      <c r="B33" s="88"/>
      <c r="C33" s="16">
        <f>IF(ISERROR(VLOOKUP((7*$C$3+DATE($E$3,1,3)-WEEKDAY(DATE($E$3,1,3))-5),'ENTREES BDD'!$A:$AH,17,FALSE)),0,VLOOKUP((7*$C$3+DATE($E$3,1,3)-WEEKDAY(DATE($E$3,1,3))-5),'ENTREES BDD'!$A:$AH,17,FALSE))</f>
        <v>0</v>
      </c>
      <c r="D33" s="16">
        <f>IF(ISERROR(VLOOKUP((7*$C$3+DATE($E$3,1,3)-WEEKDAY(DATE($E$3,1,3))-4),'ENTREES BDD'!$A:$AH,17,FALSE)),0,VLOOKUP((7*$C$3+DATE($E$3,1,3)-WEEKDAY(DATE($E$3,1,3))-4),'ENTREES BDD'!$A:$AH,17,FALSE))</f>
        <v>0</v>
      </c>
      <c r="E33" s="16">
        <f>IF(ISERROR(VLOOKUP((7*$C$3+DATE($E$3,1,3)-WEEKDAY(DATE($E$3,1,3))-3),'ENTREES BDD'!$A:$AH,17,FALSE)),0,VLOOKUP((7*$C$3+DATE($E$3,1,3)-WEEKDAY(DATE($E$3,1,3))-3),'ENTREES BDD'!$A:$AH,17,FALSE))</f>
        <v>0</v>
      </c>
      <c r="F33" s="16">
        <f>IF(ISERROR(VLOOKUP((7*$C$3+DATE($E$3,1,3)-WEEKDAY(DATE($E$3,1,3))-2),'ENTREES BDD'!$A:$AH,17,FALSE)),0,VLOOKUP((7*$C$3+DATE($E$3,1,3)-WEEKDAY(DATE($E$3,1,3))-2),'ENTREES BDD'!$A:$AH,17,FALSE))</f>
        <v>0</v>
      </c>
      <c r="G33" s="16">
        <f>IF(ISERROR(VLOOKUP((7*$C$3+DATE($E$3,1,3)-WEEKDAY(DATE($E$3,1,3))-1),'ENTREES BDD'!$A:$AH,17,FALSE)),0,VLOOKUP((7*$C$3+DATE($E$3,1,3)-WEEKDAY(DATE($E$3,1,3))-1),'ENTREES BDD'!$A:$AH,17,FALSE))</f>
        <v>0</v>
      </c>
      <c r="H33" s="16">
        <f>IF(ISERROR(VLOOKUP((7*$C$3+DATE($E$3,1,3)-WEEKDAY(DATE($E$3,1,3))),'ENTREES BDD'!$A:$AH,17,FALSE)),0,VLOOKUP((7*$C$3+DATE($E$3,1,3)-WEEKDAY(DATE($E$3,1,3))),'ENTREES BDD'!$A:$AH,17,FALSE))</f>
        <v>0</v>
      </c>
      <c r="I33" s="16">
        <f>IF(ISERROR(VLOOKUP((7*$C$3+DATE($E$3,1,3)-WEEKDAY(DATE($E$3,1,3))+1),'ENTREES BDD'!$A:$AH,17,FALSE)),0,VLOOKUP((7*$C$3+DATE($E$3,1,3)-WEEKDAY(DATE($E$3,1,3))+1),'ENTREES BDD'!$A:$AH,17,FALSE))</f>
        <v>0</v>
      </c>
      <c r="J33" s="12">
        <f t="shared" si="0"/>
        <v>0</v>
      </c>
    </row>
    <row r="34" spans="1:10" x14ac:dyDescent="0.15">
      <c r="A34" s="91" t="s">
        <v>40</v>
      </c>
      <c r="B34" s="89" t="s">
        <v>1</v>
      </c>
      <c r="C34" s="13">
        <f>IF(ISERROR(VLOOKUP((7*$C$3+DATE($E$3,1,3)-WEEKDAY(DATE($E$3,1,3))-5),'ENTREES BDD'!$A:$AH,28,FALSE)),0,VLOOKUP((7*$C$3+DATE($E$3,1,3)-WEEKDAY(DATE($E$3,1,3))-5),'ENTREES BDD'!$A:$AH,28,FALSE))</f>
        <v>0</v>
      </c>
      <c r="D34" s="13">
        <f>IF(ISERROR(VLOOKUP((7*$C$3+DATE($E$3,1,3)-WEEKDAY(DATE($E$3,1,3))-4),'ENTREES BDD'!$A:$AH,28,FALSE)),0,VLOOKUP((7*$C$3+DATE($E$3,1,3)-WEEKDAY(DATE($E$3,1,3))-4),'ENTREES BDD'!$A:$AH,28,FALSE))</f>
        <v>0</v>
      </c>
      <c r="E34" s="13">
        <f>IF(ISERROR(VLOOKUP((7*$C$3+DATE($E$3,1,3)-WEEKDAY(DATE($E$3,1,3))-3),'ENTREES BDD'!$A:$AH,28,FALSE)),0,VLOOKUP((7*$C$3+DATE($E$3,1,3)-WEEKDAY(DATE($E$3,1,3))-3),'ENTREES BDD'!$A:$AH,28,FALSE))</f>
        <v>0</v>
      </c>
      <c r="F34" s="13">
        <f>IF(ISERROR(VLOOKUP((7*$C$3+DATE($E$3,1,3)-WEEKDAY(DATE($E$3,1,3))-2),'ENTREES BDD'!$A:$AH,28,FALSE)),0,VLOOKUP((7*$C$3+DATE($E$3,1,3)-WEEKDAY(DATE($E$3,1,3))-2),'ENTREES BDD'!$A:$AH,28,FALSE))</f>
        <v>0</v>
      </c>
      <c r="G34" s="13">
        <f>IF(ISERROR(VLOOKUP((7*$C$3+DATE($E$3,1,3)-WEEKDAY(DATE($E$3,1,3))-1),'ENTREES BDD'!$A:$AH,28,FALSE)),0,VLOOKUP((7*$C$3+DATE($E$3,1,3)-WEEKDAY(DATE($E$3,1,3))-1),'ENTREES BDD'!$A:$AH,28,FALSE))</f>
        <v>0</v>
      </c>
      <c r="H34" s="13">
        <f>IF(ISERROR(VLOOKUP((7*$C$3+DATE($E$3,1,3)-WEEKDAY(DATE($E$3,1,3))),'ENTREES BDD'!$A:$AH,28,FALSE)),0,VLOOKUP((7*$C$3+DATE($E$3,1,3)-WEEKDAY(DATE($E$3,1,3))),'ENTREES BDD'!$A:$AH,28,FALSE))</f>
        <v>0</v>
      </c>
      <c r="I34" s="13">
        <f>IF(ISERROR(VLOOKUP((7*$C$3+DATE($E$3,1,3)-WEEKDAY(DATE($E$3,1,3))+1),'ENTREES BDD'!$A:$AH,28,FALSE)),0,VLOOKUP((7*$C$3+DATE($E$3,1,3)-WEEKDAY(DATE($E$3,1,3))+1),'ENTREES BDD'!$A:$AH,28,FALSE))</f>
        <v>0</v>
      </c>
      <c r="J34" s="11">
        <f t="shared" si="0"/>
        <v>0</v>
      </c>
    </row>
    <row r="35" spans="1:10" x14ac:dyDescent="0.15">
      <c r="A35" s="91"/>
      <c r="B35" s="89"/>
      <c r="C35" s="14">
        <f>IF(ISERROR(VLOOKUP((7*$C$3+DATE($E$3,1,3)-WEEKDAY(DATE($E$3,1,3))-5),'ENTREES BDD'!$A:$AH,29,FALSE)),0,VLOOKUP((7*$C$3+DATE($E$3,1,3)-WEEKDAY(DATE($E$3,1,3))-5),'ENTREES BDD'!$A:$AH,29,FALSE))</f>
        <v>0</v>
      </c>
      <c r="D35" s="14">
        <f>IF(ISERROR(VLOOKUP((7*$C$3+DATE($E$3,1,3)-WEEKDAY(DATE($E$3,1,3))-4),'ENTREES BDD'!$A:$AH,29,FALSE)),0,VLOOKUP((7*$C$3+DATE($E$3,1,3)-WEEKDAY(DATE($E$3,1,3))-4),'ENTREES BDD'!$A:$AH,29,FALSE))</f>
        <v>0</v>
      </c>
      <c r="E35" s="14">
        <f>IF(ISERROR(VLOOKUP((7*$C$3+DATE($E$3,1,3)-WEEKDAY(DATE($E$3,1,3))-3),'ENTREES BDD'!$A:$AH,29,FALSE)),0,VLOOKUP((7*$C$3+DATE($E$3,1,3)-WEEKDAY(DATE($E$3,1,3))-3),'ENTREES BDD'!$A:$AH,29,FALSE))</f>
        <v>0</v>
      </c>
      <c r="F35" s="14">
        <f>IF(ISERROR(VLOOKUP((7*$C$3+DATE($E$3,1,3)-WEEKDAY(DATE($E$3,1,3))-2),'ENTREES BDD'!$A:$AH,29,FALSE)),0,VLOOKUP((7*$C$3+DATE($E$3,1,3)-WEEKDAY(DATE($E$3,1,3))-2),'ENTREES BDD'!$A:$AH,29,FALSE))</f>
        <v>0</v>
      </c>
      <c r="G35" s="14">
        <f>IF(ISERROR(VLOOKUP((7*$C$3+DATE($E$3,1,3)-WEEKDAY(DATE($E$3,1,3))-1),'ENTREES BDD'!$A:$AH,29,FALSE)),0,VLOOKUP((7*$C$3+DATE($E$3,1,3)-WEEKDAY(DATE($E$3,1,3))-1),'ENTREES BDD'!$A:$AH,29,FALSE))</f>
        <v>0</v>
      </c>
      <c r="H35" s="14">
        <f>IF(ISERROR(VLOOKUP((7*$C$3+DATE($E$3,1,3)-WEEKDAY(DATE($E$3,1,3))),'ENTREES BDD'!$A:$AH,29,FALSE)),0,VLOOKUP((7*$C$3+DATE($E$3,1,3)-WEEKDAY(DATE($E$3,1,3))),'ENTREES BDD'!$A:$AH,29,FALSE))</f>
        <v>0</v>
      </c>
      <c r="I35" s="14">
        <f>IF(ISERROR(VLOOKUP((7*$C$3+DATE($E$3,1,3)-WEEKDAY(DATE($E$3,1,3))+1),'ENTREES BDD'!$A:$AH,29,FALSE)),0,VLOOKUP((7*$C$3+DATE($E$3,1,3)-WEEKDAY(DATE($E$3,1,3))+1),'ENTREES BDD'!$A:$AH,29,FALSE))</f>
        <v>0</v>
      </c>
      <c r="J35" s="12">
        <f t="shared" si="0"/>
        <v>0</v>
      </c>
    </row>
    <row r="36" spans="1:10" x14ac:dyDescent="0.15">
      <c r="A36" s="91"/>
      <c r="B36" s="89" t="s">
        <v>2</v>
      </c>
      <c r="C36" s="13">
        <f>IF(ISERROR(VLOOKUP((7*$C$3+DATE($E$3,1,3)-WEEKDAY(DATE($E$3,1,3))-5),'ENTREES BDD'!$A:$AH,30,FALSE)),0,VLOOKUP((7*$C$3+DATE($E$3,1,3)-WEEKDAY(DATE($E$3,1,3))-5),'ENTREES BDD'!$A:$AH,30,FALSE))</f>
        <v>0</v>
      </c>
      <c r="D36" s="13">
        <f>IF(ISERROR(VLOOKUP((7*$C$3+DATE($E$3,1,3)-WEEKDAY(DATE($E$3,1,3))-4),'ENTREES BDD'!$A:$AH,30,FALSE)),0,VLOOKUP((7*$C$3+DATE($E$3,1,3)-WEEKDAY(DATE($E$3,1,3))-4),'ENTREES BDD'!$A:$AH,30,FALSE))</f>
        <v>0</v>
      </c>
      <c r="E36" s="13">
        <f>IF(ISERROR(VLOOKUP((7*$C$3+DATE($E$3,1,3)-WEEKDAY(DATE($E$3,1,3))-3),'ENTREES BDD'!$A:$AH,30,FALSE)),0,VLOOKUP((7*$C$3+DATE($E$3,1,3)-WEEKDAY(DATE($E$3,1,3))-3),'ENTREES BDD'!$A:$AH,30,FALSE))</f>
        <v>0</v>
      </c>
      <c r="F36" s="13">
        <f>IF(ISERROR(VLOOKUP((7*$C$3+DATE($E$3,1,3)-WEEKDAY(DATE($E$3,1,3))-2),'ENTREES BDD'!$A:$AH,30,FALSE)),0,VLOOKUP((7*$C$3+DATE($E$3,1,3)-WEEKDAY(DATE($E$3,1,3))-2),'ENTREES BDD'!$A:$AH,30,FALSE))</f>
        <v>0</v>
      </c>
      <c r="G36" s="13">
        <f>IF(ISERROR(VLOOKUP((7*$C$3+DATE($E$3,1,3)-WEEKDAY(DATE($E$3,1,3))-1),'ENTREES BDD'!$A:$AH,30,FALSE)),0,VLOOKUP((7*$C$3+DATE($E$3,1,3)-WEEKDAY(DATE($E$3,1,3))-1),'ENTREES BDD'!$A:$AH,30,FALSE))</f>
        <v>0</v>
      </c>
      <c r="H36" s="13">
        <f>IF(ISERROR(VLOOKUP((7*$C$3+DATE($E$3,1,3)-WEEKDAY(DATE($E$3,1,3))),'ENTREES BDD'!$A:$AH,30,FALSE)),0,VLOOKUP((7*$C$3+DATE($E$3,1,3)-WEEKDAY(DATE($E$3,1,3))),'ENTREES BDD'!$A:$AH,30,FALSE))</f>
        <v>0</v>
      </c>
      <c r="I36" s="13">
        <f>IF(ISERROR(VLOOKUP((7*$C$3+DATE($E$3,1,3)-WEEKDAY(DATE($E$3,1,3))+1),'ENTREES BDD'!$A:$AH,30,FALSE)),0,VLOOKUP((7*$C$3+DATE($E$3,1,3)-WEEKDAY(DATE($E$3,1,3))+1),'ENTREES BDD'!$A:$AH,30,FALSE))</f>
        <v>0</v>
      </c>
      <c r="J36" s="11">
        <f t="shared" si="0"/>
        <v>0</v>
      </c>
    </row>
    <row r="37" spans="1:10" x14ac:dyDescent="0.15">
      <c r="A37" s="91"/>
      <c r="B37" s="89"/>
      <c r="C37" s="14">
        <f>IF(ISERROR(VLOOKUP((7*$C$3+DATE($E$3,1,3)-WEEKDAY(DATE($E$3,1,3))-5),'ENTREES BDD'!$A:$AH,31,FALSE)),0,VLOOKUP((7*$C$3+DATE($E$3,1,3)-WEEKDAY(DATE($E$3,1,3))-5),'ENTREES BDD'!$A:$AH,31,FALSE))</f>
        <v>0</v>
      </c>
      <c r="D37" s="14">
        <f>IF(ISERROR(VLOOKUP((7*$C$3+DATE($E$3,1,3)-WEEKDAY(DATE($E$3,1,3))-4),'ENTREES BDD'!$A:$AH,31,FALSE)),0,VLOOKUP((7*$C$3+DATE($E$3,1,3)-WEEKDAY(DATE($E$3,1,3))-4),'ENTREES BDD'!$A:$AH,31,FALSE))</f>
        <v>0</v>
      </c>
      <c r="E37" s="14">
        <f>IF(ISERROR(VLOOKUP((7*$C$3+DATE($E$3,1,3)-WEEKDAY(DATE($E$3,1,3))-3),'ENTREES BDD'!$A:$AH,31,FALSE)),0,VLOOKUP((7*$C$3+DATE($E$3,1,3)-WEEKDAY(DATE($E$3,1,3))-3),'ENTREES BDD'!$A:$AH,31,FALSE))</f>
        <v>0</v>
      </c>
      <c r="F37" s="14">
        <f>IF(ISERROR(VLOOKUP((7*$C$3+DATE($E$3,1,3)-WEEKDAY(DATE($E$3,1,3))-2),'ENTREES BDD'!$A:$AH,31,FALSE)),0,VLOOKUP((7*$C$3+DATE($E$3,1,3)-WEEKDAY(DATE($E$3,1,3))-2),'ENTREES BDD'!$A:$AH,31,FALSE))</f>
        <v>0</v>
      </c>
      <c r="G37" s="14">
        <f>IF(ISERROR(VLOOKUP((7*$C$3+DATE($E$3,1,3)-WEEKDAY(DATE($E$3,1,3))-1),'ENTREES BDD'!$A:$AH,31,FALSE)),0,VLOOKUP((7*$C$3+DATE($E$3,1,3)-WEEKDAY(DATE($E$3,1,3))-1),'ENTREES BDD'!$A:$AH,31,FALSE))</f>
        <v>0</v>
      </c>
      <c r="H37" s="14">
        <f>IF(ISERROR(VLOOKUP((7*$C$3+DATE($E$3,1,3)-WEEKDAY(DATE($E$3,1,3))),'ENTREES BDD'!$A:$AH,31,FALSE)),0,VLOOKUP((7*$C$3+DATE($E$3,1,3)-WEEKDAY(DATE($E$3,1,3))),'ENTREES BDD'!$A:$AH,31,FALSE))</f>
        <v>0</v>
      </c>
      <c r="I37" s="14">
        <f>IF(ISERROR(VLOOKUP((7*$C$3+DATE($E$3,1,3)-WEEKDAY(DATE($E$3,1,3))+1),'ENTREES BDD'!$A:$AH,31,FALSE)),0,VLOOKUP((7*$C$3+DATE($E$3,1,3)-WEEKDAY(DATE($E$3,1,3))+1),'ENTREES BDD'!$A:$AH,31,FALSE))</f>
        <v>0</v>
      </c>
      <c r="J37" s="12">
        <f t="shared" si="0"/>
        <v>0</v>
      </c>
    </row>
    <row r="38" spans="1:10" x14ac:dyDescent="0.15">
      <c r="A38" s="91"/>
      <c r="B38" s="89" t="s">
        <v>39</v>
      </c>
      <c r="C38" s="13">
        <f>IF(ISERROR(VLOOKUP((7*$C$3+DATE($E$3,1,3)-WEEKDAY(DATE($E$3,1,3))-5),'ENTREES BDD'!$A:$AH,32,FALSE)),0,VLOOKUP((7*$C$3+DATE($E$3,1,3)-WEEKDAY(DATE($E$3,1,3))-5),'ENTREES BDD'!$A:$AH,32,FALSE))</f>
        <v>0</v>
      </c>
      <c r="D38" s="13">
        <f>IF(ISERROR(VLOOKUP((7*$C$3+DATE($E$3,1,3)-WEEKDAY(DATE($E$3,1,3))-4),'ENTREES BDD'!$A:$AH,32,FALSE)),0,VLOOKUP((7*$C$3+DATE($E$3,1,3)-WEEKDAY(DATE($E$3,1,3))-4),'ENTREES BDD'!$A:$AH,32,FALSE))</f>
        <v>0</v>
      </c>
      <c r="E38" s="13">
        <f>IF(ISERROR(VLOOKUP((7*$C$3+DATE($E$3,1,3)-WEEKDAY(DATE($E$3,1,3))-3),'ENTREES BDD'!$A:$AH,32,FALSE)),0,VLOOKUP((7*$C$3+DATE($E$3,1,3)-WEEKDAY(DATE($E$3,1,3))-3),'ENTREES BDD'!$A:$AH,32,FALSE))</f>
        <v>0</v>
      </c>
      <c r="F38" s="13">
        <f>IF(ISERROR(VLOOKUP((7*$C$3+DATE($E$3,1,3)-WEEKDAY(DATE($E$3,1,3))-2),'ENTREES BDD'!$A:$AH,32,FALSE)),0,VLOOKUP((7*$C$3+DATE($E$3,1,3)-WEEKDAY(DATE($E$3,1,3))-2),'ENTREES BDD'!$A:$AH,32,FALSE))</f>
        <v>0</v>
      </c>
      <c r="G38" s="13">
        <f>IF(ISERROR(VLOOKUP((7*$C$3+DATE($E$3,1,3)-WEEKDAY(DATE($E$3,1,3))-1),'ENTREES BDD'!$A:$AH,32,FALSE)),0,VLOOKUP((7*$C$3+DATE($E$3,1,3)-WEEKDAY(DATE($E$3,1,3))-1),'ENTREES BDD'!$A:$AH,32,FALSE))</f>
        <v>0</v>
      </c>
      <c r="H38" s="13">
        <f>IF(ISERROR(VLOOKUP((7*$C$3+DATE($E$3,1,3)-WEEKDAY(DATE($E$3,1,3))),'ENTREES BDD'!$A:$AH,32,FALSE)),0,VLOOKUP((7*$C$3+DATE($E$3,1,3)-WEEKDAY(DATE($E$3,1,3))),'ENTREES BDD'!$A:$AH,32,FALSE))</f>
        <v>0</v>
      </c>
      <c r="I38" s="13">
        <f>IF(ISERROR(VLOOKUP((7*$C$3+DATE($E$3,1,3)-WEEKDAY(DATE($E$3,1,3))+1),'ENTREES BDD'!$A:$AH,32,FALSE)),0,VLOOKUP((7*$C$3+DATE($E$3,1,3)-WEEKDAY(DATE($E$3,1,3))+1),'ENTREES BDD'!$A:$AH,32,FALSE))</f>
        <v>0</v>
      </c>
      <c r="J38" s="11">
        <f t="shared" si="0"/>
        <v>0</v>
      </c>
    </row>
    <row r="39" spans="1:10" x14ac:dyDescent="0.15">
      <c r="A39" s="91"/>
      <c r="B39" s="89"/>
      <c r="C39" s="14">
        <f>IF(ISERROR(VLOOKUP((7*$C$3+DATE($E$3,1,3)-WEEKDAY(DATE($E$3,1,3))-5),'ENTREES BDD'!$A:$AH,33,FALSE)),0,VLOOKUP((7*$C$3+DATE($E$3,1,3)-WEEKDAY(DATE($E$3,1,3))-5),'ENTREES BDD'!$A:$AH,33,FALSE))</f>
        <v>0</v>
      </c>
      <c r="D39" s="14">
        <f>IF(ISERROR(VLOOKUP((7*$C$3+DATE($E$3,1,3)-WEEKDAY(DATE($E$3,1,3))-4),'ENTREES BDD'!$A:$AH,33,FALSE)),0,VLOOKUP((7*$C$3+DATE($E$3,1,3)-WEEKDAY(DATE($E$3,1,3))-4),'ENTREES BDD'!$A:$AH,33,FALSE))</f>
        <v>0</v>
      </c>
      <c r="E39" s="14">
        <f>IF(ISERROR(VLOOKUP((7*$C$3+DATE($E$3,1,3)-WEEKDAY(DATE($E$3,1,3))-3),'ENTREES BDD'!$A:$AH,33,FALSE)),0,VLOOKUP((7*$C$3+DATE($E$3,1,3)-WEEKDAY(DATE($E$3,1,3))-3),'ENTREES BDD'!$A:$AH,33,FALSE))</f>
        <v>0</v>
      </c>
      <c r="F39" s="14">
        <f>IF(ISERROR(VLOOKUP((7*$C$3+DATE($E$3,1,3)-WEEKDAY(DATE($E$3,1,3))-2),'ENTREES BDD'!$A:$AH,33,FALSE)),0,VLOOKUP((7*$C$3+DATE($E$3,1,3)-WEEKDAY(DATE($E$3,1,3))-2),'ENTREES BDD'!$A:$AH,33,FALSE))</f>
        <v>0</v>
      </c>
      <c r="G39" s="14">
        <f>IF(ISERROR(VLOOKUP((7*$C$3+DATE($E$3,1,3)-WEEKDAY(DATE($E$3,1,3))-1),'ENTREES BDD'!$A:$AH,33,FALSE)),0,VLOOKUP((7*$C$3+DATE($E$3,1,3)-WEEKDAY(DATE($E$3,1,3))-1),'ENTREES BDD'!$A:$AH,33,FALSE))</f>
        <v>0</v>
      </c>
      <c r="H39" s="14">
        <f>IF(ISERROR(VLOOKUP((7*$C$3+DATE($E$3,1,3)-WEEKDAY(DATE($E$3,1,3))),'ENTREES BDD'!$A:$AH,33,FALSE)),0,VLOOKUP((7*$C$3+DATE($E$3,1,3)-WEEKDAY(DATE($E$3,1,3))),'ENTREES BDD'!$A:$AH,33,FALSE))</f>
        <v>0</v>
      </c>
      <c r="I39" s="14">
        <f>IF(ISERROR(VLOOKUP((7*$C$3+DATE($E$3,1,3)-WEEKDAY(DATE($E$3,1,3))+1),'ENTREES BDD'!$A:$AH,33,FALSE)),0,VLOOKUP((7*$C$3+DATE($E$3,1,3)-WEEKDAY(DATE($E$3,1,3))+1),'ENTREES BDD'!$A:$AH,33,FALSE))</f>
        <v>0</v>
      </c>
      <c r="J39" s="12">
        <f t="shared" si="0"/>
        <v>0</v>
      </c>
    </row>
    <row r="40" spans="1:10" x14ac:dyDescent="0.15">
      <c r="A40" s="97" t="s">
        <v>41</v>
      </c>
      <c r="B40" s="88" t="s">
        <v>42</v>
      </c>
      <c r="C40" s="15">
        <f>IF(ISERROR(VLOOKUP((7*$C$3+DATE($E$3,1,3)-WEEKDAY(DATE($E$3,1,3))-5),'ENTREES BDD'!$A:$AH,26,FALSE)),0,VLOOKUP((7*$C$3+DATE($E$3,1,3)-WEEKDAY(DATE($E$3,1,3))-5),'ENTREES BDD'!$A:$AH,26,FALSE))</f>
        <v>0</v>
      </c>
      <c r="D40" s="15">
        <f>IF(ISERROR(VLOOKUP((7*$C$3+DATE($E$3,1,3)-WEEKDAY(DATE($E$3,1,3))-4),'ENTREES BDD'!$A:$AH,26,FALSE)),0,VLOOKUP((7*$C$3+DATE($E$3,1,3)-WEEKDAY(DATE($E$3,1,3))-4),'ENTREES BDD'!$A:$AH,26,FALSE))</f>
        <v>0</v>
      </c>
      <c r="E40" s="15">
        <f>IF(ISERROR(VLOOKUP((7*$C$3+DATE($E$3,1,3)-WEEKDAY(DATE($E$3,1,3))-3),'ENTREES BDD'!$A:$AH,26,FALSE)),0,VLOOKUP((7*$C$3+DATE($E$3,1,3)-WEEKDAY(DATE($E$3,1,3))-3),'ENTREES BDD'!$A:$AH,26,FALSE))</f>
        <v>0</v>
      </c>
      <c r="F40" s="15">
        <f>IF(ISERROR(VLOOKUP((7*$C$3+DATE($E$3,1,3)-WEEKDAY(DATE($E$3,1,3))-2),'ENTREES BDD'!$A:$AH,26,FALSE)),0,VLOOKUP((7*$C$3+DATE($E$3,1,3)-WEEKDAY(DATE($E$3,1,3))-2),'ENTREES BDD'!$A:$AH,26,FALSE))</f>
        <v>0</v>
      </c>
      <c r="G40" s="15">
        <f>IF(ISERROR(VLOOKUP((7*$C$3+DATE($E$3,1,3)-WEEKDAY(DATE($E$3,1,3))-1),'ENTREES BDD'!$A:$AH,26,FALSE)),0,VLOOKUP((7*$C$3+DATE($E$3,1,3)-WEEKDAY(DATE($E$3,1,3))-1),'ENTREES BDD'!$A:$AH,26,FALSE))</f>
        <v>0</v>
      </c>
      <c r="H40" s="15">
        <f>IF(ISERROR(VLOOKUP((7*$C$3+DATE($E$3,1,3)-WEEKDAY(DATE($E$3,1,3))),'ENTREES BDD'!$A:$AH,26,FALSE)),0,VLOOKUP((7*$C$3+DATE($E$3,1,3)-WEEKDAY(DATE($E$3,1,3))),'ENTREES BDD'!$A:$AH,26,FALSE))</f>
        <v>0</v>
      </c>
      <c r="I40" s="15">
        <f>IF(ISERROR(VLOOKUP((7*$C$3+DATE($E$3,1,3)-WEEKDAY(DATE($E$3,1,3))+1),'ENTREES BDD'!$A:$AH,26,FALSE)),0,VLOOKUP((7*$C$3+DATE($E$3,1,3)-WEEKDAY(DATE($E$3,1,3))+1),'ENTREES BDD'!$A:$AH,26,FALSE))</f>
        <v>0</v>
      </c>
      <c r="J40" s="11">
        <f t="shared" si="0"/>
        <v>0</v>
      </c>
    </row>
    <row r="41" spans="1:10" x14ac:dyDescent="0.15">
      <c r="A41" s="97"/>
      <c r="B41" s="88"/>
      <c r="C41" s="16">
        <f>IF(ISERROR(VLOOKUP((7*$C$3+DATE($E$3,1,3)-WEEKDAY(DATE($E$3,1,3))-5),'ENTREES BDD'!$A:$AH,27,FALSE)),0,VLOOKUP((7*$C$3+DATE($E$3,1,3)-WEEKDAY(DATE($E$3,1,3))-5),'ENTREES BDD'!$A:$AH,27,FALSE))</f>
        <v>0</v>
      </c>
      <c r="D41" s="16">
        <f>IF(ISERROR(VLOOKUP((7*$C$3+DATE($E$3,1,3)-WEEKDAY(DATE($E$3,1,3))-4),'ENTREES BDD'!$A:$AH,27,FALSE)),0,VLOOKUP((7*$C$3+DATE($E$3,1,3)-WEEKDAY(DATE($E$3,1,3))-4),'ENTREES BDD'!$A:$AH,27,FALSE))</f>
        <v>0</v>
      </c>
      <c r="E41" s="16">
        <f>IF(ISERROR(VLOOKUP((7*$C$3+DATE($E$3,1,3)-WEEKDAY(DATE($E$3,1,3))-3),'ENTREES BDD'!$A:$AH,27,FALSE)),0,VLOOKUP((7*$C$3+DATE($E$3,1,3)-WEEKDAY(DATE($E$3,1,3))-3),'ENTREES BDD'!$A:$AH,27,FALSE))</f>
        <v>0</v>
      </c>
      <c r="F41" s="16">
        <f>IF(ISERROR(VLOOKUP((7*$C$3+DATE($E$3,1,3)-WEEKDAY(DATE($E$3,1,3))-2),'ENTREES BDD'!$A:$AH,27,FALSE)),0,VLOOKUP((7*$C$3+DATE($E$3,1,3)-WEEKDAY(DATE($E$3,1,3))-2),'ENTREES BDD'!$A:$AH,27,FALSE))</f>
        <v>0</v>
      </c>
      <c r="G41" s="16">
        <f>IF(ISERROR(VLOOKUP((7*$C$3+DATE($E$3,1,3)-WEEKDAY(DATE($E$3,1,3))-1),'ENTREES BDD'!$A:$AH,27,FALSE)),0,VLOOKUP((7*$C$3+DATE($E$3,1,3)-WEEKDAY(DATE($E$3,1,3))-1),'ENTREES BDD'!$A:$AH,27,FALSE))</f>
        <v>0</v>
      </c>
      <c r="H41" s="16">
        <f>IF(ISERROR(VLOOKUP((7*$C$3+DATE($E$3,1,3)-WEEKDAY(DATE($E$3,1,3))),'ENTREES BDD'!$A:$AH,27,FALSE)),0,VLOOKUP((7*$C$3+DATE($E$3,1,3)-WEEKDAY(DATE($E$3,1,3))),'ENTREES BDD'!$A:$AH,27,FALSE))</f>
        <v>0</v>
      </c>
      <c r="I41" s="16">
        <f>IF(ISERROR(VLOOKUP((7*$C$3+DATE($E$3,1,3)-WEEKDAY(DATE($E$3,1,3))+1),'ENTREES BDD'!$A:$AH,27,FALSE)),0,VLOOKUP((7*$C$3+DATE($E$3,1,3)-WEEKDAY(DATE($E$3,1,3))+1),'ENTREES BDD'!$A:$AH,27,FALSE))</f>
        <v>0</v>
      </c>
      <c r="J41" s="12">
        <f t="shared" si="0"/>
        <v>0</v>
      </c>
    </row>
    <row r="42" spans="1:10" ht="11.25" customHeight="1" x14ac:dyDescent="0.15">
      <c r="A42" s="92" t="s">
        <v>49</v>
      </c>
      <c r="B42" s="93"/>
      <c r="C42" s="11">
        <f>C10+C12+C14+C16+C18+C20+C22+C24+C26+C28+C30+C32+C34+C36+C38+C40</f>
        <v>0</v>
      </c>
      <c r="D42" s="11">
        <f t="shared" ref="D42:I43" si="1">D10+D12+D14+D16+D18+D20+D22+D24+D26+D28+D30+D32+D34+D36+D38+D40</f>
        <v>0</v>
      </c>
      <c r="E42" s="11">
        <f t="shared" si="1"/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 t="shared" si="1"/>
        <v>169</v>
      </c>
      <c r="J42" s="17"/>
    </row>
    <row r="43" spans="1:10" ht="11.25" customHeight="1" x14ac:dyDescent="0.15">
      <c r="A43" s="94"/>
      <c r="B43" s="95"/>
      <c r="C43" s="12">
        <f>C11+C13+C15+C17+C19+C21+C23+C25+C27+C29+C31+C33+C35+C37+C39+C41</f>
        <v>0</v>
      </c>
      <c r="D43" s="12">
        <f t="shared" si="1"/>
        <v>0</v>
      </c>
      <c r="E43" s="12">
        <f t="shared" si="1"/>
        <v>0</v>
      </c>
      <c r="F43" s="12">
        <f t="shared" si="1"/>
        <v>0</v>
      </c>
      <c r="G43" s="12">
        <f t="shared" si="1"/>
        <v>0</v>
      </c>
      <c r="H43" s="12">
        <f t="shared" si="1"/>
        <v>0</v>
      </c>
      <c r="I43" s="12">
        <f>I11+I13+I15+I17+I19+I21+I23+I25+I27+I29+I31+I33+I35+I37+I39+I41</f>
        <v>247.5</v>
      </c>
      <c r="J43" s="17"/>
    </row>
  </sheetData>
  <mergeCells count="33">
    <mergeCell ref="A42:B43"/>
    <mergeCell ref="A10:A17"/>
    <mergeCell ref="B10:B11"/>
    <mergeCell ref="B12:B13"/>
    <mergeCell ref="B14:B15"/>
    <mergeCell ref="B16:B17"/>
    <mergeCell ref="A18:A25"/>
    <mergeCell ref="B18:B19"/>
    <mergeCell ref="B20:B21"/>
    <mergeCell ref="B22:B23"/>
    <mergeCell ref="B24:B25"/>
    <mergeCell ref="B38:B39"/>
    <mergeCell ref="A40:A41"/>
    <mergeCell ref="B40:B41"/>
    <mergeCell ref="A26:A27"/>
    <mergeCell ref="B26:B27"/>
    <mergeCell ref="B28:B29"/>
    <mergeCell ref="B30:B31"/>
    <mergeCell ref="B32:B33"/>
    <mergeCell ref="B34:B35"/>
    <mergeCell ref="A28:A33"/>
    <mergeCell ref="A34:A39"/>
    <mergeCell ref="B36:B37"/>
    <mergeCell ref="A1:J1"/>
    <mergeCell ref="C6:D6"/>
    <mergeCell ref="C7:D7"/>
    <mergeCell ref="G3:I3"/>
    <mergeCell ref="G4:I4"/>
    <mergeCell ref="B3:B4"/>
    <mergeCell ref="C3:C4"/>
    <mergeCell ref="D3:D4"/>
    <mergeCell ref="E3:E4"/>
    <mergeCell ref="G6:I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BDD!$A$1:$A$53</xm:f>
          </x14:formula1>
          <xm:sqref>C3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43"/>
  <sheetViews>
    <sheetView showGridLines="0" topLeftCell="A28" workbookViewId="0">
      <selection activeCell="C20" sqref="C20:C21"/>
    </sheetView>
  </sheetViews>
  <sheetFormatPr baseColWidth="10" defaultRowHeight="11.25" x14ac:dyDescent="0.15"/>
  <cols>
    <col min="2" max="2" width="17.375" bestFit="1" customWidth="1"/>
    <col min="3" max="3" width="16.5" bestFit="1" customWidth="1"/>
    <col min="4" max="10" width="11.125" customWidth="1"/>
    <col min="12" max="12" width="21.125" bestFit="1" customWidth="1"/>
  </cols>
  <sheetData>
    <row r="1" spans="1:12" ht="23.25" customHeight="1" x14ac:dyDescent="0.15">
      <c r="B1" s="73" t="s">
        <v>63</v>
      </c>
      <c r="C1" s="73"/>
      <c r="D1" s="73"/>
      <c r="E1" s="73"/>
      <c r="F1" s="73"/>
      <c r="G1" s="73"/>
      <c r="H1" s="73"/>
      <c r="I1" s="73"/>
      <c r="J1" s="73"/>
      <c r="K1" s="20"/>
    </row>
    <row r="2" spans="1:12" ht="12" thickBot="1" x14ac:dyDescent="0.2">
      <c r="A2" s="21"/>
    </row>
    <row r="3" spans="1:12" ht="14.25" x14ac:dyDescent="0.15">
      <c r="A3" s="27"/>
      <c r="B3" s="80" t="s">
        <v>47</v>
      </c>
      <c r="C3" s="100" t="s">
        <v>50</v>
      </c>
      <c r="D3" s="84" t="s">
        <v>46</v>
      </c>
      <c r="E3" s="102">
        <v>2018</v>
      </c>
      <c r="F3" s="18" t="s">
        <v>43</v>
      </c>
      <c r="G3" s="76">
        <f>VLOOKUP($C$3,BDD!$D:$E,2,FALSE)</f>
        <v>43101</v>
      </c>
      <c r="H3" s="76"/>
      <c r="I3" s="77"/>
    </row>
    <row r="4" spans="1:12" ht="15" thickBot="1" x14ac:dyDescent="0.2">
      <c r="B4" s="81"/>
      <c r="C4" s="101"/>
      <c r="D4" s="85"/>
      <c r="E4" s="103"/>
      <c r="F4" s="19" t="s">
        <v>44</v>
      </c>
      <c r="G4" s="78">
        <f>EOMONTH(G3,0)</f>
        <v>43131</v>
      </c>
      <c r="H4" s="78"/>
      <c r="I4" s="79"/>
    </row>
    <row r="5" spans="1:12" ht="12" thickBot="1" x14ac:dyDescent="0.2">
      <c r="B5" s="4"/>
      <c r="C5" s="6"/>
      <c r="D5" s="4"/>
      <c r="F5" s="4"/>
      <c r="G5" s="5"/>
      <c r="H5" s="7"/>
      <c r="I5" s="5"/>
    </row>
    <row r="6" spans="1:12" ht="12" thickBot="1" x14ac:dyDescent="0.2">
      <c r="B6" s="25" t="s">
        <v>67</v>
      </c>
      <c r="C6" s="74" t="s">
        <v>65</v>
      </c>
      <c r="D6" s="74"/>
      <c r="E6" s="26">
        <f>SUM(D42:I42)</f>
        <v>169</v>
      </c>
      <c r="F6" s="24" t="s">
        <v>66</v>
      </c>
      <c r="G6" s="86">
        <f>SUM(D43:I43)</f>
        <v>247.5</v>
      </c>
      <c r="H6" s="86"/>
      <c r="I6" s="87"/>
      <c r="J6" s="2"/>
    </row>
    <row r="7" spans="1:12" x14ac:dyDescent="0.15">
      <c r="J7" s="2"/>
    </row>
    <row r="9" spans="1:12" x14ac:dyDescent="0.15">
      <c r="D9" s="8" t="str">
        <f>IF((WEEKNUM($G$4,21))&gt;BDD!$H$1,"","Sem. "&amp;WEEKNUM($G$3,21))</f>
        <v>Sem. 1</v>
      </c>
      <c r="E9" s="8" t="str">
        <f>IF(WEEKNUM('C.A par mois'!$G$3+7,21)&gt;BDD!$H$1,"","Sem. "&amp;WEEKNUM('C.A par mois'!$G$3+7,21))</f>
        <v>Sem. 2</v>
      </c>
      <c r="F9" s="8" t="str">
        <f>IF(WEEKNUM('C.A par mois'!$G$3+14,21)&gt;BDD!$H$1,"","Sem. "&amp;WEEKNUM('C.A par mois'!$G$3+14,21))</f>
        <v>Sem. 3</v>
      </c>
      <c r="G9" s="8" t="str">
        <f>IF(WEEKNUM('C.A par mois'!$G$3+21,21)&gt;BDD!$H$1,"","Sem. "&amp;WEEKNUM('C.A par mois'!$G$3+21,21))</f>
        <v>Sem. 4</v>
      </c>
      <c r="H9" s="8" t="str">
        <f>IF(WEEKNUM('C.A par mois'!$G$3+28,21)&gt;BDD!$H$1,"","Sem. "&amp;WEEKNUM('C.A par mois'!$G$3+28,21))</f>
        <v>Sem. 5</v>
      </c>
      <c r="I9" s="8" t="str">
        <f>IF(WEEKNUM('C.A par mois'!$G$3+35,21)&gt;BDD!$H$1,"","Sem. "&amp;WEEKNUM('C.A par mois'!$G$3+35,21))</f>
        <v/>
      </c>
      <c r="J9" s="8" t="s">
        <v>49</v>
      </c>
    </row>
    <row r="10" spans="1:12" x14ac:dyDescent="0.15">
      <c r="A10" s="111" t="s">
        <v>28</v>
      </c>
      <c r="B10" s="112"/>
      <c r="C10" s="104" t="s">
        <v>1</v>
      </c>
      <c r="D10" s="13">
        <f>IF(D9="","",SUMIFS('ENTREES BDD'!B3:B1048576,'ENTREES BDD'!$A$3:$A$1048576,"&gt;="&amp;G3,'ENTREES BDD'!$A$3:$A$1048576,"&lt;="&amp;TEXT(G3+7-WEEKDAY(G3,2),"jj/mm/aaaa")))</f>
        <v>0</v>
      </c>
      <c r="E10" s="13">
        <f>IF(E9="","",SUMIFS('ENTREES BDD'!$B$3:$B$1048576,'ENTREES BDD'!$A$3:$A$1048576,"&gt;="&amp;(TEXT((G3+7)+1-WEEKDAY(G3+7,2),"jj/mm/aaaa")),'ENTREES BDD'!$A$3:$A$1048576,"&lt;="&amp;TEXT((G3+7)+7-WEEKDAY(G3+7,2),"jj/mm/aaaa")))</f>
        <v>0</v>
      </c>
      <c r="F10" s="13">
        <f>IF(F9="","",SUMIFS('ENTREES BDD'!$B$3:$B$1048576,'ENTREES BDD'!$A$3:$A$1048576,"&gt;="&amp;(TEXT((G3+14)+1-WEEKDAY(G3+14,2),"jj/mm/aaaa")),'ENTREES BDD'!$A$3:$A$1048576,"&lt;="&amp;TEXT((G3+14)+7-WEEKDAY(G3+14,2),"jj/mm/aaaa")))</f>
        <v>0</v>
      </c>
      <c r="G10" s="13">
        <f>IF(G9="","",SUMIFS('ENTREES BDD'!$B$3:$B$1048576,'ENTREES BDD'!$A$3:$A$1048576,"&gt;="&amp;(TEXT((G3+21)+1-WEEKDAY(G3+21,2),"jj/mm/aaaa")),'ENTREES BDD'!$A$3:$A$1048576,"&lt;="&amp;TEXT((G3+21)+7-WEEKDAY(G3+21,2),"jj/mm/aaaa")))</f>
        <v>10</v>
      </c>
      <c r="H10" s="13">
        <f>IF(H9="","",SUMIFS('ENTREES BDD'!$B$3:$B$1048576,'ENTREES BDD'!$A$3:$A$1048576,"&gt;="&amp;(TEXT((G3+28)+1-WEEKDAY(G3+28,2),"jj/mm/aaaa")),'ENTREES BDD'!$A$3:$A$1048576,"&lt;="&amp;TEXT((G3+28)+7-WEEKDAY(G3+28,2),"jj/mm/aaaa")))</f>
        <v>0</v>
      </c>
      <c r="I10" s="13" t="str">
        <f>IF(I9="","",SUMIFS('ENTREES BDD'!$B$3:$B$1048576,'ENTREES BDD'!$A$3:$A$1048576,"&gt;="&amp;(TEXT((G3+35)+1-WEEKDAY(G3+35,2),"jj/mm/aaaa")),'ENTREES BDD'!$A$3:$A$1048576,"&lt;="&amp;G4))</f>
        <v/>
      </c>
      <c r="J10" s="11">
        <f>SUM(D10:I10)</f>
        <v>10</v>
      </c>
      <c r="L10" s="5"/>
    </row>
    <row r="11" spans="1:12" x14ac:dyDescent="0.15">
      <c r="A11" s="111"/>
      <c r="B11" s="112"/>
      <c r="C11" s="104"/>
      <c r="D11" s="14">
        <f>IF(D9="","",SUMIFS('ENTREES BDD'!C3:C1048576,'ENTREES BDD'!$A$3:$A$1048576,"&gt;="&amp;$G$3,'ENTREES BDD'!$A$3:$A$1048576,"&lt;="&amp;TEXT($G$3+7-WEEKDAY($G$3,2),"jj/mm/aaaa")))</f>
        <v>0</v>
      </c>
      <c r="E11" s="14">
        <f>IF(E9="","",SUMIFS('ENTREES BDD'!$C$3:$C$1048576,'ENTREES BDD'!$A$3:$A$1048576,"&gt;="&amp;(TEXT((G3+7)+1-WEEKDAY(G3+7,2),"jj/mm/aaaa")),'ENTREES BDD'!$A$3:$A$1048576,"&lt;="&amp;TEXT((G3+7)+7-WEEKDAY(G3+7,2),"jj/mm/aaaa")))</f>
        <v>0</v>
      </c>
      <c r="F11" s="14">
        <f>IF(F9="","",SUMIFS('ENTREES BDD'!$C$3:$C$1048576,'ENTREES BDD'!$A$3:$A$1048576,"&gt;="&amp;(TEXT((G3+14)+1-WEEKDAY(G3+14,2),"jj/mm/aaaa")),'ENTREES BDD'!$A$3:$A$1048576,"&lt;="&amp;TEXT((G3+14)+7-WEEKDAY(G3+14,2),"jj/mm/aaaa")))</f>
        <v>0</v>
      </c>
      <c r="G11" s="14">
        <f>IF(G9="","",SUMIFS('ENTREES BDD'!$C$3:$C$1048576,'ENTREES BDD'!$A$3:$A$1048576,"&gt;="&amp;(TEXT((G3+21)+1-WEEKDAY(G3+21,2),"jj/mm/aaaa")),'ENTREES BDD'!$A$3:$A$1048576,"&lt;="&amp;TEXT((G3+21)+7-WEEKDAY(G3+21,2),"jj/mm/aaaa")))</f>
        <v>53</v>
      </c>
      <c r="H11" s="14">
        <f>IF(H9="","",SUMIFS('ENTREES BDD'!$C$3:$C$1048576,'ENTREES BDD'!$A$3:$A$1048576,"&gt;="&amp;(TEXT((G3+28)+1-WEEKDAY(G3+28,2),"jj/mm/aaaa")),'ENTREES BDD'!$A$3:$A$1048576,"&lt;="&amp;TEXT((G3+28)+7-WEEKDAY(G3+28,2),"jj/mm/aaaa")))</f>
        <v>0</v>
      </c>
      <c r="I11" s="14" t="str">
        <f>IF(I9="","",SUMIFS('ENTREES BDD'!$C$3:$C$1048576,'ENTREES BDD'!$A$3:$A$1048576,"&gt;="&amp;(TEXT((G3+35)+1-WEEKDAY(G3+35,2),"jj/mm/aaaa")),'ENTREES BDD'!$A$3:$A$1048576,"&lt;="&amp;G4))</f>
        <v/>
      </c>
      <c r="J11" s="12">
        <f t="shared" ref="J11:J40" si="0">SUM(D11:I11)</f>
        <v>53</v>
      </c>
    </row>
    <row r="12" spans="1:12" x14ac:dyDescent="0.15">
      <c r="A12" s="111"/>
      <c r="B12" s="112"/>
      <c r="C12" s="104" t="s">
        <v>2</v>
      </c>
      <c r="D12" s="13">
        <f>IF(D9="","",SUMIFS('ENTREES BDD'!D3:D1048576,'ENTREES BDD'!$A$3:$A$1048576,"&gt;="&amp;$G$3,'ENTREES BDD'!$A$3:$A$1048576,"&lt;="&amp;TEXT($G$3+7-WEEKDAY($G$3,2),"jj/mm/aaaa")))</f>
        <v>0</v>
      </c>
      <c r="E12" s="13">
        <f>IF(E9="","",SUMIFS('ENTREES BDD'!$D$3:$D$1048576,'ENTREES BDD'!$A$3:$A$1048576,"&gt;="&amp;(TEXT((G3+7)+1-WEEKDAY(G3+7,2),"jj/mm/aaaa")),'ENTREES BDD'!$A$3:$A$1048576,"&lt;="&amp;TEXT((G3+7)+7-WEEKDAY(G3+7,2),"jj/mm/aaaa")))</f>
        <v>0</v>
      </c>
      <c r="F12" s="13">
        <f>IF(F9="","",SUMIFS('ENTREES BDD'!$D$3:$D$1048576,'ENTREES BDD'!$A$3:$A$1048576,"&gt;="&amp;(TEXT((G3+14)+1-WEEKDAY(G3+14,2),"jj/mm/aaaa")),'ENTREES BDD'!$A$3:$A$1048576,"&lt;="&amp;TEXT((G3+14)+7-WEEKDAY(G3+14,2),"jj/mm/aaaa")))</f>
        <v>0</v>
      </c>
      <c r="G12" s="13">
        <f>IF(G9="","",SUMIFS('ENTREES BDD'!$D$3:$D$1048576,'ENTREES BDD'!$A$3:$A$1048576,"&gt;="&amp;(TEXT((G3+21)+1-WEEKDAY(G3+21,2),"jj/mm/aaaa")),'ENTREES BDD'!$A$3:$A$1048576,"&lt;="&amp;TEXT((G3+21)+7-WEEKDAY(G3+21,2),"jj/mm/aaaa")))</f>
        <v>5</v>
      </c>
      <c r="H12" s="13">
        <f>IF(H9="","",SUMIFS('ENTREES BDD'!$D$3:$D$1048576,'ENTREES BDD'!$A$3:$A$1048576,"&gt;="&amp;(TEXT((G3+28)+1-WEEKDAY(G3+28,2),"jj/mm/aaaa")),'ENTREES BDD'!$A$3:$A$1048576,"&lt;="&amp;TEXT((G3+28)+7-WEEKDAY(G3+28,2),"jj/mm/aaaa")))</f>
        <v>0</v>
      </c>
      <c r="I12" s="13" t="str">
        <f>IF(I9="","",SUMIFS('ENTREES BDD'!$D$3:$D$1048576,'ENTREES BDD'!$A$3:$A$1048576,"&gt;="&amp;(TEXT((G3+35)+1-WEEKDAY(G3+35,2),"jj/mm/aaaa")),'ENTREES BDD'!$A$3:$A$1048576,"&lt;="&amp;G4))</f>
        <v/>
      </c>
      <c r="J12" s="11">
        <f t="shared" si="0"/>
        <v>5</v>
      </c>
    </row>
    <row r="13" spans="1:12" x14ac:dyDescent="0.15">
      <c r="A13" s="111"/>
      <c r="B13" s="112"/>
      <c r="C13" s="104"/>
      <c r="D13" s="14">
        <f>IF(D9="","",SUMIFS('ENTREES BDD'!E3:E1048576,'ENTREES BDD'!$A$3:$A$1048576,"&gt;="&amp;$G$3,'ENTREES BDD'!$A$3:$A$1048576,"&lt;="&amp;TEXT($G$3+7-WEEKDAY($G$3,2),"jj/mm/aaaa")))</f>
        <v>0</v>
      </c>
      <c r="E13" s="14">
        <f>IF(E9="","",SUMIFS('ENTREES BDD'!$E$3:$E$1048576,'ENTREES BDD'!$A$3:$A$1048576,"&gt;="&amp;(TEXT((G3+7)+1-WEEKDAY(G3+7,2),"jj/mm/aaaa")),'ENTREES BDD'!$A$3:$A$1048576,"&lt;="&amp;TEXT((G3+7)+7-WEEKDAY(G3+7,2),"jj/mm/aaaa")))</f>
        <v>0</v>
      </c>
      <c r="F13" s="14">
        <f>IF(F9="","",SUMIFS('ENTREES BDD'!$E$3:$E$1048576,'ENTREES BDD'!$A$3:$A$1048576,"&gt;="&amp;(TEXT((G3+14)+1-WEEKDAY(G3+14,2),"jj/mm/aaaa")),'ENTREES BDD'!$A$3:$A$1048576,"&lt;="&amp;TEXT((G3+14)+7-WEEKDAY(G3+14,2),"jj/mm/aaaa")))</f>
        <v>0</v>
      </c>
      <c r="G13" s="14">
        <f>IF(G9="","",SUMIFS('ENTREES BDD'!$E$3:$E$1048576,'ENTREES BDD'!$A$3:$A$1048576,"&gt;="&amp;(TEXT((G3+21)+1-WEEKDAY(G3+21,2),"jj/mm/aaaa")),'ENTREES BDD'!$A$3:$A$1048576,"&lt;="&amp;TEXT((G3+21)+7-WEEKDAY(G3+21,2),"jj/mm/aaaa")))</f>
        <v>14.5</v>
      </c>
      <c r="H13" s="14">
        <f>IF(H9="","",SUMIFS('ENTREES BDD'!$E$3:$E$1048576,'ENTREES BDD'!$A$3:$A$1048576,"&gt;="&amp;(TEXT((G3+28)+1-WEEKDAY(G3+28,2),"jj/mm/aaaa")),'ENTREES BDD'!$A$3:$A$1048576,"&lt;="&amp;TEXT((G3+28)+7-WEEKDAY(G3+28,2),"jj/mm/aaaa")))</f>
        <v>0</v>
      </c>
      <c r="I13" s="14" t="str">
        <f>IF(I9="","",SUMIFS('ENTREES BDD'!$E$3:$E$1048576,'ENTREES BDD'!$A$3:$A$1048576,"&gt;="&amp;(TEXT((G3+35)+1-WEEKDAY(G3+35,2),"jj/mm/aaaa")),'ENTREES BDD'!$A$3:$A$1048576,"&lt;="&amp;G4))</f>
        <v/>
      </c>
      <c r="J13" s="12">
        <f t="shared" si="0"/>
        <v>14.5</v>
      </c>
    </row>
    <row r="14" spans="1:12" x14ac:dyDescent="0.15">
      <c r="A14" s="111"/>
      <c r="B14" s="112"/>
      <c r="C14" s="104" t="s">
        <v>29</v>
      </c>
      <c r="D14" s="13">
        <f>IF(D9="","",SUMIFS('ENTREES BDD'!R3:R1048576,'ENTREES BDD'!$A$3:$A$1048576,"&gt;="&amp;$G$3,'ENTREES BDD'!$A$3:$A$1048576,"&lt;="&amp;TEXT($G$3+7-WEEKDAY($G$3,2),"jj/mm/aaaa")))</f>
        <v>0</v>
      </c>
      <c r="E14" s="13">
        <f>IF(E9="","",SUMIFS('ENTREES BDD'!$R$3:$R$1048576,'ENTREES BDD'!$A$3:$A$1048576,"&gt;="&amp;(TEXT((G3+7)+1-WEEKDAY(G3+7,2),"jj/mm/aaaa")),'ENTREES BDD'!$A$3:$A$1048576,"&lt;="&amp;TEXT((G3+7)+7-WEEKDAY(G3+7,2),"jj/mm/aaaa")))</f>
        <v>0</v>
      </c>
      <c r="F14" s="13">
        <f>IF(F9="","",SUMIFS('ENTREES BDD'!$R$3:$R$1048576,'ENTREES BDD'!$A$3:$A$1048576,"&gt;="&amp;(TEXT((G3+14)+1-WEEKDAY(G3+14,2),"jj/mm/aaaa")),'ENTREES BDD'!$A$3:$A$1048576,"&lt;="&amp;TEXT((G3+14)+7-WEEKDAY(G3+14,2),"jj/mm/aaaa")))</f>
        <v>0</v>
      </c>
      <c r="G14" s="13">
        <f>IF(G9="","",SUMIFS('ENTREES BDD'!$R$3:$R$1048576,'ENTREES BDD'!$A$3:$A$1048576,"&gt;="&amp;(TEXT((G3+21)+1-WEEKDAY(G3+21,2),"jj/mm/aaaa")),'ENTREES BDD'!$A$3:$A$1048576,"&lt;="&amp;TEXT((G3+21)+7-WEEKDAY(G3+21,2),"jj/mm/aaaa")))</f>
        <v>3</v>
      </c>
      <c r="H14" s="13">
        <f>IF(H9="","",SUMIFS('ENTREES BDD'!$R$3:$R$1048576,'ENTREES BDD'!$A$3:$A$1048576,"&gt;="&amp;(TEXT((G3+28)+1-WEEKDAY(G3+28,2),"jj/mm/aaaa")),'ENTREES BDD'!$A$3:$A$1048576,"&lt;="&amp;TEXT((G3+28)+7-WEEKDAY(G3+28,2),"jj/mm/aaaa")))</f>
        <v>0</v>
      </c>
      <c r="I14" s="13" t="str">
        <f>IF(I9="","",SUMIFS('ENTREES BDD'!$R$3:$R$1048576,'ENTREES BDD'!$A$3:$A$1048576,"&gt;="&amp;(TEXT((G3+35)+1-WEEKDAY(G3+35,2),"jj/mm/aaaa")),'ENTREES BDD'!$A$3:$A$1048576,"&lt;="&amp;G4))</f>
        <v/>
      </c>
      <c r="J14" s="11">
        <f t="shared" si="0"/>
        <v>3</v>
      </c>
    </row>
    <row r="15" spans="1:12" x14ac:dyDescent="0.15">
      <c r="A15" s="111"/>
      <c r="B15" s="112"/>
      <c r="C15" s="104"/>
      <c r="D15" s="14">
        <f>IF(D9="","",SUMIFS('ENTREES BDD'!S3:S1048576,'ENTREES BDD'!$A$3:$A$1048576,"&gt;="&amp;$G$3,'ENTREES BDD'!$A$3:$A$1048576,"&lt;="&amp;TEXT($G$3+7-WEEKDAY($G$3,2),"jj/mm/aaaa")))</f>
        <v>0</v>
      </c>
      <c r="E15" s="14">
        <f>IF(E9="","",SUMIFS('ENTREES BDD'!$S$3:$S$1048576,'ENTREES BDD'!$A$3:$A$1048576,"&gt;="&amp;(TEXT((G3+7)+1-WEEKDAY(G3+7,2),"jj/mm/aaaa")),'ENTREES BDD'!$A$3:$A$1048576,"&lt;="&amp;TEXT((G3+7)+7-WEEKDAY(G3+7,2),"jj/mm/aaaa")))</f>
        <v>0</v>
      </c>
      <c r="F15" s="14">
        <f>IF(F9="","",SUMIFS('ENTREES BDD'!$S$3:$S$1048576,'ENTREES BDD'!$A$3:$A$1048576,"&gt;="&amp;(TEXT((G3+14)+1-WEEKDAY(G3+14,2),"jj/mm/aaaa")),'ENTREES BDD'!$A$3:$A$1048576,"&lt;="&amp;TEXT((G3+14)+7-WEEKDAY(G3+14,2),"jj/mm/aaaa")))</f>
        <v>0</v>
      </c>
      <c r="G15" s="14">
        <f>IF(G9="","",SUMIFS('ENTREES BDD'!$S$3:$S$1048576,'ENTREES BDD'!$A$3:$A$1048576,"&gt;="&amp;(TEXT((G3+21)+1-WEEKDAY(G3+21,2),"jj/mm/aaaa")),'ENTREES BDD'!$A$3:$A$1048576,"&lt;="&amp;TEXT((G3+21)+7-WEEKDAY(G3+21,2),"jj/mm/aaaa")))</f>
        <v>0</v>
      </c>
      <c r="H15" s="14">
        <f>IF(H9="","",SUMIFS('ENTREES BDD'!$S$3:$S$1048576,'ENTREES BDD'!$A$3:$A$1048576,"&gt;="&amp;(TEXT((G3+28)+1-WEEKDAY(G3+28,2),"jj/mm/aaaa")),'ENTREES BDD'!$A$3:$A$1048576,"&lt;="&amp;TEXT((G3+28)+7-WEEKDAY(G3+28,2),"jj/mm/aaaa")))</f>
        <v>0</v>
      </c>
      <c r="I15" s="14" t="str">
        <f>IF(I9="","",SUMIFS('ENTREES BDD'!$S$3:$S$1048576,'ENTREES BDD'!$A$3:$A$1048576,"&gt;="&amp;(TEXT((G3+35)+1-WEEKDAY(G3+35,2),"jj/mm/aaaa")),'ENTREES BDD'!$A$3:$A$1048576,"&lt;="&amp;G4))</f>
        <v/>
      </c>
      <c r="J15" s="12">
        <f t="shared" si="0"/>
        <v>0</v>
      </c>
    </row>
    <row r="16" spans="1:12" x14ac:dyDescent="0.15">
      <c r="A16" s="111"/>
      <c r="B16" s="112"/>
      <c r="C16" s="104" t="s">
        <v>30</v>
      </c>
      <c r="D16" s="13">
        <f>IF(D9="","",SUMIFS('ENTREES BDD'!T3:T1048576,'ENTREES BDD'!$A$3:$A$1048576,"&gt;="&amp;$G$3,'ENTREES BDD'!$A$3:$A$1048576,"&lt;="&amp;TEXT($G$3+7-WEEKDAY($G$3,2),"jj/mm/aaaa")))</f>
        <v>0</v>
      </c>
      <c r="E16" s="13">
        <f>IF(E9="","",SUMIFS('ENTREES BDD'!$T$3:$T$1048576,'ENTREES BDD'!$A$3:$A$1048576,"&gt;="&amp;(TEXT((G3+7)+1-WEEKDAY(G3+7,2),"jj/mm/aaaa")),'ENTREES BDD'!$A$3:$A$1048576,"&lt;="&amp;TEXT((G3+7)+7-WEEKDAY(G3+7,2),"jj/mm/aaaa")))</f>
        <v>0</v>
      </c>
      <c r="F16" s="13">
        <f>IF(F9="","",SUMIFS('ENTREES BDD'!$T$3:$T$1048576,'ENTREES BDD'!$A$3:$A$1048576,"&gt;="&amp;(TEXT((G3+14)+1-WEEKDAY(G3+14,2),"jj/mm/aaaa")),'ENTREES BDD'!$A$3:$A$1048576,"&lt;="&amp;TEXT((G3+14)+7-WEEKDAY(G3+14,2),"jj/mm/aaaa")))</f>
        <v>0</v>
      </c>
      <c r="G16" s="13">
        <f>IF(G9="","",SUMIFS('ENTREES BDD'!$T$3:$T$1048576,'ENTREES BDD'!$A$3:$A$1048576,"&gt;="&amp;(TEXT((G3+21)+1-WEEKDAY(G3+21,2),"jj/mm/aaaa")),'ENTREES BDD'!$A$3:$A$1048576,"&lt;="&amp;TEXT((G3+21)+7-WEEKDAY(G3+21,2),"jj/mm/aaaa")))</f>
        <v>1</v>
      </c>
      <c r="H16" s="13">
        <f>IF(H9="","",SUMIFS('ENTREES BDD'!$T$3:$T$1048576,'ENTREES BDD'!$A$3:$A$1048576,"&gt;="&amp;(TEXT((G3+28)+1-WEEKDAY(G3+28,2),"jj/mm/aaaa")),'ENTREES BDD'!$A$3:$A$1048576,"&lt;="&amp;TEXT((G3+28)+7-WEEKDAY(G3+28,2),"jj/mm/aaaa")))</f>
        <v>0</v>
      </c>
      <c r="I16" s="13" t="str">
        <f>IF(I9="","",SUMIFS('ENTREES BDD'!$T$3:$T$1048576,'ENTREES BDD'!$A$3:$A$1048576,"&gt;="&amp;(TEXT((G3+35)+1-WEEKDAY(G3+35,2),"jj/mm/aaaa")),'ENTREES BDD'!$A$3:$A$1048576,"&lt;="&amp;G4))</f>
        <v/>
      </c>
      <c r="J16" s="11">
        <f t="shared" si="0"/>
        <v>1</v>
      </c>
    </row>
    <row r="17" spans="1:10" x14ac:dyDescent="0.15">
      <c r="A17" s="111"/>
      <c r="B17" s="112"/>
      <c r="C17" s="104"/>
      <c r="D17" s="14">
        <f>IF(D9="","",SUMIFS('ENTREES BDD'!U3:U1048576,'ENTREES BDD'!$A$3:$A$1048576,"&gt;="&amp;$G$3,'ENTREES BDD'!$A$3:$A$1048576,"&lt;="&amp;TEXT($G$3+7-WEEKDAY($G$3,2),"jj/mm/aaaa")))</f>
        <v>0</v>
      </c>
      <c r="E17" s="14">
        <f>IF(E9="","",SUMIFS('ENTREES BDD'!$U$3:$U$1048576,'ENTREES BDD'!$A$3:$A$1048576,"&gt;="&amp;(TEXT((G3+7)+1-WEEKDAY(G3+7,2),"jj/mm/aaaa")),'ENTREES BDD'!$A$3:$A$1048576,"&lt;="&amp;TEXT((G3+7)+7-WEEKDAY(G3+7,2),"jj/mm/aaaa")))</f>
        <v>0</v>
      </c>
      <c r="F17" s="14">
        <f>IF(F9="","",SUMIFS('ENTREES BDD'!$U$3:$U$1048576,'ENTREES BDD'!$A$3:$A$1048576,"&gt;="&amp;(TEXT((G3+14)+1-WEEKDAY(G3+14,2),"jj/mm/aaaa")),'ENTREES BDD'!$A$3:$A$1048576,"&lt;="&amp;TEXT((G3+14)+7-WEEKDAY(G3+14,2),"jj/mm/aaaa")))</f>
        <v>0</v>
      </c>
      <c r="G17" s="14">
        <f>IF(G9="","",SUMIFS('ENTREES BDD'!$U$3:$U$1048576,'ENTREES BDD'!$A$3:$A$1048576,"&gt;="&amp;(TEXT((G3+21)+1-WEEKDAY(G3+21,2),"jj/mm/aaaa")),'ENTREES BDD'!$A$3:$A$1048576,"&lt;="&amp;TEXT((G3+21)+7-WEEKDAY(G3+21,2),"jj/mm/aaaa")))</f>
        <v>0</v>
      </c>
      <c r="H17" s="14">
        <f>IF(H9="","",SUMIFS('ENTREES BDD'!$U$3:$U$1048576,'ENTREES BDD'!$A$3:$A$1048576,"&gt;="&amp;(TEXT((G3+28)+1-WEEKDAY(G3+28,2),"jj/mm/aaaa")),'ENTREES BDD'!$A$3:$A$1048576,"&lt;="&amp;TEXT((G3+28)+7-WEEKDAY(G3+28,2),"jj/mm/aaaa")))</f>
        <v>0</v>
      </c>
      <c r="I17" s="14" t="str">
        <f>IF(I9="","",SUMIFS('ENTREES BDD'!$U$3:$U$1048576,'ENTREES BDD'!$A$3:$A$1048576,"&gt;="&amp;(TEXT((G3+35)+1-WEEKDAY(G3+35,2),"jj/mm/aaaa")),'ENTREES BDD'!$A$3:$A$1048576,"&lt;="&amp;G4))</f>
        <v/>
      </c>
      <c r="J17" s="12">
        <f t="shared" si="0"/>
        <v>0</v>
      </c>
    </row>
    <row r="18" spans="1:10" x14ac:dyDescent="0.15">
      <c r="A18" s="105" t="s">
        <v>31</v>
      </c>
      <c r="B18" s="106"/>
      <c r="C18" s="98" t="s">
        <v>32</v>
      </c>
      <c r="D18" s="15">
        <f>IF(D9="","",SUMIFS('ENTREES BDD'!F3:F1048576,'ENTREES BDD'!$A$3:$A$1048576,"&gt;="&amp;$G$3,'ENTREES BDD'!$A$3:$A$1048576,"&lt;="&amp;TEXT($G$3+7-WEEKDAY($G$3,2),"jj/mm/aaaa")))</f>
        <v>0</v>
      </c>
      <c r="E18" s="15">
        <f>IF(E9="","",SUMIFS('ENTREES BDD'!$F$3:$F$1048576,'ENTREES BDD'!$A$3:$A$1048576,"&gt;="&amp;(TEXT((G3+7)+1-WEEKDAY(G3+7,2),"jj/mm/aaaa")),'ENTREES BDD'!$A$3:$A$1048576,"&lt;="&amp;TEXT((G3+7)+7-WEEKDAY(G3+7,2),"jj/mm/aaaa")))</f>
        <v>0</v>
      </c>
      <c r="F18" s="15">
        <f>IF(F9="","",SUMIFS('ENTREES BDD'!$F$3:$F$1048576,'ENTREES BDD'!$A$3:$A$1048576,"&gt;="&amp;(TEXT((G3+14)+1-WEEKDAY(G3+14,2),"jj/mm/aaaa")),'ENTREES BDD'!$A$3:$A$1048576,"&lt;="&amp;TEXT((G3+14)+7-WEEKDAY(G3+14,2),"jj/mm/aaaa")))</f>
        <v>0</v>
      </c>
      <c r="G18" s="15">
        <f>IF(G9="","",SUMIFS('ENTREES BDD'!$F$3:$F$1048576,'ENTREES BDD'!$A$3:$A$1048576,"&gt;="&amp;(TEXT((G3+21)+1-WEEKDAY(G3+21,2),"jj/mm/aaaa")),'ENTREES BDD'!$A$3:$A$1048576,"&lt;="&amp;TEXT((G3+21)+7-WEEKDAY(G3+21,2),"jj/mm/aaaa")))</f>
        <v>15</v>
      </c>
      <c r="H18" s="15">
        <f>IF(H9="","",SUMIFS('ENTREES BDD'!$F$3:$F$1048576,'ENTREES BDD'!$A$3:$A$1048576,"&gt;="&amp;(TEXT((G3+28)+1-WEEKDAY(G3+28,2),"jj/mm/aaaa")),'ENTREES BDD'!$A$3:$A$1048576,"&lt;="&amp;TEXT((G3+28)+7-WEEKDAY(G3+28,2),"jj/mm/aaaa")))</f>
        <v>0</v>
      </c>
      <c r="I18" s="15" t="str">
        <f>IF(I9="","",SUMIFS('ENTREES BDD'!$F$3:$F$1048576,'ENTREES BDD'!$A$3:$A$1048576,"&gt;="&amp;(TEXT((G3+35)+1-WEEKDAY(G3+35,2),"jj/mm/aaaa")),'ENTREES BDD'!$A$3:$A$1048576,"&lt;="&amp;G4))</f>
        <v/>
      </c>
      <c r="J18" s="11">
        <f t="shared" si="0"/>
        <v>15</v>
      </c>
    </row>
    <row r="19" spans="1:10" x14ac:dyDescent="0.15">
      <c r="A19" s="105"/>
      <c r="B19" s="106"/>
      <c r="C19" s="98"/>
      <c r="D19" s="16">
        <f>IF(D9="","",SUMIFS('ENTREES BDD'!G3:G1048576,'ENTREES BDD'!$A$3:$A$1048576,"&gt;="&amp;$G$3,'ENTREES BDD'!$A$3:$A$1048576,"&lt;="&amp;TEXT($G$3+7-WEEKDAY($G$3,2),"jj/mm/aaaa")))</f>
        <v>0</v>
      </c>
      <c r="E19" s="16">
        <f>IF(E9="","",SUMIFS('ENTREES BDD'!$G$3:$G$1048576,'ENTREES BDD'!$A$3:$A$1048576,"&gt;="&amp;(TEXT((G3+7)+1-WEEKDAY(G3+7,2),"jj/mm/aaaa")),'ENTREES BDD'!$A$3:$A$1048576,"&lt;="&amp;TEXT((G3+7)+7-WEEKDAY(G3+7,2),"jj/mm/aaaa")))</f>
        <v>0</v>
      </c>
      <c r="F19" s="16">
        <f>IF(F9="","",SUMIFS('ENTREES BDD'!$G$3:$G$1048576,'ENTREES BDD'!$A$3:$A$1048576,"&gt;="&amp;(TEXT((G3+14)+1-WEEKDAY(G3+14,2),"jj/mm/aaaa")),'ENTREES BDD'!$A$3:$A$1048576,"&lt;="&amp;TEXT((G3+14)+7-WEEKDAY(G3+14,2),"jj/mm/aaaa")))</f>
        <v>0</v>
      </c>
      <c r="G19" s="16">
        <f>IF(G9="","",SUMIFS('ENTREES BDD'!$G$3:$G$1048576,'ENTREES BDD'!$A$3:$A$1048576,"&gt;="&amp;(TEXT((G3+21)+1-WEEKDAY(G3+21,2),"jj/mm/aaaa")),'ENTREES BDD'!$A$3:$A$1048576,"&lt;="&amp;TEXT((G3+21)+7-WEEKDAY(G3+21,2),"jj/mm/aaaa")))</f>
        <v>52.5</v>
      </c>
      <c r="H19" s="16">
        <f>IF(H9="","",SUMIFS('ENTREES BDD'!$G$3:$G$1048576,'ENTREES BDD'!$A$3:$A$1048576,"&gt;="&amp;(TEXT((G3+28)+1-WEEKDAY(G3+28,2),"jj/mm/aaaa")),'ENTREES BDD'!$A$3:$A$1048576,"&lt;="&amp;TEXT((G3+28)+7-WEEKDAY(G3+28,2),"jj/mm/aaaa")))</f>
        <v>0</v>
      </c>
      <c r="I19" s="16" t="str">
        <f>IF(I9="","",SUMIFS('ENTREES BDD'!$G$3:$G$1048576,'ENTREES BDD'!$A$3:$A$1048576,"&gt;="&amp;(TEXT((G3+35)+1-WEEKDAY(G3+35,2),"jj/mm/aaaa")),'ENTREES BDD'!$A$3:$A$1048576,"&lt;="&amp;G4))</f>
        <v/>
      </c>
      <c r="J19" s="12">
        <f t="shared" si="0"/>
        <v>52.5</v>
      </c>
    </row>
    <row r="20" spans="1:10" x14ac:dyDescent="0.15">
      <c r="A20" s="105"/>
      <c r="B20" s="106"/>
      <c r="C20" s="98" t="s">
        <v>33</v>
      </c>
      <c r="D20" s="15">
        <f>IF(D9="","",SUMIFS('ENTREES BDD'!H3:H1048576,'ENTREES BDD'!$A$3:$A$1048576,"&gt;="&amp;$G$3,'ENTREES BDD'!$A$3:$A$1048576,"&lt;="&amp;TEXT($G$3+7-WEEKDAY($G$3,2),"jj/mm/aaaa")))</f>
        <v>0</v>
      </c>
      <c r="E20" s="15">
        <f>IF(E9="","",SUMIFS('ENTREES BDD'!$H$3:$H$1048576,'ENTREES BDD'!$A$3:$A$1048576,"&gt;="&amp;(TEXT((G3+7)+1-WEEKDAY(G3+7,2),"jj/mm/aaaa")),'ENTREES BDD'!$A$3:$A$1048576,"&lt;="&amp;TEXT((G3+7)+7-WEEKDAY(G3+7,2),"jj/mm/aaaa")))</f>
        <v>0</v>
      </c>
      <c r="F20" s="15">
        <f>IF(F9="","",SUMIFS('ENTREES BDD'!$H$3:$H$1048576,'ENTREES BDD'!$A$3:$A$1048576,"&gt;="&amp;(TEXT((G3+14)+1-WEEKDAY(G3+14,2),"jj/mm/aaaa")),'ENTREES BDD'!$A$3:$A$1048576,"&lt;="&amp;TEXT((G3+14)+7-WEEKDAY(G3+14,2),"jj/mm/aaaa")))</f>
        <v>0</v>
      </c>
      <c r="G20" s="15">
        <f>IF(G9="","",SUMIFS('ENTREES BDD'!$H$3:$H$1048576,'ENTREES BDD'!$A$3:$A$1048576,"&gt;="&amp;(TEXT((G3+21)+1-WEEKDAY(G3+21,2),"jj/mm/aaaa")),'ENTREES BDD'!$A$3:$A$1048576,"&lt;="&amp;TEXT((G3+21)+7-WEEKDAY(G3+21,2),"jj/mm/aaaa")))</f>
        <v>30</v>
      </c>
      <c r="H20" s="15">
        <f>IF(H9="","",SUMIFS('ENTREES BDD'!$H$3:$H$1048576,'ENTREES BDD'!$A$3:$A$1048576,"&gt;="&amp;(TEXT((G3+28)+1-WEEKDAY(G3+28,2),"jj/mm/aaaa")),'ENTREES BDD'!$A$3:$A$1048576,"&lt;="&amp;TEXT((G3+28)+7-WEEKDAY(G3+28,2),"jj/mm/aaaa")))</f>
        <v>0</v>
      </c>
      <c r="I20" s="15" t="str">
        <f>IF(I9="","",SUMIFS('ENTREES BDD'!$H$3:$H$1048576,'ENTREES BDD'!$A$3:$A$1048576,"&gt;="&amp;(TEXT((G3+35)+1-WEEKDAY(G3+35,2),"jj/mm/aaaa")),'ENTREES BDD'!$A$3:$A$1048576,"&lt;="&amp;G4))</f>
        <v/>
      </c>
      <c r="J20" s="11">
        <f t="shared" si="0"/>
        <v>30</v>
      </c>
    </row>
    <row r="21" spans="1:10" x14ac:dyDescent="0.15">
      <c r="A21" s="105"/>
      <c r="B21" s="106"/>
      <c r="C21" s="98"/>
      <c r="D21" s="16">
        <f>IF(D9="","",SUMIFS('ENTREES BDD'!I3:I1048576,'ENTREES BDD'!$A$3:$A$1048576,"&gt;="&amp;$G$3,'ENTREES BDD'!$A$3:$A$1048576,"&lt;="&amp;TEXT($G$3+7-WEEKDAY($G$3,2),"jj/mm/aaaa")))</f>
        <v>0</v>
      </c>
      <c r="E21" s="16">
        <f>IF(E9="","",SUMIFS('ENTREES BDD'!$I$3:$I$1048576,'ENTREES BDD'!$A$3:$A$1048576,"&gt;="&amp;(TEXT((G3+7)+1-WEEKDAY(G3+7,2),"jj/mm/aaaa")),'ENTREES BDD'!$A$3:$A$1048576,"&lt;="&amp;TEXT((G3+7)+7-WEEKDAY(G3+7,2),"jj/mm/aaaa")))</f>
        <v>0</v>
      </c>
      <c r="F21" s="16">
        <f>IF(F9="","",SUMIFS('ENTREES BDD'!$I$3:$I$1048576,'ENTREES BDD'!$A$3:$A$1048576,"&gt;="&amp;(TEXT((G3+14)+1-WEEKDAY(G3+14,2),"jj/mm/aaaa")),'ENTREES BDD'!$A$3:$A$1048576,"&lt;="&amp;TEXT((G3+14)+7-WEEKDAY(G3+14,2),"jj/mm/aaaa")))</f>
        <v>0</v>
      </c>
      <c r="G21" s="16">
        <f>IF(G9="","",SUMIFS('ENTREES BDD'!$I$3:$I$1048576,'ENTREES BDD'!$A$3:$A$1048576,"&gt;="&amp;(TEXT((G3+21)+1-WEEKDAY(G3+21,2),"jj/mm/aaaa")),'ENTREES BDD'!$A$3:$A$1048576,"&lt;="&amp;TEXT((G3+21)+7-WEEKDAY(G3+21,2),"jj/mm/aaaa")))</f>
        <v>60</v>
      </c>
      <c r="H21" s="16">
        <f>IF(H9="","",SUMIFS('ENTREES BDD'!$I$3:$I$1048576,'ENTREES BDD'!$A$3:$A$1048576,"&gt;="&amp;(TEXT((G3+28)+1-WEEKDAY(G3+28,2),"jj/mm/aaaa")),'ENTREES BDD'!$A$3:$A$1048576,"&lt;="&amp;TEXT((G3+28)+7-WEEKDAY(G3+28,2),"jj/mm/aaaa")))</f>
        <v>0</v>
      </c>
      <c r="I21" s="16" t="str">
        <f>IF(I9="","",SUMIFS('ENTREES BDD'!$I$3:$I$1048576,'ENTREES BDD'!$A$3:$A$1048576,"&gt;="&amp;(TEXT((G3+35)+1-WEEKDAY(G3+35,2),"jj/mm/aaaa")),'ENTREES BDD'!$A$3:$A$1048576,"&lt;="&amp;G4))</f>
        <v/>
      </c>
      <c r="J21" s="12">
        <f t="shared" si="0"/>
        <v>60</v>
      </c>
    </row>
    <row r="22" spans="1:10" x14ac:dyDescent="0.15">
      <c r="A22" s="105"/>
      <c r="B22" s="106"/>
      <c r="C22" s="98" t="s">
        <v>34</v>
      </c>
      <c r="D22" s="15">
        <f>IF(D9="","",SUMIFS('ENTREES BDD'!X3:X1048576,'ENTREES BDD'!$A$3:$A$1048576,"&gt;="&amp;$G$3,'ENTREES BDD'!$A$3:$A$1048576,"&lt;="&amp;TEXT($G$3+7-WEEKDAY($G$3,2),"jj/mm/aaaa")))</f>
        <v>0</v>
      </c>
      <c r="E22" s="15">
        <f>IF(E9="","",SUMIFS('ENTREES BDD'!$X$3:$X$1048576,'ENTREES BDD'!$A$3:$A$1048576,"&gt;="&amp;(TEXT((G3+7)+1-WEEKDAY(G3+7,2),"jj/mm/aaaa")),'ENTREES BDD'!$A$3:$A$1048576,"&lt;="&amp;TEXT((G3+7)+7-WEEKDAY(G3+7,2),"jj/mm/aaaa")))</f>
        <v>0</v>
      </c>
      <c r="F22" s="15">
        <f>IF(F9="","",SUMIFS('ENTREES BDD'!$X$3:$X$1048576,'ENTREES BDD'!$A$3:$A$1048576,"&gt;="&amp;(TEXT((G3+14)+1-WEEKDAY(G3+14,2),"jj/mm/aaaa")),'ENTREES BDD'!$A$3:$A$1048576,"&lt;="&amp;TEXT((G3+14)+7-WEEKDAY(G3+14,2),"jj/mm/aaaa")))</f>
        <v>0</v>
      </c>
      <c r="G22" s="15">
        <f>IF(G9="","",SUMIFS('ENTREES BDD'!$X$3:$X$1048576,'ENTREES BDD'!$A$3:$A$1048576,"&gt;="&amp;(TEXT((G3+21)+1-WEEKDAY(G3+21,2),"jj/mm/aaaa")),'ENTREES BDD'!$A$3:$A$1048576,"&lt;="&amp;TEXT((G3+21)+7-WEEKDAY(G3+21,2),"jj/mm/aaaa")))</f>
        <v>25</v>
      </c>
      <c r="H22" s="15">
        <f>IF(H9="","",SUMIFS('ENTREES BDD'!$X$3:$X$1048576,'ENTREES BDD'!$A$3:$A$1048576,"&gt;="&amp;(TEXT((G3+28)+1-WEEKDAY(G3+28,2),"jj/mm/aaaa")),'ENTREES BDD'!$A$3:$A$1048576,"&lt;="&amp;TEXT((G3+28)+7-WEEKDAY(G3+28,2),"jj/mm/aaaa")))</f>
        <v>0</v>
      </c>
      <c r="I22" s="15" t="str">
        <f>IF(I9="","",SUMIFS('ENTREES BDD'!$X$3:$X$1048576,'ENTREES BDD'!$A$3:$A$1048576,"&gt;="&amp;(TEXT((G3+35)+1-WEEKDAY(G3+35,2),"jj/mm/aaaa")),'ENTREES BDD'!$A$3:$A$1048576,"&lt;="&amp;G4))</f>
        <v/>
      </c>
      <c r="J22" s="11">
        <f t="shared" si="0"/>
        <v>25</v>
      </c>
    </row>
    <row r="23" spans="1:10" x14ac:dyDescent="0.15">
      <c r="A23" s="105"/>
      <c r="B23" s="106"/>
      <c r="C23" s="98"/>
      <c r="D23" s="16">
        <f>IF(D9="","",SUMIFS('ENTREES BDD'!Y3:Y1048576,'ENTREES BDD'!$A$3:$A$1048576,"&gt;="&amp;$G$3,'ENTREES BDD'!$A$3:$A$1048576,"&lt;="&amp;TEXT($G$3+7-WEEKDAY($G$3,2),"jj/mm/aaaa")))</f>
        <v>0</v>
      </c>
      <c r="E23" s="16">
        <f>IF(E9="","",SUMIFS('ENTREES BDD'!$Y$3:$Y$1048576,'ENTREES BDD'!$A$3:$A$1048576,"&gt;="&amp;(TEXT((G3+7)+1-WEEKDAY(G3+7,2),"jj/mm/aaaa")),'ENTREES BDD'!$A$3:$A$1048576,"&lt;="&amp;TEXT((G3+7)+7-WEEKDAY(G3+7,2),"jj/mm/aaaa")))</f>
        <v>0</v>
      </c>
      <c r="F23" s="16">
        <f>IF(F9="","",SUMIFS('ENTREES BDD'!$Y$3:$Y$1048576,'ENTREES BDD'!$A$3:$A$1048576,"&gt;="&amp;(TEXT((G3+14)+1-WEEKDAY(G3+14,2),"jj/mm/aaaa")),'ENTREES BDD'!$A$3:$A$1048576,"&lt;="&amp;TEXT((G3+14)+7-WEEKDAY(G3+14,2),"jj/mm/aaaa")))</f>
        <v>0</v>
      </c>
      <c r="G23" s="16">
        <f>IF(G9="","",SUMIFS('ENTREES BDD'!$Y$3:$Y$1048576,'ENTREES BDD'!$A$3:$A$1048576,"&gt;="&amp;(TEXT((G3+21)+1-WEEKDAY(G3+21,2),"jj/mm/aaaa")),'ENTREES BDD'!$A$3:$A$1048576,"&lt;="&amp;TEXT((G3+21)+7-WEEKDAY(G3+21,2),"jj/mm/aaaa")))</f>
        <v>0</v>
      </c>
      <c r="H23" s="16">
        <f>IF(H9="","",SUMIFS('ENTREES BDD'!$Y$3:$Y$1048576,'ENTREES BDD'!$A$3:$A$1048576,"&gt;="&amp;(TEXT((G3+28)+1-WEEKDAY(G3+28,2),"jj/mm/aaaa")),'ENTREES BDD'!$A$3:$A$1048576,"&lt;="&amp;TEXT((G3+28)+7-WEEKDAY(G3+28,2),"jj/mm/aaaa")))</f>
        <v>0</v>
      </c>
      <c r="I23" s="16" t="str">
        <f>IF(I9="","",SUMIFS('ENTREES BDD'!$Y$3:$Y$1048576,'ENTREES BDD'!$A$3:$A$1048576,"&gt;="&amp;(TEXT((G3+35)+1-WEEKDAY(G3+35,2),"jj/mm/aaaa")),'ENTREES BDD'!$A$3:$A$1048576,"&lt;="&amp;G4))</f>
        <v/>
      </c>
      <c r="J23" s="12">
        <f t="shared" si="0"/>
        <v>0</v>
      </c>
    </row>
    <row r="24" spans="1:10" x14ac:dyDescent="0.15">
      <c r="A24" s="105"/>
      <c r="B24" s="106"/>
      <c r="C24" s="98" t="s">
        <v>35</v>
      </c>
      <c r="D24" s="15">
        <f>IF(D9="","",SUMIFS('ENTREES BDD'!V3:V1048576,'ENTREES BDD'!$A$3:$A$1048576,"&gt;="&amp;$G$3,'ENTREES BDD'!$A$3:$A$1048576,"&lt;="&amp;TEXT($G$3+7-WEEKDAY($G$3,2),"jj/mm/aaaa")))</f>
        <v>0</v>
      </c>
      <c r="E24" s="15">
        <f>IF(E9="","",SUMIFS('ENTREES BDD'!$V$3:$V$1048576,'ENTREES BDD'!$A$3:$A$1048576,"&gt;="&amp;(TEXT((G3+7)+1-WEEKDAY(G3+7,2),"jj/mm/aaaa")),'ENTREES BDD'!$A$3:$A$1048576,"&lt;="&amp;TEXT((G3+7)+7-WEEKDAY(G3+7,2),"jj/mm/aaaa")))</f>
        <v>0</v>
      </c>
      <c r="F24" s="15">
        <f>IF(F9="","",SUMIFS('ENTREES BDD'!$V$3:$V$1048576,'ENTREES BDD'!$A$3:$A$1048576,"&gt;="&amp;(TEXT((G3+14)+1-WEEKDAY(G3+14,2),"jj/mm/aaaa")),'ENTREES BDD'!$A$3:$A$1048576,"&lt;="&amp;TEXT((G3+14)+7-WEEKDAY(G3+14,2),"jj/mm/aaaa")))</f>
        <v>0</v>
      </c>
      <c r="G24" s="15">
        <f>IF(G9="","",SUMIFS('ENTREES BDD'!$V$3:$V$1048576,'ENTREES BDD'!$A$3:$A$1048576,"&gt;="&amp;(TEXT((G3+21)+1-WEEKDAY(G3+21,2),"jj/mm/aaaa")),'ENTREES BDD'!$A$3:$A$1048576,"&lt;="&amp;TEXT((G3+21)+7-WEEKDAY(G3+21,2),"jj/mm/aaaa")))</f>
        <v>60</v>
      </c>
      <c r="H24" s="15">
        <f>IF(H9="","",SUMIFS('ENTREES BDD'!$V$3:$V$1048576,'ENTREES BDD'!$A$3:$A$1048576,"&gt;="&amp;(TEXT((G3+28)+1-WEEKDAY(G3+28,2),"jj/mm/aaaa")),'ENTREES BDD'!$A$3:$A$1048576,"&lt;="&amp;TEXT((G3+28)+7-WEEKDAY(G3+28,2),"jj/mm/aaaa")))</f>
        <v>0</v>
      </c>
      <c r="I24" s="15" t="str">
        <f>IF(I9="","",SUMIFS('ENTREES BDD'!$V$3:$V$1048576,'ENTREES BDD'!$A$3:$A$1048576,"&gt;="&amp;(TEXT((G3+35)+1-WEEKDAY(G3+35,2),"jj/mm/aaaa")),'ENTREES BDD'!$A$3:$A$1048576,"&lt;="&amp;G4))</f>
        <v/>
      </c>
      <c r="J24" s="11">
        <f t="shared" si="0"/>
        <v>60</v>
      </c>
    </row>
    <row r="25" spans="1:10" x14ac:dyDescent="0.15">
      <c r="A25" s="105"/>
      <c r="B25" s="106"/>
      <c r="C25" s="98"/>
      <c r="D25" s="16">
        <f>IF(D9="","",SUMIFS('ENTREES BDD'!W3:W1048576,'ENTREES BDD'!$A$3:$A$1048576,"&gt;="&amp;$G$3,'ENTREES BDD'!$A$3:$A$1048576,"&lt;="&amp;TEXT($G$3+7-WEEKDAY($G$3,2),"jj/mm/aaaa")))</f>
        <v>0</v>
      </c>
      <c r="E25" s="16">
        <f>IF(E9="","",SUMIFS('ENTREES BDD'!$W$3:$W$1048576,'ENTREES BDD'!$A$3:$A$1048576,"&gt;="&amp;(TEXT((G3+7)+1-WEEKDAY(G3+7,2),"jj/mm/aaaa")),'ENTREES BDD'!$A$3:$A$1048576,"&lt;="&amp;TEXT((G3+7)+7-WEEKDAY(G3+7,2),"jj/mm/aaaa")))</f>
        <v>0</v>
      </c>
      <c r="F25" s="16">
        <f>IF(F9="","",SUMIFS('ENTREES BDD'!$W$3:$W$1048576,'ENTREES BDD'!$A$3:$A$1048576,"&gt;="&amp;(TEXT((G3+14)+1-WEEKDAY(G3+14,2),"jj/mm/aaaa")),'ENTREES BDD'!$A$3:$A$1048576,"&lt;="&amp;TEXT((G3+14)+7-WEEKDAY(G3+14,2),"jj/mm/aaaa")))</f>
        <v>0</v>
      </c>
      <c r="G25" s="16">
        <f>IF(G9="","",SUMIFS('ENTREES BDD'!$W$3:$W$1048576,'ENTREES BDD'!$A$3:$A$1048576,"&gt;="&amp;(TEXT((G3+21)+1-WEEKDAY(G3+21,2),"jj/mm/aaaa")),'ENTREES BDD'!$A$3:$A$1048576,"&lt;="&amp;TEXT((G3+21)+7-WEEKDAY(G3+21,2),"jj/mm/aaaa")))</f>
        <v>0</v>
      </c>
      <c r="H25" s="16">
        <f>IF(H9="","",SUMIFS('ENTREES BDD'!$W$3:$W$1048576,'ENTREES BDD'!$A$3:$A$1048576,"&gt;="&amp;(TEXT((G3+28)+1-WEEKDAY(G3+28,2),"jj/mm/aaaa")),'ENTREES BDD'!$A$3:$A$1048576,"&lt;="&amp;TEXT((G3+28)+7-WEEKDAY(G3+28,2),"jj/mm/aaaa")))</f>
        <v>0</v>
      </c>
      <c r="I25" s="16" t="str">
        <f>IF(I9="","",SUMIFS('ENTREES BDD'!$W$3:$W$1048576,'ENTREES BDD'!$A$3:$A$1048576,"&gt;="&amp;(TEXT((G3+35)+1-WEEKDAY(G3+35,2),"jj/mm/aaaa")),'ENTREES BDD'!$A$3:$A$1048576,"&lt;="&amp;G4))</f>
        <v/>
      </c>
      <c r="J25" s="12">
        <f t="shared" si="0"/>
        <v>0</v>
      </c>
    </row>
    <row r="26" spans="1:10" x14ac:dyDescent="0.15">
      <c r="A26" s="111" t="s">
        <v>36</v>
      </c>
      <c r="B26" s="112"/>
      <c r="C26" s="104" t="s">
        <v>37</v>
      </c>
      <c r="D26" s="13">
        <f>IF(D9="","",SUMIFS('ENTREES BDD'!J3:J1048576,'ENTREES BDD'!$A$3:$A$1048576,"&gt;="&amp;$G$3,'ENTREES BDD'!$A$3:$A$1048576,"&lt;="&amp;TEXT($G$3+7-WEEKDAY($G$3,2),"jj/mm/aaaa")))</f>
        <v>0</v>
      </c>
      <c r="E26" s="13">
        <f>IF(E9="","",SUMIFS('ENTREES BDD'!$J$3:$J$1048576,'ENTREES BDD'!$A$3:$A$1048576,"&gt;="&amp;(TEXT((G3+7)+1-WEEKDAY(G3+7,2),"jj/mm/aaaa")),'ENTREES BDD'!$A$3:$A$1048576,"&lt;="&amp;TEXT((G3+7)+7-WEEKDAY(G3+7,2),"jj/mm/aaaa")))</f>
        <v>0</v>
      </c>
      <c r="F26" s="13">
        <f>IF(F9="","",SUMIFS('ENTREES BDD'!$J$3:$J$1048576,'ENTREES BDD'!$A$3:$A$1048576,"&gt;="&amp;(TEXT((G3+14)+1-WEEKDAY(G3+14,2),"jj/mm/aaaa")),'ENTREES BDD'!$A$3:$A$1048576,"&lt;="&amp;TEXT((G3+14)+7-WEEKDAY(G3+14,2),"jj/mm/aaaa")))</f>
        <v>0</v>
      </c>
      <c r="G26" s="13">
        <f>IF(G9="","",SUMIFS('ENTREES BDD'!$J$3:$J$1048576,'ENTREES BDD'!$A$3:$A$1048576,"&gt;="&amp;(TEXT((G3+21)+1-WEEKDAY(G3+21,2),"jj/mm/aaaa")),'ENTREES BDD'!$A$3:$A$1048576,"&lt;="&amp;TEXT((G3+21)+7-WEEKDAY(G3+21,2),"jj/mm/aaaa")))</f>
        <v>20</v>
      </c>
      <c r="H26" s="13">
        <f>IF(H9="","",SUMIFS('ENTREES BDD'!$J$3:$J$1048576,'ENTREES BDD'!$A$3:$A$1048576,"&gt;="&amp;(TEXT((G3+28)+1-WEEKDAY(G3+28,2),"jj/mm/aaaa")),'ENTREES BDD'!$A$3:$A$1048576,"&lt;="&amp;TEXT((G3+28)+7-WEEKDAY(G3+28,2),"jj/mm/aaaa")))</f>
        <v>0</v>
      </c>
      <c r="I26" s="13" t="str">
        <f>IF(I9="","",SUMIFS('ENTREES BDD'!$J$3:$J$1048576,'ENTREES BDD'!$A$3:$A$1048576,"&gt;="&amp;(TEXT((G3+35)+1-WEEKDAY(G3+35,2),"jj/mm/aaaa")),'ENTREES BDD'!$A$3:$A$1048576,"&lt;="&amp;G4))</f>
        <v/>
      </c>
      <c r="J26" s="11">
        <f t="shared" si="0"/>
        <v>20</v>
      </c>
    </row>
    <row r="27" spans="1:10" x14ac:dyDescent="0.15">
      <c r="A27" s="111"/>
      <c r="B27" s="112"/>
      <c r="C27" s="104"/>
      <c r="D27" s="14">
        <f>IF(D9="","",SUMIFS('ENTREES BDD'!K3:K1048576,'ENTREES BDD'!$A$3:$A$1048576,"&gt;="&amp;$G$3,'ENTREES BDD'!$A$3:$A$1048576,"&lt;="&amp;TEXT($G$3+7-WEEKDAY($G$3,2),"jj/mm/aaaa")))</f>
        <v>0</v>
      </c>
      <c r="E27" s="14">
        <f>IF(E9="","",SUMIFS('ENTREES BDD'!$K$3:$K$1048576,'ENTREES BDD'!$A$3:$A$1048576,"&gt;="&amp;(TEXT((G3+7)+1-WEEKDAY(G3+7,2),"jj/mm/aaaa")),'ENTREES BDD'!$A$3:$A$1048576,"&lt;="&amp;TEXT((G3+7)+7-WEEKDAY(G3+7,2),"jj/mm/aaaa")))</f>
        <v>0</v>
      </c>
      <c r="F27" s="14">
        <f>IF(F9="","",SUMIFS('ENTREES BDD'!$K$3:$K$1048576,'ENTREES BDD'!$A$3:$A$1048576,"&gt;="&amp;(TEXT((G3+14)+1-WEEKDAY(G3+14,2),"jj/mm/aaaa")),'ENTREES BDD'!$A$3:$A$1048576,"&lt;="&amp;TEXT((G3+14)+7-WEEKDAY(G3+14,2),"jj/mm/aaaa")))</f>
        <v>0</v>
      </c>
      <c r="G27" s="14">
        <f>IF(G9="","",SUMIFS('ENTREES BDD'!$K$3:$K$1048576,'ENTREES BDD'!$A$3:$A$1048576,"&gt;="&amp;(TEXT((G3+21)+1-WEEKDAY(G3+21,2),"jj/mm/aaaa")),'ENTREES BDD'!$A$3:$A$1048576,"&lt;="&amp;TEXT((G3+21)+7-WEEKDAY(G3+21,2),"jj/mm/aaaa")))</f>
        <v>67.5</v>
      </c>
      <c r="H27" s="14">
        <f>IF(H9="","",SUMIFS('ENTREES BDD'!$K$3:$K$1048576,'ENTREES BDD'!$A$3:$A$1048576,"&gt;="&amp;(TEXT((G3+28)+1-WEEKDAY(G3+28,2),"jj/mm/aaaa")),'ENTREES BDD'!$A$3:$A$1048576,"&lt;="&amp;TEXT((G3+28)+7-WEEKDAY(G3+28,2),"jj/mm/aaaa")))</f>
        <v>0</v>
      </c>
      <c r="I27" s="14" t="str">
        <f>IF(I9="","",SUMIFS('ENTREES BDD'!$K$3:$K$1048576,'ENTREES BDD'!$A$3:$A$1048576,"&gt;="&amp;(TEXT((G3+28)+1-WEEKDAY(G3+28,2),"jj/mm/aaaa")),'ENTREES BDD'!$A$3:$A$1048576,"&lt;="&amp;TEXT((G3+28)+7-WEEKDAY(G3+28,2),"jj/mm/aaaa")))</f>
        <v/>
      </c>
      <c r="J27" s="12">
        <f t="shared" si="0"/>
        <v>67.5</v>
      </c>
    </row>
    <row r="28" spans="1:10" x14ac:dyDescent="0.15">
      <c r="A28" s="109" t="s">
        <v>38</v>
      </c>
      <c r="B28" s="110"/>
      <c r="C28" s="98" t="s">
        <v>1</v>
      </c>
      <c r="D28" s="15">
        <f>IF(D9="","",SUMIFS('ENTREES BDD'!L3:L1048576,'ENTREES BDD'!$A$3:$A$1048576,"&gt;="&amp;$G$3,'ENTREES BDD'!$A$3:$A$1048576,"&lt;="&amp;TEXT($G$3+7-WEEKDAY($G$3,2),"jj/mm/aaaa")))</f>
        <v>0</v>
      </c>
      <c r="E28" s="15">
        <f>IF(E9="","",SUMIFS('ENTREES BDD'!$L$3:$L$1048576,'ENTREES BDD'!$A$3:$A$1048576,"&gt;="&amp;(TEXT((G3+7)+1-WEEKDAY(G3+7,2),"jj/mm/aaaa")),'ENTREES BDD'!$A$3:$A$1048576,"&lt;="&amp;TEXT((G3+7)+7-WEEKDAY(G3+7,2),"jj/mm/aaaa")))</f>
        <v>0</v>
      </c>
      <c r="F28" s="15">
        <f>IF(F9="","",SUMIFS('ENTREES BDD'!$L$3:$L$1048576,'ENTREES BDD'!$A$3:$A$1048576,"&gt;="&amp;(TEXT((G3+14)+1-WEEKDAY(G3+14,2),"jj/mm/aaaa")),'ENTREES BDD'!$A$3:$A$1048576,"&lt;="&amp;TEXT((G3+14)+7-WEEKDAY(G3+14,2),"jj/mm/aaaa")))</f>
        <v>0</v>
      </c>
      <c r="G28" s="15">
        <f>IF(G9="","",SUMIFS('ENTREES BDD'!$L$3:$L$1048576,'ENTREES BDD'!$A$3:$A$1048576,"&gt;="&amp;(TEXT((G3+21)+1-WEEKDAY(G3+21,2),"jj/mm/aaaa")),'ENTREES BDD'!$A$3:$A$1048576,"&lt;="&amp;TEXT((G3+21)+7-WEEKDAY(G3+21,2),"jj/mm/aaaa")))</f>
        <v>0</v>
      </c>
      <c r="H28" s="15">
        <f>IF(H9="","",SUMIFS('ENTREES BDD'!$L$3:$L$1048576,'ENTREES BDD'!$A$3:$A$1048576,"&gt;="&amp;(TEXT((G3+28)+1-WEEKDAY(G3+28,2),"jj/mm/aaaa")),'ENTREES BDD'!$A$3:$A$1048576,"&lt;="&amp;TEXT((G3+28)+7-WEEKDAY(G3+28,2),"jj/mm/aaaa")))</f>
        <v>0</v>
      </c>
      <c r="I28" s="15" t="str">
        <f>IF(I9="","",SUMIFS('ENTREES BDD'!$L$3:$L$1048576,'ENTREES BDD'!$A$3:$A$1048576,"&gt;="&amp;(TEXT((G3+28)+1-WEEKDAY(G3+28,2),"jj/mm/aaaa")),'ENTREES BDD'!$A$3:$A$1048576,"&lt;="&amp;TEXT((G3+28)+7-WEEKDAY(G3+28,2),"jj/mm/aaaa")))</f>
        <v/>
      </c>
      <c r="J28" s="11">
        <f t="shared" si="0"/>
        <v>0</v>
      </c>
    </row>
    <row r="29" spans="1:10" x14ac:dyDescent="0.15">
      <c r="A29" s="109"/>
      <c r="B29" s="110"/>
      <c r="C29" s="98"/>
      <c r="D29" s="16">
        <f>IF(D9="","",SUMIFS('ENTREES BDD'!M3:M1048576,'ENTREES BDD'!$A$3:$A$1048576,"&gt;="&amp;$G$3,'ENTREES BDD'!$A$3:$A$1048576,"&lt;="&amp;TEXT($G$3+7-WEEKDAY($G$3,2),"jj/mm/aaaa")))</f>
        <v>0</v>
      </c>
      <c r="E29" s="16">
        <f>IF(E9="","",SUMIFS('ENTREES BDD'!$M$3:$M$1048576,'ENTREES BDD'!$A$3:$A$1048576,"&gt;="&amp;(TEXT((G3+7)+1-WEEKDAY(G3+7,2),"jj/mm/aaaa")),'ENTREES BDD'!$A$3:$A$1048576,"&lt;="&amp;TEXT((G3+7)+7-WEEKDAY(G3+7,2),"jj/mm/aaaa")))</f>
        <v>0</v>
      </c>
      <c r="F29" s="16">
        <f>IF(F9="","",SUMIFS('ENTREES BDD'!$M$3:$M$1048576,'ENTREES BDD'!$A$3:$A$1048576,"&gt;="&amp;(TEXT((G3+14)+1-WEEKDAY(G3+14,2),"jj/mm/aaaa")),'ENTREES BDD'!$A$3:$A$1048576,"&lt;="&amp;TEXT((G3+14)+7-WEEKDAY(G3+14,2),"jj/mm/aaaa")))</f>
        <v>0</v>
      </c>
      <c r="G29" s="16">
        <f>IF(G9="","",SUMIFS('ENTREES BDD'!$M$3:$M$1048576,'ENTREES BDD'!$A$3:$A$1048576,"&gt;="&amp;(TEXT((G3+21)+1-WEEKDAY(G3+21,2),"jj/mm/aaaa")),'ENTREES BDD'!$A$3:$A$1048576,"&lt;="&amp;TEXT((G3+21)+7-WEEKDAY(G3+21,2),"jj/mm/aaaa")))</f>
        <v>0</v>
      </c>
      <c r="H29" s="16">
        <f>IF(H9="","",SUMIFS('ENTREES BDD'!$M$3:$M$1048576,'ENTREES BDD'!$A$3:$A$1048576,"&gt;="&amp;(TEXT((G3+28)+1-WEEKDAY(G3+28,2),"jj/mm/aaaa")),'ENTREES BDD'!$A$3:$A$1048576,"&lt;="&amp;TEXT((G3+28)+7-WEEKDAY(G3+28,2),"jj/mm/aaaa")))</f>
        <v>0</v>
      </c>
      <c r="I29" s="16" t="str">
        <f>IF(I9="","",SUMIFS('ENTREES BDD'!$M$3:$M$1048576,'ENTREES BDD'!$A$3:$A$1048576,"&gt;="&amp;(TEXT((G3+28)+1-WEEKDAY(G3+28,2),"jj/mm/aaaa")),'ENTREES BDD'!$A$3:$A$1048576,"&lt;="&amp;TEXT((G3+28)+7-WEEKDAY(G3+28,2),"jj/mm/aaaa")))</f>
        <v/>
      </c>
      <c r="J29" s="12">
        <f t="shared" si="0"/>
        <v>0</v>
      </c>
    </row>
    <row r="30" spans="1:10" x14ac:dyDescent="0.15">
      <c r="A30" s="109"/>
      <c r="B30" s="110"/>
      <c r="C30" s="98" t="s">
        <v>2</v>
      </c>
      <c r="D30" s="15">
        <f>IF(D9="","",SUMIFS('ENTREES BDD'!N3:N1048576,'ENTREES BDD'!$A$3:$A$1048576,"&gt;="&amp;$G$3,'ENTREES BDD'!$A$3:$A$1048576,"&lt;="&amp;TEXT($G$3+7-WEEKDAY($G$3,2),"jj/mm/aaaa")))</f>
        <v>0</v>
      </c>
      <c r="E30" s="15">
        <f>IF(E9="","",SUMIFS('ENTREES BDD'!$N$3:$N$1048576,'ENTREES BDD'!$A$3:$A$1048576,"&gt;="&amp;(TEXT((G3+7)+1-WEEKDAY(G3+7,2),"jj/mm/aaaa")),'ENTREES BDD'!$A$3:$A$1048576,"&lt;="&amp;TEXT((G3+7)+7-WEEKDAY(G3+7,2),"jj/mm/aaaa")))</f>
        <v>0</v>
      </c>
      <c r="F30" s="15">
        <f>IF(F9="","",SUMIFS('ENTREES BDD'!$N$3:$N$1048576,'ENTREES BDD'!$A$3:$A$1048576,"&gt;="&amp;(TEXT((G3+14)+1-WEEKDAY(G3+14,2),"jj/mm/aaaa")),'ENTREES BDD'!$A$3:$A$1048576,"&lt;="&amp;TEXT((G3+14)+7-WEEKDAY(G3+14,2),"jj/mm/aaaa")))</f>
        <v>0</v>
      </c>
      <c r="G30" s="15">
        <f>IF(G9="","",SUMIFS('ENTREES BDD'!$N$3:$N$1048576,'ENTREES BDD'!$A$3:$A$1048576,"&gt;="&amp;(TEXT((G3+21)+1-WEEKDAY(G3+21,2),"jj/mm/aaaa")),'ENTREES BDD'!$A$3:$A$1048576,"&lt;="&amp;TEXT((G3+21)+7-WEEKDAY(G3+21,2),"jj/mm/aaaa")))</f>
        <v>0</v>
      </c>
      <c r="H30" s="15">
        <f>IF(H9="","",SUMIFS('ENTREES BDD'!$N$3:$N$1048576,'ENTREES BDD'!$A$3:$A$1048576,"&gt;="&amp;(TEXT((G3+28)+1-WEEKDAY(G3+28,2),"jj/mm/aaaa")),'ENTREES BDD'!$A$3:$A$1048576,"&lt;="&amp;TEXT((G3+28)+7-WEEKDAY(G3+28,2),"jj/mm/aaaa")))</f>
        <v>0</v>
      </c>
      <c r="I30" s="15" t="str">
        <f>IF(I9="","",SUMIFS('ENTREES BDD'!$N$3:$N$1048576,'ENTREES BDD'!$A$3:$A$1048576,"&gt;="&amp;(TEXT((G3+28)+1-WEEKDAY(G3+28,2),"jj/mm/aaaa")),'ENTREES BDD'!$A$3:$A$1048576,"&lt;="&amp;TEXT((G3+28)+7-WEEKDAY(G3+28,2),"jj/mm/aaaa")))</f>
        <v/>
      </c>
      <c r="J30" s="11">
        <f t="shared" si="0"/>
        <v>0</v>
      </c>
    </row>
    <row r="31" spans="1:10" x14ac:dyDescent="0.15">
      <c r="A31" s="109"/>
      <c r="B31" s="110"/>
      <c r="C31" s="98"/>
      <c r="D31" s="16">
        <f>IF(D9="","",SUMIFS('ENTREES BDD'!O3:O1048576,'ENTREES BDD'!$A$3:$A$1048576,"&gt;="&amp;$G$3,'ENTREES BDD'!$A$3:$A$1048576,"&lt;="&amp;TEXT($G$3+7-WEEKDAY($G$3,2),"jj/mm/aaaa")))</f>
        <v>0</v>
      </c>
      <c r="E31" s="16">
        <f>IF(E9="","",SUMIFS('ENTREES BDD'!$O$3:$O$1048576,'ENTREES BDD'!$A$3:$A$1048576,"&gt;="&amp;(TEXT((G3+7)+1-WEEKDAY(G3+7,2),"jj/mm/aaaa")),'ENTREES BDD'!$A$3:$A$1048576,"&lt;="&amp;TEXT((G3+7)+7-WEEKDAY(G3+7,2),"jj/mm/aaaa")))</f>
        <v>0</v>
      </c>
      <c r="F31" s="16">
        <f>IF(F9="","",SUMIFS('ENTREES BDD'!$O$3:$O$1048576,'ENTREES BDD'!$A$3:$A$1048576,"&gt;="&amp;(TEXT((G3+14)+1-WEEKDAY(G3+14,2),"jj/mm/aaaa")),'ENTREES BDD'!$A$3:$A$1048576,"&lt;="&amp;TEXT((G3+14)+7-WEEKDAY(G3+14,2),"jj/mm/aaaa")))</f>
        <v>0</v>
      </c>
      <c r="G31" s="16">
        <f>IF(G9="","",SUMIFS('ENTREES BDD'!$O$3:$O$1048576,'ENTREES BDD'!$A$3:$A$1048576,"&gt;="&amp;(TEXT((G3+21)+1-WEEKDAY(G3+21,2),"jj/mm/aaaa")),'ENTREES BDD'!$A$3:$A$1048576,"&lt;="&amp;TEXT((G3+21)+7-WEEKDAY(G3+21,2),"jj/mm/aaaa")))</f>
        <v>0</v>
      </c>
      <c r="H31" s="16">
        <f>IF(H9="","",SUMIFS('ENTREES BDD'!$O$3:$O$1048576,'ENTREES BDD'!$A$3:$A$1048576,"&gt;="&amp;(TEXT((G3+28)+1-WEEKDAY(G3+28,2),"jj/mm/aaaa")),'ENTREES BDD'!$A$3:$A$1048576,"&lt;="&amp;TEXT((G3+28)+7-WEEKDAY(G3+28,2),"jj/mm/aaaa")))</f>
        <v>0</v>
      </c>
      <c r="I31" s="16" t="str">
        <f>IF(I9="","",SUMIFS('ENTREES BDD'!$O$3:$O$1048576,'ENTREES BDD'!$A$3:$A$1048576,"&gt;="&amp;(TEXT((G3+28)+1-WEEKDAY(G3+28,2),"jj/mm/aaaa")),'ENTREES BDD'!$A$3:$A$1048576,"&lt;="&amp;TEXT((G3+28)+7-WEEKDAY(G3+28,2),"jj/mm/aaaa")))</f>
        <v/>
      </c>
      <c r="J31" s="12">
        <f t="shared" si="0"/>
        <v>0</v>
      </c>
    </row>
    <row r="32" spans="1:10" x14ac:dyDescent="0.15">
      <c r="A32" s="109"/>
      <c r="B32" s="110"/>
      <c r="C32" s="98" t="s">
        <v>39</v>
      </c>
      <c r="D32" s="15">
        <f>IF(D9="","",SUMIFS('ENTREES BDD'!P3:P1048576,'ENTREES BDD'!$A$3:$A$1048576,"&gt;="&amp;$G$3,'ENTREES BDD'!$A$3:$A$1048576,"&lt;="&amp;TEXT($G$3+7-WEEKDAY($G$3,2),"jj/mm/aaaa")))</f>
        <v>0</v>
      </c>
      <c r="E32" s="15">
        <f>IF(E9="","",SUMIFS('ENTREES BDD'!$P$3:$P$1048576,'ENTREES BDD'!$A$3:$A$1048576,"&gt;="&amp;(TEXT((G3+7)+1-WEEKDAY(G3+7,2),"jj/mm/aaaa")),'ENTREES BDD'!$A$3:$A$1048576,"&lt;="&amp;TEXT((G3+7)+7-WEEKDAY(G3+7,2),"jj/mm/aaaa")))</f>
        <v>0</v>
      </c>
      <c r="F32" s="15">
        <f>IF(F9="","",SUMIFS('ENTREES BDD'!$P$3:$P$1048576,'ENTREES BDD'!$A$3:$A$1048576,"&gt;="&amp;(TEXT((G3+14)+1-WEEKDAY(G3+14,2),"jj/mm/aaaa")),'ENTREES BDD'!$A$3:$A$1048576,"&lt;="&amp;TEXT((G3+14)+7-WEEKDAY(G3+14,2),"jj/mm/aaaa")))</f>
        <v>0</v>
      </c>
      <c r="G32" s="15">
        <f>IF(G9="","",SUMIFS('ENTREES BDD'!$P$3:$P$1048576,'ENTREES BDD'!$A$3:$A$1048576,"&gt;="&amp;(TEXT((G3+21)+1-WEEKDAY(G3+21,2),"jj/mm/aaaa")),'ENTREES BDD'!$A$3:$A$1048576,"&lt;="&amp;TEXT((G3+21)+7-WEEKDAY(G3+21,2),"jj/mm/aaaa")))</f>
        <v>0</v>
      </c>
      <c r="H32" s="15">
        <f>IF(H9="","",SUMIFS('ENTREES BDD'!$P$3:$P$1048576,'ENTREES BDD'!$A$3:$A$1048576,"&gt;="&amp;(TEXT((G3+28)+1-WEEKDAY(G3+28,2),"jj/mm/aaaa")),'ENTREES BDD'!$A$3:$A$1048576,"&lt;="&amp;TEXT((G3+28)+7-WEEKDAY(G3+28,2),"jj/mm/aaaa")))</f>
        <v>0</v>
      </c>
      <c r="I32" s="15" t="str">
        <f>IF(I9="","",SUMIFS('ENTREES BDD'!$P$3:$P$1048576,'ENTREES BDD'!$A$3:$A$1048576,"&gt;="&amp;(TEXT((G3+28)+1-WEEKDAY(G3+28,2),"jj/mm/aaaa")),'ENTREES BDD'!$A$3:$A$1048576,"&lt;="&amp;TEXT((G3+28)+7-WEEKDAY(G3+28,2),"jj/mm/aaaa")))</f>
        <v/>
      </c>
      <c r="J32" s="11">
        <f t="shared" si="0"/>
        <v>0</v>
      </c>
    </row>
    <row r="33" spans="1:10" x14ac:dyDescent="0.15">
      <c r="A33" s="109"/>
      <c r="B33" s="110"/>
      <c r="C33" s="98"/>
      <c r="D33" s="16">
        <f>IF(D9="","",SUMIFS('ENTREES BDD'!Q3:Q1048576,'ENTREES BDD'!$A$3:$A$1048576,"&gt;="&amp;$G$3,'ENTREES BDD'!$A$3:$A$1048576,"&lt;="&amp;TEXT($G$3+7-WEEKDAY($G$3,2),"jj/mm/aaaa")))</f>
        <v>0</v>
      </c>
      <c r="E33" s="16">
        <f>IF(E9="","",SUMIFS('ENTREES BDD'!$Q$3:$Q$1048576,'ENTREES BDD'!$A$3:$A$1048576,"&gt;="&amp;(TEXT((G3+7)+1-WEEKDAY(G3+7,2),"jj/mm/aaaa")),'ENTREES BDD'!$A$3:$A$1048576,"&lt;="&amp;TEXT((G3+7)+7-WEEKDAY(G3+7,2),"jj/mm/aaaa")))</f>
        <v>0</v>
      </c>
      <c r="F33" s="16">
        <f>IF(F9="","",SUMIFS('ENTREES BDD'!$Q$3:$Q$1048576,'ENTREES BDD'!$A$3:$A$1048576,"&gt;="&amp;(TEXT((G3+14)+1-WEEKDAY(G3+14,2),"jj/mm/aaaa")),'ENTREES BDD'!$A$3:$A$1048576,"&lt;="&amp;TEXT((G3+14)+7-WEEKDAY(G3+14,2),"jj/mm/aaaa")))</f>
        <v>0</v>
      </c>
      <c r="G33" s="16">
        <f>IF(G9="","",SUMIFS('ENTREES BDD'!$Q$3:$Q$1048576,'ENTREES BDD'!$A$3:$A$1048576,"&gt;="&amp;(TEXT((G3+21)+1-WEEKDAY(G3+21,2),"jj/mm/aaaa")),'ENTREES BDD'!$A$3:$A$1048576,"&lt;="&amp;TEXT((G3+21)+7-WEEKDAY(G3+21,2),"jj/mm/aaaa")))</f>
        <v>0</v>
      </c>
      <c r="H33" s="16">
        <f>IF(H9="","",SUMIFS('ENTREES BDD'!$Q$3:$Q$1048576,'ENTREES BDD'!$A$3:$A$1048576,"&gt;="&amp;(TEXT((G3+28)+1-WEEKDAY(G3+28,2),"jj/mm/aaaa")),'ENTREES BDD'!$A$3:$A$1048576,"&lt;="&amp;TEXT((G3+28)+7-WEEKDAY(G3+28,2),"jj/mm/aaaa")))</f>
        <v>0</v>
      </c>
      <c r="I33" s="16" t="str">
        <f>IF(I9="","",SUMIFS('ENTREES BDD'!$Q$3:$Q$1048576,'ENTREES BDD'!$A$3:$A$1048576,"&gt;="&amp;(TEXT((G3+28)+1-WEEKDAY(G3+28,2),"jj/mm/aaaa")),'ENTREES BDD'!$A$3:$A$1048576,"&lt;="&amp;TEXT((G3+28)+7-WEEKDAY(G3+28,2),"jj/mm/aaaa")))</f>
        <v/>
      </c>
      <c r="J33" s="12">
        <f t="shared" si="0"/>
        <v>0</v>
      </c>
    </row>
    <row r="34" spans="1:10" x14ac:dyDescent="0.15">
      <c r="A34" s="107" t="s">
        <v>40</v>
      </c>
      <c r="B34" s="108"/>
      <c r="C34" s="104" t="s">
        <v>1</v>
      </c>
      <c r="D34" s="13">
        <f>IF(D9="","",SUMIFS('ENTREES BDD'!AB3:AB1048576,'ENTREES BDD'!$A$3:$A$1048576,"&gt;="&amp;$G$3,'ENTREES BDD'!$A$3:$A$1048576,"&lt;="&amp;TEXT($G$3+7-WEEKDAY($G$3,2),"jj/mm/aaaa")))</f>
        <v>0</v>
      </c>
      <c r="E34" s="13">
        <f>IF(E9="","",SUMIFS('ENTREES BDD'!$AB$3:$AB$1048576,'ENTREES BDD'!$A$3:$A$1048576,"&gt;="&amp;(TEXT((G3+7)+1-WEEKDAY(G3+7,2),"jj/mm/aaaa")),'ENTREES BDD'!$A$3:$A$1048576,"&lt;="&amp;TEXT((G3+7)+7-WEEKDAY(G3+7,2),"jj/mm/aaaa")))</f>
        <v>0</v>
      </c>
      <c r="F34" s="13">
        <f>IF(F9="","",SUMIFS('ENTREES BDD'!$AB$3:$AB$1048576,'ENTREES BDD'!$A$3:$A$1048576,"&gt;="&amp;(TEXT((G3+14)+1-WEEKDAY(G3+14,2),"jj/mm/aaaa")),'ENTREES BDD'!$A$3:$A$1048576,"&lt;="&amp;TEXT((G3+14)+7-WEEKDAY(G3+14,2),"jj/mm/aaaa")))</f>
        <v>0</v>
      </c>
      <c r="G34" s="13">
        <f>IF(G9="","",SUMIFS('ENTREES BDD'!$AB$3:$AB$1048576,'ENTREES BDD'!$A$3:$A$1048576,"&gt;="&amp;(TEXT((G3+21)+1-WEEKDAY(G3+21,2),"jj/mm/aaaa")),'ENTREES BDD'!$A$3:$A$1048576,"&lt;="&amp;TEXT((G3+21)+7-WEEKDAY(G3+21,2),"jj/mm/aaaa")))</f>
        <v>0</v>
      </c>
      <c r="H34" s="13">
        <f>IF(H9="","",SUMIFS('ENTREES BDD'!$AB$3:$AB$1048576,'ENTREES BDD'!$A$3:$A$1048576,"&gt;="&amp;(TEXT((G3+28)+1-WEEKDAY(G3+28,2),"jj/mm/aaaa")),'ENTREES BDD'!$A$3:$A$1048576,"&lt;="&amp;TEXT((G3+28)+7-WEEKDAY(G3+28,2),"jj/mm/aaaa")))</f>
        <v>0</v>
      </c>
      <c r="I34" s="13" t="str">
        <f>IF(I9="","",SUMIFS('ENTREES BDD'!$AB$3:$AB$1048576,'ENTREES BDD'!$A$3:$A$1048576,"&gt;="&amp;(TEXT((G3+28)+1-WEEKDAY(G3+28,2),"jj/mm/aaaa")),'ENTREES BDD'!$A$3:$A$1048576,"&lt;="&amp;TEXT((G3+28)+7-WEEKDAY(G3+28,2),"jj/mm/aaaa")))</f>
        <v/>
      </c>
      <c r="J34" s="11">
        <f t="shared" si="0"/>
        <v>0</v>
      </c>
    </row>
    <row r="35" spans="1:10" x14ac:dyDescent="0.15">
      <c r="A35" s="107"/>
      <c r="B35" s="108"/>
      <c r="C35" s="104"/>
      <c r="D35" s="14">
        <f>IF(D9="","",SUMIFS('ENTREES BDD'!AC3:AC1048576,'ENTREES BDD'!$A$3:$A$1048576,"&gt;="&amp;$G$3,'ENTREES BDD'!$A$3:$A$1048576,"&lt;="&amp;TEXT($G$3+7-WEEKDAY($G$3,2),"jj/mm/aaaa")))</f>
        <v>0</v>
      </c>
      <c r="E35" s="14">
        <f>IF(E9="","",SUMIFS('ENTREES BDD'!$AC$3:$AC$1048576,'ENTREES BDD'!$A$3:$A$1048576,"&gt;="&amp;(TEXT((G3+7)+1-WEEKDAY(G3+7,2),"jj/mm/aaaa")),'ENTREES BDD'!$A$3:$A$1048576,"&lt;="&amp;TEXT((G3+7)+7-WEEKDAY(G3+7,2),"jj/mm/aaaa")))</f>
        <v>0</v>
      </c>
      <c r="F35" s="14">
        <f>IF(F9="","",SUMIFS('ENTREES BDD'!$AC$3:$AC$1048576,'ENTREES BDD'!$A$3:$A$1048576,"&gt;="&amp;(TEXT((G3+14)+1-WEEKDAY(G3+14,2),"jj/mm/aaaa")),'ENTREES BDD'!$A$3:$A$1048576,"&lt;="&amp;TEXT((G3+14)+7-WEEKDAY(G3+14,2),"jj/mm/aaaa")))</f>
        <v>0</v>
      </c>
      <c r="G35" s="14">
        <f>IF(G9="","",SUMIFS('ENTREES BDD'!$AC$3:$AC$1048576,'ENTREES BDD'!$A$3:$A$1048576,"&gt;="&amp;(TEXT((G3+21)+1-WEEKDAY(G3+21,2),"jj/mm/aaaa")),'ENTREES BDD'!$A$3:$A$1048576,"&lt;="&amp;TEXT((G3+21)+7-WEEKDAY(G3+21,2),"jj/mm/aaaa")))</f>
        <v>0</v>
      </c>
      <c r="H35" s="14">
        <f>IF(H9="","",SUMIFS('ENTREES BDD'!$AC$3:$AC$1048576,'ENTREES BDD'!$A$3:$A$1048576,"&gt;="&amp;(TEXT((G3+28)+1-WEEKDAY(G3+28,2),"jj/mm/aaaa")),'ENTREES BDD'!$A$3:$A$1048576,"&lt;="&amp;TEXT((G3+28)+7-WEEKDAY(G3+28,2),"jj/mm/aaaa")))</f>
        <v>0</v>
      </c>
      <c r="I35" s="14" t="str">
        <f>IF(I9="","",SUMIFS('ENTREES BDD'!$AC$3:$AC$1048576,'ENTREES BDD'!$A$3:$A$1048576,"&gt;="&amp;(TEXT((G3+28)+1-WEEKDAY(G3+28,2),"jj/mm/aaaa")),'ENTREES BDD'!$A$3:$A$1048576,"&lt;="&amp;TEXT((G3+28)+7-WEEKDAY(G3+28,2),"jj/mm/aaaa")))</f>
        <v/>
      </c>
      <c r="J35" s="12">
        <f t="shared" si="0"/>
        <v>0</v>
      </c>
    </row>
    <row r="36" spans="1:10" x14ac:dyDescent="0.15">
      <c r="A36" s="107"/>
      <c r="B36" s="108"/>
      <c r="C36" s="104" t="s">
        <v>2</v>
      </c>
      <c r="D36" s="13">
        <f>IF(D9="","",SUMIFS('ENTREES BDD'!AD3:AD1048576,'ENTREES BDD'!$A$3:$A$1048576,"&gt;="&amp;$G$3,'ENTREES BDD'!$A$3:$A$1048576,"&lt;="&amp;TEXT($G$3+7-WEEKDAY($G$3,2),"jj/mm/aaaa")))</f>
        <v>0</v>
      </c>
      <c r="E36" s="13">
        <f>IF(E9="","",SUMIFS('ENTREES BDD'!$AD$3:$AD$1048576,'ENTREES BDD'!$A$3:$A$1048576,"&gt;="&amp;(TEXT((G3+7)+1-WEEKDAY(G3+7,2),"jj/mm/aaaa")),'ENTREES BDD'!$A$3:$A$1048576,"&lt;="&amp;TEXT((G3+7)+7-WEEKDAY(G3+7,2),"jj/mm/aaaa")))</f>
        <v>0</v>
      </c>
      <c r="F36" s="13">
        <f>IF(F9="","",SUMIFS('ENTREES BDD'!$AD$3:$AD$1048576,'ENTREES BDD'!$A$3:$A$1048576,"&gt;="&amp;(TEXT((G3+14)+1-WEEKDAY(G3+14,2),"jj/mm/aaaa")),'ENTREES BDD'!$A$3:$A$1048576,"&lt;="&amp;TEXT((G3+14)+7-WEEKDAY(G3+14,2),"jj/mm/aaaa")))</f>
        <v>0</v>
      </c>
      <c r="G36" s="13">
        <f>IF(G9="","",SUMIFS('ENTREES BDD'!$AD$3:$AD$1048576,'ENTREES BDD'!$A$3:$A$1048576,"&gt;="&amp;(TEXT((G3+21)+1-WEEKDAY(G3+21,2),"jj/mm/aaaa")),'ENTREES BDD'!$A$3:$A$1048576,"&lt;="&amp;TEXT((G3+21)+7-WEEKDAY(G3+21,2),"jj/mm/aaaa")))</f>
        <v>0</v>
      </c>
      <c r="H36" s="13">
        <f>IF(H9="","",SUMIFS('ENTREES BDD'!$AD$3:$AD$1048576,'ENTREES BDD'!$A$3:$A$1048576,"&gt;="&amp;(TEXT((G3+28)+1-WEEKDAY(G3+28,2),"jj/mm/aaaa")),'ENTREES BDD'!$A$3:$A$1048576,"&lt;="&amp;TEXT((G3+28)+7-WEEKDAY(G3+28,2),"jj/mm/aaaa")))</f>
        <v>0</v>
      </c>
      <c r="I36" s="13" t="str">
        <f>IF(I9="","",SUMIFS('ENTREES BDD'!$AD$3:$AD$1048576,'ENTREES BDD'!$A$3:$A$1048576,"&gt;="&amp;(TEXT((G3+28)+1-WEEKDAY(G3+28,2),"jj/mm/aaaa")),'ENTREES BDD'!$A$3:$A$1048576,"&lt;="&amp;TEXT((G3+28)+7-WEEKDAY(G3+28,2),"jj/mm/aaaa")))</f>
        <v/>
      </c>
      <c r="J36" s="11">
        <f t="shared" si="0"/>
        <v>0</v>
      </c>
    </row>
    <row r="37" spans="1:10" x14ac:dyDescent="0.15">
      <c r="A37" s="107"/>
      <c r="B37" s="108"/>
      <c r="C37" s="104"/>
      <c r="D37" s="14">
        <f>IF(D9="","",SUMIFS('ENTREES BDD'!AE3:AE1048576,'ENTREES BDD'!$A$3:$A$1048576,"&gt;="&amp;$G$3,'ENTREES BDD'!$A$3:$A$1048576,"&lt;="&amp;TEXT($G$3+7-WEEKDAY($G$3,2),"jj/mm/aaaa")))</f>
        <v>0</v>
      </c>
      <c r="E37" s="14">
        <f>IF(E9="","",SUMIFS('ENTREES BDD'!$AE$3:$AE$1048576,'ENTREES BDD'!$A$3:$A$1048576,"&gt;="&amp;(TEXT((G3+7)+1-WEEKDAY(G3+7,2),"jj/mm/aaaa")),'ENTREES BDD'!$A$3:$A$1048576,"&lt;="&amp;TEXT((G3+7)+7-WEEKDAY(G3+7,2),"jj/mm/aaaa")))</f>
        <v>0</v>
      </c>
      <c r="F37" s="14">
        <f>IF(F9="","",SUMIFS('ENTREES BDD'!$AE$3:$AE$1048576,'ENTREES BDD'!$A$3:$A$1048576,"&gt;="&amp;(TEXT((G3+14)+1-WEEKDAY(G3+14,2),"jj/mm/aaaa")),'ENTREES BDD'!$A$3:$A$1048576,"&lt;="&amp;TEXT((G3+14)+7-WEEKDAY(G3+14,2),"jj/mm/aaaa")))</f>
        <v>0</v>
      </c>
      <c r="G37" s="14">
        <f>IF(G9="","",SUMIFS('ENTREES BDD'!$AE$3:$AE$1048576,'ENTREES BDD'!$A$3:$A$1048576,"&gt;="&amp;(TEXT((G3+21)+1-WEEKDAY(G3+21,2),"jj/mm/aaaa")),'ENTREES BDD'!$A$3:$A$1048576,"&lt;="&amp;TEXT((G3+21)+7-WEEKDAY(G3+21,2),"jj/mm/aaaa")))</f>
        <v>0</v>
      </c>
      <c r="H37" s="14">
        <f>IF(H9="","",SUMIFS('ENTREES BDD'!$AE$3:$AE$1048576,'ENTREES BDD'!$A$3:$A$1048576,"&gt;="&amp;(TEXT((G3+28)+1-WEEKDAY(G3+28,2),"jj/mm/aaaa")),'ENTREES BDD'!$A$3:$A$1048576,"&lt;="&amp;TEXT((G3+28)+7-WEEKDAY(G3+28,2),"jj/mm/aaaa")))</f>
        <v>0</v>
      </c>
      <c r="I37" s="14" t="str">
        <f>IF(I9="","",SUMIFS('ENTREES BDD'!$AE$3:$AE$1048576,'ENTREES BDD'!$A$3:$A$1048576,"&gt;="&amp;(TEXT((G3+28)+1-WEEKDAY(G3+28,2),"jj/mm/aaaa")),'ENTREES BDD'!$A$3:$A$1048576,"&lt;="&amp;TEXT((G3+28)+7-WEEKDAY(G3+28,2),"jj/mm/aaaa")))</f>
        <v/>
      </c>
      <c r="J37" s="12">
        <f t="shared" si="0"/>
        <v>0</v>
      </c>
    </row>
    <row r="38" spans="1:10" x14ac:dyDescent="0.15">
      <c r="A38" s="107"/>
      <c r="B38" s="108"/>
      <c r="C38" s="104" t="s">
        <v>39</v>
      </c>
      <c r="D38" s="13">
        <f>IF(D9="","",SUMIFS('ENTREES BDD'!AF3:AF1048576,'ENTREES BDD'!$A$3:$A$1048576,"&gt;="&amp;$G$3,'ENTREES BDD'!$A$3:$A$1048576,"&lt;="&amp;TEXT($G$3+7-WEEKDAY($G$3,2),"jj/mm/aaaa")))</f>
        <v>0</v>
      </c>
      <c r="E38" s="13">
        <f>IF(E9="","",SUMIFS('ENTREES BDD'!$AF$3:$AF$1048576,'ENTREES BDD'!$A$3:$A$1048576,"&gt;="&amp;(TEXT((G3+7)+1-WEEKDAY(G3+7,2),"jj/mm/aaaa")),'ENTREES BDD'!$A$3:$A$1048576,"&lt;="&amp;TEXT((G3+7)+7-WEEKDAY(G3+7,2),"jj/mm/aaaa")))</f>
        <v>0</v>
      </c>
      <c r="F38" s="13">
        <f>IF(F9="","",SUMIFS('ENTREES BDD'!$AF$3:$AF$1048576,'ENTREES BDD'!$A$3:$A$1048576,"&gt;="&amp;(TEXT((G3+14)+1-WEEKDAY(G3+14,2),"jj/mm/aaaa")),'ENTREES BDD'!$A$3:$A$1048576,"&lt;="&amp;TEXT((G3+14)+7-WEEKDAY(G3+14,2),"jj/mm/aaaa")))</f>
        <v>0</v>
      </c>
      <c r="G38" s="13">
        <f>IF(G9="","",SUMIFS('ENTREES BDD'!$AF$3:$AF$1048576,'ENTREES BDD'!$A$3:$A$1048576,"&gt;="&amp;(TEXT((G3+21)+1-WEEKDAY(G3+21,2),"jj/mm/aaaa")),'ENTREES BDD'!$A$3:$A$1048576,"&lt;="&amp;TEXT((G3+21)+7-WEEKDAY(G3+21,2),"jj/mm/aaaa")))</f>
        <v>0</v>
      </c>
      <c r="H38" s="13">
        <f>IF(H9="","",SUMIFS('ENTREES BDD'!$AF$3:$AF$1048576,'ENTREES BDD'!$A$3:$A$1048576,"&gt;="&amp;(TEXT((G3+28)+1-WEEKDAY(G3+28,2),"jj/mm/aaaa")),'ENTREES BDD'!$A$3:$A$1048576,"&lt;="&amp;TEXT((G3+28)+7-WEEKDAY(G3+28,2),"jj/mm/aaaa")))</f>
        <v>0</v>
      </c>
      <c r="I38" s="13" t="str">
        <f>IF(I9="","",SUMIFS('ENTREES BDD'!$AF$3:$AF$1048576,'ENTREES BDD'!$A$3:$A$1048576,"&gt;="&amp;(TEXT((G3+28)+1-WEEKDAY(G3+28,2),"jj/mm/aaaa")),'ENTREES BDD'!$A$3:$A$1048576,"&lt;="&amp;TEXT((G3+28)+7-WEEKDAY(G3+28,2),"jj/mm/aaaa")))</f>
        <v/>
      </c>
      <c r="J38" s="11">
        <f t="shared" si="0"/>
        <v>0</v>
      </c>
    </row>
    <row r="39" spans="1:10" x14ac:dyDescent="0.15">
      <c r="A39" s="107"/>
      <c r="B39" s="108"/>
      <c r="C39" s="104"/>
      <c r="D39" s="14">
        <f>IF(D9="","",SUMIFS('ENTREES BDD'!AG3:AG1048576,'ENTREES BDD'!$A$3:$A$1048576,"&gt;="&amp;$G$3,'ENTREES BDD'!$A$3:$A$1048576,"&lt;="&amp;TEXT($G$3+7-WEEKDAY($G$3,2),"jj/mm/aaaa")))</f>
        <v>0</v>
      </c>
      <c r="E39" s="14">
        <f>IF(E9="","",SUMIFS('ENTREES BDD'!$AG$3:$AG$1048576,'ENTREES BDD'!$A$3:$A$1048576,"&gt;="&amp;(TEXT((G3+7)+1-WEEKDAY(G3+7,2),"jj/mm/aaaa")),'ENTREES BDD'!$A$3:$A$1048576,"&lt;="&amp;TEXT((G3+7)+7-WEEKDAY(G3+7,2),"jj/mm/aaaa")))</f>
        <v>0</v>
      </c>
      <c r="F39" s="14">
        <f>IF(F9="","",SUMIFS('ENTREES BDD'!$AG$3:$AG$1048576,'ENTREES BDD'!$A$3:$A$1048576,"&gt;="&amp;(TEXT((G3+14)+1-WEEKDAY(G3+14,2),"jj/mm/aaaa")),'ENTREES BDD'!$A$3:$A$1048576,"&lt;="&amp;TEXT((G3+14)+7-WEEKDAY(G3+14,2),"jj/mm/aaaa")))</f>
        <v>0</v>
      </c>
      <c r="G39" s="14">
        <f>IF(G9="","",SUMIFS('ENTREES BDD'!$AG$3:$AG$1048576,'ENTREES BDD'!$A$3:$A$1048576,"&gt;="&amp;(TEXT((G3+21)+1-WEEKDAY(G3+21,2),"jj/mm/aaaa")),'ENTREES BDD'!$A$3:$A$1048576,"&lt;="&amp;TEXT((G3+21)+7-WEEKDAY(G3+21,2),"jj/mm/aaaa")))</f>
        <v>0</v>
      </c>
      <c r="H39" s="14">
        <f>IF(H9="","",SUMIFS('ENTREES BDD'!$AG$3:$AG$1048576,'ENTREES BDD'!$A$3:$A$1048576,"&gt;="&amp;(TEXT((G3+28)+1-WEEKDAY(G3+28,2),"jj/mm/aaaa")),'ENTREES BDD'!$A$3:$A$1048576,"&lt;="&amp;TEXT((G3+28)+7-WEEKDAY(G3+28,2),"jj/mm/aaaa")))</f>
        <v>0</v>
      </c>
      <c r="I39" s="14" t="str">
        <f>IF(I9="","",SUMIFS('ENTREES BDD'!$AG$3:$AG$1048576,'ENTREES BDD'!$A$3:$A$1048576,"&gt;="&amp;(TEXT((G3+28)+1-WEEKDAY(G3+28,2),"jj/mm/aaaa")),'ENTREES BDD'!$A$3:$A$1048576,"&lt;="&amp;TEXT((G3+28)+7-WEEKDAY(G3+28,2),"jj/mm/aaaa")))</f>
        <v/>
      </c>
      <c r="J39" s="12">
        <f t="shared" si="0"/>
        <v>0</v>
      </c>
    </row>
    <row r="40" spans="1:10" x14ac:dyDescent="0.15">
      <c r="A40" s="105" t="s">
        <v>41</v>
      </c>
      <c r="B40" s="106"/>
      <c r="C40" s="98" t="s">
        <v>42</v>
      </c>
      <c r="D40" s="15">
        <f>IF(D9="","",SUMIFS('ENTREES BDD'!Z3:Z1048576,'ENTREES BDD'!$A$3:$A$1048576,"&gt;="&amp;$G$3,'ENTREES BDD'!$A$3:$A$1048576,"&lt;="&amp;TEXT($G$3+7-WEEKDAY($G$3,2),"jj/mm/aaaa")))</f>
        <v>0</v>
      </c>
      <c r="E40" s="15">
        <f>IF(E9="","",SUMIFS('ENTREES BDD'!$Z$3:$Z$1048576,'ENTREES BDD'!$A$3:$A$1048576,"&gt;="&amp;(TEXT((G3+7)+1-WEEKDAY(G3+7,2),"jj/mm/aaaa")),'ENTREES BDD'!$A$3:$A$1048576,"&lt;="&amp;TEXT((G3+7)+7-WEEKDAY(G3+7,2),"jj/mm/aaaa")))</f>
        <v>0</v>
      </c>
      <c r="F40" s="15">
        <f>IF(F9="","",SUMIFS('ENTREES BDD'!$Z$3:$Z$1048576,'ENTREES BDD'!$A$3:$A$1048576,"&gt;="&amp;(TEXT((G3+14)+1-WEEKDAY(G3+14,2),"jj/mm/aaaa")),'ENTREES BDD'!$A$3:$A$1048576,"&lt;="&amp;TEXT((G3+14)+7-WEEKDAY(G3+14,2),"jj/mm/aaaa")))</f>
        <v>0</v>
      </c>
      <c r="G40" s="15">
        <f>IF(G9="","",SUMIFS('ENTREES BDD'!$Z$3:$Z$1048576,'ENTREES BDD'!$A$3:$A$1048576,"&gt;="&amp;(TEXT((G3+21)+1-WEEKDAY(G3+21,2),"jj/mm/aaaa")),'ENTREES BDD'!$A$3:$A$1048576,"&lt;="&amp;TEXT((G3+21)+7-WEEKDAY(G3+21,2),"jj/mm/aaaa")))</f>
        <v>0</v>
      </c>
      <c r="H40" s="15">
        <f>IF(H9="","",SUMIFS('ENTREES BDD'!$Z$3:$Z$1048576,'ENTREES BDD'!$A$3:$A$1048576,"&gt;="&amp;(TEXT((G3+28)+1-WEEKDAY(G3+28,2),"jj/mm/aaaa")),'ENTREES BDD'!$A$3:$A$1048576,"&lt;="&amp;TEXT((G3+28)+7-WEEKDAY(G3+28,2),"jj/mm/aaaa")))</f>
        <v>0</v>
      </c>
      <c r="I40" s="15" t="str">
        <f>IF(I9="","",SUMIFS('ENTREES BDD'!$Z$3:$Z$1048576,'ENTREES BDD'!$A$3:$A$1048576,"&gt;="&amp;(TEXT((G3+28)+1-WEEKDAY(G3+28,2),"jj/mm/aaaa")),'ENTREES BDD'!$A$3:$A$1048576,"&lt;="&amp;TEXT((G3+28)+7-WEEKDAY(G3+28,2),"jj/mm/aaaa")))</f>
        <v/>
      </c>
      <c r="J40" s="11">
        <f t="shared" si="0"/>
        <v>0</v>
      </c>
    </row>
    <row r="41" spans="1:10" x14ac:dyDescent="0.15">
      <c r="A41" s="105"/>
      <c r="B41" s="106"/>
      <c r="C41" s="98"/>
      <c r="D41" s="16">
        <f>IF(D9="","",SUMIFS('ENTREES BDD'!AA3:AA1048576,'ENTREES BDD'!$A$3:$A$1048576,"&gt;="&amp;$G$3,'ENTREES BDD'!$A$3:$A$1048576,"&lt;="&amp;TEXT($G$3+7-WEEKDAY($G$3,2),"jj/mm/aaaa")))</f>
        <v>0</v>
      </c>
      <c r="E41" s="16">
        <f>IF(E9="","",SUMIFS('ENTREES BDD'!$AA$3:$AA$1048576,'ENTREES BDD'!$A$3:$A$1048576,"&gt;="&amp;(TEXT((G3+7)+1-WEEKDAY(G3+7,2),"jj/mm/aaaa")),'ENTREES BDD'!$A$3:$A$1048576,"&lt;="&amp;TEXT((G3+7)+7-WEEKDAY(G3+7,2),"jj/mm/aaaa")))</f>
        <v>0</v>
      </c>
      <c r="F41" s="16">
        <f>IF(F9="","",SUMIFS('ENTREES BDD'!$AA$3:$AA$1048576,'ENTREES BDD'!$A$3:$A$1048576,"&gt;="&amp;(TEXT((G3+14)+1-WEEKDAY(G3+14,2),"jj/mm/aaaa")),'ENTREES BDD'!$A$3:$A$1048576,"&lt;="&amp;TEXT((G3+14)+7-WEEKDAY(G3+14,2),"jj/mm/aaaa")))</f>
        <v>0</v>
      </c>
      <c r="G41" s="16">
        <f>IF(G9="","",SUMIFS('ENTREES BDD'!$AA$3:$AA$1048576,'ENTREES BDD'!$A$3:$A$1048576,"&gt;="&amp;(TEXT((G3+21)+1-WEEKDAY(G3+21,2),"jj/mm/aaaa")),'ENTREES BDD'!$A$3:$A$1048576,"&lt;="&amp;TEXT((G3+21)+7-WEEKDAY(G3+21,2),"jj/mm/aaaa")))</f>
        <v>0</v>
      </c>
      <c r="H41" s="16">
        <f>IF(H9="","",SUMIFS('ENTREES BDD'!$AA$3:$AA$1048576,'ENTREES BDD'!$A$3:$A$1048576,"&gt;="&amp;(TEXT((G3+28)+1-WEEKDAY(G3+28,2),"jj/mm/aaaa")),'ENTREES BDD'!$A$3:$A$1048576,"&lt;="&amp;TEXT((G3+28)+7-WEEKDAY(G3+28,2),"jj/mm/aaaa")))</f>
        <v>0</v>
      </c>
      <c r="I41" s="16" t="str">
        <f>IF(I9="","",SUMIFS('ENTREES BDD'!$AA$3:$AA$1048576,'ENTREES BDD'!$A$3:$A$1048576,"&gt;="&amp;(TEXT((G3+28)+1-WEEKDAY(G3+28,2),"jj/mm/aaaa")),'ENTREES BDD'!$A$3:$A$1048576,"&lt;="&amp;TEXT((G3+28)+7-WEEKDAY(G3+28,2),"jj/mm/aaaa")))</f>
        <v/>
      </c>
      <c r="J41" s="12">
        <f>SUM(D41:I41)</f>
        <v>0</v>
      </c>
    </row>
    <row r="42" spans="1:10" x14ac:dyDescent="0.15">
      <c r="B42" s="99" t="s">
        <v>49</v>
      </c>
      <c r="C42" s="99"/>
      <c r="D42" s="11">
        <f>D10+D12+D14+D16+D18+D20+D22+D24+D26+D28+D30+D32+D34+D36+D38+D40</f>
        <v>0</v>
      </c>
      <c r="E42" s="11">
        <f t="shared" ref="E42:H42" si="1">E10+E12+E14+E16+E18+E20+E22+E24+E26+E28+E30+E32+E34+E36+E38+E40</f>
        <v>0</v>
      </c>
      <c r="F42" s="11">
        <f t="shared" si="1"/>
        <v>0</v>
      </c>
      <c r="G42" s="11">
        <f t="shared" si="1"/>
        <v>169</v>
      </c>
      <c r="H42" s="11">
        <f t="shared" si="1"/>
        <v>0</v>
      </c>
      <c r="I42" s="11">
        <f>IF(I9="",0,I10+I12+I14+I16+I18+I20+I22+I24+I26+I28+I30+I32+I34+I36+I38+I40)</f>
        <v>0</v>
      </c>
      <c r="J42" s="21"/>
    </row>
    <row r="43" spans="1:10" x14ac:dyDescent="0.15">
      <c r="B43" s="99"/>
      <c r="C43" s="99"/>
      <c r="D43" s="22">
        <f>D11+D13+D15+D17+D19+D21+D23+D25+D27+D29+D31+D33+D35+D37+D39+D41</f>
        <v>0</v>
      </c>
      <c r="E43" s="22">
        <f t="shared" ref="E43:H43" si="2">E11+E13+E15+E17+E19+E21+E23+E25+E27+E29+E31+E33+E35+E37+E39+E41</f>
        <v>0</v>
      </c>
      <c r="F43" s="22">
        <f t="shared" si="2"/>
        <v>0</v>
      </c>
      <c r="G43" s="22">
        <f t="shared" si="2"/>
        <v>247.5</v>
      </c>
      <c r="H43" s="22">
        <f t="shared" si="2"/>
        <v>0</v>
      </c>
      <c r="I43" s="22">
        <f>IF(I9="",0,I11+I13+I15+I17+I19+I21+I23+I25+I27+I29+I31+I33+I35+I37+I39+I41)</f>
        <v>0</v>
      </c>
      <c r="J43" s="21"/>
    </row>
  </sheetData>
  <mergeCells count="32">
    <mergeCell ref="C6:D6"/>
    <mergeCell ref="G6:I6"/>
    <mergeCell ref="B1:J1"/>
    <mergeCell ref="A40:B41"/>
    <mergeCell ref="A34:B39"/>
    <mergeCell ref="A28:B33"/>
    <mergeCell ref="A26:B27"/>
    <mergeCell ref="A18:B25"/>
    <mergeCell ref="A10:B17"/>
    <mergeCell ref="C34:C35"/>
    <mergeCell ref="C36:C37"/>
    <mergeCell ref="C38:C39"/>
    <mergeCell ref="C40:C41"/>
    <mergeCell ref="C14:C15"/>
    <mergeCell ref="C16:C17"/>
    <mergeCell ref="C26:C27"/>
    <mergeCell ref="C28:C29"/>
    <mergeCell ref="C30:C31"/>
    <mergeCell ref="C32:C33"/>
    <mergeCell ref="B42:C43"/>
    <mergeCell ref="G3:I3"/>
    <mergeCell ref="G4:I4"/>
    <mergeCell ref="B3:B4"/>
    <mergeCell ref="C3:C4"/>
    <mergeCell ref="D3:D4"/>
    <mergeCell ref="E3:E4"/>
    <mergeCell ref="C18:C19"/>
    <mergeCell ref="C20:C21"/>
    <mergeCell ref="C22:C23"/>
    <mergeCell ref="C24:C25"/>
    <mergeCell ref="C10:C11"/>
    <mergeCell ref="C12:C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K167"/>
  <sheetViews>
    <sheetView showGridLines="0" zoomScale="82" zoomScaleNormal="82" workbookViewId="0">
      <pane xSplit="2" ySplit="13" topLeftCell="C17" activePane="bottomRight" state="frozen"/>
      <selection pane="topRight" activeCell="C1" sqref="C1"/>
      <selection pane="bottomLeft" activeCell="A12" sqref="A12"/>
      <selection pane="bottomRight" activeCell="E9" sqref="E9:N9"/>
    </sheetView>
  </sheetViews>
  <sheetFormatPr baseColWidth="10" defaultRowHeight="11.25" x14ac:dyDescent="0.15"/>
  <cols>
    <col min="3" max="14" width="3.875" style="31" customWidth="1"/>
    <col min="15" max="15" width="3.875" style="31" hidden="1" customWidth="1"/>
    <col min="16" max="36" width="3.875" hidden="1" customWidth="1"/>
    <col min="37" max="37" width="3.875" customWidth="1"/>
    <col min="38" max="49" width="3.875" hidden="1" customWidth="1"/>
    <col min="50" max="50" width="3.875" customWidth="1"/>
    <col min="51" max="115" width="3.875" hidden="1" customWidth="1"/>
    <col min="116" max="216" width="3.875" style="28" hidden="1" customWidth="1"/>
  </cols>
  <sheetData>
    <row r="1" spans="1:219" ht="19.5" x14ac:dyDescent="0.15">
      <c r="B1" s="73" t="s">
        <v>196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  <c r="CO1" s="73"/>
      <c r="CP1" s="73"/>
      <c r="CQ1" s="73"/>
      <c r="CR1" s="73"/>
      <c r="CS1" s="73"/>
      <c r="CT1" s="73"/>
      <c r="CU1" s="73"/>
      <c r="CV1" s="73"/>
      <c r="CW1" s="73"/>
      <c r="CX1" s="73"/>
      <c r="CY1" s="73"/>
      <c r="CZ1" s="73"/>
      <c r="DA1" s="73"/>
      <c r="DB1" s="73"/>
      <c r="DC1" s="73"/>
      <c r="DD1" s="73"/>
      <c r="DE1" s="73"/>
      <c r="DF1" s="73"/>
      <c r="DG1" s="73"/>
      <c r="DH1" s="73"/>
      <c r="DI1" s="73"/>
      <c r="DJ1" s="73"/>
      <c r="DK1" s="73"/>
      <c r="DL1" s="73"/>
      <c r="DM1" s="73"/>
      <c r="DN1" s="73"/>
      <c r="DO1" s="73"/>
      <c r="DP1" s="73"/>
      <c r="DQ1" s="73"/>
      <c r="DR1" s="73"/>
      <c r="DS1" s="73"/>
      <c r="DT1" s="73"/>
      <c r="DU1" s="73"/>
      <c r="DV1" s="73"/>
      <c r="DW1" s="73"/>
      <c r="DX1" s="73"/>
      <c r="DY1" s="73"/>
      <c r="DZ1" s="73"/>
      <c r="EA1" s="73"/>
      <c r="EB1" s="73"/>
      <c r="EC1" s="73"/>
      <c r="ED1" s="73"/>
      <c r="EE1" s="73"/>
      <c r="EF1" s="73"/>
      <c r="EG1" s="73"/>
      <c r="EH1" s="73"/>
      <c r="EI1" s="73"/>
      <c r="EJ1" s="73"/>
      <c r="EK1" s="73"/>
      <c r="EL1" s="73"/>
      <c r="EM1" s="73"/>
      <c r="EN1" s="73"/>
      <c r="EO1" s="73"/>
    </row>
    <row r="2" spans="1:219" x14ac:dyDescent="0.15">
      <c r="C2"/>
      <c r="D2"/>
      <c r="E2"/>
      <c r="F2"/>
      <c r="G2"/>
      <c r="H2"/>
      <c r="I2"/>
      <c r="J2"/>
      <c r="O2" s="38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</row>
    <row r="3" spans="1:219" ht="31.5" customHeight="1" x14ac:dyDescent="0.15">
      <c r="A3" s="21"/>
      <c r="B3" s="113" t="s">
        <v>47</v>
      </c>
      <c r="C3" s="113"/>
      <c r="D3" s="113"/>
      <c r="E3" s="125" t="s">
        <v>50</v>
      </c>
      <c r="F3" s="125"/>
      <c r="G3" s="125"/>
      <c r="H3" s="126" t="s">
        <v>46</v>
      </c>
      <c r="I3" s="126"/>
      <c r="J3" s="126"/>
      <c r="K3" s="126"/>
      <c r="L3" s="123">
        <v>2018</v>
      </c>
      <c r="M3" s="123"/>
      <c r="N3" s="123"/>
      <c r="O3" s="65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9"/>
      <c r="AB3" s="39"/>
      <c r="AC3" s="39"/>
    </row>
    <row r="4" spans="1:219" ht="11.25" customHeight="1" x14ac:dyDescent="0.15">
      <c r="A4" s="21"/>
      <c r="B4" s="113"/>
      <c r="C4" s="113"/>
      <c r="D4" s="113"/>
      <c r="E4" s="125"/>
      <c r="F4" s="125"/>
      <c r="G4" s="125"/>
      <c r="H4" s="126"/>
      <c r="I4" s="126"/>
      <c r="J4" s="126"/>
      <c r="K4" s="126"/>
      <c r="L4" s="123"/>
      <c r="M4" s="123"/>
      <c r="N4" s="123"/>
      <c r="O4" s="65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39"/>
      <c r="AB4" s="39"/>
      <c r="AC4" s="39"/>
      <c r="HK4" s="51"/>
    </row>
    <row r="5" spans="1:219" ht="22.5" customHeight="1" x14ac:dyDescent="0.2">
      <c r="B5" s="127" t="s">
        <v>43</v>
      </c>
      <c r="C5" s="127"/>
      <c r="D5" s="127"/>
      <c r="E5" s="127"/>
      <c r="F5" s="116">
        <f>VLOOKUP($E$3,BDD!$D:$I,6,FALSE)</f>
        <v>43101</v>
      </c>
      <c r="G5" s="116"/>
      <c r="H5" s="116"/>
      <c r="I5" s="116"/>
      <c r="J5" s="116"/>
      <c r="K5" s="116"/>
      <c r="L5" s="116"/>
      <c r="M5" s="116"/>
      <c r="N5" s="116"/>
      <c r="O5" s="66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39"/>
    </row>
    <row r="6" spans="1:219" ht="11.25" customHeight="1" x14ac:dyDescent="0.15">
      <c r="B6" s="128" t="s">
        <v>44</v>
      </c>
      <c r="C6" s="128"/>
      <c r="D6" s="128"/>
      <c r="E6" s="128"/>
      <c r="F6" s="117">
        <f>EOMONTH(F5,0)</f>
        <v>43131</v>
      </c>
      <c r="G6" s="117"/>
      <c r="H6" s="117"/>
      <c r="I6" s="117"/>
      <c r="J6" s="117"/>
      <c r="K6" s="117"/>
      <c r="L6" s="117"/>
      <c r="M6" s="117"/>
      <c r="N6" s="117"/>
      <c r="O6" s="67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39"/>
    </row>
    <row r="7" spans="1:219" x14ac:dyDescent="0.15">
      <c r="O7" s="38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</row>
    <row r="8" spans="1:219" x14ac:dyDescent="0.15">
      <c r="B8" s="23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</row>
    <row r="9" spans="1:219" x14ac:dyDescent="0.15">
      <c r="B9" s="114" t="s">
        <v>197</v>
      </c>
      <c r="C9" s="114"/>
      <c r="D9" s="114"/>
      <c r="E9" s="118" t="s">
        <v>199</v>
      </c>
      <c r="F9" s="118"/>
      <c r="G9" s="118"/>
      <c r="H9" s="118"/>
      <c r="I9" s="118"/>
      <c r="J9" s="118"/>
      <c r="K9" s="118"/>
      <c r="L9" s="118"/>
      <c r="M9" s="118"/>
      <c r="N9" s="118"/>
      <c r="O9" s="36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</row>
    <row r="10" spans="1:219" x14ac:dyDescent="0.15">
      <c r="B10" s="35"/>
      <c r="C10" s="35"/>
      <c r="D10" s="35"/>
      <c r="E10" s="115">
        <f>VLOOKUP(E9,BDD!K1:M22,2,FALSE)</f>
        <v>0</v>
      </c>
      <c r="F10" s="115"/>
      <c r="G10" s="115"/>
      <c r="H10" s="115"/>
      <c r="I10" s="115"/>
      <c r="J10" s="115">
        <f>VLOOKUP(E9,BDD!K1:M22,3,FALSE)</f>
        <v>0</v>
      </c>
      <c r="K10" s="115"/>
      <c r="L10" s="115"/>
      <c r="M10" s="115"/>
      <c r="N10" s="115"/>
      <c r="O10" s="36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</row>
    <row r="11" spans="1:219" x14ac:dyDescent="0.15">
      <c r="C11"/>
      <c r="D11"/>
      <c r="E11"/>
      <c r="F11"/>
      <c r="G11"/>
      <c r="H11"/>
      <c r="I11"/>
      <c r="J11"/>
      <c r="K11"/>
      <c r="L11"/>
      <c r="M11"/>
      <c r="N11"/>
      <c r="O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</row>
    <row r="12" spans="1:219" ht="62.25" x14ac:dyDescent="0.15">
      <c r="B12" s="121" t="s">
        <v>0</v>
      </c>
      <c r="C12" s="119" t="s">
        <v>76</v>
      </c>
      <c r="D12" s="119" t="s">
        <v>74</v>
      </c>
      <c r="E12" s="119" t="s">
        <v>85</v>
      </c>
      <c r="F12" s="119" t="s">
        <v>77</v>
      </c>
      <c r="G12" s="119" t="s">
        <v>75</v>
      </c>
      <c r="H12" s="119" t="s">
        <v>78</v>
      </c>
      <c r="I12" s="119" t="s">
        <v>83</v>
      </c>
      <c r="J12" s="119" t="s">
        <v>84</v>
      </c>
      <c r="K12" s="119" t="s">
        <v>81</v>
      </c>
      <c r="L12" s="119" t="s">
        <v>79</v>
      </c>
      <c r="M12" s="119" t="s">
        <v>82</v>
      </c>
      <c r="N12" s="119" t="s">
        <v>80</v>
      </c>
      <c r="O12" s="119" t="s">
        <v>73</v>
      </c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 t="s">
        <v>200</v>
      </c>
      <c r="DM12" s="119"/>
      <c r="DN12" s="119"/>
      <c r="DO12" s="119"/>
      <c r="DP12" s="119"/>
      <c r="DQ12" s="119"/>
      <c r="DR12" s="119"/>
      <c r="DS12" s="119"/>
      <c r="DT12" s="119"/>
      <c r="DU12" s="119"/>
      <c r="DV12" s="119"/>
      <c r="DW12" s="119"/>
      <c r="DX12" s="119" t="s">
        <v>205</v>
      </c>
      <c r="DY12" s="119"/>
      <c r="DZ12" s="119"/>
      <c r="EA12" s="119"/>
      <c r="EB12" s="119"/>
      <c r="EC12" s="119"/>
      <c r="ED12" s="119"/>
      <c r="EE12" s="119"/>
      <c r="EF12" s="119" t="s">
        <v>92</v>
      </c>
      <c r="EG12" s="119"/>
      <c r="EH12" s="119"/>
      <c r="EI12" s="119"/>
      <c r="EJ12" s="119" t="s">
        <v>204</v>
      </c>
      <c r="EK12" s="119"/>
      <c r="EL12" s="119"/>
      <c r="EM12" s="119"/>
      <c r="EN12" s="119"/>
      <c r="EO12" s="119"/>
      <c r="EP12" s="119" t="s">
        <v>90</v>
      </c>
      <c r="EQ12" s="119"/>
      <c r="ER12" s="119" t="s">
        <v>86</v>
      </c>
      <c r="ES12" s="119"/>
      <c r="ET12" s="119"/>
      <c r="EU12" s="119"/>
      <c r="EV12" s="119"/>
      <c r="EW12" s="119"/>
      <c r="EX12" s="119"/>
      <c r="EY12" s="119"/>
      <c r="EZ12" s="119"/>
      <c r="FA12" s="119"/>
      <c r="FB12" s="63" t="s">
        <v>97</v>
      </c>
      <c r="FC12" s="63" t="s">
        <v>99</v>
      </c>
      <c r="FD12" s="119" t="s">
        <v>201</v>
      </c>
      <c r="FE12" s="119"/>
      <c r="FF12" s="119"/>
      <c r="FG12" s="119"/>
      <c r="FH12" s="119"/>
      <c r="FI12" s="119" t="s">
        <v>208</v>
      </c>
      <c r="FJ12" s="119"/>
      <c r="FK12" s="119"/>
      <c r="FL12" s="119"/>
      <c r="FM12" s="119"/>
      <c r="FN12" s="119"/>
      <c r="FO12" s="119"/>
      <c r="FP12" s="63" t="s">
        <v>100</v>
      </c>
      <c r="FQ12" s="64" t="s">
        <v>98</v>
      </c>
      <c r="FR12" s="63" t="s">
        <v>194</v>
      </c>
      <c r="FS12" s="119" t="s">
        <v>88</v>
      </c>
      <c r="FT12" s="119"/>
      <c r="FU12" s="119"/>
      <c r="FV12" s="119"/>
      <c r="FW12" s="119"/>
      <c r="FX12" s="124" t="s">
        <v>203</v>
      </c>
      <c r="FY12" s="124"/>
      <c r="FZ12" s="124"/>
      <c r="GA12" s="124"/>
      <c r="GB12" s="124"/>
      <c r="GC12" s="124"/>
      <c r="GD12" s="124"/>
      <c r="GE12" s="124"/>
      <c r="GF12" s="124"/>
      <c r="GG12" s="124"/>
      <c r="GH12" s="124"/>
      <c r="GI12" s="124"/>
      <c r="GJ12" s="124" t="s">
        <v>87</v>
      </c>
      <c r="GK12" s="124"/>
      <c r="GL12" s="124"/>
      <c r="GM12" s="124"/>
      <c r="GN12" s="124"/>
      <c r="GO12" s="124"/>
      <c r="GP12" s="124"/>
      <c r="GQ12" s="124"/>
      <c r="GR12" s="124"/>
      <c r="GS12" s="124"/>
      <c r="GT12" s="124"/>
      <c r="GU12" s="124"/>
      <c r="GV12" s="124"/>
      <c r="GW12" s="63" t="s">
        <v>101</v>
      </c>
      <c r="GX12" s="119" t="s">
        <v>94</v>
      </c>
      <c r="GY12" s="119"/>
      <c r="GZ12" s="119"/>
      <c r="HA12" s="119"/>
      <c r="HB12" s="119"/>
      <c r="HC12" s="119" t="s">
        <v>202</v>
      </c>
      <c r="HD12" s="119"/>
      <c r="HE12" s="119"/>
      <c r="HF12" s="119"/>
      <c r="HG12" s="119"/>
      <c r="HH12" s="119"/>
    </row>
    <row r="13" spans="1:219" x14ac:dyDescent="0.15">
      <c r="B13" s="122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61" t="s">
        <v>227</v>
      </c>
      <c r="P13" s="61" t="s">
        <v>228</v>
      </c>
      <c r="Q13" s="61" t="s">
        <v>229</v>
      </c>
      <c r="R13" s="61" t="s">
        <v>230</v>
      </c>
      <c r="S13" s="61" t="s">
        <v>231</v>
      </c>
      <c r="T13" s="61" t="s">
        <v>232</v>
      </c>
      <c r="U13" s="61" t="s">
        <v>233</v>
      </c>
      <c r="V13" s="61" t="s">
        <v>234</v>
      </c>
      <c r="W13" s="61" t="s">
        <v>235</v>
      </c>
      <c r="X13" s="61" t="s">
        <v>236</v>
      </c>
      <c r="Y13" s="61" t="s">
        <v>226</v>
      </c>
      <c r="Z13" s="61" t="s">
        <v>237</v>
      </c>
      <c r="AA13" s="61" t="s">
        <v>238</v>
      </c>
      <c r="AB13" s="61" t="s">
        <v>239</v>
      </c>
      <c r="AC13" s="61" t="s">
        <v>240</v>
      </c>
      <c r="AD13" s="61" t="s">
        <v>241</v>
      </c>
      <c r="AE13" s="61" t="s">
        <v>242</v>
      </c>
      <c r="AF13" s="61" t="s">
        <v>243</v>
      </c>
      <c r="AG13" s="61" t="s">
        <v>244</v>
      </c>
      <c r="AH13" s="62" t="s">
        <v>324</v>
      </c>
      <c r="AI13" s="62" t="s">
        <v>325</v>
      </c>
      <c r="AJ13" s="61" t="s">
        <v>245</v>
      </c>
      <c r="AK13" s="61" t="s">
        <v>224</v>
      </c>
      <c r="AL13" s="61" t="s">
        <v>246</v>
      </c>
      <c r="AM13" s="61" t="s">
        <v>247</v>
      </c>
      <c r="AN13" s="61" t="s">
        <v>248</v>
      </c>
      <c r="AO13" s="61" t="s">
        <v>249</v>
      </c>
      <c r="AP13" s="61" t="s">
        <v>250</v>
      </c>
      <c r="AQ13" s="61" t="s">
        <v>251</v>
      </c>
      <c r="AR13" s="61" t="s">
        <v>252</v>
      </c>
      <c r="AS13" s="61" t="s">
        <v>253</v>
      </c>
      <c r="AT13" s="61" t="s">
        <v>254</v>
      </c>
      <c r="AU13" s="61" t="s">
        <v>255</v>
      </c>
      <c r="AV13" s="61" t="s">
        <v>256</v>
      </c>
      <c r="AW13" s="61" t="s">
        <v>257</v>
      </c>
      <c r="AX13" s="61" t="s">
        <v>258</v>
      </c>
      <c r="AY13" s="61" t="s">
        <v>259</v>
      </c>
      <c r="AZ13" s="61" t="s">
        <v>260</v>
      </c>
      <c r="BA13" s="61" t="s">
        <v>261</v>
      </c>
      <c r="BB13" s="61" t="s">
        <v>262</v>
      </c>
      <c r="BC13" s="61" t="s">
        <v>263</v>
      </c>
      <c r="BD13" s="61" t="s">
        <v>264</v>
      </c>
      <c r="BE13" s="61" t="s">
        <v>265</v>
      </c>
      <c r="BF13" s="61" t="s">
        <v>266</v>
      </c>
      <c r="BG13" s="61" t="s">
        <v>267</v>
      </c>
      <c r="BH13" s="61" t="s">
        <v>268</v>
      </c>
      <c r="BI13" s="61" t="s">
        <v>269</v>
      </c>
      <c r="BJ13" s="61" t="s">
        <v>270</v>
      </c>
      <c r="BK13" s="61" t="s">
        <v>271</v>
      </c>
      <c r="BL13" s="61" t="s">
        <v>272</v>
      </c>
      <c r="BM13" s="61" t="s">
        <v>273</v>
      </c>
      <c r="BN13" s="61" t="s">
        <v>274</v>
      </c>
      <c r="BO13" s="61" t="s">
        <v>275</v>
      </c>
      <c r="BP13" s="61" t="s">
        <v>276</v>
      </c>
      <c r="BQ13" s="61" t="s">
        <v>277</v>
      </c>
      <c r="BR13" s="61" t="s">
        <v>278</v>
      </c>
      <c r="BS13" s="61" t="s">
        <v>279</v>
      </c>
      <c r="BT13" s="61" t="s">
        <v>280</v>
      </c>
      <c r="BU13" s="61" t="s">
        <v>281</v>
      </c>
      <c r="BV13" s="61" t="s">
        <v>282</v>
      </c>
      <c r="BW13" s="61" t="s">
        <v>283</v>
      </c>
      <c r="BX13" s="61" t="s">
        <v>284</v>
      </c>
      <c r="BY13" s="61" t="s">
        <v>285</v>
      </c>
      <c r="BZ13" s="61" t="s">
        <v>286</v>
      </c>
      <c r="CA13" s="61" t="s">
        <v>287</v>
      </c>
      <c r="CB13" s="61" t="s">
        <v>288</v>
      </c>
      <c r="CC13" s="61" t="s">
        <v>289</v>
      </c>
      <c r="CD13" s="61" t="s">
        <v>290</v>
      </c>
      <c r="CE13" s="61" t="s">
        <v>291</v>
      </c>
      <c r="CF13" s="61" t="s">
        <v>292</v>
      </c>
      <c r="CG13" s="61" t="s">
        <v>293</v>
      </c>
      <c r="CH13" s="61" t="s">
        <v>294</v>
      </c>
      <c r="CI13" s="61" t="s">
        <v>295</v>
      </c>
      <c r="CJ13" s="61" t="s">
        <v>296</v>
      </c>
      <c r="CK13" s="61" t="s">
        <v>297</v>
      </c>
      <c r="CL13" s="61" t="s">
        <v>298</v>
      </c>
      <c r="CM13" s="61" t="s">
        <v>299</v>
      </c>
      <c r="CN13" s="61" t="s">
        <v>300</v>
      </c>
      <c r="CO13" s="61" t="s">
        <v>301</v>
      </c>
      <c r="CP13" s="61" t="s">
        <v>302</v>
      </c>
      <c r="CQ13" s="61" t="s">
        <v>303</v>
      </c>
      <c r="CR13" s="61" t="s">
        <v>304</v>
      </c>
      <c r="CS13" s="61" t="s">
        <v>305</v>
      </c>
      <c r="CT13" s="61" t="s">
        <v>306</v>
      </c>
      <c r="CU13" s="61" t="s">
        <v>307</v>
      </c>
      <c r="CV13" s="61" t="s">
        <v>308</v>
      </c>
      <c r="CW13" s="61" t="s">
        <v>309</v>
      </c>
      <c r="CX13" s="61" t="s">
        <v>310</v>
      </c>
      <c r="CY13" s="61" t="s">
        <v>311</v>
      </c>
      <c r="CZ13" s="61" t="s">
        <v>312</v>
      </c>
      <c r="DA13" s="61" t="s">
        <v>313</v>
      </c>
      <c r="DB13" s="61" t="s">
        <v>314</v>
      </c>
      <c r="DC13" s="61" t="s">
        <v>315</v>
      </c>
      <c r="DD13" s="61" t="s">
        <v>316</v>
      </c>
      <c r="DE13" s="61" t="s">
        <v>317</v>
      </c>
      <c r="DF13" s="61" t="s">
        <v>318</v>
      </c>
      <c r="DG13" s="61" t="s">
        <v>319</v>
      </c>
      <c r="DH13" s="61" t="s">
        <v>320</v>
      </c>
      <c r="DI13" s="61" t="s">
        <v>321</v>
      </c>
      <c r="DJ13" s="61" t="s">
        <v>322</v>
      </c>
      <c r="DK13" s="61" t="s">
        <v>323</v>
      </c>
      <c r="DL13" s="61" t="s">
        <v>227</v>
      </c>
      <c r="DM13" s="61" t="s">
        <v>229</v>
      </c>
      <c r="DN13" s="61" t="s">
        <v>233</v>
      </c>
      <c r="DO13" s="61" t="s">
        <v>240</v>
      </c>
      <c r="DP13" s="61" t="s">
        <v>249</v>
      </c>
      <c r="DQ13" s="61" t="s">
        <v>261</v>
      </c>
      <c r="DR13" s="61" t="s">
        <v>265</v>
      </c>
      <c r="DS13" s="61" t="s">
        <v>266</v>
      </c>
      <c r="DT13" s="61" t="s">
        <v>286</v>
      </c>
      <c r="DU13" s="61" t="s">
        <v>296</v>
      </c>
      <c r="DV13" s="61" t="s">
        <v>297</v>
      </c>
      <c r="DW13" s="61" t="s">
        <v>292</v>
      </c>
      <c r="DX13" s="61" t="s">
        <v>245</v>
      </c>
      <c r="DY13" s="61" t="s">
        <v>248</v>
      </c>
      <c r="DZ13" s="61" t="s">
        <v>262</v>
      </c>
      <c r="EA13" s="61" t="s">
        <v>281</v>
      </c>
      <c r="EB13" s="61" t="s">
        <v>293</v>
      </c>
      <c r="EC13" s="61" t="s">
        <v>294</v>
      </c>
      <c r="ED13" s="61" t="s">
        <v>312</v>
      </c>
      <c r="EE13" s="61" t="s">
        <v>313</v>
      </c>
      <c r="EF13" s="61" t="s">
        <v>224</v>
      </c>
      <c r="EG13" s="61" t="s">
        <v>252</v>
      </c>
      <c r="EH13" s="61" t="s">
        <v>258</v>
      </c>
      <c r="EI13" s="61" t="s">
        <v>279</v>
      </c>
      <c r="EJ13" s="61" t="s">
        <v>243</v>
      </c>
      <c r="EK13" s="61" t="s">
        <v>251</v>
      </c>
      <c r="EL13" s="61" t="s">
        <v>259</v>
      </c>
      <c r="EM13" s="61" t="s">
        <v>260</v>
      </c>
      <c r="EN13" s="61" t="s">
        <v>264</v>
      </c>
      <c r="EO13" s="61" t="s">
        <v>268</v>
      </c>
      <c r="EP13" s="61" t="s">
        <v>324</v>
      </c>
      <c r="EQ13" s="61" t="s">
        <v>325</v>
      </c>
      <c r="ER13" s="61" t="s">
        <v>234</v>
      </c>
      <c r="ES13" s="61" t="s">
        <v>236</v>
      </c>
      <c r="ET13" s="61" t="s">
        <v>274</v>
      </c>
      <c r="EU13" s="61" t="s">
        <v>275</v>
      </c>
      <c r="EV13" s="61" t="s">
        <v>277</v>
      </c>
      <c r="EW13" s="61" t="s">
        <v>278</v>
      </c>
      <c r="EX13" s="61" t="s">
        <v>280</v>
      </c>
      <c r="EY13" s="61" t="s">
        <v>290</v>
      </c>
      <c r="EZ13" s="61" t="s">
        <v>291</v>
      </c>
      <c r="FA13" s="61" t="s">
        <v>311</v>
      </c>
      <c r="FB13" s="61" t="s">
        <v>319</v>
      </c>
      <c r="FC13" s="61" t="s">
        <v>321</v>
      </c>
      <c r="FD13" s="61" t="s">
        <v>228</v>
      </c>
      <c r="FE13" s="61" t="s">
        <v>282</v>
      </c>
      <c r="FF13" s="61" t="s">
        <v>283</v>
      </c>
      <c r="FG13" s="61" t="s">
        <v>285</v>
      </c>
      <c r="FH13" s="61" t="s">
        <v>303</v>
      </c>
      <c r="FI13" s="61" t="s">
        <v>300</v>
      </c>
      <c r="FJ13" s="61" t="s">
        <v>301</v>
      </c>
      <c r="FK13" s="61" t="s">
        <v>314</v>
      </c>
      <c r="FL13" s="61" t="s">
        <v>315</v>
      </c>
      <c r="FM13" s="61" t="s">
        <v>316</v>
      </c>
      <c r="FN13" s="61" t="s">
        <v>317</v>
      </c>
      <c r="FO13" s="61" t="s">
        <v>318</v>
      </c>
      <c r="FP13" s="61" t="s">
        <v>322</v>
      </c>
      <c r="FQ13" s="61" t="s">
        <v>320</v>
      </c>
      <c r="FR13" s="61" t="s">
        <v>323</v>
      </c>
      <c r="FS13" s="61" t="s">
        <v>239</v>
      </c>
      <c r="FT13" s="61" t="s">
        <v>250</v>
      </c>
      <c r="FU13" s="61" t="s">
        <v>273</v>
      </c>
      <c r="FV13" s="61" t="s">
        <v>284</v>
      </c>
      <c r="FW13" s="61" t="s">
        <v>299</v>
      </c>
      <c r="FX13" s="61" t="s">
        <v>241</v>
      </c>
      <c r="FY13" s="61" t="s">
        <v>242</v>
      </c>
      <c r="FZ13" s="61" t="s">
        <v>244</v>
      </c>
      <c r="GA13" s="61" t="s">
        <v>246</v>
      </c>
      <c r="GB13" s="61" t="s">
        <v>247</v>
      </c>
      <c r="GC13" s="61" t="s">
        <v>256</v>
      </c>
      <c r="GD13" s="61" t="s">
        <v>263</v>
      </c>
      <c r="GE13" s="61" t="s">
        <v>287</v>
      </c>
      <c r="GF13" s="61" t="s">
        <v>302</v>
      </c>
      <c r="GG13" s="61" t="s">
        <v>309</v>
      </c>
      <c r="GH13" s="61" t="s">
        <v>310</v>
      </c>
      <c r="GI13" s="61" t="s">
        <v>270</v>
      </c>
      <c r="GJ13" s="61" t="s">
        <v>235</v>
      </c>
      <c r="GK13" s="61" t="s">
        <v>226</v>
      </c>
      <c r="GL13" s="61" t="s">
        <v>237</v>
      </c>
      <c r="GM13" s="61" t="s">
        <v>253</v>
      </c>
      <c r="GN13" s="61" t="s">
        <v>254</v>
      </c>
      <c r="GO13" s="61" t="s">
        <v>255</v>
      </c>
      <c r="GP13" s="61" t="s">
        <v>257</v>
      </c>
      <c r="GQ13" s="61" t="s">
        <v>269</v>
      </c>
      <c r="GR13" s="61" t="s">
        <v>271</v>
      </c>
      <c r="GS13" s="61" t="s">
        <v>288</v>
      </c>
      <c r="GT13" s="61" t="s">
        <v>289</v>
      </c>
      <c r="GU13" s="61" t="s">
        <v>304</v>
      </c>
      <c r="GV13" s="61" t="s">
        <v>305</v>
      </c>
      <c r="GW13" s="61" t="s">
        <v>298</v>
      </c>
      <c r="GX13" s="61" t="s">
        <v>267</v>
      </c>
      <c r="GY13" s="61" t="s">
        <v>272</v>
      </c>
      <c r="GZ13" s="61" t="s">
        <v>276</v>
      </c>
      <c r="HA13" s="61" t="s">
        <v>295</v>
      </c>
      <c r="HB13" s="61" t="s">
        <v>308</v>
      </c>
      <c r="HC13" s="61" t="s">
        <v>230</v>
      </c>
      <c r="HD13" s="61" t="s">
        <v>231</v>
      </c>
      <c r="HE13" s="61" t="s">
        <v>232</v>
      </c>
      <c r="HF13" s="61" t="s">
        <v>238</v>
      </c>
      <c r="HG13" s="61" t="s">
        <v>306</v>
      </c>
      <c r="HH13" s="61" t="s">
        <v>307</v>
      </c>
    </row>
    <row r="14" spans="1:219" x14ac:dyDescent="0.15">
      <c r="B14" s="59">
        <f>VLOOKUP($E$3,BDD!$D:$I,6,FALSE)</f>
        <v>43101</v>
      </c>
      <c r="C14" s="57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68">
        <f t="shared" ref="DL14:EO22" si="0">IF(VALUE(DL$13)&lt;20,INDEX($O$14:$DK$44,ROW($A1),VALUE(DL$13)),INDEX($O$14:$DK$44,ROW($A1),VALUE(DL$13)+1))</f>
        <v>0</v>
      </c>
      <c r="DM14" s="68">
        <f t="shared" si="0"/>
        <v>0</v>
      </c>
      <c r="DN14" s="68">
        <f t="shared" si="0"/>
        <v>0</v>
      </c>
      <c r="DO14" s="68">
        <f t="shared" si="0"/>
        <v>0</v>
      </c>
      <c r="DP14" s="68">
        <f t="shared" ref="DP14:DP44" si="1">IF(VALUE(DP$13)&lt;20,INDEX($O$14:$DK$44,ROW($A1),VALUE(DP$13)),INDEX($O$14:$DK$44,ROW($A1),VALUE(DP$13)+1))</f>
        <v>0</v>
      </c>
      <c r="DQ14" s="68">
        <f t="shared" si="0"/>
        <v>0</v>
      </c>
      <c r="DR14" s="55">
        <f t="shared" si="0"/>
        <v>0</v>
      </c>
      <c r="DS14" s="55">
        <f t="shared" si="0"/>
        <v>0</v>
      </c>
      <c r="DT14" s="55">
        <f t="shared" si="0"/>
        <v>0</v>
      </c>
      <c r="DU14" s="55">
        <f t="shared" si="0"/>
        <v>0</v>
      </c>
      <c r="DV14" s="55">
        <f t="shared" si="0"/>
        <v>0</v>
      </c>
      <c r="DW14" s="55">
        <f t="shared" si="0"/>
        <v>0</v>
      </c>
      <c r="DX14" s="55">
        <f t="shared" si="0"/>
        <v>0</v>
      </c>
      <c r="DY14" s="55">
        <f t="shared" si="0"/>
        <v>0</v>
      </c>
      <c r="DZ14" s="55">
        <f t="shared" si="0"/>
        <v>0</v>
      </c>
      <c r="EA14" s="55">
        <f t="shared" si="0"/>
        <v>0</v>
      </c>
      <c r="EB14" s="55">
        <f t="shared" si="0"/>
        <v>0</v>
      </c>
      <c r="EC14" s="55">
        <f t="shared" si="0"/>
        <v>0</v>
      </c>
      <c r="ED14" s="55">
        <f t="shared" si="0"/>
        <v>0</v>
      </c>
      <c r="EE14" s="55">
        <f t="shared" si="0"/>
        <v>0</v>
      </c>
      <c r="EF14" s="55">
        <f t="shared" si="0"/>
        <v>0</v>
      </c>
      <c r="EG14" s="55">
        <f t="shared" si="0"/>
        <v>0</v>
      </c>
      <c r="EH14" s="55">
        <f t="shared" si="0"/>
        <v>0</v>
      </c>
      <c r="EI14" s="55">
        <f t="shared" si="0"/>
        <v>0</v>
      </c>
      <c r="EJ14" s="55">
        <f t="shared" si="0"/>
        <v>0</v>
      </c>
      <c r="EK14" s="55">
        <f t="shared" si="0"/>
        <v>0</v>
      </c>
      <c r="EL14" s="55">
        <f t="shared" si="0"/>
        <v>0</v>
      </c>
      <c r="EM14" s="55">
        <f t="shared" si="0"/>
        <v>0</v>
      </c>
      <c r="EN14" s="55">
        <f t="shared" si="0"/>
        <v>0</v>
      </c>
      <c r="EO14" s="55">
        <f t="shared" si="0"/>
        <v>0</v>
      </c>
      <c r="EP14" s="68">
        <f>AH14</f>
        <v>0</v>
      </c>
      <c r="EQ14" s="68">
        <f t="shared" ref="EQ14:EQ44" si="2">AI14</f>
        <v>0</v>
      </c>
      <c r="ER14" s="55">
        <f t="shared" ref="ER14:HC17" si="3">IF(VALUE(ER$13)&lt;20,INDEX($O$14:$DK$44,ROW($A1),VALUE(ER$13)),INDEX($O$14:$DK$44,ROW($A1),VALUE(ER$13)+1))</f>
        <v>0</v>
      </c>
      <c r="ES14" s="55">
        <f t="shared" si="3"/>
        <v>0</v>
      </c>
      <c r="ET14" s="55">
        <f t="shared" si="3"/>
        <v>0</v>
      </c>
      <c r="EU14" s="55">
        <f t="shared" si="3"/>
        <v>0</v>
      </c>
      <c r="EV14" s="55">
        <f t="shared" si="3"/>
        <v>0</v>
      </c>
      <c r="EW14" s="55">
        <f t="shared" si="3"/>
        <v>0</v>
      </c>
      <c r="EX14" s="55">
        <f t="shared" si="3"/>
        <v>0</v>
      </c>
      <c r="EY14" s="55">
        <f t="shared" si="3"/>
        <v>0</v>
      </c>
      <c r="EZ14" s="55">
        <f t="shared" si="3"/>
        <v>0</v>
      </c>
      <c r="FA14" s="55">
        <f t="shared" si="3"/>
        <v>0</v>
      </c>
      <c r="FB14" s="55">
        <f>DG14</f>
        <v>0</v>
      </c>
      <c r="FC14" s="55">
        <f>DI14</f>
        <v>0</v>
      </c>
      <c r="FD14" s="55">
        <f t="shared" si="3"/>
        <v>0</v>
      </c>
      <c r="FE14" s="55">
        <f t="shared" si="3"/>
        <v>0</v>
      </c>
      <c r="FF14" s="55">
        <f t="shared" si="3"/>
        <v>0</v>
      </c>
      <c r="FG14" s="55">
        <f t="shared" si="3"/>
        <v>0</v>
      </c>
      <c r="FH14" s="55">
        <f t="shared" si="3"/>
        <v>0</v>
      </c>
      <c r="FI14" s="55">
        <f t="shared" si="3"/>
        <v>0</v>
      </c>
      <c r="FJ14" s="55">
        <f t="shared" si="3"/>
        <v>0</v>
      </c>
      <c r="FK14" s="55">
        <f t="shared" si="3"/>
        <v>0</v>
      </c>
      <c r="FL14" s="55">
        <f t="shared" si="3"/>
        <v>0</v>
      </c>
      <c r="FM14" s="55">
        <f t="shared" si="3"/>
        <v>0</v>
      </c>
      <c r="FN14" s="55">
        <f t="shared" si="3"/>
        <v>0</v>
      </c>
      <c r="FO14" s="55">
        <f t="shared" si="3"/>
        <v>0</v>
      </c>
      <c r="FP14" s="55">
        <f>DJ14</f>
        <v>0</v>
      </c>
      <c r="FQ14" s="55">
        <f>DH14</f>
        <v>0</v>
      </c>
      <c r="FR14" s="55">
        <f>DK14</f>
        <v>0</v>
      </c>
      <c r="FS14" s="55">
        <f t="shared" si="3"/>
        <v>0</v>
      </c>
      <c r="FT14" s="55">
        <f t="shared" si="3"/>
        <v>0</v>
      </c>
      <c r="FU14" s="55">
        <f t="shared" si="3"/>
        <v>0</v>
      </c>
      <c r="FV14" s="55">
        <f t="shared" si="3"/>
        <v>0</v>
      </c>
      <c r="FW14" s="55">
        <f t="shared" si="3"/>
        <v>0</v>
      </c>
      <c r="FX14" s="55">
        <f t="shared" si="3"/>
        <v>0</v>
      </c>
      <c r="FY14" s="55">
        <f t="shared" si="3"/>
        <v>0</v>
      </c>
      <c r="FZ14" s="55">
        <f t="shared" si="3"/>
        <v>0</v>
      </c>
      <c r="GA14" s="55">
        <f t="shared" si="3"/>
        <v>0</v>
      </c>
      <c r="GB14" s="55">
        <f t="shared" si="3"/>
        <v>0</v>
      </c>
      <c r="GC14" s="55">
        <f t="shared" si="3"/>
        <v>0</v>
      </c>
      <c r="GD14" s="55">
        <f t="shared" si="3"/>
        <v>0</v>
      </c>
      <c r="GE14" s="55">
        <f t="shared" si="3"/>
        <v>0</v>
      </c>
      <c r="GF14" s="55">
        <f t="shared" si="3"/>
        <v>0</v>
      </c>
      <c r="GG14" s="55">
        <f t="shared" si="3"/>
        <v>0</v>
      </c>
      <c r="GH14" s="55">
        <f t="shared" si="3"/>
        <v>0</v>
      </c>
      <c r="GI14" s="55">
        <f t="shared" si="3"/>
        <v>0</v>
      </c>
      <c r="GJ14" s="55">
        <f t="shared" si="3"/>
        <v>0</v>
      </c>
      <c r="GK14" s="55">
        <f t="shared" si="3"/>
        <v>0</v>
      </c>
      <c r="GL14" s="55">
        <f t="shared" si="3"/>
        <v>0</v>
      </c>
      <c r="GM14" s="55">
        <f t="shared" si="3"/>
        <v>0</v>
      </c>
      <c r="GN14" s="55">
        <f t="shared" si="3"/>
        <v>0</v>
      </c>
      <c r="GO14" s="55">
        <f t="shared" si="3"/>
        <v>0</v>
      </c>
      <c r="GP14" s="55">
        <f t="shared" si="3"/>
        <v>0</v>
      </c>
      <c r="GQ14" s="55">
        <f t="shared" si="3"/>
        <v>0</v>
      </c>
      <c r="GR14" s="55">
        <f t="shared" si="3"/>
        <v>0</v>
      </c>
      <c r="GS14" s="55">
        <f t="shared" si="3"/>
        <v>0</v>
      </c>
      <c r="GT14" s="55">
        <f t="shared" si="3"/>
        <v>0</v>
      </c>
      <c r="GU14" s="55">
        <f t="shared" si="3"/>
        <v>0</v>
      </c>
      <c r="GV14" s="55">
        <f t="shared" si="3"/>
        <v>0</v>
      </c>
      <c r="GW14" s="55">
        <f t="shared" si="3"/>
        <v>0</v>
      </c>
      <c r="GX14" s="55">
        <f t="shared" si="3"/>
        <v>0</v>
      </c>
      <c r="GY14" s="55">
        <f t="shared" si="3"/>
        <v>0</v>
      </c>
      <c r="GZ14" s="55">
        <f t="shared" si="3"/>
        <v>0</v>
      </c>
      <c r="HA14" s="55">
        <f t="shared" si="3"/>
        <v>0</v>
      </c>
      <c r="HB14" s="55">
        <f t="shared" si="3"/>
        <v>0</v>
      </c>
      <c r="HC14" s="55">
        <f t="shared" si="3"/>
        <v>0</v>
      </c>
      <c r="HD14" s="55">
        <f t="shared" ref="HD14:HH16" si="4">IF(VALUE(HD$13)&lt;20,INDEX($O$14:$DK$44,ROW($A1),VALUE(HD$13)),INDEX($O$14:$DK$44,ROW($A1),VALUE(HD$13)+1))</f>
        <v>0</v>
      </c>
      <c r="HE14" s="55">
        <f t="shared" si="4"/>
        <v>0</v>
      </c>
      <c r="HF14" s="55">
        <f t="shared" si="4"/>
        <v>0</v>
      </c>
      <c r="HG14" s="55">
        <f t="shared" si="4"/>
        <v>0</v>
      </c>
      <c r="HH14" s="55">
        <f t="shared" si="4"/>
        <v>0</v>
      </c>
    </row>
    <row r="15" spans="1:219" x14ac:dyDescent="0.15">
      <c r="B15" s="60">
        <f>IF((B14+1)&lt;=$F$6,(B14+1),"")</f>
        <v>43102</v>
      </c>
      <c r="C15" s="58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6"/>
      <c r="DF15" s="56"/>
      <c r="DG15" s="56"/>
      <c r="DH15" s="56"/>
      <c r="DI15" s="56"/>
      <c r="DJ15" s="56"/>
      <c r="DK15" s="56"/>
      <c r="DL15" s="56">
        <f t="shared" si="0"/>
        <v>0</v>
      </c>
      <c r="DM15" s="56">
        <f t="shared" si="0"/>
        <v>0</v>
      </c>
      <c r="DN15" s="56">
        <f t="shared" si="0"/>
        <v>0</v>
      </c>
      <c r="DO15" s="56">
        <f t="shared" si="0"/>
        <v>0</v>
      </c>
      <c r="DP15" s="56">
        <f t="shared" si="1"/>
        <v>0</v>
      </c>
      <c r="DQ15" s="56">
        <f t="shared" si="0"/>
        <v>0</v>
      </c>
      <c r="DR15" s="56">
        <f t="shared" si="0"/>
        <v>0</v>
      </c>
      <c r="DS15" s="56">
        <f t="shared" si="0"/>
        <v>0</v>
      </c>
      <c r="DT15" s="56">
        <f t="shared" si="0"/>
        <v>0</v>
      </c>
      <c r="DU15" s="56">
        <f t="shared" si="0"/>
        <v>0</v>
      </c>
      <c r="DV15" s="56">
        <f t="shared" si="0"/>
        <v>0</v>
      </c>
      <c r="DW15" s="56">
        <f t="shared" si="0"/>
        <v>0</v>
      </c>
      <c r="DX15" s="56">
        <f t="shared" si="0"/>
        <v>0</v>
      </c>
      <c r="DY15" s="56">
        <f t="shared" si="0"/>
        <v>0</v>
      </c>
      <c r="DZ15" s="56">
        <f t="shared" si="0"/>
        <v>0</v>
      </c>
      <c r="EA15" s="56">
        <f t="shared" si="0"/>
        <v>0</v>
      </c>
      <c r="EB15" s="56">
        <f t="shared" si="0"/>
        <v>0</v>
      </c>
      <c r="EC15" s="56">
        <f t="shared" si="0"/>
        <v>0</v>
      </c>
      <c r="ED15" s="56">
        <f t="shared" si="0"/>
        <v>0</v>
      </c>
      <c r="EE15" s="56">
        <f t="shared" si="0"/>
        <v>0</v>
      </c>
      <c r="EF15" s="56">
        <f t="shared" si="0"/>
        <v>0</v>
      </c>
      <c r="EG15" s="56">
        <f t="shared" si="0"/>
        <v>0</v>
      </c>
      <c r="EH15" s="56">
        <f t="shared" si="0"/>
        <v>0</v>
      </c>
      <c r="EI15" s="56">
        <f t="shared" si="0"/>
        <v>0</v>
      </c>
      <c r="EJ15" s="56">
        <f t="shared" si="0"/>
        <v>0</v>
      </c>
      <c r="EK15" s="56">
        <f t="shared" si="0"/>
        <v>0</v>
      </c>
      <c r="EL15" s="56">
        <f t="shared" si="0"/>
        <v>0</v>
      </c>
      <c r="EM15" s="56">
        <f t="shared" si="0"/>
        <v>0</v>
      </c>
      <c r="EN15" s="56">
        <f t="shared" si="0"/>
        <v>0</v>
      </c>
      <c r="EO15" s="56">
        <f t="shared" si="0"/>
        <v>0</v>
      </c>
      <c r="EP15" s="56">
        <f t="shared" ref="EP15:EP44" si="5">AH15</f>
        <v>0</v>
      </c>
      <c r="EQ15" s="56">
        <f t="shared" si="2"/>
        <v>0</v>
      </c>
      <c r="ER15" s="56">
        <f t="shared" si="3"/>
        <v>0</v>
      </c>
      <c r="ES15" s="56">
        <f t="shared" si="3"/>
        <v>0</v>
      </c>
      <c r="ET15" s="56">
        <f t="shared" si="3"/>
        <v>0</v>
      </c>
      <c r="EU15" s="56">
        <f t="shared" si="3"/>
        <v>0</v>
      </c>
      <c r="EV15" s="56">
        <f t="shared" si="3"/>
        <v>0</v>
      </c>
      <c r="EW15" s="56">
        <f t="shared" si="3"/>
        <v>0</v>
      </c>
      <c r="EX15" s="56">
        <f t="shared" si="3"/>
        <v>0</v>
      </c>
      <c r="EY15" s="56">
        <f t="shared" si="3"/>
        <v>0</v>
      </c>
      <c r="EZ15" s="56">
        <f t="shared" si="3"/>
        <v>0</v>
      </c>
      <c r="FA15" s="56">
        <f t="shared" si="3"/>
        <v>0</v>
      </c>
      <c r="FB15" s="56">
        <f t="shared" ref="FB15:FB44" si="6">DG15</f>
        <v>0</v>
      </c>
      <c r="FC15" s="56">
        <f t="shared" ref="FC15:FC44" si="7">DI15</f>
        <v>0</v>
      </c>
      <c r="FD15" s="56">
        <f t="shared" si="3"/>
        <v>0</v>
      </c>
      <c r="FE15" s="56">
        <f t="shared" si="3"/>
        <v>0</v>
      </c>
      <c r="FF15" s="56">
        <f t="shared" si="3"/>
        <v>0</v>
      </c>
      <c r="FG15" s="56">
        <f t="shared" si="3"/>
        <v>0</v>
      </c>
      <c r="FH15" s="56">
        <f t="shared" si="3"/>
        <v>0</v>
      </c>
      <c r="FI15" s="56">
        <f t="shared" si="3"/>
        <v>0</v>
      </c>
      <c r="FJ15" s="56">
        <f t="shared" si="3"/>
        <v>0</v>
      </c>
      <c r="FK15" s="56">
        <f t="shared" si="3"/>
        <v>0</v>
      </c>
      <c r="FL15" s="56">
        <f t="shared" si="3"/>
        <v>0</v>
      </c>
      <c r="FM15" s="56">
        <f t="shared" si="3"/>
        <v>0</v>
      </c>
      <c r="FN15" s="56">
        <f t="shared" si="3"/>
        <v>0</v>
      </c>
      <c r="FO15" s="56">
        <f t="shared" si="3"/>
        <v>0</v>
      </c>
      <c r="FP15" s="56">
        <f t="shared" ref="FP15:FP44" si="8">DJ15</f>
        <v>0</v>
      </c>
      <c r="FQ15" s="56">
        <f t="shared" ref="FQ15:FQ44" si="9">DH15</f>
        <v>0</v>
      </c>
      <c r="FR15" s="56">
        <f t="shared" ref="FR15:FR44" si="10">DK15</f>
        <v>0</v>
      </c>
      <c r="FS15" s="56">
        <f t="shared" si="3"/>
        <v>0</v>
      </c>
      <c r="FT15" s="56">
        <f t="shared" si="3"/>
        <v>0</v>
      </c>
      <c r="FU15" s="56">
        <f t="shared" si="3"/>
        <v>0</v>
      </c>
      <c r="FV15" s="56">
        <f t="shared" si="3"/>
        <v>0</v>
      </c>
      <c r="FW15" s="56">
        <f t="shared" si="3"/>
        <v>0</v>
      </c>
      <c r="FX15" s="56">
        <f t="shared" si="3"/>
        <v>0</v>
      </c>
      <c r="FY15" s="56">
        <f t="shared" si="3"/>
        <v>0</v>
      </c>
      <c r="FZ15" s="56">
        <f t="shared" si="3"/>
        <v>0</v>
      </c>
      <c r="GA15" s="56">
        <f t="shared" si="3"/>
        <v>0</v>
      </c>
      <c r="GB15" s="56">
        <f t="shared" si="3"/>
        <v>0</v>
      </c>
      <c r="GC15" s="56">
        <f t="shared" si="3"/>
        <v>0</v>
      </c>
      <c r="GD15" s="56">
        <f t="shared" si="3"/>
        <v>0</v>
      </c>
      <c r="GE15" s="56">
        <f t="shared" si="3"/>
        <v>0</v>
      </c>
      <c r="GF15" s="56">
        <f t="shared" si="3"/>
        <v>0</v>
      </c>
      <c r="GG15" s="56">
        <f t="shared" si="3"/>
        <v>0</v>
      </c>
      <c r="GH15" s="56">
        <f t="shared" si="3"/>
        <v>0</v>
      </c>
      <c r="GI15" s="56">
        <f t="shared" si="3"/>
        <v>0</v>
      </c>
      <c r="GJ15" s="56">
        <f t="shared" si="3"/>
        <v>0</v>
      </c>
      <c r="GK15" s="56">
        <f t="shared" si="3"/>
        <v>0</v>
      </c>
      <c r="GL15" s="56">
        <f t="shared" si="3"/>
        <v>0</v>
      </c>
      <c r="GM15" s="56">
        <f t="shared" si="3"/>
        <v>0</v>
      </c>
      <c r="GN15" s="56">
        <f t="shared" si="3"/>
        <v>0</v>
      </c>
      <c r="GO15" s="56">
        <f t="shared" si="3"/>
        <v>0</v>
      </c>
      <c r="GP15" s="56">
        <f t="shared" si="3"/>
        <v>0</v>
      </c>
      <c r="GQ15" s="56">
        <f t="shared" si="3"/>
        <v>0</v>
      </c>
      <c r="GR15" s="56">
        <f t="shared" si="3"/>
        <v>0</v>
      </c>
      <c r="GS15" s="56">
        <f t="shared" si="3"/>
        <v>0</v>
      </c>
      <c r="GT15" s="56">
        <f t="shared" si="3"/>
        <v>0</v>
      </c>
      <c r="GU15" s="56">
        <f t="shared" si="3"/>
        <v>0</v>
      </c>
      <c r="GV15" s="56">
        <f t="shared" si="3"/>
        <v>0</v>
      </c>
      <c r="GW15" s="56">
        <f t="shared" si="3"/>
        <v>0</v>
      </c>
      <c r="GX15" s="56">
        <f t="shared" si="3"/>
        <v>0</v>
      </c>
      <c r="GY15" s="56">
        <f t="shared" si="3"/>
        <v>0</v>
      </c>
      <c r="GZ15" s="56">
        <f t="shared" si="3"/>
        <v>0</v>
      </c>
      <c r="HA15" s="56">
        <f t="shared" si="3"/>
        <v>0</v>
      </c>
      <c r="HB15" s="56">
        <f t="shared" si="3"/>
        <v>0</v>
      </c>
      <c r="HC15" s="56">
        <f t="shared" si="3"/>
        <v>0</v>
      </c>
      <c r="HD15" s="56">
        <f t="shared" si="4"/>
        <v>0</v>
      </c>
      <c r="HE15" s="56">
        <f t="shared" si="4"/>
        <v>0</v>
      </c>
      <c r="HF15" s="56">
        <f t="shared" si="4"/>
        <v>0</v>
      </c>
      <c r="HG15" s="56">
        <f t="shared" si="4"/>
        <v>0</v>
      </c>
      <c r="HH15" s="56">
        <f t="shared" si="4"/>
        <v>0</v>
      </c>
    </row>
    <row r="16" spans="1:219" x14ac:dyDescent="0.15">
      <c r="B16" s="59">
        <f t="shared" ref="B16:B43" si="11">IF((B15+1)&lt;=$F$6,(B15+1),"")</f>
        <v>43103</v>
      </c>
      <c r="C16" s="57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>
        <f t="shared" si="0"/>
        <v>0</v>
      </c>
      <c r="DM16" s="55">
        <f t="shared" si="0"/>
        <v>0</v>
      </c>
      <c r="DN16" s="55">
        <f t="shared" si="0"/>
        <v>0</v>
      </c>
      <c r="DO16" s="55">
        <f t="shared" si="0"/>
        <v>0</v>
      </c>
      <c r="DP16" s="55">
        <f t="shared" si="1"/>
        <v>0</v>
      </c>
      <c r="DQ16" s="55">
        <f t="shared" si="0"/>
        <v>0</v>
      </c>
      <c r="DR16" s="55">
        <f t="shared" si="0"/>
        <v>0</v>
      </c>
      <c r="DS16" s="55">
        <f t="shared" si="0"/>
        <v>0</v>
      </c>
      <c r="DT16" s="55">
        <f t="shared" si="0"/>
        <v>0</v>
      </c>
      <c r="DU16" s="55">
        <f t="shared" si="0"/>
        <v>0</v>
      </c>
      <c r="DV16" s="55">
        <f t="shared" si="0"/>
        <v>0</v>
      </c>
      <c r="DW16" s="55">
        <f t="shared" si="0"/>
        <v>0</v>
      </c>
      <c r="DX16" s="55">
        <f t="shared" si="0"/>
        <v>0</v>
      </c>
      <c r="DY16" s="55">
        <f t="shared" si="0"/>
        <v>0</v>
      </c>
      <c r="DZ16" s="55">
        <f t="shared" si="0"/>
        <v>0</v>
      </c>
      <c r="EA16" s="55">
        <f t="shared" si="0"/>
        <v>0</v>
      </c>
      <c r="EB16" s="55">
        <f t="shared" si="0"/>
        <v>0</v>
      </c>
      <c r="EC16" s="55">
        <f t="shared" si="0"/>
        <v>0</v>
      </c>
      <c r="ED16" s="55">
        <f t="shared" si="0"/>
        <v>0</v>
      </c>
      <c r="EE16" s="55">
        <f t="shared" si="0"/>
        <v>0</v>
      </c>
      <c r="EF16" s="55">
        <f t="shared" si="0"/>
        <v>0</v>
      </c>
      <c r="EG16" s="55">
        <f t="shared" si="0"/>
        <v>0</v>
      </c>
      <c r="EH16" s="55">
        <f t="shared" si="0"/>
        <v>0</v>
      </c>
      <c r="EI16" s="55">
        <f t="shared" si="0"/>
        <v>0</v>
      </c>
      <c r="EJ16" s="55">
        <f t="shared" si="0"/>
        <v>0</v>
      </c>
      <c r="EK16" s="55">
        <f t="shared" si="0"/>
        <v>0</v>
      </c>
      <c r="EL16" s="55">
        <f t="shared" si="0"/>
        <v>0</v>
      </c>
      <c r="EM16" s="55">
        <f t="shared" si="0"/>
        <v>0</v>
      </c>
      <c r="EN16" s="55">
        <f t="shared" si="0"/>
        <v>0</v>
      </c>
      <c r="EO16" s="55">
        <f t="shared" si="0"/>
        <v>0</v>
      </c>
      <c r="EP16" s="55">
        <f t="shared" si="5"/>
        <v>0</v>
      </c>
      <c r="EQ16" s="55">
        <f t="shared" si="2"/>
        <v>0</v>
      </c>
      <c r="ER16" s="55">
        <f t="shared" si="3"/>
        <v>0</v>
      </c>
      <c r="ES16" s="55">
        <f t="shared" si="3"/>
        <v>0</v>
      </c>
      <c r="ET16" s="55">
        <f t="shared" si="3"/>
        <v>0</v>
      </c>
      <c r="EU16" s="55">
        <f t="shared" si="3"/>
        <v>0</v>
      </c>
      <c r="EV16" s="55">
        <f t="shared" si="3"/>
        <v>0</v>
      </c>
      <c r="EW16" s="55">
        <f t="shared" si="3"/>
        <v>0</v>
      </c>
      <c r="EX16" s="55">
        <f t="shared" si="3"/>
        <v>0</v>
      </c>
      <c r="EY16" s="55">
        <f t="shared" si="3"/>
        <v>0</v>
      </c>
      <c r="EZ16" s="55">
        <f t="shared" si="3"/>
        <v>0</v>
      </c>
      <c r="FA16" s="55">
        <f t="shared" si="3"/>
        <v>0</v>
      </c>
      <c r="FB16" s="55">
        <f t="shared" si="6"/>
        <v>0</v>
      </c>
      <c r="FC16" s="55">
        <f t="shared" si="7"/>
        <v>0</v>
      </c>
      <c r="FD16" s="55">
        <f t="shared" si="3"/>
        <v>0</v>
      </c>
      <c r="FE16" s="55">
        <f t="shared" si="3"/>
        <v>0</v>
      </c>
      <c r="FF16" s="55">
        <f t="shared" si="3"/>
        <v>0</v>
      </c>
      <c r="FG16" s="55">
        <f t="shared" si="3"/>
        <v>0</v>
      </c>
      <c r="FH16" s="55">
        <f t="shared" si="3"/>
        <v>0</v>
      </c>
      <c r="FI16" s="55">
        <f t="shared" si="3"/>
        <v>0</v>
      </c>
      <c r="FJ16" s="55">
        <f t="shared" si="3"/>
        <v>0</v>
      </c>
      <c r="FK16" s="55">
        <f t="shared" si="3"/>
        <v>0</v>
      </c>
      <c r="FL16" s="55">
        <f t="shared" si="3"/>
        <v>0</v>
      </c>
      <c r="FM16" s="55">
        <f t="shared" si="3"/>
        <v>0</v>
      </c>
      <c r="FN16" s="55">
        <f t="shared" si="3"/>
        <v>0</v>
      </c>
      <c r="FO16" s="55">
        <f t="shared" si="3"/>
        <v>0</v>
      </c>
      <c r="FP16" s="55">
        <f t="shared" si="8"/>
        <v>0</v>
      </c>
      <c r="FQ16" s="55">
        <f t="shared" si="9"/>
        <v>0</v>
      </c>
      <c r="FR16" s="55">
        <f t="shared" si="10"/>
        <v>0</v>
      </c>
      <c r="FS16" s="55">
        <f t="shared" si="3"/>
        <v>0</v>
      </c>
      <c r="FT16" s="55">
        <f t="shared" si="3"/>
        <v>0</v>
      </c>
      <c r="FU16" s="55">
        <f t="shared" si="3"/>
        <v>0</v>
      </c>
      <c r="FV16" s="55">
        <f t="shared" si="3"/>
        <v>0</v>
      </c>
      <c r="FW16" s="55">
        <f t="shared" si="3"/>
        <v>0</v>
      </c>
      <c r="FX16" s="55">
        <f t="shared" si="3"/>
        <v>0</v>
      </c>
      <c r="FY16" s="55">
        <f t="shared" si="3"/>
        <v>0</v>
      </c>
      <c r="FZ16" s="55">
        <f t="shared" si="3"/>
        <v>0</v>
      </c>
      <c r="GA16" s="55">
        <f t="shared" si="3"/>
        <v>0</v>
      </c>
      <c r="GB16" s="55">
        <f t="shared" si="3"/>
        <v>0</v>
      </c>
      <c r="GC16" s="55">
        <f t="shared" si="3"/>
        <v>0</v>
      </c>
      <c r="GD16" s="55">
        <f t="shared" si="3"/>
        <v>0</v>
      </c>
      <c r="GE16" s="55">
        <f t="shared" si="3"/>
        <v>0</v>
      </c>
      <c r="GF16" s="55">
        <f t="shared" si="3"/>
        <v>0</v>
      </c>
      <c r="GG16" s="55">
        <f t="shared" si="3"/>
        <v>0</v>
      </c>
      <c r="GH16" s="55">
        <f t="shared" si="3"/>
        <v>0</v>
      </c>
      <c r="GI16" s="55">
        <f t="shared" si="3"/>
        <v>0</v>
      </c>
      <c r="GJ16" s="55">
        <f t="shared" si="3"/>
        <v>0</v>
      </c>
      <c r="GK16" s="55">
        <f t="shared" si="3"/>
        <v>0</v>
      </c>
      <c r="GL16" s="55">
        <f t="shared" si="3"/>
        <v>0</v>
      </c>
      <c r="GM16" s="55">
        <f t="shared" si="3"/>
        <v>0</v>
      </c>
      <c r="GN16" s="55">
        <f t="shared" si="3"/>
        <v>0</v>
      </c>
      <c r="GO16" s="55">
        <f t="shared" si="3"/>
        <v>0</v>
      </c>
      <c r="GP16" s="55">
        <f t="shared" si="3"/>
        <v>0</v>
      </c>
      <c r="GQ16" s="55">
        <f t="shared" si="3"/>
        <v>0</v>
      </c>
      <c r="GR16" s="55">
        <f t="shared" si="3"/>
        <v>0</v>
      </c>
      <c r="GS16" s="55">
        <f t="shared" si="3"/>
        <v>0</v>
      </c>
      <c r="GT16" s="55">
        <f t="shared" si="3"/>
        <v>0</v>
      </c>
      <c r="GU16" s="55">
        <f t="shared" si="3"/>
        <v>0</v>
      </c>
      <c r="GV16" s="55">
        <f t="shared" si="3"/>
        <v>0</v>
      </c>
      <c r="GW16" s="55">
        <f t="shared" si="3"/>
        <v>0</v>
      </c>
      <c r="GX16" s="55">
        <f t="shared" si="3"/>
        <v>0</v>
      </c>
      <c r="GY16" s="55">
        <f t="shared" si="3"/>
        <v>0</v>
      </c>
      <c r="GZ16" s="55">
        <f t="shared" si="3"/>
        <v>0</v>
      </c>
      <c r="HA16" s="55">
        <f t="shared" si="3"/>
        <v>0</v>
      </c>
      <c r="HB16" s="55">
        <f t="shared" si="3"/>
        <v>0</v>
      </c>
      <c r="HC16" s="55">
        <f t="shared" si="3"/>
        <v>0</v>
      </c>
      <c r="HD16" s="55">
        <f t="shared" si="4"/>
        <v>0</v>
      </c>
      <c r="HE16" s="55">
        <f t="shared" si="4"/>
        <v>0</v>
      </c>
      <c r="HF16" s="55">
        <f t="shared" si="4"/>
        <v>0</v>
      </c>
      <c r="HG16" s="55">
        <f t="shared" si="4"/>
        <v>0</v>
      </c>
      <c r="HH16" s="55">
        <f t="shared" si="4"/>
        <v>0</v>
      </c>
    </row>
    <row r="17" spans="2:216" x14ac:dyDescent="0.15">
      <c r="B17" s="60">
        <f t="shared" si="11"/>
        <v>43104</v>
      </c>
      <c r="C17" s="58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56"/>
      <c r="DB17" s="56"/>
      <c r="DC17" s="56"/>
      <c r="DD17" s="56"/>
      <c r="DE17" s="56"/>
      <c r="DF17" s="56"/>
      <c r="DG17" s="56"/>
      <c r="DH17" s="56"/>
      <c r="DI17" s="56"/>
      <c r="DJ17" s="56"/>
      <c r="DK17" s="56"/>
      <c r="DL17" s="56">
        <f t="shared" si="0"/>
        <v>0</v>
      </c>
      <c r="DM17" s="56">
        <f t="shared" si="0"/>
        <v>0</v>
      </c>
      <c r="DN17" s="56">
        <f t="shared" si="0"/>
        <v>0</v>
      </c>
      <c r="DO17" s="56">
        <f t="shared" si="0"/>
        <v>0</v>
      </c>
      <c r="DP17" s="69">
        <f t="shared" si="1"/>
        <v>0</v>
      </c>
      <c r="DQ17" s="56">
        <f t="shared" si="0"/>
        <v>0</v>
      </c>
      <c r="DR17" s="56">
        <f t="shared" si="0"/>
        <v>0</v>
      </c>
      <c r="DS17" s="56">
        <f t="shared" si="0"/>
        <v>0</v>
      </c>
      <c r="DT17" s="56">
        <f t="shared" si="0"/>
        <v>0</v>
      </c>
      <c r="DU17" s="56">
        <f t="shared" si="0"/>
        <v>0</v>
      </c>
      <c r="DV17" s="56">
        <f t="shared" si="0"/>
        <v>0</v>
      </c>
      <c r="DW17" s="56">
        <f t="shared" si="0"/>
        <v>0</v>
      </c>
      <c r="DX17" s="56">
        <f t="shared" si="0"/>
        <v>0</v>
      </c>
      <c r="DY17" s="56">
        <f t="shared" si="0"/>
        <v>0</v>
      </c>
      <c r="DZ17" s="56">
        <f t="shared" si="0"/>
        <v>0</v>
      </c>
      <c r="EA17" s="56">
        <f t="shared" si="0"/>
        <v>0</v>
      </c>
      <c r="EB17" s="56">
        <f t="shared" si="0"/>
        <v>0</v>
      </c>
      <c r="EC17" s="56">
        <f t="shared" si="0"/>
        <v>0</v>
      </c>
      <c r="ED17" s="56">
        <f t="shared" si="0"/>
        <v>0</v>
      </c>
      <c r="EE17" s="56">
        <f t="shared" si="0"/>
        <v>0</v>
      </c>
      <c r="EF17" s="56">
        <f t="shared" si="0"/>
        <v>0</v>
      </c>
      <c r="EG17" s="56">
        <f t="shared" si="0"/>
        <v>0</v>
      </c>
      <c r="EH17" s="56">
        <f t="shared" si="0"/>
        <v>0</v>
      </c>
      <c r="EI17" s="56">
        <f t="shared" si="0"/>
        <v>0</v>
      </c>
      <c r="EJ17" s="56">
        <f t="shared" si="0"/>
        <v>0</v>
      </c>
      <c r="EK17" s="56">
        <f t="shared" si="0"/>
        <v>0</v>
      </c>
      <c r="EL17" s="56">
        <f t="shared" si="0"/>
        <v>0</v>
      </c>
      <c r="EM17" s="56">
        <f t="shared" si="0"/>
        <v>0</v>
      </c>
      <c r="EN17" s="56">
        <f t="shared" si="0"/>
        <v>0</v>
      </c>
      <c r="EO17" s="56">
        <f t="shared" si="0"/>
        <v>0</v>
      </c>
      <c r="EP17" s="56">
        <f t="shared" si="5"/>
        <v>0</v>
      </c>
      <c r="EQ17" s="56">
        <f t="shared" si="2"/>
        <v>0</v>
      </c>
      <c r="ER17" s="56">
        <f t="shared" si="3"/>
        <v>0</v>
      </c>
      <c r="ES17" s="56">
        <f t="shared" si="3"/>
        <v>0</v>
      </c>
      <c r="ET17" s="56">
        <f t="shared" si="3"/>
        <v>0</v>
      </c>
      <c r="EU17" s="56">
        <f t="shared" si="3"/>
        <v>0</v>
      </c>
      <c r="EV17" s="56">
        <f t="shared" si="3"/>
        <v>0</v>
      </c>
      <c r="EW17" s="56">
        <f t="shared" si="3"/>
        <v>0</v>
      </c>
      <c r="EX17" s="56">
        <f t="shared" si="3"/>
        <v>0</v>
      </c>
      <c r="EY17" s="56">
        <f t="shared" si="3"/>
        <v>0</v>
      </c>
      <c r="EZ17" s="56">
        <f t="shared" si="3"/>
        <v>0</v>
      </c>
      <c r="FA17" s="56">
        <f t="shared" si="3"/>
        <v>0</v>
      </c>
      <c r="FB17" s="56">
        <f t="shared" si="6"/>
        <v>0</v>
      </c>
      <c r="FC17" s="56">
        <f t="shared" si="7"/>
        <v>0</v>
      </c>
      <c r="FD17" s="56">
        <f t="shared" si="3"/>
        <v>0</v>
      </c>
      <c r="FE17" s="56">
        <f t="shared" si="3"/>
        <v>0</v>
      </c>
      <c r="FF17" s="56">
        <f t="shared" si="3"/>
        <v>0</v>
      </c>
      <c r="FG17" s="56">
        <f t="shared" si="3"/>
        <v>0</v>
      </c>
      <c r="FH17" s="56">
        <f t="shared" si="3"/>
        <v>0</v>
      </c>
      <c r="FI17" s="56">
        <f t="shared" si="3"/>
        <v>0</v>
      </c>
      <c r="FJ17" s="56">
        <f t="shared" si="3"/>
        <v>0</v>
      </c>
      <c r="FK17" s="56">
        <f t="shared" si="3"/>
        <v>0</v>
      </c>
      <c r="FL17" s="56">
        <f t="shared" si="3"/>
        <v>0</v>
      </c>
      <c r="FM17" s="56">
        <f t="shared" si="3"/>
        <v>0</v>
      </c>
      <c r="FN17" s="56">
        <f t="shared" si="3"/>
        <v>0</v>
      </c>
      <c r="FO17" s="56">
        <f t="shared" si="3"/>
        <v>0</v>
      </c>
      <c r="FP17" s="56">
        <f t="shared" si="8"/>
        <v>0</v>
      </c>
      <c r="FQ17" s="56">
        <f t="shared" si="9"/>
        <v>0</v>
      </c>
      <c r="FR17" s="56">
        <f t="shared" si="10"/>
        <v>0</v>
      </c>
      <c r="FS17" s="56">
        <f t="shared" si="3"/>
        <v>0</v>
      </c>
      <c r="FT17" s="56">
        <f t="shared" si="3"/>
        <v>0</v>
      </c>
      <c r="FU17" s="56">
        <f t="shared" si="3"/>
        <v>0</v>
      </c>
      <c r="FV17" s="56">
        <f t="shared" si="3"/>
        <v>0</v>
      </c>
      <c r="FW17" s="56">
        <f t="shared" si="3"/>
        <v>0</v>
      </c>
      <c r="FX17" s="56">
        <f t="shared" si="3"/>
        <v>0</v>
      </c>
      <c r="FY17" s="56">
        <f t="shared" si="3"/>
        <v>0</v>
      </c>
      <c r="FZ17" s="56">
        <f t="shared" si="3"/>
        <v>0</v>
      </c>
      <c r="GA17" s="56">
        <f t="shared" si="3"/>
        <v>0</v>
      </c>
      <c r="GB17" s="56">
        <f t="shared" si="3"/>
        <v>0</v>
      </c>
      <c r="GC17" s="56">
        <f t="shared" si="3"/>
        <v>0</v>
      </c>
      <c r="GD17" s="56">
        <f t="shared" si="3"/>
        <v>0</v>
      </c>
      <c r="GE17" s="56">
        <f t="shared" si="3"/>
        <v>0</v>
      </c>
      <c r="GF17" s="56">
        <f t="shared" si="3"/>
        <v>0</v>
      </c>
      <c r="GG17" s="56">
        <f t="shared" si="3"/>
        <v>0</v>
      </c>
      <c r="GH17" s="56">
        <f t="shared" si="3"/>
        <v>0</v>
      </c>
      <c r="GI17" s="56">
        <f t="shared" si="3"/>
        <v>0</v>
      </c>
      <c r="GJ17" s="56">
        <f t="shared" si="3"/>
        <v>0</v>
      </c>
      <c r="GK17" s="56">
        <f t="shared" si="3"/>
        <v>0</v>
      </c>
      <c r="GL17" s="56">
        <f t="shared" si="3"/>
        <v>0</v>
      </c>
      <c r="GM17" s="56">
        <f t="shared" si="3"/>
        <v>0</v>
      </c>
      <c r="GN17" s="56">
        <f t="shared" si="3"/>
        <v>0</v>
      </c>
      <c r="GO17" s="56">
        <f t="shared" si="3"/>
        <v>0</v>
      </c>
      <c r="GP17" s="56">
        <f t="shared" si="3"/>
        <v>0</v>
      </c>
      <c r="GQ17" s="56">
        <f t="shared" si="3"/>
        <v>0</v>
      </c>
      <c r="GR17" s="56">
        <f t="shared" si="3"/>
        <v>0</v>
      </c>
      <c r="GS17" s="56">
        <f t="shared" si="3"/>
        <v>0</v>
      </c>
      <c r="GT17" s="56">
        <f t="shared" si="3"/>
        <v>0</v>
      </c>
      <c r="GU17" s="56">
        <f t="shared" si="3"/>
        <v>0</v>
      </c>
      <c r="GV17" s="56">
        <f t="shared" si="3"/>
        <v>0</v>
      </c>
      <c r="GW17" s="56">
        <f t="shared" si="3"/>
        <v>0</v>
      </c>
      <c r="GX17" s="56">
        <f t="shared" si="3"/>
        <v>0</v>
      </c>
      <c r="GY17" s="56">
        <f t="shared" si="3"/>
        <v>0</v>
      </c>
      <c r="GZ17" s="56">
        <f t="shared" si="3"/>
        <v>0</v>
      </c>
      <c r="HA17" s="56">
        <f t="shared" si="3"/>
        <v>0</v>
      </c>
      <c r="HB17" s="56">
        <f t="shared" si="3"/>
        <v>0</v>
      </c>
      <c r="HC17" s="56">
        <f t="shared" ref="HC17:HH20" si="12">IF(VALUE(HC$13)&lt;20,INDEX($O$14:$DK$44,ROW($A4),VALUE(HC$13)),INDEX($O$14:$DK$44,ROW($A4),VALUE(HC$13)+1))</f>
        <v>0</v>
      </c>
      <c r="HD17" s="56">
        <f t="shared" si="12"/>
        <v>0</v>
      </c>
      <c r="HE17" s="56">
        <f t="shared" si="12"/>
        <v>0</v>
      </c>
      <c r="HF17" s="56">
        <f t="shared" si="12"/>
        <v>0</v>
      </c>
      <c r="HG17" s="56">
        <f t="shared" si="12"/>
        <v>0</v>
      </c>
      <c r="HH17" s="56">
        <f t="shared" si="12"/>
        <v>0</v>
      </c>
    </row>
    <row r="18" spans="2:216" x14ac:dyDescent="0.15">
      <c r="B18" s="59">
        <f t="shared" si="11"/>
        <v>43105</v>
      </c>
      <c r="C18" s="5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>
        <f t="shared" si="0"/>
        <v>0</v>
      </c>
      <c r="DM18" s="55">
        <f t="shared" si="0"/>
        <v>0</v>
      </c>
      <c r="DN18" s="55">
        <f t="shared" si="0"/>
        <v>0</v>
      </c>
      <c r="DO18" s="55">
        <f t="shared" si="0"/>
        <v>0</v>
      </c>
      <c r="DP18" s="55">
        <f t="shared" si="1"/>
        <v>0</v>
      </c>
      <c r="DQ18" s="55">
        <f t="shared" si="0"/>
        <v>0</v>
      </c>
      <c r="DR18" s="55">
        <f t="shared" si="0"/>
        <v>0</v>
      </c>
      <c r="DS18" s="55">
        <f t="shared" si="0"/>
        <v>0</v>
      </c>
      <c r="DT18" s="55">
        <f t="shared" si="0"/>
        <v>0</v>
      </c>
      <c r="DU18" s="55">
        <f t="shared" si="0"/>
        <v>0</v>
      </c>
      <c r="DV18" s="55">
        <f t="shared" si="0"/>
        <v>0</v>
      </c>
      <c r="DW18" s="55">
        <f t="shared" si="0"/>
        <v>0</v>
      </c>
      <c r="DX18" s="55">
        <f t="shared" si="0"/>
        <v>0</v>
      </c>
      <c r="DY18" s="55">
        <f t="shared" si="0"/>
        <v>0</v>
      </c>
      <c r="DZ18" s="55">
        <f t="shared" si="0"/>
        <v>0</v>
      </c>
      <c r="EA18" s="55">
        <f t="shared" si="0"/>
        <v>0</v>
      </c>
      <c r="EB18" s="55">
        <f t="shared" si="0"/>
        <v>0</v>
      </c>
      <c r="EC18" s="55">
        <f t="shared" si="0"/>
        <v>0</v>
      </c>
      <c r="ED18" s="55">
        <f t="shared" si="0"/>
        <v>0</v>
      </c>
      <c r="EE18" s="55">
        <f t="shared" si="0"/>
        <v>0</v>
      </c>
      <c r="EF18" s="55">
        <f t="shared" si="0"/>
        <v>0</v>
      </c>
      <c r="EG18" s="55">
        <f t="shared" si="0"/>
        <v>0</v>
      </c>
      <c r="EH18" s="55">
        <f t="shared" si="0"/>
        <v>0</v>
      </c>
      <c r="EI18" s="55">
        <f t="shared" si="0"/>
        <v>0</v>
      </c>
      <c r="EJ18" s="55">
        <f t="shared" si="0"/>
        <v>0</v>
      </c>
      <c r="EK18" s="55">
        <f t="shared" si="0"/>
        <v>0</v>
      </c>
      <c r="EL18" s="55">
        <f t="shared" si="0"/>
        <v>0</v>
      </c>
      <c r="EM18" s="55">
        <f t="shared" si="0"/>
        <v>0</v>
      </c>
      <c r="EN18" s="55">
        <f t="shared" si="0"/>
        <v>0</v>
      </c>
      <c r="EO18" s="55">
        <f t="shared" si="0"/>
        <v>0</v>
      </c>
      <c r="EP18" s="55">
        <f t="shared" si="5"/>
        <v>0</v>
      </c>
      <c r="EQ18" s="55">
        <f t="shared" si="2"/>
        <v>0</v>
      </c>
      <c r="ER18" s="55">
        <f t="shared" ref="ER18:HC21" si="13">IF(VALUE(ER$13)&lt;20,INDEX($O$14:$DK$44,ROW($A5),VALUE(ER$13)),INDEX($O$14:$DK$44,ROW($A5),VALUE(ER$13)+1))</f>
        <v>0</v>
      </c>
      <c r="ES18" s="55">
        <f t="shared" si="13"/>
        <v>0</v>
      </c>
      <c r="ET18" s="55">
        <f t="shared" si="13"/>
        <v>0</v>
      </c>
      <c r="EU18" s="55">
        <f t="shared" si="13"/>
        <v>0</v>
      </c>
      <c r="EV18" s="55">
        <f t="shared" si="13"/>
        <v>0</v>
      </c>
      <c r="EW18" s="55">
        <f t="shared" si="13"/>
        <v>0</v>
      </c>
      <c r="EX18" s="55">
        <f t="shared" si="13"/>
        <v>0</v>
      </c>
      <c r="EY18" s="55">
        <f t="shared" si="13"/>
        <v>0</v>
      </c>
      <c r="EZ18" s="55">
        <f t="shared" si="13"/>
        <v>0</v>
      </c>
      <c r="FA18" s="55">
        <f t="shared" si="13"/>
        <v>0</v>
      </c>
      <c r="FB18" s="55">
        <f t="shared" si="6"/>
        <v>0</v>
      </c>
      <c r="FC18" s="55">
        <f t="shared" si="7"/>
        <v>0</v>
      </c>
      <c r="FD18" s="55">
        <f t="shared" si="13"/>
        <v>0</v>
      </c>
      <c r="FE18" s="55">
        <f t="shared" si="13"/>
        <v>0</v>
      </c>
      <c r="FF18" s="55">
        <f t="shared" si="13"/>
        <v>0</v>
      </c>
      <c r="FG18" s="55">
        <f t="shared" si="13"/>
        <v>0</v>
      </c>
      <c r="FH18" s="55">
        <f t="shared" si="13"/>
        <v>0</v>
      </c>
      <c r="FI18" s="55">
        <f t="shared" si="13"/>
        <v>0</v>
      </c>
      <c r="FJ18" s="55">
        <f t="shared" si="13"/>
        <v>0</v>
      </c>
      <c r="FK18" s="55">
        <f t="shared" si="13"/>
        <v>0</v>
      </c>
      <c r="FL18" s="55">
        <f t="shared" si="13"/>
        <v>0</v>
      </c>
      <c r="FM18" s="55">
        <f t="shared" si="13"/>
        <v>0</v>
      </c>
      <c r="FN18" s="55">
        <f t="shared" si="13"/>
        <v>0</v>
      </c>
      <c r="FO18" s="55">
        <f t="shared" si="13"/>
        <v>0</v>
      </c>
      <c r="FP18" s="55">
        <f t="shared" si="8"/>
        <v>0</v>
      </c>
      <c r="FQ18" s="55">
        <f t="shared" si="9"/>
        <v>0</v>
      </c>
      <c r="FR18" s="55">
        <f t="shared" si="10"/>
        <v>0</v>
      </c>
      <c r="FS18" s="55">
        <f t="shared" si="13"/>
        <v>0</v>
      </c>
      <c r="FT18" s="55">
        <f t="shared" si="13"/>
        <v>0</v>
      </c>
      <c r="FU18" s="55">
        <f t="shared" si="13"/>
        <v>0</v>
      </c>
      <c r="FV18" s="55">
        <f t="shared" si="13"/>
        <v>0</v>
      </c>
      <c r="FW18" s="55">
        <f t="shared" si="13"/>
        <v>0</v>
      </c>
      <c r="FX18" s="55">
        <f t="shared" si="13"/>
        <v>0</v>
      </c>
      <c r="FY18" s="55">
        <f t="shared" si="13"/>
        <v>0</v>
      </c>
      <c r="FZ18" s="55">
        <f t="shared" si="13"/>
        <v>0</v>
      </c>
      <c r="GA18" s="55">
        <f t="shared" si="13"/>
        <v>0</v>
      </c>
      <c r="GB18" s="55">
        <f t="shared" si="13"/>
        <v>0</v>
      </c>
      <c r="GC18" s="55">
        <f t="shared" si="13"/>
        <v>0</v>
      </c>
      <c r="GD18" s="55">
        <f t="shared" si="13"/>
        <v>0</v>
      </c>
      <c r="GE18" s="55">
        <f t="shared" si="13"/>
        <v>0</v>
      </c>
      <c r="GF18" s="55">
        <f t="shared" si="13"/>
        <v>0</v>
      </c>
      <c r="GG18" s="55">
        <f t="shared" si="13"/>
        <v>0</v>
      </c>
      <c r="GH18" s="55">
        <f t="shared" si="13"/>
        <v>0</v>
      </c>
      <c r="GI18" s="55">
        <f t="shared" si="13"/>
        <v>0</v>
      </c>
      <c r="GJ18" s="55">
        <f t="shared" si="13"/>
        <v>0</v>
      </c>
      <c r="GK18" s="55">
        <f t="shared" si="13"/>
        <v>0</v>
      </c>
      <c r="GL18" s="55">
        <f t="shared" si="13"/>
        <v>0</v>
      </c>
      <c r="GM18" s="55">
        <f t="shared" si="13"/>
        <v>0</v>
      </c>
      <c r="GN18" s="55">
        <f t="shared" si="13"/>
        <v>0</v>
      </c>
      <c r="GO18" s="55">
        <f t="shared" si="13"/>
        <v>0</v>
      </c>
      <c r="GP18" s="55">
        <f t="shared" si="13"/>
        <v>0</v>
      </c>
      <c r="GQ18" s="55">
        <f t="shared" si="13"/>
        <v>0</v>
      </c>
      <c r="GR18" s="55">
        <f t="shared" si="13"/>
        <v>0</v>
      </c>
      <c r="GS18" s="55">
        <f t="shared" si="13"/>
        <v>0</v>
      </c>
      <c r="GT18" s="55">
        <f t="shared" si="13"/>
        <v>0</v>
      </c>
      <c r="GU18" s="55">
        <f t="shared" si="13"/>
        <v>0</v>
      </c>
      <c r="GV18" s="55">
        <f t="shared" si="13"/>
        <v>0</v>
      </c>
      <c r="GW18" s="55">
        <f t="shared" si="13"/>
        <v>0</v>
      </c>
      <c r="GX18" s="55">
        <f t="shared" si="13"/>
        <v>0</v>
      </c>
      <c r="GY18" s="55">
        <f t="shared" si="13"/>
        <v>0</v>
      </c>
      <c r="GZ18" s="55">
        <f t="shared" si="13"/>
        <v>0</v>
      </c>
      <c r="HA18" s="55">
        <f t="shared" si="13"/>
        <v>0</v>
      </c>
      <c r="HB18" s="55">
        <f t="shared" si="13"/>
        <v>0</v>
      </c>
      <c r="HC18" s="55">
        <f t="shared" si="13"/>
        <v>0</v>
      </c>
      <c r="HD18" s="55">
        <f t="shared" si="12"/>
        <v>0</v>
      </c>
      <c r="HE18" s="55">
        <f t="shared" si="12"/>
        <v>0</v>
      </c>
      <c r="HF18" s="55">
        <f t="shared" si="12"/>
        <v>0</v>
      </c>
      <c r="HG18" s="55">
        <f t="shared" si="12"/>
        <v>0</v>
      </c>
      <c r="HH18" s="55">
        <f t="shared" si="12"/>
        <v>0</v>
      </c>
    </row>
    <row r="19" spans="2:216" x14ac:dyDescent="0.15">
      <c r="B19" s="60">
        <f t="shared" si="11"/>
        <v>43106</v>
      </c>
      <c r="C19" s="58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56"/>
      <c r="CW19" s="56"/>
      <c r="CX19" s="56"/>
      <c r="CY19" s="56"/>
      <c r="CZ19" s="56"/>
      <c r="DA19" s="56"/>
      <c r="DB19" s="56"/>
      <c r="DC19" s="56"/>
      <c r="DD19" s="56"/>
      <c r="DE19" s="56"/>
      <c r="DF19" s="56"/>
      <c r="DG19" s="56"/>
      <c r="DH19" s="56"/>
      <c r="DI19" s="56"/>
      <c r="DJ19" s="56"/>
      <c r="DK19" s="56"/>
      <c r="DL19" s="56">
        <f t="shared" si="0"/>
        <v>0</v>
      </c>
      <c r="DM19" s="56">
        <f t="shared" si="0"/>
        <v>0</v>
      </c>
      <c r="DN19" s="56">
        <f t="shared" si="0"/>
        <v>0</v>
      </c>
      <c r="DO19" s="56">
        <f t="shared" si="0"/>
        <v>0</v>
      </c>
      <c r="DP19" s="56">
        <f t="shared" si="1"/>
        <v>0</v>
      </c>
      <c r="DQ19" s="56">
        <f t="shared" si="0"/>
        <v>0</v>
      </c>
      <c r="DR19" s="56">
        <f t="shared" si="0"/>
        <v>0</v>
      </c>
      <c r="DS19" s="56">
        <f t="shared" si="0"/>
        <v>0</v>
      </c>
      <c r="DT19" s="56">
        <f t="shared" si="0"/>
        <v>0</v>
      </c>
      <c r="DU19" s="56">
        <f t="shared" si="0"/>
        <v>0</v>
      </c>
      <c r="DV19" s="56">
        <f t="shared" si="0"/>
        <v>0</v>
      </c>
      <c r="DW19" s="56">
        <f t="shared" si="0"/>
        <v>0</v>
      </c>
      <c r="DX19" s="56">
        <f t="shared" si="0"/>
        <v>0</v>
      </c>
      <c r="DY19" s="56">
        <f t="shared" si="0"/>
        <v>0</v>
      </c>
      <c r="DZ19" s="56">
        <f t="shared" si="0"/>
        <v>0</v>
      </c>
      <c r="EA19" s="56">
        <f t="shared" si="0"/>
        <v>0</v>
      </c>
      <c r="EB19" s="56">
        <f t="shared" si="0"/>
        <v>0</v>
      </c>
      <c r="EC19" s="56">
        <f t="shared" si="0"/>
        <v>0</v>
      </c>
      <c r="ED19" s="56">
        <f t="shared" si="0"/>
        <v>0</v>
      </c>
      <c r="EE19" s="56">
        <f t="shared" si="0"/>
        <v>0</v>
      </c>
      <c r="EF19" s="56">
        <f t="shared" si="0"/>
        <v>0</v>
      </c>
      <c r="EG19" s="56">
        <f t="shared" si="0"/>
        <v>0</v>
      </c>
      <c r="EH19" s="56">
        <f t="shared" si="0"/>
        <v>0</v>
      </c>
      <c r="EI19" s="56">
        <f t="shared" si="0"/>
        <v>0</v>
      </c>
      <c r="EJ19" s="56">
        <f t="shared" si="0"/>
        <v>0</v>
      </c>
      <c r="EK19" s="56">
        <f t="shared" si="0"/>
        <v>0</v>
      </c>
      <c r="EL19" s="56">
        <f t="shared" si="0"/>
        <v>0</v>
      </c>
      <c r="EM19" s="56">
        <f t="shared" si="0"/>
        <v>0</v>
      </c>
      <c r="EN19" s="56">
        <f t="shared" si="0"/>
        <v>0</v>
      </c>
      <c r="EO19" s="56">
        <f t="shared" si="0"/>
        <v>0</v>
      </c>
      <c r="EP19" s="56">
        <f t="shared" si="5"/>
        <v>0</v>
      </c>
      <c r="EQ19" s="56">
        <f t="shared" si="2"/>
        <v>0</v>
      </c>
      <c r="ER19" s="56">
        <f t="shared" si="13"/>
        <v>0</v>
      </c>
      <c r="ES19" s="56">
        <f t="shared" si="13"/>
        <v>0</v>
      </c>
      <c r="ET19" s="56">
        <f t="shared" si="13"/>
        <v>0</v>
      </c>
      <c r="EU19" s="56">
        <f t="shared" si="13"/>
        <v>0</v>
      </c>
      <c r="EV19" s="56">
        <f t="shared" si="13"/>
        <v>0</v>
      </c>
      <c r="EW19" s="56">
        <f t="shared" si="13"/>
        <v>0</v>
      </c>
      <c r="EX19" s="56">
        <f t="shared" si="13"/>
        <v>0</v>
      </c>
      <c r="EY19" s="56">
        <f t="shared" si="13"/>
        <v>0</v>
      </c>
      <c r="EZ19" s="56">
        <f t="shared" si="13"/>
        <v>0</v>
      </c>
      <c r="FA19" s="56">
        <f t="shared" si="13"/>
        <v>0</v>
      </c>
      <c r="FB19" s="56">
        <f t="shared" si="6"/>
        <v>0</v>
      </c>
      <c r="FC19" s="56">
        <f t="shared" si="7"/>
        <v>0</v>
      </c>
      <c r="FD19" s="56">
        <f t="shared" si="13"/>
        <v>0</v>
      </c>
      <c r="FE19" s="56">
        <f t="shared" si="13"/>
        <v>0</v>
      </c>
      <c r="FF19" s="56">
        <f t="shared" si="13"/>
        <v>0</v>
      </c>
      <c r="FG19" s="56">
        <f t="shared" si="13"/>
        <v>0</v>
      </c>
      <c r="FH19" s="56">
        <f t="shared" si="13"/>
        <v>0</v>
      </c>
      <c r="FI19" s="56">
        <f t="shared" si="13"/>
        <v>0</v>
      </c>
      <c r="FJ19" s="56">
        <f t="shared" si="13"/>
        <v>0</v>
      </c>
      <c r="FK19" s="56">
        <f t="shared" si="13"/>
        <v>0</v>
      </c>
      <c r="FL19" s="56">
        <f t="shared" si="13"/>
        <v>0</v>
      </c>
      <c r="FM19" s="56">
        <f t="shared" si="13"/>
        <v>0</v>
      </c>
      <c r="FN19" s="56">
        <f t="shared" si="13"/>
        <v>0</v>
      </c>
      <c r="FO19" s="56">
        <f t="shared" si="13"/>
        <v>0</v>
      </c>
      <c r="FP19" s="56">
        <f t="shared" si="8"/>
        <v>0</v>
      </c>
      <c r="FQ19" s="56">
        <f t="shared" si="9"/>
        <v>0</v>
      </c>
      <c r="FR19" s="56">
        <f t="shared" si="10"/>
        <v>0</v>
      </c>
      <c r="FS19" s="56">
        <f t="shared" si="13"/>
        <v>0</v>
      </c>
      <c r="FT19" s="56">
        <f t="shared" si="13"/>
        <v>0</v>
      </c>
      <c r="FU19" s="56">
        <f t="shared" si="13"/>
        <v>0</v>
      </c>
      <c r="FV19" s="56">
        <f t="shared" si="13"/>
        <v>0</v>
      </c>
      <c r="FW19" s="56">
        <f t="shared" si="13"/>
        <v>0</v>
      </c>
      <c r="FX19" s="56">
        <f t="shared" si="13"/>
        <v>0</v>
      </c>
      <c r="FY19" s="56">
        <f t="shared" si="13"/>
        <v>0</v>
      </c>
      <c r="FZ19" s="56">
        <f t="shared" si="13"/>
        <v>0</v>
      </c>
      <c r="GA19" s="56">
        <f t="shared" si="13"/>
        <v>0</v>
      </c>
      <c r="GB19" s="56">
        <f t="shared" si="13"/>
        <v>0</v>
      </c>
      <c r="GC19" s="56">
        <f t="shared" si="13"/>
        <v>0</v>
      </c>
      <c r="GD19" s="56">
        <f t="shared" si="13"/>
        <v>0</v>
      </c>
      <c r="GE19" s="56">
        <f t="shared" si="13"/>
        <v>0</v>
      </c>
      <c r="GF19" s="56">
        <f t="shared" si="13"/>
        <v>0</v>
      </c>
      <c r="GG19" s="56">
        <f t="shared" si="13"/>
        <v>0</v>
      </c>
      <c r="GH19" s="56">
        <f t="shared" si="13"/>
        <v>0</v>
      </c>
      <c r="GI19" s="56">
        <f t="shared" si="13"/>
        <v>0</v>
      </c>
      <c r="GJ19" s="56">
        <f t="shared" si="13"/>
        <v>0</v>
      </c>
      <c r="GK19" s="56">
        <f t="shared" si="13"/>
        <v>0</v>
      </c>
      <c r="GL19" s="56">
        <f t="shared" si="13"/>
        <v>0</v>
      </c>
      <c r="GM19" s="56">
        <f t="shared" si="13"/>
        <v>0</v>
      </c>
      <c r="GN19" s="56">
        <f t="shared" si="13"/>
        <v>0</v>
      </c>
      <c r="GO19" s="56">
        <f t="shared" si="13"/>
        <v>0</v>
      </c>
      <c r="GP19" s="56">
        <f t="shared" si="13"/>
        <v>0</v>
      </c>
      <c r="GQ19" s="56">
        <f t="shared" si="13"/>
        <v>0</v>
      </c>
      <c r="GR19" s="56">
        <f t="shared" si="13"/>
        <v>0</v>
      </c>
      <c r="GS19" s="56">
        <f t="shared" si="13"/>
        <v>0</v>
      </c>
      <c r="GT19" s="56">
        <f t="shared" si="13"/>
        <v>0</v>
      </c>
      <c r="GU19" s="56">
        <f t="shared" si="13"/>
        <v>0</v>
      </c>
      <c r="GV19" s="56">
        <f t="shared" si="13"/>
        <v>0</v>
      </c>
      <c r="GW19" s="56">
        <f t="shared" si="13"/>
        <v>0</v>
      </c>
      <c r="GX19" s="56">
        <f t="shared" si="13"/>
        <v>0</v>
      </c>
      <c r="GY19" s="56">
        <f t="shared" si="13"/>
        <v>0</v>
      </c>
      <c r="GZ19" s="56">
        <f t="shared" si="13"/>
        <v>0</v>
      </c>
      <c r="HA19" s="56">
        <f t="shared" si="13"/>
        <v>0</v>
      </c>
      <c r="HB19" s="56">
        <f t="shared" si="13"/>
        <v>0</v>
      </c>
      <c r="HC19" s="56">
        <f t="shared" si="13"/>
        <v>0</v>
      </c>
      <c r="HD19" s="56">
        <f t="shared" si="12"/>
        <v>0</v>
      </c>
      <c r="HE19" s="56">
        <f t="shared" si="12"/>
        <v>0</v>
      </c>
      <c r="HF19" s="56">
        <f t="shared" si="12"/>
        <v>0</v>
      </c>
      <c r="HG19" s="56">
        <f t="shared" si="12"/>
        <v>0</v>
      </c>
      <c r="HH19" s="56">
        <f t="shared" si="12"/>
        <v>0</v>
      </c>
    </row>
    <row r="20" spans="2:216" x14ac:dyDescent="0.15">
      <c r="B20" s="59">
        <f t="shared" si="11"/>
        <v>43107</v>
      </c>
      <c r="C20" s="57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>
        <f t="shared" si="0"/>
        <v>0</v>
      </c>
      <c r="DM20" s="55">
        <f t="shared" si="0"/>
        <v>0</v>
      </c>
      <c r="DN20" s="55">
        <f t="shared" si="0"/>
        <v>0</v>
      </c>
      <c r="DO20" s="55">
        <f t="shared" si="0"/>
        <v>0</v>
      </c>
      <c r="DP20" s="55">
        <f t="shared" si="1"/>
        <v>0</v>
      </c>
      <c r="DQ20" s="55">
        <f t="shared" si="0"/>
        <v>0</v>
      </c>
      <c r="DR20" s="55">
        <f t="shared" si="0"/>
        <v>0</v>
      </c>
      <c r="DS20" s="55">
        <f t="shared" si="0"/>
        <v>0</v>
      </c>
      <c r="DT20" s="55">
        <f t="shared" si="0"/>
        <v>0</v>
      </c>
      <c r="DU20" s="55">
        <f t="shared" si="0"/>
        <v>0</v>
      </c>
      <c r="DV20" s="55">
        <f t="shared" si="0"/>
        <v>0</v>
      </c>
      <c r="DW20" s="55">
        <f t="shared" si="0"/>
        <v>0</v>
      </c>
      <c r="DX20" s="55">
        <f t="shared" si="0"/>
        <v>0</v>
      </c>
      <c r="DY20" s="55">
        <f t="shared" si="0"/>
        <v>0</v>
      </c>
      <c r="DZ20" s="55">
        <f t="shared" si="0"/>
        <v>0</v>
      </c>
      <c r="EA20" s="55">
        <f t="shared" si="0"/>
        <v>0</v>
      </c>
      <c r="EB20" s="55">
        <f t="shared" si="0"/>
        <v>0</v>
      </c>
      <c r="EC20" s="55">
        <f t="shared" si="0"/>
        <v>0</v>
      </c>
      <c r="ED20" s="55">
        <f t="shared" si="0"/>
        <v>0</v>
      </c>
      <c r="EE20" s="55">
        <f t="shared" si="0"/>
        <v>0</v>
      </c>
      <c r="EF20" s="55">
        <f t="shared" si="0"/>
        <v>0</v>
      </c>
      <c r="EG20" s="55">
        <f t="shared" si="0"/>
        <v>0</v>
      </c>
      <c r="EH20" s="55">
        <f t="shared" si="0"/>
        <v>0</v>
      </c>
      <c r="EI20" s="55">
        <f t="shared" si="0"/>
        <v>0</v>
      </c>
      <c r="EJ20" s="55">
        <f t="shared" si="0"/>
        <v>0</v>
      </c>
      <c r="EK20" s="55">
        <f t="shared" si="0"/>
        <v>0</v>
      </c>
      <c r="EL20" s="55">
        <f t="shared" si="0"/>
        <v>0</v>
      </c>
      <c r="EM20" s="55">
        <f t="shared" si="0"/>
        <v>0</v>
      </c>
      <c r="EN20" s="55">
        <f t="shared" si="0"/>
        <v>0</v>
      </c>
      <c r="EO20" s="55">
        <f t="shared" si="0"/>
        <v>0</v>
      </c>
      <c r="EP20" s="55">
        <f t="shared" si="5"/>
        <v>0</v>
      </c>
      <c r="EQ20" s="55">
        <f t="shared" si="2"/>
        <v>0</v>
      </c>
      <c r="ER20" s="55">
        <f t="shared" si="13"/>
        <v>0</v>
      </c>
      <c r="ES20" s="55">
        <f t="shared" si="13"/>
        <v>0</v>
      </c>
      <c r="ET20" s="55">
        <f t="shared" si="13"/>
        <v>0</v>
      </c>
      <c r="EU20" s="55">
        <f t="shared" si="13"/>
        <v>0</v>
      </c>
      <c r="EV20" s="55">
        <f t="shared" si="13"/>
        <v>0</v>
      </c>
      <c r="EW20" s="55">
        <f t="shared" si="13"/>
        <v>0</v>
      </c>
      <c r="EX20" s="55">
        <f t="shared" si="13"/>
        <v>0</v>
      </c>
      <c r="EY20" s="55">
        <f t="shared" si="13"/>
        <v>0</v>
      </c>
      <c r="EZ20" s="55">
        <f t="shared" si="13"/>
        <v>0</v>
      </c>
      <c r="FA20" s="55">
        <f t="shared" si="13"/>
        <v>0</v>
      </c>
      <c r="FB20" s="55">
        <f t="shared" si="6"/>
        <v>0</v>
      </c>
      <c r="FC20" s="55">
        <f t="shared" si="7"/>
        <v>0</v>
      </c>
      <c r="FD20" s="55">
        <f t="shared" si="13"/>
        <v>0</v>
      </c>
      <c r="FE20" s="55">
        <f t="shared" si="13"/>
        <v>0</v>
      </c>
      <c r="FF20" s="55">
        <f t="shared" si="13"/>
        <v>0</v>
      </c>
      <c r="FG20" s="55">
        <f t="shared" si="13"/>
        <v>0</v>
      </c>
      <c r="FH20" s="55">
        <f t="shared" si="13"/>
        <v>0</v>
      </c>
      <c r="FI20" s="55">
        <f t="shared" si="13"/>
        <v>0</v>
      </c>
      <c r="FJ20" s="55">
        <f t="shared" si="13"/>
        <v>0</v>
      </c>
      <c r="FK20" s="55">
        <f t="shared" si="13"/>
        <v>0</v>
      </c>
      <c r="FL20" s="55">
        <f t="shared" si="13"/>
        <v>0</v>
      </c>
      <c r="FM20" s="55">
        <f t="shared" si="13"/>
        <v>0</v>
      </c>
      <c r="FN20" s="55">
        <f t="shared" si="13"/>
        <v>0</v>
      </c>
      <c r="FO20" s="55">
        <f t="shared" si="13"/>
        <v>0</v>
      </c>
      <c r="FP20" s="55">
        <f t="shared" si="8"/>
        <v>0</v>
      </c>
      <c r="FQ20" s="55">
        <f t="shared" si="9"/>
        <v>0</v>
      </c>
      <c r="FR20" s="55">
        <f t="shared" si="10"/>
        <v>0</v>
      </c>
      <c r="FS20" s="55">
        <f t="shared" si="13"/>
        <v>0</v>
      </c>
      <c r="FT20" s="55">
        <f t="shared" si="13"/>
        <v>0</v>
      </c>
      <c r="FU20" s="55">
        <f t="shared" si="13"/>
        <v>0</v>
      </c>
      <c r="FV20" s="55">
        <f t="shared" si="13"/>
        <v>0</v>
      </c>
      <c r="FW20" s="55">
        <f t="shared" si="13"/>
        <v>0</v>
      </c>
      <c r="FX20" s="55">
        <f t="shared" si="13"/>
        <v>0</v>
      </c>
      <c r="FY20" s="55">
        <f t="shared" si="13"/>
        <v>0</v>
      </c>
      <c r="FZ20" s="55">
        <f t="shared" si="13"/>
        <v>0</v>
      </c>
      <c r="GA20" s="55">
        <f t="shared" si="13"/>
        <v>0</v>
      </c>
      <c r="GB20" s="55">
        <f t="shared" si="13"/>
        <v>0</v>
      </c>
      <c r="GC20" s="55">
        <f t="shared" si="13"/>
        <v>0</v>
      </c>
      <c r="GD20" s="55">
        <f t="shared" si="13"/>
        <v>0</v>
      </c>
      <c r="GE20" s="55">
        <f t="shared" si="13"/>
        <v>0</v>
      </c>
      <c r="GF20" s="55">
        <f t="shared" si="13"/>
        <v>0</v>
      </c>
      <c r="GG20" s="55">
        <f t="shared" si="13"/>
        <v>0</v>
      </c>
      <c r="GH20" s="55">
        <f t="shared" si="13"/>
        <v>0</v>
      </c>
      <c r="GI20" s="55">
        <f t="shared" si="13"/>
        <v>0</v>
      </c>
      <c r="GJ20" s="55">
        <f t="shared" si="13"/>
        <v>0</v>
      </c>
      <c r="GK20" s="55">
        <f t="shared" si="13"/>
        <v>0</v>
      </c>
      <c r="GL20" s="55">
        <f t="shared" si="13"/>
        <v>0</v>
      </c>
      <c r="GM20" s="55">
        <f t="shared" si="13"/>
        <v>0</v>
      </c>
      <c r="GN20" s="55">
        <f t="shared" si="13"/>
        <v>0</v>
      </c>
      <c r="GO20" s="55">
        <f t="shared" si="13"/>
        <v>0</v>
      </c>
      <c r="GP20" s="55">
        <f t="shared" si="13"/>
        <v>0</v>
      </c>
      <c r="GQ20" s="55">
        <f t="shared" si="13"/>
        <v>0</v>
      </c>
      <c r="GR20" s="55">
        <f t="shared" si="13"/>
        <v>0</v>
      </c>
      <c r="GS20" s="55">
        <f t="shared" si="13"/>
        <v>0</v>
      </c>
      <c r="GT20" s="55">
        <f t="shared" si="13"/>
        <v>0</v>
      </c>
      <c r="GU20" s="55">
        <f t="shared" si="13"/>
        <v>0</v>
      </c>
      <c r="GV20" s="55">
        <f t="shared" si="13"/>
        <v>0</v>
      </c>
      <c r="GW20" s="55">
        <f t="shared" si="13"/>
        <v>0</v>
      </c>
      <c r="GX20" s="55">
        <f t="shared" si="13"/>
        <v>0</v>
      </c>
      <c r="GY20" s="55">
        <f t="shared" si="13"/>
        <v>0</v>
      </c>
      <c r="GZ20" s="55">
        <f t="shared" si="13"/>
        <v>0</v>
      </c>
      <c r="HA20" s="55">
        <f t="shared" si="13"/>
        <v>0</v>
      </c>
      <c r="HB20" s="55">
        <f t="shared" si="13"/>
        <v>0</v>
      </c>
      <c r="HC20" s="55">
        <f t="shared" si="13"/>
        <v>0</v>
      </c>
      <c r="HD20" s="55">
        <f t="shared" si="12"/>
        <v>0</v>
      </c>
      <c r="HE20" s="55">
        <f t="shared" si="12"/>
        <v>0</v>
      </c>
      <c r="HF20" s="55">
        <f t="shared" si="12"/>
        <v>0</v>
      </c>
      <c r="HG20" s="55">
        <f t="shared" si="12"/>
        <v>0</v>
      </c>
      <c r="HH20" s="55">
        <f t="shared" si="12"/>
        <v>0</v>
      </c>
    </row>
    <row r="21" spans="2:216" x14ac:dyDescent="0.15">
      <c r="B21" s="60">
        <f t="shared" si="11"/>
        <v>43108</v>
      </c>
      <c r="C21" s="58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  <c r="CY21" s="56"/>
      <c r="CZ21" s="56"/>
      <c r="DA21" s="56"/>
      <c r="DB21" s="56"/>
      <c r="DC21" s="56"/>
      <c r="DD21" s="56"/>
      <c r="DE21" s="56"/>
      <c r="DF21" s="56"/>
      <c r="DG21" s="56"/>
      <c r="DH21" s="56"/>
      <c r="DI21" s="56"/>
      <c r="DJ21" s="56"/>
      <c r="DK21" s="56"/>
      <c r="DL21" s="56">
        <f t="shared" si="0"/>
        <v>0</v>
      </c>
      <c r="DM21" s="56">
        <f t="shared" si="0"/>
        <v>0</v>
      </c>
      <c r="DN21" s="56">
        <f t="shared" si="0"/>
        <v>0</v>
      </c>
      <c r="DO21" s="56">
        <f t="shared" si="0"/>
        <v>0</v>
      </c>
      <c r="DP21" s="56">
        <f t="shared" si="1"/>
        <v>0</v>
      </c>
      <c r="DQ21" s="56">
        <f t="shared" si="0"/>
        <v>0</v>
      </c>
      <c r="DR21" s="56">
        <f t="shared" si="0"/>
        <v>0</v>
      </c>
      <c r="DS21" s="56">
        <f t="shared" si="0"/>
        <v>0</v>
      </c>
      <c r="DT21" s="56">
        <f t="shared" si="0"/>
        <v>0</v>
      </c>
      <c r="DU21" s="56">
        <f t="shared" si="0"/>
        <v>0</v>
      </c>
      <c r="DV21" s="56">
        <f t="shared" si="0"/>
        <v>0</v>
      </c>
      <c r="DW21" s="56">
        <f t="shared" si="0"/>
        <v>0</v>
      </c>
      <c r="DX21" s="56">
        <f t="shared" si="0"/>
        <v>0</v>
      </c>
      <c r="DY21" s="56">
        <f t="shared" si="0"/>
        <v>0</v>
      </c>
      <c r="DZ21" s="56">
        <f t="shared" si="0"/>
        <v>0</v>
      </c>
      <c r="EA21" s="56">
        <f t="shared" si="0"/>
        <v>0</v>
      </c>
      <c r="EB21" s="56">
        <f t="shared" si="0"/>
        <v>0</v>
      </c>
      <c r="EC21" s="56">
        <f t="shared" si="0"/>
        <v>0</v>
      </c>
      <c r="ED21" s="56">
        <f t="shared" si="0"/>
        <v>0</v>
      </c>
      <c r="EE21" s="56">
        <f t="shared" si="0"/>
        <v>0</v>
      </c>
      <c r="EF21" s="56">
        <f t="shared" si="0"/>
        <v>0</v>
      </c>
      <c r="EG21" s="56">
        <f t="shared" si="0"/>
        <v>0</v>
      </c>
      <c r="EH21" s="56">
        <f t="shared" si="0"/>
        <v>0</v>
      </c>
      <c r="EI21" s="56">
        <f t="shared" si="0"/>
        <v>0</v>
      </c>
      <c r="EJ21" s="56">
        <f t="shared" si="0"/>
        <v>0</v>
      </c>
      <c r="EK21" s="56">
        <f t="shared" si="0"/>
        <v>0</v>
      </c>
      <c r="EL21" s="56">
        <f t="shared" si="0"/>
        <v>0</v>
      </c>
      <c r="EM21" s="56">
        <f t="shared" si="0"/>
        <v>0</v>
      </c>
      <c r="EN21" s="56">
        <f t="shared" si="0"/>
        <v>0</v>
      </c>
      <c r="EO21" s="56">
        <f t="shared" si="0"/>
        <v>0</v>
      </c>
      <c r="EP21" s="56">
        <f t="shared" si="5"/>
        <v>0</v>
      </c>
      <c r="EQ21" s="56">
        <f t="shared" si="2"/>
        <v>0</v>
      </c>
      <c r="ER21" s="56">
        <f t="shared" si="13"/>
        <v>0</v>
      </c>
      <c r="ES21" s="56">
        <f t="shared" si="13"/>
        <v>0</v>
      </c>
      <c r="ET21" s="56">
        <f t="shared" si="13"/>
        <v>0</v>
      </c>
      <c r="EU21" s="56">
        <f t="shared" si="13"/>
        <v>0</v>
      </c>
      <c r="EV21" s="56">
        <f t="shared" si="13"/>
        <v>0</v>
      </c>
      <c r="EW21" s="56">
        <f t="shared" si="13"/>
        <v>0</v>
      </c>
      <c r="EX21" s="56">
        <f t="shared" si="13"/>
        <v>0</v>
      </c>
      <c r="EY21" s="56">
        <f t="shared" si="13"/>
        <v>0</v>
      </c>
      <c r="EZ21" s="56">
        <f t="shared" si="13"/>
        <v>0</v>
      </c>
      <c r="FA21" s="56">
        <f t="shared" si="13"/>
        <v>0</v>
      </c>
      <c r="FB21" s="56">
        <f t="shared" si="6"/>
        <v>0</v>
      </c>
      <c r="FC21" s="56">
        <f t="shared" si="7"/>
        <v>0</v>
      </c>
      <c r="FD21" s="56">
        <f t="shared" si="13"/>
        <v>0</v>
      </c>
      <c r="FE21" s="56">
        <f t="shared" si="13"/>
        <v>0</v>
      </c>
      <c r="FF21" s="56">
        <f t="shared" si="13"/>
        <v>0</v>
      </c>
      <c r="FG21" s="56">
        <f t="shared" si="13"/>
        <v>0</v>
      </c>
      <c r="FH21" s="56">
        <f t="shared" si="13"/>
        <v>0</v>
      </c>
      <c r="FI21" s="56">
        <f t="shared" si="13"/>
        <v>0</v>
      </c>
      <c r="FJ21" s="56">
        <f t="shared" si="13"/>
        <v>0</v>
      </c>
      <c r="FK21" s="56">
        <f t="shared" si="13"/>
        <v>0</v>
      </c>
      <c r="FL21" s="56">
        <f t="shared" si="13"/>
        <v>0</v>
      </c>
      <c r="FM21" s="56">
        <f t="shared" si="13"/>
        <v>0</v>
      </c>
      <c r="FN21" s="56">
        <f t="shared" si="13"/>
        <v>0</v>
      </c>
      <c r="FO21" s="56">
        <f t="shared" si="13"/>
        <v>0</v>
      </c>
      <c r="FP21" s="56">
        <f t="shared" si="8"/>
        <v>0</v>
      </c>
      <c r="FQ21" s="56">
        <f t="shared" si="9"/>
        <v>0</v>
      </c>
      <c r="FR21" s="56">
        <f t="shared" si="10"/>
        <v>0</v>
      </c>
      <c r="FS21" s="56">
        <f t="shared" si="13"/>
        <v>0</v>
      </c>
      <c r="FT21" s="56">
        <f t="shared" si="13"/>
        <v>0</v>
      </c>
      <c r="FU21" s="56">
        <f t="shared" si="13"/>
        <v>0</v>
      </c>
      <c r="FV21" s="56">
        <f t="shared" si="13"/>
        <v>0</v>
      </c>
      <c r="FW21" s="56">
        <f t="shared" si="13"/>
        <v>0</v>
      </c>
      <c r="FX21" s="56">
        <f t="shared" si="13"/>
        <v>0</v>
      </c>
      <c r="FY21" s="56">
        <f t="shared" si="13"/>
        <v>0</v>
      </c>
      <c r="FZ21" s="56">
        <f t="shared" si="13"/>
        <v>0</v>
      </c>
      <c r="GA21" s="56">
        <f t="shared" si="13"/>
        <v>0</v>
      </c>
      <c r="GB21" s="56">
        <f t="shared" si="13"/>
        <v>0</v>
      </c>
      <c r="GC21" s="56">
        <f t="shared" si="13"/>
        <v>0</v>
      </c>
      <c r="GD21" s="56">
        <f t="shared" si="13"/>
        <v>0</v>
      </c>
      <c r="GE21" s="56">
        <f t="shared" si="13"/>
        <v>0</v>
      </c>
      <c r="GF21" s="56">
        <f t="shared" si="13"/>
        <v>0</v>
      </c>
      <c r="GG21" s="56">
        <f t="shared" si="13"/>
        <v>0</v>
      </c>
      <c r="GH21" s="56">
        <f t="shared" si="13"/>
        <v>0</v>
      </c>
      <c r="GI21" s="56">
        <f t="shared" si="13"/>
        <v>0</v>
      </c>
      <c r="GJ21" s="56">
        <f t="shared" si="13"/>
        <v>0</v>
      </c>
      <c r="GK21" s="56">
        <f t="shared" si="13"/>
        <v>0</v>
      </c>
      <c r="GL21" s="56">
        <f t="shared" si="13"/>
        <v>0</v>
      </c>
      <c r="GM21" s="56">
        <f t="shared" si="13"/>
        <v>0</v>
      </c>
      <c r="GN21" s="56">
        <f t="shared" si="13"/>
        <v>0</v>
      </c>
      <c r="GO21" s="56">
        <f t="shared" si="13"/>
        <v>0</v>
      </c>
      <c r="GP21" s="56">
        <f t="shared" si="13"/>
        <v>0</v>
      </c>
      <c r="GQ21" s="56">
        <f t="shared" si="13"/>
        <v>0</v>
      </c>
      <c r="GR21" s="56">
        <f t="shared" si="13"/>
        <v>0</v>
      </c>
      <c r="GS21" s="56">
        <f t="shared" si="13"/>
        <v>0</v>
      </c>
      <c r="GT21" s="56">
        <f t="shared" si="13"/>
        <v>0</v>
      </c>
      <c r="GU21" s="56">
        <f t="shared" si="13"/>
        <v>0</v>
      </c>
      <c r="GV21" s="56">
        <f t="shared" si="13"/>
        <v>0</v>
      </c>
      <c r="GW21" s="56">
        <f t="shared" si="13"/>
        <v>0</v>
      </c>
      <c r="GX21" s="56">
        <f t="shared" si="13"/>
        <v>0</v>
      </c>
      <c r="GY21" s="56">
        <f t="shared" si="13"/>
        <v>0</v>
      </c>
      <c r="GZ21" s="56">
        <f t="shared" si="13"/>
        <v>0</v>
      </c>
      <c r="HA21" s="56">
        <f t="shared" si="13"/>
        <v>0</v>
      </c>
      <c r="HB21" s="56">
        <f t="shared" si="13"/>
        <v>0</v>
      </c>
      <c r="HC21" s="56">
        <f t="shared" ref="HC21:HH24" si="14">IF(VALUE(HC$13)&lt;20,INDEX($O$14:$DK$44,ROW($A8),VALUE(HC$13)),INDEX($O$14:$DK$44,ROW($A8),VALUE(HC$13)+1))</f>
        <v>0</v>
      </c>
      <c r="HD21" s="56">
        <f t="shared" si="14"/>
        <v>0</v>
      </c>
      <c r="HE21" s="56">
        <f t="shared" si="14"/>
        <v>0</v>
      </c>
      <c r="HF21" s="56">
        <f t="shared" si="14"/>
        <v>0</v>
      </c>
      <c r="HG21" s="56">
        <f t="shared" si="14"/>
        <v>0</v>
      </c>
      <c r="HH21" s="56">
        <f t="shared" si="14"/>
        <v>0</v>
      </c>
    </row>
    <row r="22" spans="2:216" x14ac:dyDescent="0.15">
      <c r="B22" s="59">
        <f t="shared" si="11"/>
        <v>43109</v>
      </c>
      <c r="C22" s="57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>
        <f t="shared" si="0"/>
        <v>0</v>
      </c>
      <c r="DM22" s="55">
        <f t="shared" si="0"/>
        <v>0</v>
      </c>
      <c r="DN22" s="55">
        <f t="shared" si="0"/>
        <v>0</v>
      </c>
      <c r="DO22" s="55">
        <f t="shared" si="0"/>
        <v>0</v>
      </c>
      <c r="DP22" s="55">
        <f t="shared" si="1"/>
        <v>0</v>
      </c>
      <c r="DQ22" s="55">
        <f t="shared" si="0"/>
        <v>0</v>
      </c>
      <c r="DR22" s="55">
        <f t="shared" si="0"/>
        <v>0</v>
      </c>
      <c r="DS22" s="55">
        <f t="shared" si="0"/>
        <v>0</v>
      </c>
      <c r="DT22" s="55">
        <f t="shared" si="0"/>
        <v>0</v>
      </c>
      <c r="DU22" s="55">
        <f t="shared" si="0"/>
        <v>0</v>
      </c>
      <c r="DV22" s="55">
        <f t="shared" si="0"/>
        <v>0</v>
      </c>
      <c r="DW22" s="55">
        <f t="shared" si="0"/>
        <v>0</v>
      </c>
      <c r="DX22" s="55">
        <f t="shared" si="0"/>
        <v>0</v>
      </c>
      <c r="DY22" s="55">
        <f t="shared" si="0"/>
        <v>0</v>
      </c>
      <c r="DZ22" s="55">
        <f t="shared" si="0"/>
        <v>0</v>
      </c>
      <c r="EA22" s="55">
        <f t="shared" si="0"/>
        <v>0</v>
      </c>
      <c r="EB22" s="55">
        <f t="shared" si="0"/>
        <v>0</v>
      </c>
      <c r="EC22" s="55">
        <f t="shared" si="0"/>
        <v>0</v>
      </c>
      <c r="ED22" s="55">
        <f t="shared" si="0"/>
        <v>0</v>
      </c>
      <c r="EE22" s="55">
        <f t="shared" si="0"/>
        <v>0</v>
      </c>
      <c r="EF22" s="55">
        <f t="shared" si="0"/>
        <v>0</v>
      </c>
      <c r="EG22" s="55">
        <f t="shared" si="0"/>
        <v>0</v>
      </c>
      <c r="EH22" s="55">
        <f t="shared" si="0"/>
        <v>0</v>
      </c>
      <c r="EI22" s="55">
        <f t="shared" si="0"/>
        <v>0</v>
      </c>
      <c r="EJ22" s="55">
        <f t="shared" ref="DL22:EO31" si="15">IF(VALUE(EJ$13)&lt;20,INDEX($O$14:$DK$44,ROW($A9),VALUE(EJ$13)),INDEX($O$14:$DK$44,ROW($A9),VALUE(EJ$13)+1))</f>
        <v>0</v>
      </c>
      <c r="EK22" s="55">
        <f t="shared" si="15"/>
        <v>0</v>
      </c>
      <c r="EL22" s="55">
        <f t="shared" si="15"/>
        <v>0</v>
      </c>
      <c r="EM22" s="55">
        <f t="shared" si="15"/>
        <v>0</v>
      </c>
      <c r="EN22" s="55">
        <f t="shared" si="15"/>
        <v>0</v>
      </c>
      <c r="EO22" s="55">
        <f t="shared" si="15"/>
        <v>0</v>
      </c>
      <c r="EP22" s="55">
        <f t="shared" si="5"/>
        <v>0</v>
      </c>
      <c r="EQ22" s="55">
        <f t="shared" si="2"/>
        <v>0</v>
      </c>
      <c r="ER22" s="55">
        <f t="shared" ref="ER22:HC25" si="16">IF(VALUE(ER$13)&lt;20,INDEX($O$14:$DK$44,ROW($A9),VALUE(ER$13)),INDEX($O$14:$DK$44,ROW($A9),VALUE(ER$13)+1))</f>
        <v>0</v>
      </c>
      <c r="ES22" s="55">
        <f t="shared" si="16"/>
        <v>0</v>
      </c>
      <c r="ET22" s="55">
        <f t="shared" si="16"/>
        <v>0</v>
      </c>
      <c r="EU22" s="55">
        <f t="shared" si="16"/>
        <v>0</v>
      </c>
      <c r="EV22" s="55">
        <f t="shared" si="16"/>
        <v>0</v>
      </c>
      <c r="EW22" s="55">
        <f t="shared" si="16"/>
        <v>0</v>
      </c>
      <c r="EX22" s="55">
        <f t="shared" si="16"/>
        <v>0</v>
      </c>
      <c r="EY22" s="55">
        <f t="shared" si="16"/>
        <v>0</v>
      </c>
      <c r="EZ22" s="55">
        <f t="shared" si="16"/>
        <v>0</v>
      </c>
      <c r="FA22" s="55">
        <f t="shared" si="16"/>
        <v>0</v>
      </c>
      <c r="FB22" s="55">
        <f t="shared" si="6"/>
        <v>0</v>
      </c>
      <c r="FC22" s="55">
        <f t="shared" si="7"/>
        <v>0</v>
      </c>
      <c r="FD22" s="55">
        <f t="shared" si="16"/>
        <v>0</v>
      </c>
      <c r="FE22" s="55">
        <f t="shared" si="16"/>
        <v>0</v>
      </c>
      <c r="FF22" s="55">
        <f t="shared" si="16"/>
        <v>0</v>
      </c>
      <c r="FG22" s="55">
        <f t="shared" si="16"/>
        <v>0</v>
      </c>
      <c r="FH22" s="55">
        <f t="shared" si="16"/>
        <v>0</v>
      </c>
      <c r="FI22" s="55">
        <f t="shared" si="16"/>
        <v>0</v>
      </c>
      <c r="FJ22" s="55">
        <f t="shared" si="16"/>
        <v>0</v>
      </c>
      <c r="FK22" s="55">
        <f t="shared" si="16"/>
        <v>0</v>
      </c>
      <c r="FL22" s="55">
        <f t="shared" si="16"/>
        <v>0</v>
      </c>
      <c r="FM22" s="55">
        <f t="shared" si="16"/>
        <v>0</v>
      </c>
      <c r="FN22" s="55">
        <f t="shared" si="16"/>
        <v>0</v>
      </c>
      <c r="FO22" s="55">
        <f t="shared" si="16"/>
        <v>0</v>
      </c>
      <c r="FP22" s="55">
        <f t="shared" si="8"/>
        <v>0</v>
      </c>
      <c r="FQ22" s="55">
        <f t="shared" si="9"/>
        <v>0</v>
      </c>
      <c r="FR22" s="55">
        <f t="shared" si="10"/>
        <v>0</v>
      </c>
      <c r="FS22" s="55">
        <f t="shared" si="16"/>
        <v>0</v>
      </c>
      <c r="FT22" s="55">
        <f t="shared" si="16"/>
        <v>0</v>
      </c>
      <c r="FU22" s="55">
        <f t="shared" si="16"/>
        <v>0</v>
      </c>
      <c r="FV22" s="55">
        <f t="shared" si="16"/>
        <v>0</v>
      </c>
      <c r="FW22" s="55">
        <f t="shared" si="16"/>
        <v>0</v>
      </c>
      <c r="FX22" s="55">
        <f t="shared" si="16"/>
        <v>0</v>
      </c>
      <c r="FY22" s="55">
        <f t="shared" si="16"/>
        <v>0</v>
      </c>
      <c r="FZ22" s="55">
        <f t="shared" si="16"/>
        <v>0</v>
      </c>
      <c r="GA22" s="55">
        <f t="shared" si="16"/>
        <v>0</v>
      </c>
      <c r="GB22" s="55">
        <f t="shared" si="16"/>
        <v>0</v>
      </c>
      <c r="GC22" s="55">
        <f t="shared" si="16"/>
        <v>0</v>
      </c>
      <c r="GD22" s="55">
        <f t="shared" si="16"/>
        <v>0</v>
      </c>
      <c r="GE22" s="55">
        <f t="shared" si="16"/>
        <v>0</v>
      </c>
      <c r="GF22" s="55">
        <f t="shared" si="16"/>
        <v>0</v>
      </c>
      <c r="GG22" s="55">
        <f t="shared" si="16"/>
        <v>0</v>
      </c>
      <c r="GH22" s="55">
        <f t="shared" si="16"/>
        <v>0</v>
      </c>
      <c r="GI22" s="55">
        <f t="shared" si="16"/>
        <v>0</v>
      </c>
      <c r="GJ22" s="55">
        <f t="shared" si="16"/>
        <v>0</v>
      </c>
      <c r="GK22" s="55">
        <f t="shared" si="16"/>
        <v>0</v>
      </c>
      <c r="GL22" s="55">
        <f t="shared" si="16"/>
        <v>0</v>
      </c>
      <c r="GM22" s="55">
        <f t="shared" si="16"/>
        <v>0</v>
      </c>
      <c r="GN22" s="55">
        <f t="shared" si="16"/>
        <v>0</v>
      </c>
      <c r="GO22" s="55">
        <f t="shared" si="16"/>
        <v>0</v>
      </c>
      <c r="GP22" s="55">
        <f t="shared" si="16"/>
        <v>0</v>
      </c>
      <c r="GQ22" s="55">
        <f t="shared" si="16"/>
        <v>0</v>
      </c>
      <c r="GR22" s="55">
        <f t="shared" si="16"/>
        <v>0</v>
      </c>
      <c r="GS22" s="55">
        <f t="shared" si="16"/>
        <v>0</v>
      </c>
      <c r="GT22" s="55">
        <f t="shared" si="16"/>
        <v>0</v>
      </c>
      <c r="GU22" s="55">
        <f t="shared" si="16"/>
        <v>0</v>
      </c>
      <c r="GV22" s="55">
        <f t="shared" si="16"/>
        <v>0</v>
      </c>
      <c r="GW22" s="55">
        <f t="shared" si="16"/>
        <v>0</v>
      </c>
      <c r="GX22" s="55">
        <f t="shared" si="16"/>
        <v>0</v>
      </c>
      <c r="GY22" s="55">
        <f t="shared" si="16"/>
        <v>0</v>
      </c>
      <c r="GZ22" s="55">
        <f t="shared" si="16"/>
        <v>0</v>
      </c>
      <c r="HA22" s="55">
        <f t="shared" si="16"/>
        <v>0</v>
      </c>
      <c r="HB22" s="55">
        <f t="shared" si="16"/>
        <v>0</v>
      </c>
      <c r="HC22" s="55">
        <f t="shared" si="16"/>
        <v>0</v>
      </c>
      <c r="HD22" s="55">
        <f t="shared" si="14"/>
        <v>0</v>
      </c>
      <c r="HE22" s="55">
        <f t="shared" si="14"/>
        <v>0</v>
      </c>
      <c r="HF22" s="55">
        <f t="shared" si="14"/>
        <v>0</v>
      </c>
      <c r="HG22" s="55">
        <f t="shared" si="14"/>
        <v>0</v>
      </c>
      <c r="HH22" s="55">
        <f t="shared" si="14"/>
        <v>0</v>
      </c>
    </row>
    <row r="23" spans="2:216" x14ac:dyDescent="0.15">
      <c r="B23" s="60">
        <f t="shared" si="11"/>
        <v>43110</v>
      </c>
      <c r="C23" s="58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D23" s="56"/>
      <c r="DE23" s="56"/>
      <c r="DF23" s="56"/>
      <c r="DG23" s="56"/>
      <c r="DH23" s="56"/>
      <c r="DI23" s="56"/>
      <c r="DJ23" s="56"/>
      <c r="DK23" s="56"/>
      <c r="DL23" s="56">
        <f t="shared" si="15"/>
        <v>0</v>
      </c>
      <c r="DM23" s="56">
        <f t="shared" si="15"/>
        <v>0</v>
      </c>
      <c r="DN23" s="56">
        <f t="shared" si="15"/>
        <v>0</v>
      </c>
      <c r="DO23" s="56">
        <f t="shared" si="15"/>
        <v>0</v>
      </c>
      <c r="DP23" s="56">
        <f t="shared" si="1"/>
        <v>0</v>
      </c>
      <c r="DQ23" s="56">
        <f t="shared" si="15"/>
        <v>0</v>
      </c>
      <c r="DR23" s="56">
        <f t="shared" si="15"/>
        <v>0</v>
      </c>
      <c r="DS23" s="56">
        <f t="shared" si="15"/>
        <v>0</v>
      </c>
      <c r="DT23" s="56">
        <f t="shared" si="15"/>
        <v>0</v>
      </c>
      <c r="DU23" s="56">
        <f t="shared" si="15"/>
        <v>0</v>
      </c>
      <c r="DV23" s="56">
        <f t="shared" si="15"/>
        <v>0</v>
      </c>
      <c r="DW23" s="56">
        <f t="shared" si="15"/>
        <v>0</v>
      </c>
      <c r="DX23" s="56">
        <f t="shared" si="15"/>
        <v>0</v>
      </c>
      <c r="DY23" s="56">
        <f t="shared" si="15"/>
        <v>0</v>
      </c>
      <c r="DZ23" s="56">
        <f t="shared" si="15"/>
        <v>0</v>
      </c>
      <c r="EA23" s="56">
        <f t="shared" si="15"/>
        <v>0</v>
      </c>
      <c r="EB23" s="56">
        <f t="shared" si="15"/>
        <v>0</v>
      </c>
      <c r="EC23" s="56">
        <f t="shared" si="15"/>
        <v>0</v>
      </c>
      <c r="ED23" s="56">
        <f t="shared" si="15"/>
        <v>0</v>
      </c>
      <c r="EE23" s="56">
        <f t="shared" si="15"/>
        <v>0</v>
      </c>
      <c r="EF23" s="56">
        <f t="shared" si="15"/>
        <v>0</v>
      </c>
      <c r="EG23" s="56">
        <f t="shared" si="15"/>
        <v>0</v>
      </c>
      <c r="EH23" s="56">
        <f t="shared" si="15"/>
        <v>0</v>
      </c>
      <c r="EI23" s="56">
        <f t="shared" si="15"/>
        <v>0</v>
      </c>
      <c r="EJ23" s="56">
        <f t="shared" si="15"/>
        <v>0</v>
      </c>
      <c r="EK23" s="56">
        <f t="shared" si="15"/>
        <v>0</v>
      </c>
      <c r="EL23" s="56">
        <f t="shared" si="15"/>
        <v>0</v>
      </c>
      <c r="EM23" s="56">
        <f t="shared" si="15"/>
        <v>0</v>
      </c>
      <c r="EN23" s="56">
        <f t="shared" si="15"/>
        <v>0</v>
      </c>
      <c r="EO23" s="56">
        <f t="shared" si="15"/>
        <v>0</v>
      </c>
      <c r="EP23" s="56">
        <f t="shared" si="5"/>
        <v>0</v>
      </c>
      <c r="EQ23" s="56">
        <f t="shared" si="2"/>
        <v>0</v>
      </c>
      <c r="ER23" s="56">
        <f t="shared" si="16"/>
        <v>0</v>
      </c>
      <c r="ES23" s="56">
        <f t="shared" si="16"/>
        <v>0</v>
      </c>
      <c r="ET23" s="56">
        <f t="shared" si="16"/>
        <v>0</v>
      </c>
      <c r="EU23" s="56">
        <f t="shared" si="16"/>
        <v>0</v>
      </c>
      <c r="EV23" s="56">
        <f t="shared" si="16"/>
        <v>0</v>
      </c>
      <c r="EW23" s="56">
        <f t="shared" si="16"/>
        <v>0</v>
      </c>
      <c r="EX23" s="56">
        <f t="shared" si="16"/>
        <v>0</v>
      </c>
      <c r="EY23" s="56">
        <f t="shared" si="16"/>
        <v>0</v>
      </c>
      <c r="EZ23" s="56">
        <f t="shared" si="16"/>
        <v>0</v>
      </c>
      <c r="FA23" s="56">
        <f t="shared" si="16"/>
        <v>0</v>
      </c>
      <c r="FB23" s="56">
        <f t="shared" si="6"/>
        <v>0</v>
      </c>
      <c r="FC23" s="56">
        <f t="shared" si="7"/>
        <v>0</v>
      </c>
      <c r="FD23" s="56">
        <f t="shared" si="16"/>
        <v>0</v>
      </c>
      <c r="FE23" s="56">
        <f t="shared" si="16"/>
        <v>0</v>
      </c>
      <c r="FF23" s="56">
        <f t="shared" si="16"/>
        <v>0</v>
      </c>
      <c r="FG23" s="56">
        <f t="shared" si="16"/>
        <v>0</v>
      </c>
      <c r="FH23" s="56">
        <f t="shared" si="16"/>
        <v>0</v>
      </c>
      <c r="FI23" s="56">
        <f t="shared" si="16"/>
        <v>0</v>
      </c>
      <c r="FJ23" s="56">
        <f t="shared" si="16"/>
        <v>0</v>
      </c>
      <c r="FK23" s="56">
        <f t="shared" si="16"/>
        <v>0</v>
      </c>
      <c r="FL23" s="56">
        <f t="shared" si="16"/>
        <v>0</v>
      </c>
      <c r="FM23" s="56">
        <f t="shared" si="16"/>
        <v>0</v>
      </c>
      <c r="FN23" s="56">
        <f t="shared" si="16"/>
        <v>0</v>
      </c>
      <c r="FO23" s="56">
        <f t="shared" si="16"/>
        <v>0</v>
      </c>
      <c r="FP23" s="56">
        <f t="shared" si="8"/>
        <v>0</v>
      </c>
      <c r="FQ23" s="56">
        <f t="shared" si="9"/>
        <v>0</v>
      </c>
      <c r="FR23" s="56">
        <f t="shared" si="10"/>
        <v>0</v>
      </c>
      <c r="FS23" s="56">
        <f t="shared" si="16"/>
        <v>0</v>
      </c>
      <c r="FT23" s="56">
        <f t="shared" si="16"/>
        <v>0</v>
      </c>
      <c r="FU23" s="56">
        <f t="shared" si="16"/>
        <v>0</v>
      </c>
      <c r="FV23" s="56">
        <f t="shared" si="16"/>
        <v>0</v>
      </c>
      <c r="FW23" s="56">
        <f t="shared" si="16"/>
        <v>0</v>
      </c>
      <c r="FX23" s="56">
        <f t="shared" si="16"/>
        <v>0</v>
      </c>
      <c r="FY23" s="56">
        <f t="shared" si="16"/>
        <v>0</v>
      </c>
      <c r="FZ23" s="56">
        <f t="shared" si="16"/>
        <v>0</v>
      </c>
      <c r="GA23" s="56">
        <f t="shared" si="16"/>
        <v>0</v>
      </c>
      <c r="GB23" s="56">
        <f t="shared" si="16"/>
        <v>0</v>
      </c>
      <c r="GC23" s="56">
        <f t="shared" si="16"/>
        <v>0</v>
      </c>
      <c r="GD23" s="56">
        <f t="shared" si="16"/>
        <v>0</v>
      </c>
      <c r="GE23" s="56">
        <f t="shared" si="16"/>
        <v>0</v>
      </c>
      <c r="GF23" s="56">
        <f t="shared" si="16"/>
        <v>0</v>
      </c>
      <c r="GG23" s="56">
        <f t="shared" si="16"/>
        <v>0</v>
      </c>
      <c r="GH23" s="56">
        <f t="shared" si="16"/>
        <v>0</v>
      </c>
      <c r="GI23" s="56">
        <f t="shared" si="16"/>
        <v>0</v>
      </c>
      <c r="GJ23" s="56">
        <f t="shared" si="16"/>
        <v>0</v>
      </c>
      <c r="GK23" s="56">
        <f t="shared" si="16"/>
        <v>0</v>
      </c>
      <c r="GL23" s="56">
        <f t="shared" si="16"/>
        <v>0</v>
      </c>
      <c r="GM23" s="56">
        <f t="shared" si="16"/>
        <v>0</v>
      </c>
      <c r="GN23" s="56">
        <f t="shared" si="16"/>
        <v>0</v>
      </c>
      <c r="GO23" s="56">
        <f t="shared" si="16"/>
        <v>0</v>
      </c>
      <c r="GP23" s="56">
        <f t="shared" si="16"/>
        <v>0</v>
      </c>
      <c r="GQ23" s="56">
        <f t="shared" si="16"/>
        <v>0</v>
      </c>
      <c r="GR23" s="56">
        <f t="shared" si="16"/>
        <v>0</v>
      </c>
      <c r="GS23" s="56">
        <f t="shared" si="16"/>
        <v>0</v>
      </c>
      <c r="GT23" s="56">
        <f t="shared" si="16"/>
        <v>0</v>
      </c>
      <c r="GU23" s="56">
        <f t="shared" si="16"/>
        <v>0</v>
      </c>
      <c r="GV23" s="56">
        <f t="shared" si="16"/>
        <v>0</v>
      </c>
      <c r="GW23" s="56">
        <f t="shared" si="16"/>
        <v>0</v>
      </c>
      <c r="GX23" s="56">
        <f t="shared" si="16"/>
        <v>0</v>
      </c>
      <c r="GY23" s="56">
        <f t="shared" si="16"/>
        <v>0</v>
      </c>
      <c r="GZ23" s="56">
        <f t="shared" si="16"/>
        <v>0</v>
      </c>
      <c r="HA23" s="56">
        <f t="shared" si="16"/>
        <v>0</v>
      </c>
      <c r="HB23" s="56">
        <f t="shared" si="16"/>
        <v>0</v>
      </c>
      <c r="HC23" s="56">
        <f t="shared" si="16"/>
        <v>0</v>
      </c>
      <c r="HD23" s="56">
        <f t="shared" si="14"/>
        <v>0</v>
      </c>
      <c r="HE23" s="56">
        <f t="shared" si="14"/>
        <v>0</v>
      </c>
      <c r="HF23" s="56">
        <f t="shared" si="14"/>
        <v>0</v>
      </c>
      <c r="HG23" s="56">
        <f t="shared" si="14"/>
        <v>0</v>
      </c>
      <c r="HH23" s="56">
        <f t="shared" si="14"/>
        <v>0</v>
      </c>
    </row>
    <row r="24" spans="2:216" x14ac:dyDescent="0.15">
      <c r="B24" s="59">
        <f t="shared" si="11"/>
        <v>43111</v>
      </c>
      <c r="C24" s="57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>
        <f t="shared" si="15"/>
        <v>0</v>
      </c>
      <c r="DM24" s="55">
        <f t="shared" si="15"/>
        <v>0</v>
      </c>
      <c r="DN24" s="55">
        <f t="shared" si="15"/>
        <v>0</v>
      </c>
      <c r="DO24" s="55">
        <f t="shared" si="15"/>
        <v>0</v>
      </c>
      <c r="DP24" s="55">
        <f t="shared" si="1"/>
        <v>0</v>
      </c>
      <c r="DQ24" s="55">
        <f t="shared" si="15"/>
        <v>0</v>
      </c>
      <c r="DR24" s="55">
        <f t="shared" si="15"/>
        <v>0</v>
      </c>
      <c r="DS24" s="55">
        <f t="shared" si="15"/>
        <v>0</v>
      </c>
      <c r="DT24" s="55">
        <f t="shared" si="15"/>
        <v>0</v>
      </c>
      <c r="DU24" s="55">
        <f t="shared" si="15"/>
        <v>0</v>
      </c>
      <c r="DV24" s="55">
        <f t="shared" si="15"/>
        <v>0</v>
      </c>
      <c r="DW24" s="55">
        <f t="shared" si="15"/>
        <v>0</v>
      </c>
      <c r="DX24" s="55">
        <f t="shared" si="15"/>
        <v>0</v>
      </c>
      <c r="DY24" s="55">
        <f t="shared" si="15"/>
        <v>0</v>
      </c>
      <c r="DZ24" s="55">
        <f t="shared" si="15"/>
        <v>0</v>
      </c>
      <c r="EA24" s="55">
        <f t="shared" si="15"/>
        <v>0</v>
      </c>
      <c r="EB24" s="55">
        <f t="shared" si="15"/>
        <v>0</v>
      </c>
      <c r="EC24" s="55">
        <f t="shared" si="15"/>
        <v>0</v>
      </c>
      <c r="ED24" s="55">
        <f t="shared" si="15"/>
        <v>0</v>
      </c>
      <c r="EE24" s="55">
        <f t="shared" si="15"/>
        <v>0</v>
      </c>
      <c r="EF24" s="55">
        <f t="shared" si="15"/>
        <v>0</v>
      </c>
      <c r="EG24" s="55">
        <f t="shared" si="15"/>
        <v>0</v>
      </c>
      <c r="EH24" s="55">
        <f t="shared" si="15"/>
        <v>0</v>
      </c>
      <c r="EI24" s="55">
        <f t="shared" si="15"/>
        <v>0</v>
      </c>
      <c r="EJ24" s="55">
        <f t="shared" si="15"/>
        <v>0</v>
      </c>
      <c r="EK24" s="55">
        <f t="shared" si="15"/>
        <v>0</v>
      </c>
      <c r="EL24" s="55">
        <f t="shared" si="15"/>
        <v>0</v>
      </c>
      <c r="EM24" s="55">
        <f t="shared" si="15"/>
        <v>0</v>
      </c>
      <c r="EN24" s="55">
        <f t="shared" si="15"/>
        <v>0</v>
      </c>
      <c r="EO24" s="55">
        <f t="shared" si="15"/>
        <v>0</v>
      </c>
      <c r="EP24" s="55">
        <f t="shared" si="5"/>
        <v>0</v>
      </c>
      <c r="EQ24" s="55">
        <f t="shared" si="2"/>
        <v>0</v>
      </c>
      <c r="ER24" s="55">
        <f t="shared" si="16"/>
        <v>0</v>
      </c>
      <c r="ES24" s="55">
        <f t="shared" si="16"/>
        <v>0</v>
      </c>
      <c r="ET24" s="55">
        <f t="shared" si="16"/>
        <v>0</v>
      </c>
      <c r="EU24" s="55">
        <f t="shared" si="16"/>
        <v>0</v>
      </c>
      <c r="EV24" s="55">
        <f t="shared" si="16"/>
        <v>0</v>
      </c>
      <c r="EW24" s="55">
        <f t="shared" si="16"/>
        <v>0</v>
      </c>
      <c r="EX24" s="55">
        <f t="shared" si="16"/>
        <v>0</v>
      </c>
      <c r="EY24" s="55">
        <f t="shared" si="16"/>
        <v>0</v>
      </c>
      <c r="EZ24" s="55">
        <f t="shared" si="16"/>
        <v>0</v>
      </c>
      <c r="FA24" s="55">
        <f t="shared" si="16"/>
        <v>0</v>
      </c>
      <c r="FB24" s="55">
        <f t="shared" si="6"/>
        <v>0</v>
      </c>
      <c r="FC24" s="55">
        <f t="shared" si="7"/>
        <v>0</v>
      </c>
      <c r="FD24" s="55">
        <f t="shared" si="16"/>
        <v>0</v>
      </c>
      <c r="FE24" s="55">
        <f t="shared" si="16"/>
        <v>0</v>
      </c>
      <c r="FF24" s="55">
        <f t="shared" si="16"/>
        <v>0</v>
      </c>
      <c r="FG24" s="55">
        <f t="shared" si="16"/>
        <v>0</v>
      </c>
      <c r="FH24" s="55">
        <f t="shared" si="16"/>
        <v>0</v>
      </c>
      <c r="FI24" s="55">
        <f t="shared" si="16"/>
        <v>0</v>
      </c>
      <c r="FJ24" s="55">
        <f t="shared" si="16"/>
        <v>0</v>
      </c>
      <c r="FK24" s="55">
        <f t="shared" si="16"/>
        <v>0</v>
      </c>
      <c r="FL24" s="55">
        <f t="shared" si="16"/>
        <v>0</v>
      </c>
      <c r="FM24" s="55">
        <f t="shared" si="16"/>
        <v>0</v>
      </c>
      <c r="FN24" s="55">
        <f t="shared" si="16"/>
        <v>0</v>
      </c>
      <c r="FO24" s="55">
        <f t="shared" si="16"/>
        <v>0</v>
      </c>
      <c r="FP24" s="55">
        <f t="shared" si="8"/>
        <v>0</v>
      </c>
      <c r="FQ24" s="55">
        <f t="shared" si="9"/>
        <v>0</v>
      </c>
      <c r="FR24" s="55">
        <f t="shared" si="10"/>
        <v>0</v>
      </c>
      <c r="FS24" s="55">
        <f t="shared" si="16"/>
        <v>0</v>
      </c>
      <c r="FT24" s="55">
        <f t="shared" si="16"/>
        <v>0</v>
      </c>
      <c r="FU24" s="55">
        <f t="shared" si="16"/>
        <v>0</v>
      </c>
      <c r="FV24" s="55">
        <f t="shared" si="16"/>
        <v>0</v>
      </c>
      <c r="FW24" s="55">
        <f t="shared" si="16"/>
        <v>0</v>
      </c>
      <c r="FX24" s="55">
        <f t="shared" si="16"/>
        <v>0</v>
      </c>
      <c r="FY24" s="55">
        <f t="shared" si="16"/>
        <v>0</v>
      </c>
      <c r="FZ24" s="55">
        <f t="shared" si="16"/>
        <v>0</v>
      </c>
      <c r="GA24" s="55">
        <f t="shared" si="16"/>
        <v>0</v>
      </c>
      <c r="GB24" s="55">
        <f t="shared" si="16"/>
        <v>0</v>
      </c>
      <c r="GC24" s="55">
        <f t="shared" si="16"/>
        <v>0</v>
      </c>
      <c r="GD24" s="55">
        <f t="shared" si="16"/>
        <v>0</v>
      </c>
      <c r="GE24" s="55">
        <f t="shared" si="16"/>
        <v>0</v>
      </c>
      <c r="GF24" s="55">
        <f t="shared" si="16"/>
        <v>0</v>
      </c>
      <c r="GG24" s="55">
        <f t="shared" si="16"/>
        <v>0</v>
      </c>
      <c r="GH24" s="55">
        <f t="shared" si="16"/>
        <v>0</v>
      </c>
      <c r="GI24" s="55">
        <f t="shared" si="16"/>
        <v>0</v>
      </c>
      <c r="GJ24" s="55">
        <f t="shared" si="16"/>
        <v>0</v>
      </c>
      <c r="GK24" s="55">
        <f t="shared" si="16"/>
        <v>0</v>
      </c>
      <c r="GL24" s="55">
        <f t="shared" si="16"/>
        <v>0</v>
      </c>
      <c r="GM24" s="55">
        <f t="shared" si="16"/>
        <v>0</v>
      </c>
      <c r="GN24" s="55">
        <f t="shared" si="16"/>
        <v>0</v>
      </c>
      <c r="GO24" s="55">
        <f t="shared" si="16"/>
        <v>0</v>
      </c>
      <c r="GP24" s="55">
        <f t="shared" si="16"/>
        <v>0</v>
      </c>
      <c r="GQ24" s="55">
        <f t="shared" si="16"/>
        <v>0</v>
      </c>
      <c r="GR24" s="55">
        <f t="shared" si="16"/>
        <v>0</v>
      </c>
      <c r="GS24" s="55">
        <f t="shared" si="16"/>
        <v>0</v>
      </c>
      <c r="GT24" s="55">
        <f t="shared" si="16"/>
        <v>0</v>
      </c>
      <c r="GU24" s="55">
        <f t="shared" si="16"/>
        <v>0</v>
      </c>
      <c r="GV24" s="55">
        <f t="shared" si="16"/>
        <v>0</v>
      </c>
      <c r="GW24" s="55">
        <f t="shared" si="16"/>
        <v>0</v>
      </c>
      <c r="GX24" s="55">
        <f t="shared" si="16"/>
        <v>0</v>
      </c>
      <c r="GY24" s="55">
        <f t="shared" si="16"/>
        <v>0</v>
      </c>
      <c r="GZ24" s="55">
        <f t="shared" si="16"/>
        <v>0</v>
      </c>
      <c r="HA24" s="55">
        <f t="shared" si="16"/>
        <v>0</v>
      </c>
      <c r="HB24" s="55">
        <f t="shared" si="16"/>
        <v>0</v>
      </c>
      <c r="HC24" s="55">
        <f t="shared" si="16"/>
        <v>0</v>
      </c>
      <c r="HD24" s="55">
        <f t="shared" si="14"/>
        <v>0</v>
      </c>
      <c r="HE24" s="55">
        <f t="shared" si="14"/>
        <v>0</v>
      </c>
      <c r="HF24" s="55">
        <f t="shared" si="14"/>
        <v>0</v>
      </c>
      <c r="HG24" s="55">
        <f t="shared" si="14"/>
        <v>0</v>
      </c>
      <c r="HH24" s="55">
        <f t="shared" si="14"/>
        <v>0</v>
      </c>
    </row>
    <row r="25" spans="2:216" x14ac:dyDescent="0.15">
      <c r="B25" s="60">
        <f t="shared" si="11"/>
        <v>43112</v>
      </c>
      <c r="C25" s="58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56"/>
      <c r="CW25" s="56"/>
      <c r="CX25" s="56"/>
      <c r="CY25" s="56"/>
      <c r="CZ25" s="56"/>
      <c r="DA25" s="56"/>
      <c r="DB25" s="56"/>
      <c r="DC25" s="56"/>
      <c r="DD25" s="56"/>
      <c r="DE25" s="56"/>
      <c r="DF25" s="56"/>
      <c r="DG25" s="56"/>
      <c r="DH25" s="56"/>
      <c r="DI25" s="56"/>
      <c r="DJ25" s="56"/>
      <c r="DK25" s="56"/>
      <c r="DL25" s="56">
        <f t="shared" si="15"/>
        <v>0</v>
      </c>
      <c r="DM25" s="56">
        <f t="shared" si="15"/>
        <v>0</v>
      </c>
      <c r="DN25" s="56">
        <f t="shared" si="15"/>
        <v>0</v>
      </c>
      <c r="DO25" s="56">
        <f t="shared" si="15"/>
        <v>0</v>
      </c>
      <c r="DP25" s="56">
        <f t="shared" si="1"/>
        <v>0</v>
      </c>
      <c r="DQ25" s="56">
        <f t="shared" si="15"/>
        <v>0</v>
      </c>
      <c r="DR25" s="56">
        <f t="shared" si="15"/>
        <v>0</v>
      </c>
      <c r="DS25" s="56">
        <f t="shared" si="15"/>
        <v>0</v>
      </c>
      <c r="DT25" s="56">
        <f t="shared" si="15"/>
        <v>0</v>
      </c>
      <c r="DU25" s="56">
        <f t="shared" si="15"/>
        <v>0</v>
      </c>
      <c r="DV25" s="56">
        <f t="shared" si="15"/>
        <v>0</v>
      </c>
      <c r="DW25" s="56">
        <f t="shared" si="15"/>
        <v>0</v>
      </c>
      <c r="DX25" s="56">
        <f t="shared" si="15"/>
        <v>0</v>
      </c>
      <c r="DY25" s="56">
        <f t="shared" si="15"/>
        <v>0</v>
      </c>
      <c r="DZ25" s="56">
        <f t="shared" si="15"/>
        <v>0</v>
      </c>
      <c r="EA25" s="56">
        <f t="shared" si="15"/>
        <v>0</v>
      </c>
      <c r="EB25" s="56">
        <f t="shared" si="15"/>
        <v>0</v>
      </c>
      <c r="EC25" s="56">
        <f t="shared" si="15"/>
        <v>0</v>
      </c>
      <c r="ED25" s="56">
        <f t="shared" si="15"/>
        <v>0</v>
      </c>
      <c r="EE25" s="56">
        <f t="shared" si="15"/>
        <v>0</v>
      </c>
      <c r="EF25" s="56">
        <f t="shared" si="15"/>
        <v>0</v>
      </c>
      <c r="EG25" s="56">
        <f t="shared" si="15"/>
        <v>0</v>
      </c>
      <c r="EH25" s="56">
        <f t="shared" si="15"/>
        <v>0</v>
      </c>
      <c r="EI25" s="56">
        <f t="shared" si="15"/>
        <v>0</v>
      </c>
      <c r="EJ25" s="56">
        <f t="shared" si="15"/>
        <v>0</v>
      </c>
      <c r="EK25" s="56">
        <f t="shared" si="15"/>
        <v>0</v>
      </c>
      <c r="EL25" s="56">
        <f t="shared" si="15"/>
        <v>0</v>
      </c>
      <c r="EM25" s="56">
        <f t="shared" si="15"/>
        <v>0</v>
      </c>
      <c r="EN25" s="56">
        <f t="shared" si="15"/>
        <v>0</v>
      </c>
      <c r="EO25" s="56">
        <f t="shared" si="15"/>
        <v>0</v>
      </c>
      <c r="EP25" s="56">
        <f t="shared" si="5"/>
        <v>0</v>
      </c>
      <c r="EQ25" s="56">
        <f t="shared" si="2"/>
        <v>0</v>
      </c>
      <c r="ER25" s="56">
        <f t="shared" si="16"/>
        <v>0</v>
      </c>
      <c r="ES25" s="56">
        <f t="shared" si="16"/>
        <v>0</v>
      </c>
      <c r="ET25" s="56">
        <f t="shared" si="16"/>
        <v>0</v>
      </c>
      <c r="EU25" s="56">
        <f t="shared" si="16"/>
        <v>0</v>
      </c>
      <c r="EV25" s="56">
        <f t="shared" si="16"/>
        <v>0</v>
      </c>
      <c r="EW25" s="56">
        <f t="shared" si="16"/>
        <v>0</v>
      </c>
      <c r="EX25" s="56">
        <f t="shared" si="16"/>
        <v>0</v>
      </c>
      <c r="EY25" s="56">
        <f t="shared" si="16"/>
        <v>0</v>
      </c>
      <c r="EZ25" s="56">
        <f t="shared" si="16"/>
        <v>0</v>
      </c>
      <c r="FA25" s="56">
        <f t="shared" si="16"/>
        <v>0</v>
      </c>
      <c r="FB25" s="56">
        <f t="shared" si="6"/>
        <v>0</v>
      </c>
      <c r="FC25" s="56">
        <f t="shared" si="7"/>
        <v>0</v>
      </c>
      <c r="FD25" s="56">
        <f t="shared" si="16"/>
        <v>0</v>
      </c>
      <c r="FE25" s="56">
        <f t="shared" si="16"/>
        <v>0</v>
      </c>
      <c r="FF25" s="56">
        <f t="shared" si="16"/>
        <v>0</v>
      </c>
      <c r="FG25" s="56">
        <f t="shared" si="16"/>
        <v>0</v>
      </c>
      <c r="FH25" s="56">
        <f t="shared" si="16"/>
        <v>0</v>
      </c>
      <c r="FI25" s="56">
        <f t="shared" si="16"/>
        <v>0</v>
      </c>
      <c r="FJ25" s="56">
        <f t="shared" si="16"/>
        <v>0</v>
      </c>
      <c r="FK25" s="56">
        <f t="shared" si="16"/>
        <v>0</v>
      </c>
      <c r="FL25" s="56">
        <f t="shared" si="16"/>
        <v>0</v>
      </c>
      <c r="FM25" s="56">
        <f t="shared" si="16"/>
        <v>0</v>
      </c>
      <c r="FN25" s="56">
        <f t="shared" si="16"/>
        <v>0</v>
      </c>
      <c r="FO25" s="56">
        <f t="shared" si="16"/>
        <v>0</v>
      </c>
      <c r="FP25" s="56">
        <f t="shared" si="8"/>
        <v>0</v>
      </c>
      <c r="FQ25" s="56">
        <f t="shared" si="9"/>
        <v>0</v>
      </c>
      <c r="FR25" s="56">
        <f t="shared" si="10"/>
        <v>0</v>
      </c>
      <c r="FS25" s="56">
        <f t="shared" si="16"/>
        <v>0</v>
      </c>
      <c r="FT25" s="56">
        <f t="shared" si="16"/>
        <v>0</v>
      </c>
      <c r="FU25" s="56">
        <f t="shared" si="16"/>
        <v>0</v>
      </c>
      <c r="FV25" s="56">
        <f t="shared" si="16"/>
        <v>0</v>
      </c>
      <c r="FW25" s="56">
        <f t="shared" si="16"/>
        <v>0</v>
      </c>
      <c r="FX25" s="56">
        <f t="shared" si="16"/>
        <v>0</v>
      </c>
      <c r="FY25" s="56">
        <f t="shared" si="16"/>
        <v>0</v>
      </c>
      <c r="FZ25" s="56">
        <f t="shared" si="16"/>
        <v>0</v>
      </c>
      <c r="GA25" s="56">
        <f t="shared" si="16"/>
        <v>0</v>
      </c>
      <c r="GB25" s="56">
        <f t="shared" si="16"/>
        <v>0</v>
      </c>
      <c r="GC25" s="56">
        <f t="shared" si="16"/>
        <v>0</v>
      </c>
      <c r="GD25" s="56">
        <f t="shared" si="16"/>
        <v>0</v>
      </c>
      <c r="GE25" s="56">
        <f t="shared" si="16"/>
        <v>0</v>
      </c>
      <c r="GF25" s="56">
        <f t="shared" si="16"/>
        <v>0</v>
      </c>
      <c r="GG25" s="56">
        <f t="shared" si="16"/>
        <v>0</v>
      </c>
      <c r="GH25" s="56">
        <f t="shared" si="16"/>
        <v>0</v>
      </c>
      <c r="GI25" s="56">
        <f t="shared" si="16"/>
        <v>0</v>
      </c>
      <c r="GJ25" s="56">
        <f t="shared" si="16"/>
        <v>0</v>
      </c>
      <c r="GK25" s="56">
        <f t="shared" si="16"/>
        <v>0</v>
      </c>
      <c r="GL25" s="56">
        <f t="shared" si="16"/>
        <v>0</v>
      </c>
      <c r="GM25" s="56">
        <f t="shared" si="16"/>
        <v>0</v>
      </c>
      <c r="GN25" s="56">
        <f t="shared" si="16"/>
        <v>0</v>
      </c>
      <c r="GO25" s="56">
        <f t="shared" si="16"/>
        <v>0</v>
      </c>
      <c r="GP25" s="56">
        <f t="shared" si="16"/>
        <v>0</v>
      </c>
      <c r="GQ25" s="56">
        <f t="shared" si="16"/>
        <v>0</v>
      </c>
      <c r="GR25" s="56">
        <f t="shared" si="16"/>
        <v>0</v>
      </c>
      <c r="GS25" s="56">
        <f t="shared" si="16"/>
        <v>0</v>
      </c>
      <c r="GT25" s="56">
        <f t="shared" si="16"/>
        <v>0</v>
      </c>
      <c r="GU25" s="56">
        <f t="shared" si="16"/>
        <v>0</v>
      </c>
      <c r="GV25" s="56">
        <f t="shared" si="16"/>
        <v>0</v>
      </c>
      <c r="GW25" s="56">
        <f t="shared" si="16"/>
        <v>0</v>
      </c>
      <c r="GX25" s="56">
        <f t="shared" si="16"/>
        <v>0</v>
      </c>
      <c r="GY25" s="56">
        <f t="shared" si="16"/>
        <v>0</v>
      </c>
      <c r="GZ25" s="56">
        <f t="shared" si="16"/>
        <v>0</v>
      </c>
      <c r="HA25" s="56">
        <f t="shared" si="16"/>
        <v>0</v>
      </c>
      <c r="HB25" s="56">
        <f t="shared" si="16"/>
        <v>0</v>
      </c>
      <c r="HC25" s="56">
        <f t="shared" ref="HC25:HH28" si="17">IF(VALUE(HC$13)&lt;20,INDEX($O$14:$DK$44,ROW($A12),VALUE(HC$13)),INDEX($O$14:$DK$44,ROW($A12),VALUE(HC$13)+1))</f>
        <v>0</v>
      </c>
      <c r="HD25" s="56">
        <f t="shared" si="17"/>
        <v>0</v>
      </c>
      <c r="HE25" s="56">
        <f t="shared" si="17"/>
        <v>0</v>
      </c>
      <c r="HF25" s="56">
        <f t="shared" si="17"/>
        <v>0</v>
      </c>
      <c r="HG25" s="56">
        <f t="shared" si="17"/>
        <v>0</v>
      </c>
      <c r="HH25" s="56">
        <f t="shared" si="17"/>
        <v>0</v>
      </c>
    </row>
    <row r="26" spans="2:216" x14ac:dyDescent="0.15">
      <c r="B26" s="59">
        <f t="shared" si="11"/>
        <v>43113</v>
      </c>
      <c r="C26" s="57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>
        <f t="shared" si="15"/>
        <v>0</v>
      </c>
      <c r="DM26" s="55">
        <f t="shared" si="15"/>
        <v>0</v>
      </c>
      <c r="DN26" s="55">
        <f t="shared" si="15"/>
        <v>0</v>
      </c>
      <c r="DO26" s="55">
        <f t="shared" si="15"/>
        <v>0</v>
      </c>
      <c r="DP26" s="55">
        <f t="shared" si="1"/>
        <v>0</v>
      </c>
      <c r="DQ26" s="55">
        <f t="shared" si="15"/>
        <v>0</v>
      </c>
      <c r="DR26" s="55">
        <f t="shared" si="15"/>
        <v>0</v>
      </c>
      <c r="DS26" s="55">
        <f t="shared" si="15"/>
        <v>0</v>
      </c>
      <c r="DT26" s="55">
        <f t="shared" si="15"/>
        <v>0</v>
      </c>
      <c r="DU26" s="55">
        <f t="shared" si="15"/>
        <v>0</v>
      </c>
      <c r="DV26" s="55">
        <f t="shared" si="15"/>
        <v>0</v>
      </c>
      <c r="DW26" s="55">
        <f t="shared" si="15"/>
        <v>0</v>
      </c>
      <c r="DX26" s="55">
        <f t="shared" si="15"/>
        <v>0</v>
      </c>
      <c r="DY26" s="55">
        <f t="shared" si="15"/>
        <v>0</v>
      </c>
      <c r="DZ26" s="55">
        <f t="shared" si="15"/>
        <v>0</v>
      </c>
      <c r="EA26" s="55">
        <f t="shared" si="15"/>
        <v>0</v>
      </c>
      <c r="EB26" s="55">
        <f t="shared" si="15"/>
        <v>0</v>
      </c>
      <c r="EC26" s="55">
        <f t="shared" si="15"/>
        <v>0</v>
      </c>
      <c r="ED26" s="55">
        <f t="shared" si="15"/>
        <v>0</v>
      </c>
      <c r="EE26" s="55">
        <f t="shared" si="15"/>
        <v>0</v>
      </c>
      <c r="EF26" s="55">
        <f t="shared" si="15"/>
        <v>0</v>
      </c>
      <c r="EG26" s="55">
        <f t="shared" si="15"/>
        <v>0</v>
      </c>
      <c r="EH26" s="55">
        <f t="shared" si="15"/>
        <v>0</v>
      </c>
      <c r="EI26" s="55">
        <f t="shared" si="15"/>
        <v>0</v>
      </c>
      <c r="EJ26" s="55">
        <f t="shared" si="15"/>
        <v>0</v>
      </c>
      <c r="EK26" s="55">
        <f t="shared" si="15"/>
        <v>0</v>
      </c>
      <c r="EL26" s="55">
        <f t="shared" si="15"/>
        <v>0</v>
      </c>
      <c r="EM26" s="55">
        <f t="shared" si="15"/>
        <v>0</v>
      </c>
      <c r="EN26" s="55">
        <f t="shared" si="15"/>
        <v>0</v>
      </c>
      <c r="EO26" s="55">
        <f t="shared" si="15"/>
        <v>0</v>
      </c>
      <c r="EP26" s="55">
        <f t="shared" si="5"/>
        <v>0</v>
      </c>
      <c r="EQ26" s="55">
        <f t="shared" si="2"/>
        <v>0</v>
      </c>
      <c r="ER26" s="55">
        <f t="shared" ref="ER26:HC29" si="18">IF(VALUE(ER$13)&lt;20,INDEX($O$14:$DK$44,ROW($A13),VALUE(ER$13)),INDEX($O$14:$DK$44,ROW($A13),VALUE(ER$13)+1))</f>
        <v>0</v>
      </c>
      <c r="ES26" s="55">
        <f t="shared" si="18"/>
        <v>0</v>
      </c>
      <c r="ET26" s="55">
        <f t="shared" si="18"/>
        <v>0</v>
      </c>
      <c r="EU26" s="55">
        <f t="shared" si="18"/>
        <v>0</v>
      </c>
      <c r="EV26" s="55">
        <f t="shared" si="18"/>
        <v>0</v>
      </c>
      <c r="EW26" s="55">
        <f t="shared" si="18"/>
        <v>0</v>
      </c>
      <c r="EX26" s="55">
        <f t="shared" si="18"/>
        <v>0</v>
      </c>
      <c r="EY26" s="55">
        <f t="shared" si="18"/>
        <v>0</v>
      </c>
      <c r="EZ26" s="55">
        <f t="shared" si="18"/>
        <v>0</v>
      </c>
      <c r="FA26" s="55">
        <f t="shared" si="18"/>
        <v>0</v>
      </c>
      <c r="FB26" s="55">
        <f t="shared" si="6"/>
        <v>0</v>
      </c>
      <c r="FC26" s="55">
        <f t="shared" si="7"/>
        <v>0</v>
      </c>
      <c r="FD26" s="55">
        <f t="shared" si="18"/>
        <v>0</v>
      </c>
      <c r="FE26" s="55">
        <f t="shared" si="18"/>
        <v>0</v>
      </c>
      <c r="FF26" s="55">
        <f t="shared" si="18"/>
        <v>0</v>
      </c>
      <c r="FG26" s="55">
        <f t="shared" si="18"/>
        <v>0</v>
      </c>
      <c r="FH26" s="55">
        <f t="shared" si="18"/>
        <v>0</v>
      </c>
      <c r="FI26" s="55">
        <f t="shared" si="18"/>
        <v>0</v>
      </c>
      <c r="FJ26" s="55">
        <f t="shared" si="18"/>
        <v>0</v>
      </c>
      <c r="FK26" s="55">
        <f t="shared" si="18"/>
        <v>0</v>
      </c>
      <c r="FL26" s="55">
        <f t="shared" si="18"/>
        <v>0</v>
      </c>
      <c r="FM26" s="55">
        <f t="shared" si="18"/>
        <v>0</v>
      </c>
      <c r="FN26" s="55">
        <f t="shared" si="18"/>
        <v>0</v>
      </c>
      <c r="FO26" s="55">
        <f t="shared" si="18"/>
        <v>0</v>
      </c>
      <c r="FP26" s="55">
        <f t="shared" si="8"/>
        <v>0</v>
      </c>
      <c r="FQ26" s="55">
        <f t="shared" si="9"/>
        <v>0</v>
      </c>
      <c r="FR26" s="55">
        <f t="shared" si="10"/>
        <v>0</v>
      </c>
      <c r="FS26" s="55">
        <f t="shared" si="18"/>
        <v>0</v>
      </c>
      <c r="FT26" s="55">
        <f t="shared" si="18"/>
        <v>0</v>
      </c>
      <c r="FU26" s="55">
        <f t="shared" si="18"/>
        <v>0</v>
      </c>
      <c r="FV26" s="55">
        <f t="shared" si="18"/>
        <v>0</v>
      </c>
      <c r="FW26" s="55">
        <f t="shared" si="18"/>
        <v>0</v>
      </c>
      <c r="FX26" s="55">
        <f t="shared" si="18"/>
        <v>0</v>
      </c>
      <c r="FY26" s="55">
        <f t="shared" si="18"/>
        <v>0</v>
      </c>
      <c r="FZ26" s="55">
        <f t="shared" si="18"/>
        <v>0</v>
      </c>
      <c r="GA26" s="55">
        <f t="shared" si="18"/>
        <v>0</v>
      </c>
      <c r="GB26" s="55">
        <f t="shared" si="18"/>
        <v>0</v>
      </c>
      <c r="GC26" s="55">
        <f t="shared" si="18"/>
        <v>0</v>
      </c>
      <c r="GD26" s="55">
        <f t="shared" si="18"/>
        <v>0</v>
      </c>
      <c r="GE26" s="55">
        <f t="shared" si="18"/>
        <v>0</v>
      </c>
      <c r="GF26" s="55">
        <f t="shared" si="18"/>
        <v>0</v>
      </c>
      <c r="GG26" s="55">
        <f t="shared" si="18"/>
        <v>0</v>
      </c>
      <c r="GH26" s="55">
        <f t="shared" si="18"/>
        <v>0</v>
      </c>
      <c r="GI26" s="55">
        <f t="shared" si="18"/>
        <v>0</v>
      </c>
      <c r="GJ26" s="55">
        <f t="shared" si="18"/>
        <v>0</v>
      </c>
      <c r="GK26" s="55">
        <f t="shared" si="18"/>
        <v>0</v>
      </c>
      <c r="GL26" s="55">
        <f t="shared" si="18"/>
        <v>0</v>
      </c>
      <c r="GM26" s="55">
        <f t="shared" si="18"/>
        <v>0</v>
      </c>
      <c r="GN26" s="55">
        <f t="shared" si="18"/>
        <v>0</v>
      </c>
      <c r="GO26" s="55">
        <f t="shared" si="18"/>
        <v>0</v>
      </c>
      <c r="GP26" s="55">
        <f t="shared" si="18"/>
        <v>0</v>
      </c>
      <c r="GQ26" s="55">
        <f t="shared" si="18"/>
        <v>0</v>
      </c>
      <c r="GR26" s="55">
        <f t="shared" si="18"/>
        <v>0</v>
      </c>
      <c r="GS26" s="55">
        <f t="shared" si="18"/>
        <v>0</v>
      </c>
      <c r="GT26" s="55">
        <f t="shared" si="18"/>
        <v>0</v>
      </c>
      <c r="GU26" s="55">
        <f t="shared" si="18"/>
        <v>0</v>
      </c>
      <c r="GV26" s="55">
        <f t="shared" si="18"/>
        <v>0</v>
      </c>
      <c r="GW26" s="55">
        <f t="shared" si="18"/>
        <v>0</v>
      </c>
      <c r="GX26" s="55">
        <f t="shared" si="18"/>
        <v>0</v>
      </c>
      <c r="GY26" s="55">
        <f t="shared" si="18"/>
        <v>0</v>
      </c>
      <c r="GZ26" s="55">
        <f t="shared" si="18"/>
        <v>0</v>
      </c>
      <c r="HA26" s="55">
        <f t="shared" si="18"/>
        <v>0</v>
      </c>
      <c r="HB26" s="55">
        <f t="shared" si="18"/>
        <v>0</v>
      </c>
      <c r="HC26" s="55">
        <f t="shared" si="18"/>
        <v>0</v>
      </c>
      <c r="HD26" s="55">
        <f t="shared" si="17"/>
        <v>0</v>
      </c>
      <c r="HE26" s="55">
        <f t="shared" si="17"/>
        <v>0</v>
      </c>
      <c r="HF26" s="55">
        <f t="shared" si="17"/>
        <v>0</v>
      </c>
      <c r="HG26" s="55">
        <f t="shared" si="17"/>
        <v>0</v>
      </c>
      <c r="HH26" s="55">
        <f t="shared" si="17"/>
        <v>0</v>
      </c>
    </row>
    <row r="27" spans="2:216" x14ac:dyDescent="0.15">
      <c r="B27" s="60">
        <f t="shared" si="11"/>
        <v>43114</v>
      </c>
      <c r="C27" s="58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56"/>
      <c r="CW27" s="56"/>
      <c r="CX27" s="56"/>
      <c r="CY27" s="56"/>
      <c r="CZ27" s="56"/>
      <c r="DA27" s="56"/>
      <c r="DB27" s="56"/>
      <c r="DC27" s="56"/>
      <c r="DD27" s="56"/>
      <c r="DE27" s="56"/>
      <c r="DF27" s="56"/>
      <c r="DG27" s="56"/>
      <c r="DH27" s="56"/>
      <c r="DI27" s="56"/>
      <c r="DJ27" s="56"/>
      <c r="DK27" s="56"/>
      <c r="DL27" s="56">
        <f t="shared" si="15"/>
        <v>0</v>
      </c>
      <c r="DM27" s="56">
        <f t="shared" si="15"/>
        <v>0</v>
      </c>
      <c r="DN27" s="56">
        <f t="shared" si="15"/>
        <v>0</v>
      </c>
      <c r="DO27" s="56">
        <f t="shared" si="15"/>
        <v>0</v>
      </c>
      <c r="DP27" s="56">
        <f t="shared" si="1"/>
        <v>0</v>
      </c>
      <c r="DQ27" s="56">
        <f t="shared" si="15"/>
        <v>0</v>
      </c>
      <c r="DR27" s="56">
        <f t="shared" si="15"/>
        <v>0</v>
      </c>
      <c r="DS27" s="56">
        <f t="shared" si="15"/>
        <v>0</v>
      </c>
      <c r="DT27" s="56">
        <f t="shared" si="15"/>
        <v>0</v>
      </c>
      <c r="DU27" s="56">
        <f t="shared" si="15"/>
        <v>0</v>
      </c>
      <c r="DV27" s="56">
        <f t="shared" si="15"/>
        <v>0</v>
      </c>
      <c r="DW27" s="56">
        <f t="shared" si="15"/>
        <v>0</v>
      </c>
      <c r="DX27" s="56">
        <f t="shared" si="15"/>
        <v>0</v>
      </c>
      <c r="DY27" s="56">
        <f t="shared" si="15"/>
        <v>0</v>
      </c>
      <c r="DZ27" s="56">
        <f t="shared" si="15"/>
        <v>0</v>
      </c>
      <c r="EA27" s="56">
        <f t="shared" si="15"/>
        <v>0</v>
      </c>
      <c r="EB27" s="56">
        <f t="shared" si="15"/>
        <v>0</v>
      </c>
      <c r="EC27" s="56">
        <f t="shared" si="15"/>
        <v>0</v>
      </c>
      <c r="ED27" s="56">
        <f t="shared" si="15"/>
        <v>0</v>
      </c>
      <c r="EE27" s="56">
        <f t="shared" si="15"/>
        <v>0</v>
      </c>
      <c r="EF27" s="56">
        <f t="shared" si="15"/>
        <v>0</v>
      </c>
      <c r="EG27" s="56">
        <f t="shared" si="15"/>
        <v>0</v>
      </c>
      <c r="EH27" s="56">
        <f t="shared" si="15"/>
        <v>0</v>
      </c>
      <c r="EI27" s="56">
        <f t="shared" si="15"/>
        <v>0</v>
      </c>
      <c r="EJ27" s="56">
        <f t="shared" si="15"/>
        <v>0</v>
      </c>
      <c r="EK27" s="56">
        <f t="shared" si="15"/>
        <v>0</v>
      </c>
      <c r="EL27" s="56">
        <f t="shared" si="15"/>
        <v>0</v>
      </c>
      <c r="EM27" s="56">
        <f t="shared" si="15"/>
        <v>0</v>
      </c>
      <c r="EN27" s="56">
        <f t="shared" si="15"/>
        <v>0</v>
      </c>
      <c r="EO27" s="56">
        <f t="shared" si="15"/>
        <v>0</v>
      </c>
      <c r="EP27" s="56">
        <f t="shared" si="5"/>
        <v>0</v>
      </c>
      <c r="EQ27" s="56">
        <f t="shared" si="2"/>
        <v>0</v>
      </c>
      <c r="ER27" s="56">
        <f t="shared" si="18"/>
        <v>0</v>
      </c>
      <c r="ES27" s="56">
        <f t="shared" si="18"/>
        <v>0</v>
      </c>
      <c r="ET27" s="56">
        <f t="shared" si="18"/>
        <v>0</v>
      </c>
      <c r="EU27" s="56">
        <f t="shared" si="18"/>
        <v>0</v>
      </c>
      <c r="EV27" s="56">
        <f t="shared" si="18"/>
        <v>0</v>
      </c>
      <c r="EW27" s="56">
        <f t="shared" si="18"/>
        <v>0</v>
      </c>
      <c r="EX27" s="56">
        <f t="shared" si="18"/>
        <v>0</v>
      </c>
      <c r="EY27" s="56">
        <f t="shared" si="18"/>
        <v>0</v>
      </c>
      <c r="EZ27" s="56">
        <f t="shared" si="18"/>
        <v>0</v>
      </c>
      <c r="FA27" s="56">
        <f t="shared" si="18"/>
        <v>0</v>
      </c>
      <c r="FB27" s="56">
        <f t="shared" si="6"/>
        <v>0</v>
      </c>
      <c r="FC27" s="56">
        <f t="shared" si="7"/>
        <v>0</v>
      </c>
      <c r="FD27" s="56">
        <f t="shared" si="18"/>
        <v>0</v>
      </c>
      <c r="FE27" s="56">
        <f t="shared" si="18"/>
        <v>0</v>
      </c>
      <c r="FF27" s="56">
        <f t="shared" si="18"/>
        <v>0</v>
      </c>
      <c r="FG27" s="56">
        <f t="shared" si="18"/>
        <v>0</v>
      </c>
      <c r="FH27" s="56">
        <f t="shared" si="18"/>
        <v>0</v>
      </c>
      <c r="FI27" s="56">
        <f t="shared" si="18"/>
        <v>0</v>
      </c>
      <c r="FJ27" s="56">
        <f t="shared" si="18"/>
        <v>0</v>
      </c>
      <c r="FK27" s="56">
        <f t="shared" si="18"/>
        <v>0</v>
      </c>
      <c r="FL27" s="56">
        <f t="shared" si="18"/>
        <v>0</v>
      </c>
      <c r="FM27" s="56">
        <f t="shared" si="18"/>
        <v>0</v>
      </c>
      <c r="FN27" s="56">
        <f t="shared" si="18"/>
        <v>0</v>
      </c>
      <c r="FO27" s="56">
        <f t="shared" si="18"/>
        <v>0</v>
      </c>
      <c r="FP27" s="56">
        <f t="shared" si="8"/>
        <v>0</v>
      </c>
      <c r="FQ27" s="56">
        <f t="shared" si="9"/>
        <v>0</v>
      </c>
      <c r="FR27" s="56">
        <f t="shared" si="10"/>
        <v>0</v>
      </c>
      <c r="FS27" s="56">
        <f t="shared" si="18"/>
        <v>0</v>
      </c>
      <c r="FT27" s="56">
        <f t="shared" si="18"/>
        <v>0</v>
      </c>
      <c r="FU27" s="56">
        <f t="shared" si="18"/>
        <v>0</v>
      </c>
      <c r="FV27" s="56">
        <f t="shared" si="18"/>
        <v>0</v>
      </c>
      <c r="FW27" s="56">
        <f t="shared" si="18"/>
        <v>0</v>
      </c>
      <c r="FX27" s="56">
        <f t="shared" si="18"/>
        <v>0</v>
      </c>
      <c r="FY27" s="56">
        <f t="shared" si="18"/>
        <v>0</v>
      </c>
      <c r="FZ27" s="56">
        <f t="shared" si="18"/>
        <v>0</v>
      </c>
      <c r="GA27" s="56">
        <f t="shared" si="18"/>
        <v>0</v>
      </c>
      <c r="GB27" s="56">
        <f t="shared" si="18"/>
        <v>0</v>
      </c>
      <c r="GC27" s="56">
        <f t="shared" si="18"/>
        <v>0</v>
      </c>
      <c r="GD27" s="56">
        <f t="shared" si="18"/>
        <v>0</v>
      </c>
      <c r="GE27" s="56">
        <f t="shared" si="18"/>
        <v>0</v>
      </c>
      <c r="GF27" s="56">
        <f t="shared" si="18"/>
        <v>0</v>
      </c>
      <c r="GG27" s="56">
        <f t="shared" si="18"/>
        <v>0</v>
      </c>
      <c r="GH27" s="56">
        <f t="shared" si="18"/>
        <v>0</v>
      </c>
      <c r="GI27" s="56">
        <f t="shared" si="18"/>
        <v>0</v>
      </c>
      <c r="GJ27" s="56">
        <f t="shared" si="18"/>
        <v>0</v>
      </c>
      <c r="GK27" s="56">
        <f t="shared" si="18"/>
        <v>0</v>
      </c>
      <c r="GL27" s="56">
        <f t="shared" si="18"/>
        <v>0</v>
      </c>
      <c r="GM27" s="56">
        <f t="shared" si="18"/>
        <v>0</v>
      </c>
      <c r="GN27" s="56">
        <f t="shared" si="18"/>
        <v>0</v>
      </c>
      <c r="GO27" s="56">
        <f t="shared" si="18"/>
        <v>0</v>
      </c>
      <c r="GP27" s="56">
        <f t="shared" si="18"/>
        <v>0</v>
      </c>
      <c r="GQ27" s="56">
        <f t="shared" si="18"/>
        <v>0</v>
      </c>
      <c r="GR27" s="56">
        <f t="shared" si="18"/>
        <v>0</v>
      </c>
      <c r="GS27" s="56">
        <f t="shared" si="18"/>
        <v>0</v>
      </c>
      <c r="GT27" s="56">
        <f t="shared" si="18"/>
        <v>0</v>
      </c>
      <c r="GU27" s="56">
        <f t="shared" si="18"/>
        <v>0</v>
      </c>
      <c r="GV27" s="56">
        <f t="shared" si="18"/>
        <v>0</v>
      </c>
      <c r="GW27" s="56">
        <f t="shared" si="18"/>
        <v>0</v>
      </c>
      <c r="GX27" s="56">
        <f t="shared" si="18"/>
        <v>0</v>
      </c>
      <c r="GY27" s="56">
        <f t="shared" si="18"/>
        <v>0</v>
      </c>
      <c r="GZ27" s="56">
        <f t="shared" si="18"/>
        <v>0</v>
      </c>
      <c r="HA27" s="56">
        <f t="shared" si="18"/>
        <v>0</v>
      </c>
      <c r="HB27" s="56">
        <f t="shared" si="18"/>
        <v>0</v>
      </c>
      <c r="HC27" s="56">
        <f t="shared" si="18"/>
        <v>0</v>
      </c>
      <c r="HD27" s="56">
        <f t="shared" si="17"/>
        <v>0</v>
      </c>
      <c r="HE27" s="56">
        <f t="shared" si="17"/>
        <v>0</v>
      </c>
      <c r="HF27" s="56">
        <f t="shared" si="17"/>
        <v>0</v>
      </c>
      <c r="HG27" s="56">
        <f t="shared" si="17"/>
        <v>0</v>
      </c>
      <c r="HH27" s="56">
        <f t="shared" si="17"/>
        <v>0</v>
      </c>
    </row>
    <row r="28" spans="2:216" x14ac:dyDescent="0.15">
      <c r="B28" s="59">
        <f t="shared" si="11"/>
        <v>43115</v>
      </c>
      <c r="C28" s="57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>
        <f t="shared" si="15"/>
        <v>0</v>
      </c>
      <c r="DM28" s="55">
        <f t="shared" si="15"/>
        <v>0</v>
      </c>
      <c r="DN28" s="55">
        <f t="shared" si="15"/>
        <v>0</v>
      </c>
      <c r="DO28" s="55">
        <f t="shared" si="15"/>
        <v>0</v>
      </c>
      <c r="DP28" s="55">
        <f t="shared" si="1"/>
        <v>0</v>
      </c>
      <c r="DQ28" s="55">
        <f t="shared" si="15"/>
        <v>0</v>
      </c>
      <c r="DR28" s="55">
        <f t="shared" si="15"/>
        <v>0</v>
      </c>
      <c r="DS28" s="55">
        <f t="shared" si="15"/>
        <v>0</v>
      </c>
      <c r="DT28" s="55">
        <f t="shared" si="15"/>
        <v>0</v>
      </c>
      <c r="DU28" s="55">
        <f t="shared" si="15"/>
        <v>0</v>
      </c>
      <c r="DV28" s="55">
        <f t="shared" si="15"/>
        <v>0</v>
      </c>
      <c r="DW28" s="55">
        <f t="shared" si="15"/>
        <v>0</v>
      </c>
      <c r="DX28" s="55">
        <f t="shared" si="15"/>
        <v>0</v>
      </c>
      <c r="DY28" s="55">
        <f t="shared" si="15"/>
        <v>0</v>
      </c>
      <c r="DZ28" s="55">
        <f t="shared" si="15"/>
        <v>0</v>
      </c>
      <c r="EA28" s="55">
        <f t="shared" si="15"/>
        <v>0</v>
      </c>
      <c r="EB28" s="55">
        <f t="shared" si="15"/>
        <v>0</v>
      </c>
      <c r="EC28" s="55">
        <f t="shared" si="15"/>
        <v>0</v>
      </c>
      <c r="ED28" s="55">
        <f t="shared" si="15"/>
        <v>0</v>
      </c>
      <c r="EE28" s="55">
        <f t="shared" si="15"/>
        <v>0</v>
      </c>
      <c r="EF28" s="55">
        <f t="shared" si="15"/>
        <v>0</v>
      </c>
      <c r="EG28" s="55">
        <f t="shared" si="15"/>
        <v>0</v>
      </c>
      <c r="EH28" s="55">
        <f t="shared" si="15"/>
        <v>0</v>
      </c>
      <c r="EI28" s="55">
        <f t="shared" si="15"/>
        <v>0</v>
      </c>
      <c r="EJ28" s="55">
        <f t="shared" si="15"/>
        <v>0</v>
      </c>
      <c r="EK28" s="55">
        <f t="shared" si="15"/>
        <v>0</v>
      </c>
      <c r="EL28" s="55">
        <f t="shared" si="15"/>
        <v>0</v>
      </c>
      <c r="EM28" s="55">
        <f t="shared" si="15"/>
        <v>0</v>
      </c>
      <c r="EN28" s="55">
        <f t="shared" si="15"/>
        <v>0</v>
      </c>
      <c r="EO28" s="55">
        <f t="shared" si="15"/>
        <v>0</v>
      </c>
      <c r="EP28" s="55">
        <f t="shared" si="5"/>
        <v>0</v>
      </c>
      <c r="EQ28" s="55">
        <f t="shared" si="2"/>
        <v>0</v>
      </c>
      <c r="ER28" s="55">
        <f t="shared" si="18"/>
        <v>0</v>
      </c>
      <c r="ES28" s="55">
        <f t="shared" si="18"/>
        <v>0</v>
      </c>
      <c r="ET28" s="55">
        <f t="shared" si="18"/>
        <v>0</v>
      </c>
      <c r="EU28" s="55">
        <f t="shared" si="18"/>
        <v>0</v>
      </c>
      <c r="EV28" s="55">
        <f t="shared" si="18"/>
        <v>0</v>
      </c>
      <c r="EW28" s="55">
        <f t="shared" si="18"/>
        <v>0</v>
      </c>
      <c r="EX28" s="55">
        <f t="shared" si="18"/>
        <v>0</v>
      </c>
      <c r="EY28" s="55">
        <f t="shared" si="18"/>
        <v>0</v>
      </c>
      <c r="EZ28" s="55">
        <f t="shared" si="18"/>
        <v>0</v>
      </c>
      <c r="FA28" s="55">
        <f t="shared" si="18"/>
        <v>0</v>
      </c>
      <c r="FB28" s="55">
        <f t="shared" si="6"/>
        <v>0</v>
      </c>
      <c r="FC28" s="55">
        <f t="shared" si="7"/>
        <v>0</v>
      </c>
      <c r="FD28" s="55">
        <f t="shared" si="18"/>
        <v>0</v>
      </c>
      <c r="FE28" s="55">
        <f t="shared" si="18"/>
        <v>0</v>
      </c>
      <c r="FF28" s="55">
        <f t="shared" si="18"/>
        <v>0</v>
      </c>
      <c r="FG28" s="55">
        <f t="shared" si="18"/>
        <v>0</v>
      </c>
      <c r="FH28" s="55">
        <f t="shared" si="18"/>
        <v>0</v>
      </c>
      <c r="FI28" s="55">
        <f t="shared" si="18"/>
        <v>0</v>
      </c>
      <c r="FJ28" s="55">
        <f t="shared" si="18"/>
        <v>0</v>
      </c>
      <c r="FK28" s="55">
        <f t="shared" si="18"/>
        <v>0</v>
      </c>
      <c r="FL28" s="55">
        <f t="shared" si="18"/>
        <v>0</v>
      </c>
      <c r="FM28" s="55">
        <f t="shared" si="18"/>
        <v>0</v>
      </c>
      <c r="FN28" s="55">
        <f t="shared" si="18"/>
        <v>0</v>
      </c>
      <c r="FO28" s="55">
        <f t="shared" si="18"/>
        <v>0</v>
      </c>
      <c r="FP28" s="55">
        <f t="shared" si="8"/>
        <v>0</v>
      </c>
      <c r="FQ28" s="55">
        <f t="shared" si="9"/>
        <v>0</v>
      </c>
      <c r="FR28" s="55">
        <f t="shared" si="10"/>
        <v>0</v>
      </c>
      <c r="FS28" s="55">
        <f t="shared" si="18"/>
        <v>0</v>
      </c>
      <c r="FT28" s="55">
        <f t="shared" si="18"/>
        <v>0</v>
      </c>
      <c r="FU28" s="55">
        <f t="shared" si="18"/>
        <v>0</v>
      </c>
      <c r="FV28" s="55">
        <f t="shared" si="18"/>
        <v>0</v>
      </c>
      <c r="FW28" s="55">
        <f t="shared" si="18"/>
        <v>0</v>
      </c>
      <c r="FX28" s="55">
        <f t="shared" si="18"/>
        <v>0</v>
      </c>
      <c r="FY28" s="55">
        <f t="shared" si="18"/>
        <v>0</v>
      </c>
      <c r="FZ28" s="55">
        <f t="shared" si="18"/>
        <v>0</v>
      </c>
      <c r="GA28" s="55">
        <f t="shared" si="18"/>
        <v>0</v>
      </c>
      <c r="GB28" s="55">
        <f t="shared" si="18"/>
        <v>0</v>
      </c>
      <c r="GC28" s="55">
        <f t="shared" si="18"/>
        <v>0</v>
      </c>
      <c r="GD28" s="55">
        <f t="shared" si="18"/>
        <v>0</v>
      </c>
      <c r="GE28" s="55">
        <f t="shared" si="18"/>
        <v>0</v>
      </c>
      <c r="GF28" s="55">
        <f t="shared" si="18"/>
        <v>0</v>
      </c>
      <c r="GG28" s="55">
        <f t="shared" si="18"/>
        <v>0</v>
      </c>
      <c r="GH28" s="55">
        <f t="shared" si="18"/>
        <v>0</v>
      </c>
      <c r="GI28" s="55">
        <f t="shared" si="18"/>
        <v>0</v>
      </c>
      <c r="GJ28" s="55">
        <f t="shared" si="18"/>
        <v>0</v>
      </c>
      <c r="GK28" s="55">
        <f t="shared" si="18"/>
        <v>0</v>
      </c>
      <c r="GL28" s="55">
        <f t="shared" si="18"/>
        <v>0</v>
      </c>
      <c r="GM28" s="55">
        <f t="shared" si="18"/>
        <v>0</v>
      </c>
      <c r="GN28" s="55">
        <f t="shared" si="18"/>
        <v>0</v>
      </c>
      <c r="GO28" s="55">
        <f t="shared" si="18"/>
        <v>0</v>
      </c>
      <c r="GP28" s="55">
        <f t="shared" si="18"/>
        <v>0</v>
      </c>
      <c r="GQ28" s="55">
        <f t="shared" si="18"/>
        <v>0</v>
      </c>
      <c r="GR28" s="55">
        <f t="shared" si="18"/>
        <v>0</v>
      </c>
      <c r="GS28" s="55">
        <f t="shared" si="18"/>
        <v>0</v>
      </c>
      <c r="GT28" s="55">
        <f t="shared" si="18"/>
        <v>0</v>
      </c>
      <c r="GU28" s="55">
        <f t="shared" si="18"/>
        <v>0</v>
      </c>
      <c r="GV28" s="55">
        <f t="shared" si="18"/>
        <v>0</v>
      </c>
      <c r="GW28" s="55">
        <f t="shared" si="18"/>
        <v>0</v>
      </c>
      <c r="GX28" s="55">
        <f t="shared" si="18"/>
        <v>0</v>
      </c>
      <c r="GY28" s="55">
        <f t="shared" si="18"/>
        <v>0</v>
      </c>
      <c r="GZ28" s="55">
        <f t="shared" si="18"/>
        <v>0</v>
      </c>
      <c r="HA28" s="55">
        <f t="shared" si="18"/>
        <v>0</v>
      </c>
      <c r="HB28" s="55">
        <f t="shared" si="18"/>
        <v>0</v>
      </c>
      <c r="HC28" s="55">
        <f t="shared" si="18"/>
        <v>0</v>
      </c>
      <c r="HD28" s="55">
        <f t="shared" si="17"/>
        <v>0</v>
      </c>
      <c r="HE28" s="55">
        <f t="shared" si="17"/>
        <v>0</v>
      </c>
      <c r="HF28" s="55">
        <f t="shared" si="17"/>
        <v>0</v>
      </c>
      <c r="HG28" s="55">
        <f t="shared" si="17"/>
        <v>0</v>
      </c>
      <c r="HH28" s="55">
        <f t="shared" si="17"/>
        <v>0</v>
      </c>
    </row>
    <row r="29" spans="2:216" x14ac:dyDescent="0.15">
      <c r="B29" s="60">
        <f t="shared" si="11"/>
        <v>43116</v>
      </c>
      <c r="C29" s="58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56"/>
      <c r="CW29" s="56"/>
      <c r="CX29" s="56"/>
      <c r="CY29" s="56"/>
      <c r="CZ29" s="56"/>
      <c r="DA29" s="56"/>
      <c r="DB29" s="56"/>
      <c r="DC29" s="56"/>
      <c r="DD29" s="56"/>
      <c r="DE29" s="56"/>
      <c r="DF29" s="56"/>
      <c r="DG29" s="56"/>
      <c r="DH29" s="56"/>
      <c r="DI29" s="56"/>
      <c r="DJ29" s="56"/>
      <c r="DK29" s="56"/>
      <c r="DL29" s="56">
        <f t="shared" si="15"/>
        <v>0</v>
      </c>
      <c r="DM29" s="56">
        <f t="shared" si="15"/>
        <v>0</v>
      </c>
      <c r="DN29" s="56">
        <f t="shared" si="15"/>
        <v>0</v>
      </c>
      <c r="DO29" s="56">
        <f t="shared" si="15"/>
        <v>0</v>
      </c>
      <c r="DP29" s="56">
        <f t="shared" si="1"/>
        <v>0</v>
      </c>
      <c r="DQ29" s="56">
        <f t="shared" si="15"/>
        <v>0</v>
      </c>
      <c r="DR29" s="56">
        <f t="shared" si="15"/>
        <v>0</v>
      </c>
      <c r="DS29" s="56">
        <f t="shared" si="15"/>
        <v>0</v>
      </c>
      <c r="DT29" s="56">
        <f t="shared" si="15"/>
        <v>0</v>
      </c>
      <c r="DU29" s="56">
        <f t="shared" si="15"/>
        <v>0</v>
      </c>
      <c r="DV29" s="56">
        <f t="shared" si="15"/>
        <v>0</v>
      </c>
      <c r="DW29" s="56">
        <f t="shared" si="15"/>
        <v>0</v>
      </c>
      <c r="DX29" s="56">
        <f t="shared" si="15"/>
        <v>0</v>
      </c>
      <c r="DY29" s="56">
        <f t="shared" si="15"/>
        <v>0</v>
      </c>
      <c r="DZ29" s="56">
        <f t="shared" si="15"/>
        <v>0</v>
      </c>
      <c r="EA29" s="56">
        <f t="shared" si="15"/>
        <v>0</v>
      </c>
      <c r="EB29" s="56">
        <f t="shared" si="15"/>
        <v>0</v>
      </c>
      <c r="EC29" s="56">
        <f t="shared" si="15"/>
        <v>0</v>
      </c>
      <c r="ED29" s="56">
        <f t="shared" si="15"/>
        <v>0</v>
      </c>
      <c r="EE29" s="56">
        <f t="shared" si="15"/>
        <v>0</v>
      </c>
      <c r="EF29" s="56">
        <f t="shared" si="15"/>
        <v>0</v>
      </c>
      <c r="EG29" s="56">
        <f t="shared" si="15"/>
        <v>0</v>
      </c>
      <c r="EH29" s="56">
        <f t="shared" si="15"/>
        <v>0</v>
      </c>
      <c r="EI29" s="56">
        <f t="shared" si="15"/>
        <v>0</v>
      </c>
      <c r="EJ29" s="56">
        <f t="shared" si="15"/>
        <v>0</v>
      </c>
      <c r="EK29" s="56">
        <f t="shared" si="15"/>
        <v>0</v>
      </c>
      <c r="EL29" s="56">
        <f t="shared" si="15"/>
        <v>0</v>
      </c>
      <c r="EM29" s="56">
        <f t="shared" si="15"/>
        <v>0</v>
      </c>
      <c r="EN29" s="56">
        <f t="shared" si="15"/>
        <v>0</v>
      </c>
      <c r="EO29" s="56">
        <f t="shared" si="15"/>
        <v>0</v>
      </c>
      <c r="EP29" s="56">
        <f t="shared" si="5"/>
        <v>0</v>
      </c>
      <c r="EQ29" s="56">
        <f t="shared" si="2"/>
        <v>0</v>
      </c>
      <c r="ER29" s="56">
        <f t="shared" si="18"/>
        <v>0</v>
      </c>
      <c r="ES29" s="56">
        <f t="shared" si="18"/>
        <v>0</v>
      </c>
      <c r="ET29" s="56">
        <f t="shared" si="18"/>
        <v>0</v>
      </c>
      <c r="EU29" s="56">
        <f t="shared" si="18"/>
        <v>0</v>
      </c>
      <c r="EV29" s="56">
        <f t="shared" si="18"/>
        <v>0</v>
      </c>
      <c r="EW29" s="56">
        <f t="shared" si="18"/>
        <v>0</v>
      </c>
      <c r="EX29" s="56">
        <f t="shared" si="18"/>
        <v>0</v>
      </c>
      <c r="EY29" s="56">
        <f t="shared" si="18"/>
        <v>0</v>
      </c>
      <c r="EZ29" s="56">
        <f t="shared" si="18"/>
        <v>0</v>
      </c>
      <c r="FA29" s="56">
        <f t="shared" si="18"/>
        <v>0</v>
      </c>
      <c r="FB29" s="56">
        <f t="shared" si="6"/>
        <v>0</v>
      </c>
      <c r="FC29" s="56">
        <f t="shared" si="7"/>
        <v>0</v>
      </c>
      <c r="FD29" s="56">
        <f t="shared" si="18"/>
        <v>0</v>
      </c>
      <c r="FE29" s="56">
        <f t="shared" si="18"/>
        <v>0</v>
      </c>
      <c r="FF29" s="56">
        <f t="shared" si="18"/>
        <v>0</v>
      </c>
      <c r="FG29" s="56">
        <f t="shared" si="18"/>
        <v>0</v>
      </c>
      <c r="FH29" s="56">
        <f t="shared" si="18"/>
        <v>0</v>
      </c>
      <c r="FI29" s="56">
        <f t="shared" si="18"/>
        <v>0</v>
      </c>
      <c r="FJ29" s="56">
        <f t="shared" si="18"/>
        <v>0</v>
      </c>
      <c r="FK29" s="56">
        <f t="shared" si="18"/>
        <v>0</v>
      </c>
      <c r="FL29" s="56">
        <f t="shared" si="18"/>
        <v>0</v>
      </c>
      <c r="FM29" s="56">
        <f t="shared" si="18"/>
        <v>0</v>
      </c>
      <c r="FN29" s="56">
        <f t="shared" si="18"/>
        <v>0</v>
      </c>
      <c r="FO29" s="56">
        <f t="shared" si="18"/>
        <v>0</v>
      </c>
      <c r="FP29" s="56">
        <f t="shared" si="8"/>
        <v>0</v>
      </c>
      <c r="FQ29" s="56">
        <f t="shared" si="9"/>
        <v>0</v>
      </c>
      <c r="FR29" s="56">
        <f t="shared" si="10"/>
        <v>0</v>
      </c>
      <c r="FS29" s="56">
        <f t="shared" si="18"/>
        <v>0</v>
      </c>
      <c r="FT29" s="56">
        <f t="shared" si="18"/>
        <v>0</v>
      </c>
      <c r="FU29" s="56">
        <f t="shared" si="18"/>
        <v>0</v>
      </c>
      <c r="FV29" s="56">
        <f t="shared" si="18"/>
        <v>0</v>
      </c>
      <c r="FW29" s="56">
        <f t="shared" si="18"/>
        <v>0</v>
      </c>
      <c r="FX29" s="56">
        <f t="shared" si="18"/>
        <v>0</v>
      </c>
      <c r="FY29" s="56">
        <f t="shared" si="18"/>
        <v>0</v>
      </c>
      <c r="FZ29" s="56">
        <f t="shared" si="18"/>
        <v>0</v>
      </c>
      <c r="GA29" s="56">
        <f t="shared" si="18"/>
        <v>0</v>
      </c>
      <c r="GB29" s="56">
        <f t="shared" si="18"/>
        <v>0</v>
      </c>
      <c r="GC29" s="56">
        <f t="shared" si="18"/>
        <v>0</v>
      </c>
      <c r="GD29" s="56">
        <f t="shared" si="18"/>
        <v>0</v>
      </c>
      <c r="GE29" s="56">
        <f t="shared" si="18"/>
        <v>0</v>
      </c>
      <c r="GF29" s="56">
        <f t="shared" si="18"/>
        <v>0</v>
      </c>
      <c r="GG29" s="56">
        <f t="shared" si="18"/>
        <v>0</v>
      </c>
      <c r="GH29" s="56">
        <f t="shared" si="18"/>
        <v>0</v>
      </c>
      <c r="GI29" s="56">
        <f t="shared" si="18"/>
        <v>0</v>
      </c>
      <c r="GJ29" s="56">
        <f t="shared" si="18"/>
        <v>0</v>
      </c>
      <c r="GK29" s="56">
        <f t="shared" si="18"/>
        <v>0</v>
      </c>
      <c r="GL29" s="56">
        <f t="shared" si="18"/>
        <v>0</v>
      </c>
      <c r="GM29" s="56">
        <f t="shared" si="18"/>
        <v>0</v>
      </c>
      <c r="GN29" s="56">
        <f t="shared" si="18"/>
        <v>0</v>
      </c>
      <c r="GO29" s="56">
        <f t="shared" si="18"/>
        <v>0</v>
      </c>
      <c r="GP29" s="56">
        <f t="shared" si="18"/>
        <v>0</v>
      </c>
      <c r="GQ29" s="56">
        <f t="shared" si="18"/>
        <v>0</v>
      </c>
      <c r="GR29" s="56">
        <f t="shared" si="18"/>
        <v>0</v>
      </c>
      <c r="GS29" s="56">
        <f t="shared" si="18"/>
        <v>0</v>
      </c>
      <c r="GT29" s="56">
        <f t="shared" si="18"/>
        <v>0</v>
      </c>
      <c r="GU29" s="56">
        <f t="shared" si="18"/>
        <v>0</v>
      </c>
      <c r="GV29" s="56">
        <f t="shared" si="18"/>
        <v>0</v>
      </c>
      <c r="GW29" s="56">
        <f t="shared" si="18"/>
        <v>0</v>
      </c>
      <c r="GX29" s="56">
        <f t="shared" si="18"/>
        <v>0</v>
      </c>
      <c r="GY29" s="56">
        <f t="shared" si="18"/>
        <v>0</v>
      </c>
      <c r="GZ29" s="56">
        <f t="shared" si="18"/>
        <v>0</v>
      </c>
      <c r="HA29" s="56">
        <f t="shared" si="18"/>
        <v>0</v>
      </c>
      <c r="HB29" s="56">
        <f t="shared" si="18"/>
        <v>0</v>
      </c>
      <c r="HC29" s="56">
        <f t="shared" ref="HC29:HH32" si="19">IF(VALUE(HC$13)&lt;20,INDEX($O$14:$DK$44,ROW($A16),VALUE(HC$13)),INDEX($O$14:$DK$44,ROW($A16),VALUE(HC$13)+1))</f>
        <v>0</v>
      </c>
      <c r="HD29" s="56">
        <f t="shared" si="19"/>
        <v>0</v>
      </c>
      <c r="HE29" s="56">
        <f t="shared" si="19"/>
        <v>0</v>
      </c>
      <c r="HF29" s="56">
        <f t="shared" si="19"/>
        <v>0</v>
      </c>
      <c r="HG29" s="56">
        <f t="shared" si="19"/>
        <v>0</v>
      </c>
      <c r="HH29" s="56">
        <f t="shared" si="19"/>
        <v>0</v>
      </c>
    </row>
    <row r="30" spans="2:216" x14ac:dyDescent="0.15">
      <c r="B30" s="59">
        <f t="shared" si="11"/>
        <v>43117</v>
      </c>
      <c r="C30" s="57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>
        <f t="shared" si="15"/>
        <v>0</v>
      </c>
      <c r="DM30" s="55">
        <f t="shared" si="15"/>
        <v>0</v>
      </c>
      <c r="DN30" s="55">
        <f t="shared" si="15"/>
        <v>0</v>
      </c>
      <c r="DO30" s="55">
        <f t="shared" si="15"/>
        <v>0</v>
      </c>
      <c r="DP30" s="55">
        <f t="shared" si="1"/>
        <v>0</v>
      </c>
      <c r="DQ30" s="55">
        <f t="shared" si="15"/>
        <v>0</v>
      </c>
      <c r="DR30" s="55">
        <f t="shared" si="15"/>
        <v>0</v>
      </c>
      <c r="DS30" s="55">
        <f t="shared" si="15"/>
        <v>0</v>
      </c>
      <c r="DT30" s="55">
        <f t="shared" si="15"/>
        <v>0</v>
      </c>
      <c r="DU30" s="55">
        <f t="shared" si="15"/>
        <v>0</v>
      </c>
      <c r="DV30" s="55">
        <f t="shared" si="15"/>
        <v>0</v>
      </c>
      <c r="DW30" s="55">
        <f t="shared" si="15"/>
        <v>0</v>
      </c>
      <c r="DX30" s="55">
        <f t="shared" si="15"/>
        <v>0</v>
      </c>
      <c r="DY30" s="55">
        <f t="shared" si="15"/>
        <v>0</v>
      </c>
      <c r="DZ30" s="55">
        <f t="shared" si="15"/>
        <v>0</v>
      </c>
      <c r="EA30" s="55">
        <f t="shared" si="15"/>
        <v>0</v>
      </c>
      <c r="EB30" s="55">
        <f t="shared" si="15"/>
        <v>0</v>
      </c>
      <c r="EC30" s="55">
        <f t="shared" si="15"/>
        <v>0</v>
      </c>
      <c r="ED30" s="55">
        <f t="shared" si="15"/>
        <v>0</v>
      </c>
      <c r="EE30" s="55">
        <f t="shared" si="15"/>
        <v>0</v>
      </c>
      <c r="EF30" s="55">
        <f t="shared" si="15"/>
        <v>0</v>
      </c>
      <c r="EG30" s="55">
        <f t="shared" si="15"/>
        <v>0</v>
      </c>
      <c r="EH30" s="55">
        <f t="shared" si="15"/>
        <v>0</v>
      </c>
      <c r="EI30" s="55">
        <f t="shared" si="15"/>
        <v>0</v>
      </c>
      <c r="EJ30" s="55">
        <f t="shared" si="15"/>
        <v>0</v>
      </c>
      <c r="EK30" s="55">
        <f t="shared" si="15"/>
        <v>0</v>
      </c>
      <c r="EL30" s="55">
        <f t="shared" si="15"/>
        <v>0</v>
      </c>
      <c r="EM30" s="55">
        <f t="shared" si="15"/>
        <v>0</v>
      </c>
      <c r="EN30" s="55">
        <f t="shared" si="15"/>
        <v>0</v>
      </c>
      <c r="EO30" s="55">
        <f t="shared" si="15"/>
        <v>0</v>
      </c>
      <c r="EP30" s="55">
        <f t="shared" si="5"/>
        <v>0</v>
      </c>
      <c r="EQ30" s="55">
        <f t="shared" si="2"/>
        <v>0</v>
      </c>
      <c r="ER30" s="55">
        <f t="shared" ref="ER30:HC33" si="20">IF(VALUE(ER$13)&lt;20,INDEX($O$14:$DK$44,ROW($A17),VALUE(ER$13)),INDEX($O$14:$DK$44,ROW($A17),VALUE(ER$13)+1))</f>
        <v>0</v>
      </c>
      <c r="ES30" s="55">
        <f t="shared" si="20"/>
        <v>0</v>
      </c>
      <c r="ET30" s="55">
        <f t="shared" si="20"/>
        <v>0</v>
      </c>
      <c r="EU30" s="55">
        <f t="shared" si="20"/>
        <v>0</v>
      </c>
      <c r="EV30" s="55">
        <f t="shared" si="20"/>
        <v>0</v>
      </c>
      <c r="EW30" s="55">
        <f t="shared" si="20"/>
        <v>0</v>
      </c>
      <c r="EX30" s="55">
        <f t="shared" si="20"/>
        <v>0</v>
      </c>
      <c r="EY30" s="55">
        <f t="shared" si="20"/>
        <v>0</v>
      </c>
      <c r="EZ30" s="55">
        <f t="shared" si="20"/>
        <v>0</v>
      </c>
      <c r="FA30" s="55">
        <f t="shared" si="20"/>
        <v>0</v>
      </c>
      <c r="FB30" s="55">
        <f t="shared" si="6"/>
        <v>0</v>
      </c>
      <c r="FC30" s="55">
        <f t="shared" si="7"/>
        <v>0</v>
      </c>
      <c r="FD30" s="55">
        <f t="shared" si="20"/>
        <v>0</v>
      </c>
      <c r="FE30" s="55">
        <f t="shared" si="20"/>
        <v>0</v>
      </c>
      <c r="FF30" s="55">
        <f t="shared" si="20"/>
        <v>0</v>
      </c>
      <c r="FG30" s="55">
        <f t="shared" si="20"/>
        <v>0</v>
      </c>
      <c r="FH30" s="55">
        <f t="shared" si="20"/>
        <v>0</v>
      </c>
      <c r="FI30" s="55">
        <f t="shared" si="20"/>
        <v>0</v>
      </c>
      <c r="FJ30" s="55">
        <f t="shared" si="20"/>
        <v>0</v>
      </c>
      <c r="FK30" s="55">
        <f t="shared" si="20"/>
        <v>0</v>
      </c>
      <c r="FL30" s="55">
        <f t="shared" si="20"/>
        <v>0</v>
      </c>
      <c r="FM30" s="55">
        <f t="shared" si="20"/>
        <v>0</v>
      </c>
      <c r="FN30" s="55">
        <f t="shared" si="20"/>
        <v>0</v>
      </c>
      <c r="FO30" s="55">
        <f t="shared" si="20"/>
        <v>0</v>
      </c>
      <c r="FP30" s="55">
        <f t="shared" si="8"/>
        <v>0</v>
      </c>
      <c r="FQ30" s="55">
        <f t="shared" si="9"/>
        <v>0</v>
      </c>
      <c r="FR30" s="55">
        <f t="shared" si="10"/>
        <v>0</v>
      </c>
      <c r="FS30" s="55">
        <f t="shared" si="20"/>
        <v>0</v>
      </c>
      <c r="FT30" s="55">
        <f t="shared" si="20"/>
        <v>0</v>
      </c>
      <c r="FU30" s="55">
        <f t="shared" si="20"/>
        <v>0</v>
      </c>
      <c r="FV30" s="55">
        <f t="shared" si="20"/>
        <v>0</v>
      </c>
      <c r="FW30" s="55">
        <f t="shared" si="20"/>
        <v>0</v>
      </c>
      <c r="FX30" s="55">
        <f t="shared" si="20"/>
        <v>0</v>
      </c>
      <c r="FY30" s="55">
        <f t="shared" si="20"/>
        <v>0</v>
      </c>
      <c r="FZ30" s="55">
        <f t="shared" si="20"/>
        <v>0</v>
      </c>
      <c r="GA30" s="55">
        <f t="shared" si="20"/>
        <v>0</v>
      </c>
      <c r="GB30" s="55">
        <f t="shared" si="20"/>
        <v>0</v>
      </c>
      <c r="GC30" s="55">
        <f t="shared" si="20"/>
        <v>0</v>
      </c>
      <c r="GD30" s="55">
        <f t="shared" si="20"/>
        <v>0</v>
      </c>
      <c r="GE30" s="55">
        <f t="shared" si="20"/>
        <v>0</v>
      </c>
      <c r="GF30" s="55">
        <f t="shared" si="20"/>
        <v>0</v>
      </c>
      <c r="GG30" s="55">
        <f t="shared" si="20"/>
        <v>0</v>
      </c>
      <c r="GH30" s="55">
        <f t="shared" si="20"/>
        <v>0</v>
      </c>
      <c r="GI30" s="55">
        <f t="shared" si="20"/>
        <v>0</v>
      </c>
      <c r="GJ30" s="55">
        <f t="shared" si="20"/>
        <v>0</v>
      </c>
      <c r="GK30" s="55">
        <f t="shared" si="20"/>
        <v>0</v>
      </c>
      <c r="GL30" s="55">
        <f t="shared" si="20"/>
        <v>0</v>
      </c>
      <c r="GM30" s="55">
        <f t="shared" si="20"/>
        <v>0</v>
      </c>
      <c r="GN30" s="55">
        <f t="shared" si="20"/>
        <v>0</v>
      </c>
      <c r="GO30" s="55">
        <f t="shared" si="20"/>
        <v>0</v>
      </c>
      <c r="GP30" s="55">
        <f t="shared" si="20"/>
        <v>0</v>
      </c>
      <c r="GQ30" s="55">
        <f t="shared" si="20"/>
        <v>0</v>
      </c>
      <c r="GR30" s="55">
        <f t="shared" si="20"/>
        <v>0</v>
      </c>
      <c r="GS30" s="55">
        <f t="shared" si="20"/>
        <v>0</v>
      </c>
      <c r="GT30" s="55">
        <f t="shared" si="20"/>
        <v>0</v>
      </c>
      <c r="GU30" s="55">
        <f t="shared" si="20"/>
        <v>0</v>
      </c>
      <c r="GV30" s="55">
        <f t="shared" si="20"/>
        <v>0</v>
      </c>
      <c r="GW30" s="55">
        <f t="shared" si="20"/>
        <v>0</v>
      </c>
      <c r="GX30" s="55">
        <f t="shared" si="20"/>
        <v>0</v>
      </c>
      <c r="GY30" s="55">
        <f t="shared" si="20"/>
        <v>0</v>
      </c>
      <c r="GZ30" s="55">
        <f t="shared" si="20"/>
        <v>0</v>
      </c>
      <c r="HA30" s="55">
        <f t="shared" si="20"/>
        <v>0</v>
      </c>
      <c r="HB30" s="55">
        <f t="shared" si="20"/>
        <v>0</v>
      </c>
      <c r="HC30" s="55">
        <f t="shared" si="20"/>
        <v>0</v>
      </c>
      <c r="HD30" s="55">
        <f t="shared" si="19"/>
        <v>0</v>
      </c>
      <c r="HE30" s="55">
        <f t="shared" si="19"/>
        <v>0</v>
      </c>
      <c r="HF30" s="55">
        <f t="shared" si="19"/>
        <v>0</v>
      </c>
      <c r="HG30" s="55">
        <f t="shared" si="19"/>
        <v>0</v>
      </c>
      <c r="HH30" s="55">
        <f t="shared" si="19"/>
        <v>0</v>
      </c>
    </row>
    <row r="31" spans="2:216" x14ac:dyDescent="0.15">
      <c r="B31" s="60">
        <f t="shared" si="11"/>
        <v>43118</v>
      </c>
      <c r="C31" s="58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56"/>
      <c r="CW31" s="56"/>
      <c r="CX31" s="56"/>
      <c r="CY31" s="56"/>
      <c r="CZ31" s="56"/>
      <c r="DA31" s="56"/>
      <c r="DB31" s="56"/>
      <c r="DC31" s="56"/>
      <c r="DD31" s="56"/>
      <c r="DE31" s="56"/>
      <c r="DF31" s="56"/>
      <c r="DG31" s="56"/>
      <c r="DH31" s="56"/>
      <c r="DI31" s="56"/>
      <c r="DJ31" s="56"/>
      <c r="DK31" s="56"/>
      <c r="DL31" s="56">
        <f t="shared" si="15"/>
        <v>0</v>
      </c>
      <c r="DM31" s="56">
        <f t="shared" si="15"/>
        <v>0</v>
      </c>
      <c r="DN31" s="56">
        <f t="shared" si="15"/>
        <v>0</v>
      </c>
      <c r="DO31" s="56">
        <f t="shared" si="15"/>
        <v>0</v>
      </c>
      <c r="DP31" s="56">
        <f t="shared" si="1"/>
        <v>0</v>
      </c>
      <c r="DQ31" s="56">
        <f t="shared" si="15"/>
        <v>0</v>
      </c>
      <c r="DR31" s="56">
        <f t="shared" si="15"/>
        <v>0</v>
      </c>
      <c r="DS31" s="56">
        <f t="shared" si="15"/>
        <v>0</v>
      </c>
      <c r="DT31" s="56">
        <f t="shared" si="15"/>
        <v>0</v>
      </c>
      <c r="DU31" s="56">
        <f t="shared" si="15"/>
        <v>0</v>
      </c>
      <c r="DV31" s="56">
        <f t="shared" si="15"/>
        <v>0</v>
      </c>
      <c r="DW31" s="56">
        <f t="shared" si="15"/>
        <v>0</v>
      </c>
      <c r="DX31" s="56">
        <f t="shared" si="15"/>
        <v>0</v>
      </c>
      <c r="DY31" s="56">
        <f t="shared" si="15"/>
        <v>0</v>
      </c>
      <c r="DZ31" s="56">
        <f t="shared" si="15"/>
        <v>0</v>
      </c>
      <c r="EA31" s="56">
        <f t="shared" si="15"/>
        <v>0</v>
      </c>
      <c r="EB31" s="56">
        <f t="shared" si="15"/>
        <v>0</v>
      </c>
      <c r="EC31" s="56">
        <f t="shared" si="15"/>
        <v>0</v>
      </c>
      <c r="ED31" s="56">
        <f t="shared" ref="DL31:EO40" si="21">IF(VALUE(ED$13)&lt;20,INDEX($O$14:$DK$44,ROW($A18),VALUE(ED$13)),INDEX($O$14:$DK$44,ROW($A18),VALUE(ED$13)+1))</f>
        <v>0</v>
      </c>
      <c r="EE31" s="56">
        <f t="shared" si="21"/>
        <v>0</v>
      </c>
      <c r="EF31" s="56">
        <f t="shared" si="21"/>
        <v>0</v>
      </c>
      <c r="EG31" s="56">
        <f t="shared" si="21"/>
        <v>0</v>
      </c>
      <c r="EH31" s="56">
        <f t="shared" si="21"/>
        <v>0</v>
      </c>
      <c r="EI31" s="56">
        <f t="shared" si="21"/>
        <v>0</v>
      </c>
      <c r="EJ31" s="56">
        <f t="shared" si="21"/>
        <v>0</v>
      </c>
      <c r="EK31" s="56">
        <f t="shared" si="21"/>
        <v>0</v>
      </c>
      <c r="EL31" s="56">
        <f t="shared" si="21"/>
        <v>0</v>
      </c>
      <c r="EM31" s="56">
        <f t="shared" si="21"/>
        <v>0</v>
      </c>
      <c r="EN31" s="56">
        <f t="shared" si="21"/>
        <v>0</v>
      </c>
      <c r="EO31" s="56">
        <f t="shared" si="21"/>
        <v>0</v>
      </c>
      <c r="EP31" s="56">
        <f t="shared" si="5"/>
        <v>0</v>
      </c>
      <c r="EQ31" s="56">
        <f t="shared" si="2"/>
        <v>0</v>
      </c>
      <c r="ER31" s="56">
        <f t="shared" si="20"/>
        <v>0</v>
      </c>
      <c r="ES31" s="56">
        <f t="shared" si="20"/>
        <v>0</v>
      </c>
      <c r="ET31" s="56">
        <f t="shared" si="20"/>
        <v>0</v>
      </c>
      <c r="EU31" s="56">
        <f t="shared" si="20"/>
        <v>0</v>
      </c>
      <c r="EV31" s="56">
        <f t="shared" si="20"/>
        <v>0</v>
      </c>
      <c r="EW31" s="56">
        <f t="shared" si="20"/>
        <v>0</v>
      </c>
      <c r="EX31" s="56">
        <f t="shared" si="20"/>
        <v>0</v>
      </c>
      <c r="EY31" s="56">
        <f t="shared" si="20"/>
        <v>0</v>
      </c>
      <c r="EZ31" s="56">
        <f t="shared" si="20"/>
        <v>0</v>
      </c>
      <c r="FA31" s="56">
        <f t="shared" si="20"/>
        <v>0</v>
      </c>
      <c r="FB31" s="56">
        <f t="shared" si="6"/>
        <v>0</v>
      </c>
      <c r="FC31" s="56">
        <f t="shared" si="7"/>
        <v>0</v>
      </c>
      <c r="FD31" s="56">
        <f t="shared" si="20"/>
        <v>0</v>
      </c>
      <c r="FE31" s="56">
        <f t="shared" si="20"/>
        <v>0</v>
      </c>
      <c r="FF31" s="56">
        <f t="shared" si="20"/>
        <v>0</v>
      </c>
      <c r="FG31" s="56">
        <f t="shared" si="20"/>
        <v>0</v>
      </c>
      <c r="FH31" s="56">
        <f t="shared" si="20"/>
        <v>0</v>
      </c>
      <c r="FI31" s="56">
        <f t="shared" si="20"/>
        <v>0</v>
      </c>
      <c r="FJ31" s="56">
        <f t="shared" si="20"/>
        <v>0</v>
      </c>
      <c r="FK31" s="56">
        <f t="shared" si="20"/>
        <v>0</v>
      </c>
      <c r="FL31" s="56">
        <f t="shared" si="20"/>
        <v>0</v>
      </c>
      <c r="FM31" s="56">
        <f t="shared" si="20"/>
        <v>0</v>
      </c>
      <c r="FN31" s="56">
        <f t="shared" si="20"/>
        <v>0</v>
      </c>
      <c r="FO31" s="56">
        <f t="shared" si="20"/>
        <v>0</v>
      </c>
      <c r="FP31" s="56">
        <f t="shared" si="8"/>
        <v>0</v>
      </c>
      <c r="FQ31" s="56">
        <f t="shared" si="9"/>
        <v>0</v>
      </c>
      <c r="FR31" s="56">
        <f t="shared" si="10"/>
        <v>0</v>
      </c>
      <c r="FS31" s="56">
        <f t="shared" si="20"/>
        <v>0</v>
      </c>
      <c r="FT31" s="56">
        <f t="shared" si="20"/>
        <v>0</v>
      </c>
      <c r="FU31" s="56">
        <f t="shared" si="20"/>
        <v>0</v>
      </c>
      <c r="FV31" s="56">
        <f t="shared" si="20"/>
        <v>0</v>
      </c>
      <c r="FW31" s="56">
        <f t="shared" si="20"/>
        <v>0</v>
      </c>
      <c r="FX31" s="56">
        <f t="shared" si="20"/>
        <v>0</v>
      </c>
      <c r="FY31" s="56">
        <f t="shared" si="20"/>
        <v>0</v>
      </c>
      <c r="FZ31" s="56">
        <f t="shared" si="20"/>
        <v>0</v>
      </c>
      <c r="GA31" s="56">
        <f t="shared" si="20"/>
        <v>0</v>
      </c>
      <c r="GB31" s="56">
        <f t="shared" si="20"/>
        <v>0</v>
      </c>
      <c r="GC31" s="56">
        <f t="shared" si="20"/>
        <v>0</v>
      </c>
      <c r="GD31" s="56">
        <f t="shared" si="20"/>
        <v>0</v>
      </c>
      <c r="GE31" s="56">
        <f t="shared" si="20"/>
        <v>0</v>
      </c>
      <c r="GF31" s="56">
        <f t="shared" si="20"/>
        <v>0</v>
      </c>
      <c r="GG31" s="56">
        <f t="shared" si="20"/>
        <v>0</v>
      </c>
      <c r="GH31" s="56">
        <f t="shared" si="20"/>
        <v>0</v>
      </c>
      <c r="GI31" s="56">
        <f t="shared" si="20"/>
        <v>0</v>
      </c>
      <c r="GJ31" s="56">
        <f t="shared" si="20"/>
        <v>0</v>
      </c>
      <c r="GK31" s="56">
        <f t="shared" si="20"/>
        <v>0</v>
      </c>
      <c r="GL31" s="56">
        <f t="shared" si="20"/>
        <v>0</v>
      </c>
      <c r="GM31" s="56">
        <f t="shared" si="20"/>
        <v>0</v>
      </c>
      <c r="GN31" s="56">
        <f t="shared" si="20"/>
        <v>0</v>
      </c>
      <c r="GO31" s="56">
        <f t="shared" si="20"/>
        <v>0</v>
      </c>
      <c r="GP31" s="56">
        <f t="shared" si="20"/>
        <v>0</v>
      </c>
      <c r="GQ31" s="56">
        <f t="shared" si="20"/>
        <v>0</v>
      </c>
      <c r="GR31" s="56">
        <f t="shared" si="20"/>
        <v>0</v>
      </c>
      <c r="GS31" s="56">
        <f t="shared" si="20"/>
        <v>0</v>
      </c>
      <c r="GT31" s="56">
        <f t="shared" si="20"/>
        <v>0</v>
      </c>
      <c r="GU31" s="56">
        <f t="shared" si="20"/>
        <v>0</v>
      </c>
      <c r="GV31" s="56">
        <f t="shared" si="20"/>
        <v>0</v>
      </c>
      <c r="GW31" s="56">
        <f t="shared" si="20"/>
        <v>0</v>
      </c>
      <c r="GX31" s="56">
        <f t="shared" si="20"/>
        <v>0</v>
      </c>
      <c r="GY31" s="56">
        <f t="shared" si="20"/>
        <v>0</v>
      </c>
      <c r="GZ31" s="56">
        <f t="shared" si="20"/>
        <v>0</v>
      </c>
      <c r="HA31" s="56">
        <f t="shared" si="20"/>
        <v>0</v>
      </c>
      <c r="HB31" s="56">
        <f t="shared" si="20"/>
        <v>0</v>
      </c>
      <c r="HC31" s="56">
        <f t="shared" si="20"/>
        <v>0</v>
      </c>
      <c r="HD31" s="56">
        <f t="shared" si="19"/>
        <v>0</v>
      </c>
      <c r="HE31" s="56">
        <f t="shared" si="19"/>
        <v>0</v>
      </c>
      <c r="HF31" s="56">
        <f t="shared" si="19"/>
        <v>0</v>
      </c>
      <c r="HG31" s="56">
        <f t="shared" si="19"/>
        <v>0</v>
      </c>
      <c r="HH31" s="56">
        <f t="shared" si="19"/>
        <v>0</v>
      </c>
    </row>
    <row r="32" spans="2:216" x14ac:dyDescent="0.15">
      <c r="B32" s="59">
        <f t="shared" si="11"/>
        <v>43119</v>
      </c>
      <c r="C32" s="57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>
        <f t="shared" si="21"/>
        <v>0</v>
      </c>
      <c r="DM32" s="55">
        <f t="shared" si="21"/>
        <v>0</v>
      </c>
      <c r="DN32" s="55">
        <f t="shared" si="21"/>
        <v>0</v>
      </c>
      <c r="DO32" s="55">
        <f t="shared" si="21"/>
        <v>0</v>
      </c>
      <c r="DP32" s="55">
        <f t="shared" si="1"/>
        <v>0</v>
      </c>
      <c r="DQ32" s="55">
        <f t="shared" si="21"/>
        <v>0</v>
      </c>
      <c r="DR32" s="55">
        <f t="shared" si="21"/>
        <v>0</v>
      </c>
      <c r="DS32" s="55">
        <f t="shared" si="21"/>
        <v>0</v>
      </c>
      <c r="DT32" s="55">
        <f t="shared" si="21"/>
        <v>0</v>
      </c>
      <c r="DU32" s="55">
        <f t="shared" si="21"/>
        <v>0</v>
      </c>
      <c r="DV32" s="55">
        <f t="shared" si="21"/>
        <v>0</v>
      </c>
      <c r="DW32" s="55">
        <f t="shared" si="21"/>
        <v>0</v>
      </c>
      <c r="DX32" s="55">
        <f t="shared" si="21"/>
        <v>0</v>
      </c>
      <c r="DY32" s="55">
        <f t="shared" si="21"/>
        <v>0</v>
      </c>
      <c r="DZ32" s="55">
        <f t="shared" si="21"/>
        <v>0</v>
      </c>
      <c r="EA32" s="55">
        <f t="shared" si="21"/>
        <v>0</v>
      </c>
      <c r="EB32" s="55">
        <f t="shared" si="21"/>
        <v>0</v>
      </c>
      <c r="EC32" s="55">
        <f t="shared" si="21"/>
        <v>0</v>
      </c>
      <c r="ED32" s="55">
        <f t="shared" si="21"/>
        <v>0</v>
      </c>
      <c r="EE32" s="55">
        <f t="shared" si="21"/>
        <v>0</v>
      </c>
      <c r="EF32" s="55">
        <f t="shared" si="21"/>
        <v>0</v>
      </c>
      <c r="EG32" s="55">
        <f t="shared" si="21"/>
        <v>0</v>
      </c>
      <c r="EH32" s="55">
        <f t="shared" si="21"/>
        <v>0</v>
      </c>
      <c r="EI32" s="55">
        <f t="shared" si="21"/>
        <v>0</v>
      </c>
      <c r="EJ32" s="55">
        <f t="shared" si="21"/>
        <v>0</v>
      </c>
      <c r="EK32" s="55">
        <f t="shared" si="21"/>
        <v>0</v>
      </c>
      <c r="EL32" s="55">
        <f t="shared" si="21"/>
        <v>0</v>
      </c>
      <c r="EM32" s="55">
        <f t="shared" si="21"/>
        <v>0</v>
      </c>
      <c r="EN32" s="55">
        <f t="shared" si="21"/>
        <v>0</v>
      </c>
      <c r="EO32" s="55">
        <f t="shared" si="21"/>
        <v>0</v>
      </c>
      <c r="EP32" s="55">
        <f t="shared" si="5"/>
        <v>0</v>
      </c>
      <c r="EQ32" s="55">
        <f t="shared" si="2"/>
        <v>0</v>
      </c>
      <c r="ER32" s="55">
        <f t="shared" si="20"/>
        <v>0</v>
      </c>
      <c r="ES32" s="55">
        <f t="shared" si="20"/>
        <v>0</v>
      </c>
      <c r="ET32" s="55">
        <f t="shared" si="20"/>
        <v>0</v>
      </c>
      <c r="EU32" s="55">
        <f t="shared" si="20"/>
        <v>0</v>
      </c>
      <c r="EV32" s="55">
        <f t="shared" si="20"/>
        <v>0</v>
      </c>
      <c r="EW32" s="55">
        <f t="shared" si="20"/>
        <v>0</v>
      </c>
      <c r="EX32" s="55">
        <f t="shared" si="20"/>
        <v>0</v>
      </c>
      <c r="EY32" s="55">
        <f t="shared" si="20"/>
        <v>0</v>
      </c>
      <c r="EZ32" s="55">
        <f t="shared" si="20"/>
        <v>0</v>
      </c>
      <c r="FA32" s="55">
        <f t="shared" si="20"/>
        <v>0</v>
      </c>
      <c r="FB32" s="55">
        <f t="shared" si="6"/>
        <v>0</v>
      </c>
      <c r="FC32" s="55">
        <f t="shared" si="7"/>
        <v>0</v>
      </c>
      <c r="FD32" s="55">
        <f t="shared" si="20"/>
        <v>0</v>
      </c>
      <c r="FE32" s="55">
        <f t="shared" si="20"/>
        <v>0</v>
      </c>
      <c r="FF32" s="55">
        <f t="shared" si="20"/>
        <v>0</v>
      </c>
      <c r="FG32" s="55">
        <f t="shared" si="20"/>
        <v>0</v>
      </c>
      <c r="FH32" s="55">
        <f t="shared" si="20"/>
        <v>0</v>
      </c>
      <c r="FI32" s="55">
        <f t="shared" si="20"/>
        <v>0</v>
      </c>
      <c r="FJ32" s="55">
        <f t="shared" si="20"/>
        <v>0</v>
      </c>
      <c r="FK32" s="55">
        <f t="shared" si="20"/>
        <v>0</v>
      </c>
      <c r="FL32" s="55">
        <f t="shared" si="20"/>
        <v>0</v>
      </c>
      <c r="FM32" s="55">
        <f t="shared" si="20"/>
        <v>0</v>
      </c>
      <c r="FN32" s="55">
        <f t="shared" si="20"/>
        <v>0</v>
      </c>
      <c r="FO32" s="55">
        <f t="shared" si="20"/>
        <v>0</v>
      </c>
      <c r="FP32" s="55">
        <f t="shared" si="8"/>
        <v>0</v>
      </c>
      <c r="FQ32" s="55">
        <f t="shared" si="9"/>
        <v>0</v>
      </c>
      <c r="FR32" s="55">
        <f t="shared" si="10"/>
        <v>0</v>
      </c>
      <c r="FS32" s="55">
        <f t="shared" si="20"/>
        <v>0</v>
      </c>
      <c r="FT32" s="55">
        <f t="shared" si="20"/>
        <v>0</v>
      </c>
      <c r="FU32" s="55">
        <f t="shared" si="20"/>
        <v>0</v>
      </c>
      <c r="FV32" s="55">
        <f t="shared" si="20"/>
        <v>0</v>
      </c>
      <c r="FW32" s="55">
        <f t="shared" si="20"/>
        <v>0</v>
      </c>
      <c r="FX32" s="55">
        <f t="shared" si="20"/>
        <v>0</v>
      </c>
      <c r="FY32" s="55">
        <f t="shared" si="20"/>
        <v>0</v>
      </c>
      <c r="FZ32" s="55">
        <f t="shared" si="20"/>
        <v>0</v>
      </c>
      <c r="GA32" s="55">
        <f t="shared" si="20"/>
        <v>0</v>
      </c>
      <c r="GB32" s="55">
        <f t="shared" si="20"/>
        <v>0</v>
      </c>
      <c r="GC32" s="55">
        <f t="shared" si="20"/>
        <v>0</v>
      </c>
      <c r="GD32" s="55">
        <f t="shared" si="20"/>
        <v>0</v>
      </c>
      <c r="GE32" s="55">
        <f t="shared" si="20"/>
        <v>0</v>
      </c>
      <c r="GF32" s="55">
        <f t="shared" si="20"/>
        <v>0</v>
      </c>
      <c r="GG32" s="55">
        <f t="shared" si="20"/>
        <v>0</v>
      </c>
      <c r="GH32" s="55">
        <f t="shared" si="20"/>
        <v>0</v>
      </c>
      <c r="GI32" s="55">
        <f t="shared" si="20"/>
        <v>0</v>
      </c>
      <c r="GJ32" s="55">
        <f t="shared" si="20"/>
        <v>0</v>
      </c>
      <c r="GK32" s="55">
        <f t="shared" si="20"/>
        <v>0</v>
      </c>
      <c r="GL32" s="55">
        <f t="shared" si="20"/>
        <v>0</v>
      </c>
      <c r="GM32" s="55">
        <f t="shared" si="20"/>
        <v>0</v>
      </c>
      <c r="GN32" s="55">
        <f t="shared" si="20"/>
        <v>0</v>
      </c>
      <c r="GO32" s="55">
        <f t="shared" si="20"/>
        <v>0</v>
      </c>
      <c r="GP32" s="55">
        <f t="shared" si="20"/>
        <v>0</v>
      </c>
      <c r="GQ32" s="55">
        <f t="shared" si="20"/>
        <v>0</v>
      </c>
      <c r="GR32" s="55">
        <f t="shared" si="20"/>
        <v>0</v>
      </c>
      <c r="GS32" s="55">
        <f t="shared" si="20"/>
        <v>0</v>
      </c>
      <c r="GT32" s="55">
        <f t="shared" si="20"/>
        <v>0</v>
      </c>
      <c r="GU32" s="55">
        <f t="shared" si="20"/>
        <v>0</v>
      </c>
      <c r="GV32" s="55">
        <f t="shared" si="20"/>
        <v>0</v>
      </c>
      <c r="GW32" s="55">
        <f t="shared" si="20"/>
        <v>0</v>
      </c>
      <c r="GX32" s="55">
        <f t="shared" si="20"/>
        <v>0</v>
      </c>
      <c r="GY32" s="55">
        <f t="shared" si="20"/>
        <v>0</v>
      </c>
      <c r="GZ32" s="55">
        <f t="shared" si="20"/>
        <v>0</v>
      </c>
      <c r="HA32" s="55">
        <f t="shared" si="20"/>
        <v>0</v>
      </c>
      <c r="HB32" s="55">
        <f t="shared" si="20"/>
        <v>0</v>
      </c>
      <c r="HC32" s="55">
        <f t="shared" si="20"/>
        <v>0</v>
      </c>
      <c r="HD32" s="55">
        <f t="shared" si="19"/>
        <v>0</v>
      </c>
      <c r="HE32" s="55">
        <f t="shared" si="19"/>
        <v>0</v>
      </c>
      <c r="HF32" s="55">
        <f t="shared" si="19"/>
        <v>0</v>
      </c>
      <c r="HG32" s="55">
        <f t="shared" si="19"/>
        <v>0</v>
      </c>
      <c r="HH32" s="55">
        <f t="shared" si="19"/>
        <v>0</v>
      </c>
    </row>
    <row r="33" spans="2:216" x14ac:dyDescent="0.15">
      <c r="B33" s="60">
        <f t="shared" si="11"/>
        <v>43120</v>
      </c>
      <c r="C33" s="58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56"/>
      <c r="CW33" s="56"/>
      <c r="CX33" s="56"/>
      <c r="CY33" s="56"/>
      <c r="CZ33" s="56"/>
      <c r="DA33" s="56"/>
      <c r="DB33" s="56"/>
      <c r="DC33" s="56"/>
      <c r="DD33" s="56"/>
      <c r="DE33" s="56"/>
      <c r="DF33" s="56"/>
      <c r="DG33" s="56"/>
      <c r="DH33" s="56"/>
      <c r="DI33" s="56"/>
      <c r="DJ33" s="56"/>
      <c r="DK33" s="56"/>
      <c r="DL33" s="56">
        <f t="shared" si="21"/>
        <v>0</v>
      </c>
      <c r="DM33" s="56">
        <f t="shared" si="21"/>
        <v>0</v>
      </c>
      <c r="DN33" s="56">
        <f t="shared" si="21"/>
        <v>0</v>
      </c>
      <c r="DO33" s="56">
        <f t="shared" si="21"/>
        <v>0</v>
      </c>
      <c r="DP33" s="56">
        <f t="shared" si="1"/>
        <v>0</v>
      </c>
      <c r="DQ33" s="56">
        <f t="shared" si="21"/>
        <v>0</v>
      </c>
      <c r="DR33" s="56">
        <f t="shared" si="21"/>
        <v>0</v>
      </c>
      <c r="DS33" s="56">
        <f t="shared" si="21"/>
        <v>0</v>
      </c>
      <c r="DT33" s="56">
        <f t="shared" si="21"/>
        <v>0</v>
      </c>
      <c r="DU33" s="56">
        <f t="shared" si="21"/>
        <v>0</v>
      </c>
      <c r="DV33" s="56">
        <f t="shared" si="21"/>
        <v>0</v>
      </c>
      <c r="DW33" s="56">
        <f t="shared" si="21"/>
        <v>0</v>
      </c>
      <c r="DX33" s="56">
        <f t="shared" si="21"/>
        <v>0</v>
      </c>
      <c r="DY33" s="56">
        <f t="shared" si="21"/>
        <v>0</v>
      </c>
      <c r="DZ33" s="56">
        <f t="shared" si="21"/>
        <v>0</v>
      </c>
      <c r="EA33" s="56">
        <f t="shared" si="21"/>
        <v>0</v>
      </c>
      <c r="EB33" s="56">
        <f t="shared" si="21"/>
        <v>0</v>
      </c>
      <c r="EC33" s="56">
        <f t="shared" si="21"/>
        <v>0</v>
      </c>
      <c r="ED33" s="56">
        <f t="shared" si="21"/>
        <v>0</v>
      </c>
      <c r="EE33" s="56">
        <f t="shared" si="21"/>
        <v>0</v>
      </c>
      <c r="EF33" s="56">
        <f t="shared" si="21"/>
        <v>0</v>
      </c>
      <c r="EG33" s="56">
        <f t="shared" si="21"/>
        <v>0</v>
      </c>
      <c r="EH33" s="56">
        <f t="shared" si="21"/>
        <v>0</v>
      </c>
      <c r="EI33" s="56">
        <f t="shared" si="21"/>
        <v>0</v>
      </c>
      <c r="EJ33" s="56">
        <f t="shared" si="21"/>
        <v>0</v>
      </c>
      <c r="EK33" s="56">
        <f t="shared" si="21"/>
        <v>0</v>
      </c>
      <c r="EL33" s="56">
        <f t="shared" si="21"/>
        <v>0</v>
      </c>
      <c r="EM33" s="56">
        <f t="shared" si="21"/>
        <v>0</v>
      </c>
      <c r="EN33" s="56">
        <f t="shared" si="21"/>
        <v>0</v>
      </c>
      <c r="EO33" s="56">
        <f t="shared" si="21"/>
        <v>0</v>
      </c>
      <c r="EP33" s="56">
        <f t="shared" si="5"/>
        <v>0</v>
      </c>
      <c r="EQ33" s="56">
        <f t="shared" si="2"/>
        <v>0</v>
      </c>
      <c r="ER33" s="56">
        <f t="shared" si="20"/>
        <v>0</v>
      </c>
      <c r="ES33" s="56">
        <f t="shared" si="20"/>
        <v>0</v>
      </c>
      <c r="ET33" s="56">
        <f t="shared" si="20"/>
        <v>0</v>
      </c>
      <c r="EU33" s="56">
        <f t="shared" si="20"/>
        <v>0</v>
      </c>
      <c r="EV33" s="56">
        <f t="shared" si="20"/>
        <v>0</v>
      </c>
      <c r="EW33" s="56">
        <f t="shared" si="20"/>
        <v>0</v>
      </c>
      <c r="EX33" s="56">
        <f t="shared" si="20"/>
        <v>0</v>
      </c>
      <c r="EY33" s="56">
        <f t="shared" si="20"/>
        <v>0</v>
      </c>
      <c r="EZ33" s="56">
        <f t="shared" si="20"/>
        <v>0</v>
      </c>
      <c r="FA33" s="56">
        <f t="shared" si="20"/>
        <v>0</v>
      </c>
      <c r="FB33" s="56">
        <f t="shared" si="6"/>
        <v>0</v>
      </c>
      <c r="FC33" s="56">
        <f t="shared" si="7"/>
        <v>0</v>
      </c>
      <c r="FD33" s="56">
        <f t="shared" si="20"/>
        <v>0</v>
      </c>
      <c r="FE33" s="56">
        <f t="shared" si="20"/>
        <v>0</v>
      </c>
      <c r="FF33" s="56">
        <f t="shared" si="20"/>
        <v>0</v>
      </c>
      <c r="FG33" s="56">
        <f t="shared" si="20"/>
        <v>0</v>
      </c>
      <c r="FH33" s="56">
        <f t="shared" si="20"/>
        <v>0</v>
      </c>
      <c r="FI33" s="56">
        <f t="shared" si="20"/>
        <v>0</v>
      </c>
      <c r="FJ33" s="56">
        <f t="shared" si="20"/>
        <v>0</v>
      </c>
      <c r="FK33" s="56">
        <f t="shared" si="20"/>
        <v>0</v>
      </c>
      <c r="FL33" s="56">
        <f t="shared" si="20"/>
        <v>0</v>
      </c>
      <c r="FM33" s="56">
        <f t="shared" si="20"/>
        <v>0</v>
      </c>
      <c r="FN33" s="56">
        <f t="shared" si="20"/>
        <v>0</v>
      </c>
      <c r="FO33" s="56">
        <f t="shared" si="20"/>
        <v>0</v>
      </c>
      <c r="FP33" s="56">
        <f t="shared" si="8"/>
        <v>0</v>
      </c>
      <c r="FQ33" s="56">
        <f t="shared" si="9"/>
        <v>0</v>
      </c>
      <c r="FR33" s="56">
        <f t="shared" si="10"/>
        <v>0</v>
      </c>
      <c r="FS33" s="56">
        <f t="shared" si="20"/>
        <v>0</v>
      </c>
      <c r="FT33" s="56">
        <f t="shared" si="20"/>
        <v>0</v>
      </c>
      <c r="FU33" s="56">
        <f t="shared" si="20"/>
        <v>0</v>
      </c>
      <c r="FV33" s="56">
        <f t="shared" si="20"/>
        <v>0</v>
      </c>
      <c r="FW33" s="56">
        <f t="shared" si="20"/>
        <v>0</v>
      </c>
      <c r="FX33" s="56">
        <f t="shared" si="20"/>
        <v>0</v>
      </c>
      <c r="FY33" s="56">
        <f t="shared" si="20"/>
        <v>0</v>
      </c>
      <c r="FZ33" s="56">
        <f t="shared" si="20"/>
        <v>0</v>
      </c>
      <c r="GA33" s="56">
        <f t="shared" si="20"/>
        <v>0</v>
      </c>
      <c r="GB33" s="56">
        <f t="shared" si="20"/>
        <v>0</v>
      </c>
      <c r="GC33" s="56">
        <f t="shared" si="20"/>
        <v>0</v>
      </c>
      <c r="GD33" s="56">
        <f t="shared" si="20"/>
        <v>0</v>
      </c>
      <c r="GE33" s="56">
        <f t="shared" si="20"/>
        <v>0</v>
      </c>
      <c r="GF33" s="56">
        <f t="shared" si="20"/>
        <v>0</v>
      </c>
      <c r="GG33" s="56">
        <f t="shared" si="20"/>
        <v>0</v>
      </c>
      <c r="GH33" s="56">
        <f t="shared" si="20"/>
        <v>0</v>
      </c>
      <c r="GI33" s="56">
        <f t="shared" si="20"/>
        <v>0</v>
      </c>
      <c r="GJ33" s="56">
        <f t="shared" si="20"/>
        <v>0</v>
      </c>
      <c r="GK33" s="56">
        <f t="shared" si="20"/>
        <v>0</v>
      </c>
      <c r="GL33" s="56">
        <f t="shared" si="20"/>
        <v>0</v>
      </c>
      <c r="GM33" s="56">
        <f t="shared" si="20"/>
        <v>0</v>
      </c>
      <c r="GN33" s="56">
        <f t="shared" si="20"/>
        <v>0</v>
      </c>
      <c r="GO33" s="56">
        <f t="shared" si="20"/>
        <v>0</v>
      </c>
      <c r="GP33" s="56">
        <f t="shared" si="20"/>
        <v>0</v>
      </c>
      <c r="GQ33" s="56">
        <f t="shared" si="20"/>
        <v>0</v>
      </c>
      <c r="GR33" s="56">
        <f t="shared" si="20"/>
        <v>0</v>
      </c>
      <c r="GS33" s="56">
        <f t="shared" si="20"/>
        <v>0</v>
      </c>
      <c r="GT33" s="56">
        <f t="shared" si="20"/>
        <v>0</v>
      </c>
      <c r="GU33" s="56">
        <f t="shared" si="20"/>
        <v>0</v>
      </c>
      <c r="GV33" s="56">
        <f t="shared" si="20"/>
        <v>0</v>
      </c>
      <c r="GW33" s="56">
        <f t="shared" si="20"/>
        <v>0</v>
      </c>
      <c r="GX33" s="56">
        <f t="shared" si="20"/>
        <v>0</v>
      </c>
      <c r="GY33" s="56">
        <f t="shared" si="20"/>
        <v>0</v>
      </c>
      <c r="GZ33" s="56">
        <f t="shared" si="20"/>
        <v>0</v>
      </c>
      <c r="HA33" s="56">
        <f t="shared" si="20"/>
        <v>0</v>
      </c>
      <c r="HB33" s="56">
        <f t="shared" si="20"/>
        <v>0</v>
      </c>
      <c r="HC33" s="56">
        <f t="shared" ref="HC33:HH36" si="22">IF(VALUE(HC$13)&lt;20,INDEX($O$14:$DK$44,ROW($A20),VALUE(HC$13)),INDEX($O$14:$DK$44,ROW($A20),VALUE(HC$13)+1))</f>
        <v>0</v>
      </c>
      <c r="HD33" s="56">
        <f t="shared" si="22"/>
        <v>0</v>
      </c>
      <c r="HE33" s="56">
        <f t="shared" si="22"/>
        <v>0</v>
      </c>
      <c r="HF33" s="56">
        <f t="shared" si="22"/>
        <v>0</v>
      </c>
      <c r="HG33" s="56">
        <f t="shared" si="22"/>
        <v>0</v>
      </c>
      <c r="HH33" s="56">
        <f t="shared" si="22"/>
        <v>0</v>
      </c>
    </row>
    <row r="34" spans="2:216" x14ac:dyDescent="0.15">
      <c r="B34" s="59">
        <f t="shared" si="11"/>
        <v>43121</v>
      </c>
      <c r="C34" s="57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>
        <f t="shared" si="21"/>
        <v>0</v>
      </c>
      <c r="DM34" s="55">
        <f t="shared" si="21"/>
        <v>0</v>
      </c>
      <c r="DN34" s="55">
        <f t="shared" si="21"/>
        <v>0</v>
      </c>
      <c r="DO34" s="55">
        <f t="shared" si="21"/>
        <v>0</v>
      </c>
      <c r="DP34" s="55">
        <f t="shared" si="1"/>
        <v>0</v>
      </c>
      <c r="DQ34" s="55">
        <f t="shared" si="21"/>
        <v>0</v>
      </c>
      <c r="DR34" s="55">
        <f t="shared" si="21"/>
        <v>0</v>
      </c>
      <c r="DS34" s="55">
        <f t="shared" si="21"/>
        <v>0</v>
      </c>
      <c r="DT34" s="55">
        <f t="shared" si="21"/>
        <v>0</v>
      </c>
      <c r="DU34" s="55">
        <f t="shared" si="21"/>
        <v>0</v>
      </c>
      <c r="DV34" s="55">
        <f t="shared" si="21"/>
        <v>0</v>
      </c>
      <c r="DW34" s="55">
        <f t="shared" si="21"/>
        <v>0</v>
      </c>
      <c r="DX34" s="55">
        <f t="shared" si="21"/>
        <v>0</v>
      </c>
      <c r="DY34" s="55">
        <f t="shared" si="21"/>
        <v>0</v>
      </c>
      <c r="DZ34" s="55">
        <f t="shared" si="21"/>
        <v>0</v>
      </c>
      <c r="EA34" s="55">
        <f t="shared" si="21"/>
        <v>0</v>
      </c>
      <c r="EB34" s="55">
        <f t="shared" si="21"/>
        <v>0</v>
      </c>
      <c r="EC34" s="55">
        <f t="shared" si="21"/>
        <v>0</v>
      </c>
      <c r="ED34" s="55">
        <f t="shared" si="21"/>
        <v>0</v>
      </c>
      <c r="EE34" s="55">
        <f t="shared" si="21"/>
        <v>0</v>
      </c>
      <c r="EF34" s="55">
        <f t="shared" si="21"/>
        <v>0</v>
      </c>
      <c r="EG34" s="55">
        <f t="shared" si="21"/>
        <v>0</v>
      </c>
      <c r="EH34" s="55">
        <f t="shared" si="21"/>
        <v>0</v>
      </c>
      <c r="EI34" s="55">
        <f t="shared" si="21"/>
        <v>0</v>
      </c>
      <c r="EJ34" s="55">
        <f t="shared" si="21"/>
        <v>0</v>
      </c>
      <c r="EK34" s="55">
        <f t="shared" si="21"/>
        <v>0</v>
      </c>
      <c r="EL34" s="55">
        <f t="shared" si="21"/>
        <v>0</v>
      </c>
      <c r="EM34" s="55">
        <f t="shared" si="21"/>
        <v>0</v>
      </c>
      <c r="EN34" s="55">
        <f t="shared" si="21"/>
        <v>0</v>
      </c>
      <c r="EO34" s="55">
        <f t="shared" si="21"/>
        <v>0</v>
      </c>
      <c r="EP34" s="55">
        <f t="shared" si="5"/>
        <v>0</v>
      </c>
      <c r="EQ34" s="55">
        <f t="shared" si="2"/>
        <v>0</v>
      </c>
      <c r="ER34" s="55">
        <f t="shared" ref="ER34:HC37" si="23">IF(VALUE(ER$13)&lt;20,INDEX($O$14:$DK$44,ROW($A21),VALUE(ER$13)),INDEX($O$14:$DK$44,ROW($A21),VALUE(ER$13)+1))</f>
        <v>0</v>
      </c>
      <c r="ES34" s="55">
        <f t="shared" si="23"/>
        <v>0</v>
      </c>
      <c r="ET34" s="55">
        <f t="shared" si="23"/>
        <v>0</v>
      </c>
      <c r="EU34" s="55">
        <f t="shared" si="23"/>
        <v>0</v>
      </c>
      <c r="EV34" s="55">
        <f t="shared" si="23"/>
        <v>0</v>
      </c>
      <c r="EW34" s="55">
        <f t="shared" si="23"/>
        <v>0</v>
      </c>
      <c r="EX34" s="55">
        <f t="shared" si="23"/>
        <v>0</v>
      </c>
      <c r="EY34" s="55">
        <f t="shared" si="23"/>
        <v>0</v>
      </c>
      <c r="EZ34" s="55">
        <f t="shared" si="23"/>
        <v>0</v>
      </c>
      <c r="FA34" s="55">
        <f t="shared" si="23"/>
        <v>0</v>
      </c>
      <c r="FB34" s="55">
        <f t="shared" si="6"/>
        <v>0</v>
      </c>
      <c r="FC34" s="55">
        <f t="shared" si="7"/>
        <v>0</v>
      </c>
      <c r="FD34" s="55">
        <f t="shared" si="23"/>
        <v>0</v>
      </c>
      <c r="FE34" s="55">
        <f t="shared" si="23"/>
        <v>0</v>
      </c>
      <c r="FF34" s="55">
        <f t="shared" si="23"/>
        <v>0</v>
      </c>
      <c r="FG34" s="55">
        <f t="shared" si="23"/>
        <v>0</v>
      </c>
      <c r="FH34" s="55">
        <f t="shared" si="23"/>
        <v>0</v>
      </c>
      <c r="FI34" s="55">
        <f t="shared" si="23"/>
        <v>0</v>
      </c>
      <c r="FJ34" s="55">
        <f t="shared" si="23"/>
        <v>0</v>
      </c>
      <c r="FK34" s="55">
        <f t="shared" si="23"/>
        <v>0</v>
      </c>
      <c r="FL34" s="55">
        <f t="shared" si="23"/>
        <v>0</v>
      </c>
      <c r="FM34" s="55">
        <f t="shared" si="23"/>
        <v>0</v>
      </c>
      <c r="FN34" s="55">
        <f t="shared" si="23"/>
        <v>0</v>
      </c>
      <c r="FO34" s="55">
        <f t="shared" si="23"/>
        <v>0</v>
      </c>
      <c r="FP34" s="55">
        <f t="shared" si="8"/>
        <v>0</v>
      </c>
      <c r="FQ34" s="55">
        <f t="shared" si="9"/>
        <v>0</v>
      </c>
      <c r="FR34" s="55">
        <f t="shared" si="10"/>
        <v>0</v>
      </c>
      <c r="FS34" s="55">
        <f t="shared" si="23"/>
        <v>0</v>
      </c>
      <c r="FT34" s="55">
        <f t="shared" si="23"/>
        <v>0</v>
      </c>
      <c r="FU34" s="55">
        <f t="shared" si="23"/>
        <v>0</v>
      </c>
      <c r="FV34" s="55">
        <f t="shared" si="23"/>
        <v>0</v>
      </c>
      <c r="FW34" s="55">
        <f t="shared" si="23"/>
        <v>0</v>
      </c>
      <c r="FX34" s="55">
        <f t="shared" si="23"/>
        <v>0</v>
      </c>
      <c r="FY34" s="55">
        <f t="shared" si="23"/>
        <v>0</v>
      </c>
      <c r="FZ34" s="55">
        <f t="shared" si="23"/>
        <v>0</v>
      </c>
      <c r="GA34" s="55">
        <f t="shared" si="23"/>
        <v>0</v>
      </c>
      <c r="GB34" s="55">
        <f t="shared" si="23"/>
        <v>0</v>
      </c>
      <c r="GC34" s="55">
        <f t="shared" si="23"/>
        <v>0</v>
      </c>
      <c r="GD34" s="55">
        <f t="shared" si="23"/>
        <v>0</v>
      </c>
      <c r="GE34" s="55">
        <f t="shared" si="23"/>
        <v>0</v>
      </c>
      <c r="GF34" s="55">
        <f t="shared" si="23"/>
        <v>0</v>
      </c>
      <c r="GG34" s="55">
        <f t="shared" si="23"/>
        <v>0</v>
      </c>
      <c r="GH34" s="55">
        <f t="shared" si="23"/>
        <v>0</v>
      </c>
      <c r="GI34" s="55">
        <f t="shared" si="23"/>
        <v>0</v>
      </c>
      <c r="GJ34" s="55">
        <f t="shared" si="23"/>
        <v>0</v>
      </c>
      <c r="GK34" s="55">
        <f t="shared" si="23"/>
        <v>0</v>
      </c>
      <c r="GL34" s="55">
        <f t="shared" si="23"/>
        <v>0</v>
      </c>
      <c r="GM34" s="55">
        <f t="shared" si="23"/>
        <v>0</v>
      </c>
      <c r="GN34" s="55">
        <f t="shared" si="23"/>
        <v>0</v>
      </c>
      <c r="GO34" s="55">
        <f t="shared" si="23"/>
        <v>0</v>
      </c>
      <c r="GP34" s="55">
        <f t="shared" si="23"/>
        <v>0</v>
      </c>
      <c r="GQ34" s="55">
        <f t="shared" si="23"/>
        <v>0</v>
      </c>
      <c r="GR34" s="55">
        <f t="shared" si="23"/>
        <v>0</v>
      </c>
      <c r="GS34" s="55">
        <f t="shared" si="23"/>
        <v>0</v>
      </c>
      <c r="GT34" s="55">
        <f t="shared" si="23"/>
        <v>0</v>
      </c>
      <c r="GU34" s="55">
        <f t="shared" si="23"/>
        <v>0</v>
      </c>
      <c r="GV34" s="55">
        <f t="shared" si="23"/>
        <v>0</v>
      </c>
      <c r="GW34" s="55">
        <f t="shared" si="23"/>
        <v>0</v>
      </c>
      <c r="GX34" s="55">
        <f t="shared" si="23"/>
        <v>0</v>
      </c>
      <c r="GY34" s="55">
        <f t="shared" si="23"/>
        <v>0</v>
      </c>
      <c r="GZ34" s="55">
        <f t="shared" si="23"/>
        <v>0</v>
      </c>
      <c r="HA34" s="55">
        <f t="shared" si="23"/>
        <v>0</v>
      </c>
      <c r="HB34" s="55">
        <f t="shared" si="23"/>
        <v>0</v>
      </c>
      <c r="HC34" s="55">
        <f t="shared" si="23"/>
        <v>0</v>
      </c>
      <c r="HD34" s="55">
        <f t="shared" si="22"/>
        <v>0</v>
      </c>
      <c r="HE34" s="55">
        <f t="shared" si="22"/>
        <v>0</v>
      </c>
      <c r="HF34" s="55">
        <f t="shared" si="22"/>
        <v>0</v>
      </c>
      <c r="HG34" s="55">
        <f t="shared" si="22"/>
        <v>0</v>
      </c>
      <c r="HH34" s="55">
        <f t="shared" si="22"/>
        <v>0</v>
      </c>
    </row>
    <row r="35" spans="2:216" x14ac:dyDescent="0.15">
      <c r="B35" s="60">
        <f t="shared" si="11"/>
        <v>43122</v>
      </c>
      <c r="C35" s="58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56"/>
      <c r="CW35" s="56"/>
      <c r="CX35" s="56"/>
      <c r="CY35" s="56"/>
      <c r="CZ35" s="56"/>
      <c r="DA35" s="56"/>
      <c r="DB35" s="56"/>
      <c r="DC35" s="56"/>
      <c r="DD35" s="56"/>
      <c r="DE35" s="56"/>
      <c r="DF35" s="56"/>
      <c r="DG35" s="56"/>
      <c r="DH35" s="56"/>
      <c r="DI35" s="56"/>
      <c r="DJ35" s="56"/>
      <c r="DK35" s="56"/>
      <c r="DL35" s="56">
        <f t="shared" si="21"/>
        <v>0</v>
      </c>
      <c r="DM35" s="56">
        <f t="shared" si="21"/>
        <v>0</v>
      </c>
      <c r="DN35" s="56">
        <f t="shared" si="21"/>
        <v>0</v>
      </c>
      <c r="DO35" s="56">
        <f t="shared" si="21"/>
        <v>0</v>
      </c>
      <c r="DP35" s="56">
        <f t="shared" si="1"/>
        <v>0</v>
      </c>
      <c r="DQ35" s="56">
        <f t="shared" si="21"/>
        <v>0</v>
      </c>
      <c r="DR35" s="56">
        <f t="shared" si="21"/>
        <v>0</v>
      </c>
      <c r="DS35" s="56">
        <f t="shared" si="21"/>
        <v>0</v>
      </c>
      <c r="DT35" s="56">
        <f t="shared" si="21"/>
        <v>0</v>
      </c>
      <c r="DU35" s="56">
        <f t="shared" si="21"/>
        <v>0</v>
      </c>
      <c r="DV35" s="56">
        <f t="shared" si="21"/>
        <v>0</v>
      </c>
      <c r="DW35" s="56">
        <f t="shared" si="21"/>
        <v>0</v>
      </c>
      <c r="DX35" s="56">
        <f t="shared" si="21"/>
        <v>0</v>
      </c>
      <c r="DY35" s="56">
        <f t="shared" si="21"/>
        <v>0</v>
      </c>
      <c r="DZ35" s="56">
        <f t="shared" si="21"/>
        <v>0</v>
      </c>
      <c r="EA35" s="56">
        <f t="shared" si="21"/>
        <v>0</v>
      </c>
      <c r="EB35" s="56">
        <f t="shared" si="21"/>
        <v>0</v>
      </c>
      <c r="EC35" s="56">
        <f t="shared" si="21"/>
        <v>0</v>
      </c>
      <c r="ED35" s="56">
        <f t="shared" si="21"/>
        <v>0</v>
      </c>
      <c r="EE35" s="56">
        <f t="shared" si="21"/>
        <v>0</v>
      </c>
      <c r="EF35" s="56">
        <f t="shared" si="21"/>
        <v>0</v>
      </c>
      <c r="EG35" s="56">
        <f t="shared" si="21"/>
        <v>0</v>
      </c>
      <c r="EH35" s="56">
        <f t="shared" si="21"/>
        <v>0</v>
      </c>
      <c r="EI35" s="56">
        <f t="shared" si="21"/>
        <v>0</v>
      </c>
      <c r="EJ35" s="56">
        <f t="shared" si="21"/>
        <v>0</v>
      </c>
      <c r="EK35" s="56">
        <f t="shared" si="21"/>
        <v>0</v>
      </c>
      <c r="EL35" s="56">
        <f t="shared" si="21"/>
        <v>0</v>
      </c>
      <c r="EM35" s="56">
        <f t="shared" si="21"/>
        <v>0</v>
      </c>
      <c r="EN35" s="56">
        <f t="shared" si="21"/>
        <v>0</v>
      </c>
      <c r="EO35" s="56">
        <f t="shared" si="21"/>
        <v>0</v>
      </c>
      <c r="EP35" s="56">
        <f t="shared" si="5"/>
        <v>0</v>
      </c>
      <c r="EQ35" s="56">
        <f t="shared" si="2"/>
        <v>0</v>
      </c>
      <c r="ER35" s="56">
        <f t="shared" si="23"/>
        <v>0</v>
      </c>
      <c r="ES35" s="56">
        <f t="shared" si="23"/>
        <v>0</v>
      </c>
      <c r="ET35" s="56">
        <f t="shared" si="23"/>
        <v>0</v>
      </c>
      <c r="EU35" s="56">
        <f t="shared" si="23"/>
        <v>0</v>
      </c>
      <c r="EV35" s="56">
        <f t="shared" si="23"/>
        <v>0</v>
      </c>
      <c r="EW35" s="56">
        <f t="shared" si="23"/>
        <v>0</v>
      </c>
      <c r="EX35" s="56">
        <f t="shared" si="23"/>
        <v>0</v>
      </c>
      <c r="EY35" s="56">
        <f t="shared" si="23"/>
        <v>0</v>
      </c>
      <c r="EZ35" s="56">
        <f t="shared" si="23"/>
        <v>0</v>
      </c>
      <c r="FA35" s="56">
        <f t="shared" si="23"/>
        <v>0</v>
      </c>
      <c r="FB35" s="56">
        <f t="shared" si="6"/>
        <v>0</v>
      </c>
      <c r="FC35" s="56">
        <f t="shared" si="7"/>
        <v>0</v>
      </c>
      <c r="FD35" s="56">
        <f t="shared" si="23"/>
        <v>0</v>
      </c>
      <c r="FE35" s="56">
        <f t="shared" si="23"/>
        <v>0</v>
      </c>
      <c r="FF35" s="56">
        <f t="shared" si="23"/>
        <v>0</v>
      </c>
      <c r="FG35" s="56">
        <f t="shared" si="23"/>
        <v>0</v>
      </c>
      <c r="FH35" s="56">
        <f t="shared" si="23"/>
        <v>0</v>
      </c>
      <c r="FI35" s="56">
        <f t="shared" si="23"/>
        <v>0</v>
      </c>
      <c r="FJ35" s="56">
        <f t="shared" si="23"/>
        <v>0</v>
      </c>
      <c r="FK35" s="56">
        <f t="shared" si="23"/>
        <v>0</v>
      </c>
      <c r="FL35" s="56">
        <f t="shared" si="23"/>
        <v>0</v>
      </c>
      <c r="FM35" s="56">
        <f t="shared" si="23"/>
        <v>0</v>
      </c>
      <c r="FN35" s="56">
        <f t="shared" si="23"/>
        <v>0</v>
      </c>
      <c r="FO35" s="56">
        <f t="shared" si="23"/>
        <v>0</v>
      </c>
      <c r="FP35" s="56">
        <f t="shared" si="8"/>
        <v>0</v>
      </c>
      <c r="FQ35" s="56">
        <f t="shared" si="9"/>
        <v>0</v>
      </c>
      <c r="FR35" s="56">
        <f t="shared" si="10"/>
        <v>0</v>
      </c>
      <c r="FS35" s="56">
        <f t="shared" si="23"/>
        <v>0</v>
      </c>
      <c r="FT35" s="56">
        <f t="shared" si="23"/>
        <v>0</v>
      </c>
      <c r="FU35" s="56">
        <f t="shared" si="23"/>
        <v>0</v>
      </c>
      <c r="FV35" s="56">
        <f t="shared" si="23"/>
        <v>0</v>
      </c>
      <c r="FW35" s="56">
        <f t="shared" si="23"/>
        <v>0</v>
      </c>
      <c r="FX35" s="56">
        <f t="shared" si="23"/>
        <v>0</v>
      </c>
      <c r="FY35" s="56">
        <f t="shared" si="23"/>
        <v>0</v>
      </c>
      <c r="FZ35" s="56">
        <f t="shared" si="23"/>
        <v>0</v>
      </c>
      <c r="GA35" s="56">
        <f t="shared" si="23"/>
        <v>0</v>
      </c>
      <c r="GB35" s="56">
        <f t="shared" si="23"/>
        <v>0</v>
      </c>
      <c r="GC35" s="56">
        <f t="shared" si="23"/>
        <v>0</v>
      </c>
      <c r="GD35" s="56">
        <f t="shared" si="23"/>
        <v>0</v>
      </c>
      <c r="GE35" s="56">
        <f t="shared" si="23"/>
        <v>0</v>
      </c>
      <c r="GF35" s="56">
        <f t="shared" si="23"/>
        <v>0</v>
      </c>
      <c r="GG35" s="56">
        <f t="shared" si="23"/>
        <v>0</v>
      </c>
      <c r="GH35" s="56">
        <f t="shared" si="23"/>
        <v>0</v>
      </c>
      <c r="GI35" s="56">
        <f t="shared" si="23"/>
        <v>0</v>
      </c>
      <c r="GJ35" s="56">
        <f t="shared" si="23"/>
        <v>0</v>
      </c>
      <c r="GK35" s="56">
        <f t="shared" si="23"/>
        <v>0</v>
      </c>
      <c r="GL35" s="56">
        <f t="shared" si="23"/>
        <v>0</v>
      </c>
      <c r="GM35" s="56">
        <f t="shared" si="23"/>
        <v>0</v>
      </c>
      <c r="GN35" s="56">
        <f t="shared" si="23"/>
        <v>0</v>
      </c>
      <c r="GO35" s="56">
        <f t="shared" si="23"/>
        <v>0</v>
      </c>
      <c r="GP35" s="56">
        <f t="shared" si="23"/>
        <v>0</v>
      </c>
      <c r="GQ35" s="56">
        <f t="shared" si="23"/>
        <v>0</v>
      </c>
      <c r="GR35" s="56">
        <f t="shared" si="23"/>
        <v>0</v>
      </c>
      <c r="GS35" s="56">
        <f t="shared" si="23"/>
        <v>0</v>
      </c>
      <c r="GT35" s="56">
        <f t="shared" si="23"/>
        <v>0</v>
      </c>
      <c r="GU35" s="56">
        <f t="shared" si="23"/>
        <v>0</v>
      </c>
      <c r="GV35" s="56">
        <f t="shared" si="23"/>
        <v>0</v>
      </c>
      <c r="GW35" s="56">
        <f t="shared" si="23"/>
        <v>0</v>
      </c>
      <c r="GX35" s="56">
        <f t="shared" si="23"/>
        <v>0</v>
      </c>
      <c r="GY35" s="56">
        <f t="shared" si="23"/>
        <v>0</v>
      </c>
      <c r="GZ35" s="56">
        <f t="shared" si="23"/>
        <v>0</v>
      </c>
      <c r="HA35" s="56">
        <f t="shared" si="23"/>
        <v>0</v>
      </c>
      <c r="HB35" s="56">
        <f t="shared" si="23"/>
        <v>0</v>
      </c>
      <c r="HC35" s="56">
        <f t="shared" si="23"/>
        <v>0</v>
      </c>
      <c r="HD35" s="56">
        <f t="shared" si="22"/>
        <v>0</v>
      </c>
      <c r="HE35" s="56">
        <f t="shared" si="22"/>
        <v>0</v>
      </c>
      <c r="HF35" s="56">
        <f t="shared" si="22"/>
        <v>0</v>
      </c>
      <c r="HG35" s="56">
        <f t="shared" si="22"/>
        <v>0</v>
      </c>
      <c r="HH35" s="56">
        <f t="shared" si="22"/>
        <v>0</v>
      </c>
    </row>
    <row r="36" spans="2:216" x14ac:dyDescent="0.15">
      <c r="B36" s="59">
        <f t="shared" si="11"/>
        <v>43123</v>
      </c>
      <c r="C36" s="57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>
        <f t="shared" si="21"/>
        <v>0</v>
      </c>
      <c r="DM36" s="55">
        <f t="shared" si="21"/>
        <v>0</v>
      </c>
      <c r="DN36" s="55">
        <f t="shared" si="21"/>
        <v>0</v>
      </c>
      <c r="DO36" s="55">
        <f t="shared" si="21"/>
        <v>0</v>
      </c>
      <c r="DP36" s="55">
        <f t="shared" si="1"/>
        <v>0</v>
      </c>
      <c r="DQ36" s="55">
        <f t="shared" si="21"/>
        <v>0</v>
      </c>
      <c r="DR36" s="55">
        <f t="shared" si="21"/>
        <v>0</v>
      </c>
      <c r="DS36" s="55">
        <f t="shared" si="21"/>
        <v>0</v>
      </c>
      <c r="DT36" s="55">
        <f t="shared" si="21"/>
        <v>0</v>
      </c>
      <c r="DU36" s="55">
        <f t="shared" si="21"/>
        <v>0</v>
      </c>
      <c r="DV36" s="55">
        <f t="shared" si="21"/>
        <v>0</v>
      </c>
      <c r="DW36" s="55">
        <f t="shared" si="21"/>
        <v>0</v>
      </c>
      <c r="DX36" s="55">
        <f t="shared" si="21"/>
        <v>0</v>
      </c>
      <c r="DY36" s="55">
        <f t="shared" si="21"/>
        <v>0</v>
      </c>
      <c r="DZ36" s="55">
        <f t="shared" si="21"/>
        <v>0</v>
      </c>
      <c r="EA36" s="55">
        <f t="shared" si="21"/>
        <v>0</v>
      </c>
      <c r="EB36" s="55">
        <f t="shared" si="21"/>
        <v>0</v>
      </c>
      <c r="EC36" s="55">
        <f t="shared" si="21"/>
        <v>0</v>
      </c>
      <c r="ED36" s="55">
        <f t="shared" si="21"/>
        <v>0</v>
      </c>
      <c r="EE36" s="55">
        <f t="shared" si="21"/>
        <v>0</v>
      </c>
      <c r="EF36" s="55">
        <f t="shared" si="21"/>
        <v>0</v>
      </c>
      <c r="EG36" s="55">
        <f t="shared" si="21"/>
        <v>0</v>
      </c>
      <c r="EH36" s="55">
        <f t="shared" si="21"/>
        <v>0</v>
      </c>
      <c r="EI36" s="55">
        <f t="shared" si="21"/>
        <v>0</v>
      </c>
      <c r="EJ36" s="55">
        <f t="shared" si="21"/>
        <v>0</v>
      </c>
      <c r="EK36" s="55">
        <f t="shared" si="21"/>
        <v>0</v>
      </c>
      <c r="EL36" s="55">
        <f t="shared" si="21"/>
        <v>0</v>
      </c>
      <c r="EM36" s="55">
        <f t="shared" si="21"/>
        <v>0</v>
      </c>
      <c r="EN36" s="55">
        <f t="shared" si="21"/>
        <v>0</v>
      </c>
      <c r="EO36" s="55">
        <f t="shared" si="21"/>
        <v>0</v>
      </c>
      <c r="EP36" s="55">
        <f t="shared" si="5"/>
        <v>0</v>
      </c>
      <c r="EQ36" s="55">
        <f t="shared" si="2"/>
        <v>0</v>
      </c>
      <c r="ER36" s="55">
        <f t="shared" si="23"/>
        <v>0</v>
      </c>
      <c r="ES36" s="55">
        <f t="shared" si="23"/>
        <v>0</v>
      </c>
      <c r="ET36" s="55">
        <f t="shared" si="23"/>
        <v>0</v>
      </c>
      <c r="EU36" s="55">
        <f t="shared" si="23"/>
        <v>0</v>
      </c>
      <c r="EV36" s="55">
        <f t="shared" si="23"/>
        <v>0</v>
      </c>
      <c r="EW36" s="55">
        <f t="shared" si="23"/>
        <v>0</v>
      </c>
      <c r="EX36" s="55">
        <f t="shared" si="23"/>
        <v>0</v>
      </c>
      <c r="EY36" s="55">
        <f t="shared" si="23"/>
        <v>0</v>
      </c>
      <c r="EZ36" s="55">
        <f t="shared" si="23"/>
        <v>0</v>
      </c>
      <c r="FA36" s="55">
        <f t="shared" si="23"/>
        <v>0</v>
      </c>
      <c r="FB36" s="55">
        <f t="shared" si="6"/>
        <v>0</v>
      </c>
      <c r="FC36" s="55">
        <f t="shared" si="7"/>
        <v>0</v>
      </c>
      <c r="FD36" s="55">
        <f t="shared" si="23"/>
        <v>0</v>
      </c>
      <c r="FE36" s="55">
        <f t="shared" si="23"/>
        <v>0</v>
      </c>
      <c r="FF36" s="55">
        <f t="shared" si="23"/>
        <v>0</v>
      </c>
      <c r="FG36" s="55">
        <f t="shared" si="23"/>
        <v>0</v>
      </c>
      <c r="FH36" s="55">
        <f t="shared" si="23"/>
        <v>0</v>
      </c>
      <c r="FI36" s="55">
        <f t="shared" si="23"/>
        <v>0</v>
      </c>
      <c r="FJ36" s="55">
        <f t="shared" si="23"/>
        <v>0</v>
      </c>
      <c r="FK36" s="55">
        <f t="shared" si="23"/>
        <v>0</v>
      </c>
      <c r="FL36" s="55">
        <f t="shared" si="23"/>
        <v>0</v>
      </c>
      <c r="FM36" s="55">
        <f t="shared" si="23"/>
        <v>0</v>
      </c>
      <c r="FN36" s="55">
        <f t="shared" si="23"/>
        <v>0</v>
      </c>
      <c r="FO36" s="55">
        <f t="shared" si="23"/>
        <v>0</v>
      </c>
      <c r="FP36" s="55">
        <f t="shared" si="8"/>
        <v>0</v>
      </c>
      <c r="FQ36" s="55">
        <f t="shared" si="9"/>
        <v>0</v>
      </c>
      <c r="FR36" s="55">
        <f t="shared" si="10"/>
        <v>0</v>
      </c>
      <c r="FS36" s="55">
        <f t="shared" si="23"/>
        <v>0</v>
      </c>
      <c r="FT36" s="55">
        <f t="shared" si="23"/>
        <v>0</v>
      </c>
      <c r="FU36" s="55">
        <f t="shared" si="23"/>
        <v>0</v>
      </c>
      <c r="FV36" s="55">
        <f t="shared" si="23"/>
        <v>0</v>
      </c>
      <c r="FW36" s="55">
        <f t="shared" si="23"/>
        <v>0</v>
      </c>
      <c r="FX36" s="55">
        <f t="shared" si="23"/>
        <v>0</v>
      </c>
      <c r="FY36" s="55">
        <f t="shared" si="23"/>
        <v>0</v>
      </c>
      <c r="FZ36" s="55">
        <f t="shared" si="23"/>
        <v>0</v>
      </c>
      <c r="GA36" s="55">
        <f t="shared" si="23"/>
        <v>0</v>
      </c>
      <c r="GB36" s="55">
        <f t="shared" si="23"/>
        <v>0</v>
      </c>
      <c r="GC36" s="55">
        <f t="shared" si="23"/>
        <v>0</v>
      </c>
      <c r="GD36" s="55">
        <f t="shared" si="23"/>
        <v>0</v>
      </c>
      <c r="GE36" s="55">
        <f t="shared" si="23"/>
        <v>0</v>
      </c>
      <c r="GF36" s="55">
        <f t="shared" si="23"/>
        <v>0</v>
      </c>
      <c r="GG36" s="55">
        <f t="shared" si="23"/>
        <v>0</v>
      </c>
      <c r="GH36" s="55">
        <f t="shared" si="23"/>
        <v>0</v>
      </c>
      <c r="GI36" s="55">
        <f t="shared" si="23"/>
        <v>0</v>
      </c>
      <c r="GJ36" s="55">
        <f t="shared" si="23"/>
        <v>0</v>
      </c>
      <c r="GK36" s="55">
        <f t="shared" si="23"/>
        <v>0</v>
      </c>
      <c r="GL36" s="55">
        <f t="shared" si="23"/>
        <v>0</v>
      </c>
      <c r="GM36" s="55">
        <f t="shared" si="23"/>
        <v>0</v>
      </c>
      <c r="GN36" s="55">
        <f t="shared" si="23"/>
        <v>0</v>
      </c>
      <c r="GO36" s="55">
        <f t="shared" si="23"/>
        <v>0</v>
      </c>
      <c r="GP36" s="55">
        <f t="shared" si="23"/>
        <v>0</v>
      </c>
      <c r="GQ36" s="55">
        <f t="shared" si="23"/>
        <v>0</v>
      </c>
      <c r="GR36" s="55">
        <f t="shared" si="23"/>
        <v>0</v>
      </c>
      <c r="GS36" s="55">
        <f t="shared" si="23"/>
        <v>0</v>
      </c>
      <c r="GT36" s="55">
        <f t="shared" si="23"/>
        <v>0</v>
      </c>
      <c r="GU36" s="55">
        <f t="shared" si="23"/>
        <v>0</v>
      </c>
      <c r="GV36" s="55">
        <f t="shared" si="23"/>
        <v>0</v>
      </c>
      <c r="GW36" s="55">
        <f t="shared" si="23"/>
        <v>0</v>
      </c>
      <c r="GX36" s="55">
        <f t="shared" si="23"/>
        <v>0</v>
      </c>
      <c r="GY36" s="55">
        <f t="shared" si="23"/>
        <v>0</v>
      </c>
      <c r="GZ36" s="55">
        <f t="shared" si="23"/>
        <v>0</v>
      </c>
      <c r="HA36" s="55">
        <f t="shared" si="23"/>
        <v>0</v>
      </c>
      <c r="HB36" s="55">
        <f t="shared" si="23"/>
        <v>0</v>
      </c>
      <c r="HC36" s="55">
        <f t="shared" si="23"/>
        <v>0</v>
      </c>
      <c r="HD36" s="55">
        <f t="shared" si="22"/>
        <v>0</v>
      </c>
      <c r="HE36" s="55">
        <f t="shared" si="22"/>
        <v>0</v>
      </c>
      <c r="HF36" s="55">
        <f t="shared" si="22"/>
        <v>0</v>
      </c>
      <c r="HG36" s="55">
        <f t="shared" si="22"/>
        <v>0</v>
      </c>
      <c r="HH36" s="55">
        <f t="shared" si="22"/>
        <v>0</v>
      </c>
    </row>
    <row r="37" spans="2:216" x14ac:dyDescent="0.15">
      <c r="B37" s="60">
        <f t="shared" si="11"/>
        <v>43124</v>
      </c>
      <c r="C37" s="58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6"/>
      <c r="CD37" s="56"/>
      <c r="CE37" s="56"/>
      <c r="CF37" s="56"/>
      <c r="CG37" s="56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D37" s="56"/>
      <c r="DE37" s="56"/>
      <c r="DF37" s="56"/>
      <c r="DG37" s="56"/>
      <c r="DH37" s="56"/>
      <c r="DI37" s="56"/>
      <c r="DJ37" s="56"/>
      <c r="DK37" s="56"/>
      <c r="DL37" s="56">
        <f t="shared" si="21"/>
        <v>0</v>
      </c>
      <c r="DM37" s="56">
        <f t="shared" si="21"/>
        <v>0</v>
      </c>
      <c r="DN37" s="56">
        <f t="shared" si="21"/>
        <v>0</v>
      </c>
      <c r="DO37" s="56">
        <f t="shared" si="21"/>
        <v>0</v>
      </c>
      <c r="DP37" s="56">
        <f t="shared" si="1"/>
        <v>0</v>
      </c>
      <c r="DQ37" s="56">
        <f t="shared" si="21"/>
        <v>0</v>
      </c>
      <c r="DR37" s="56">
        <f t="shared" si="21"/>
        <v>0</v>
      </c>
      <c r="DS37" s="56">
        <f t="shared" si="21"/>
        <v>0</v>
      </c>
      <c r="DT37" s="56">
        <f t="shared" si="21"/>
        <v>0</v>
      </c>
      <c r="DU37" s="56">
        <f t="shared" si="21"/>
        <v>0</v>
      </c>
      <c r="DV37" s="56">
        <f t="shared" si="21"/>
        <v>0</v>
      </c>
      <c r="DW37" s="56">
        <f t="shared" si="21"/>
        <v>0</v>
      </c>
      <c r="DX37" s="56">
        <f t="shared" si="21"/>
        <v>0</v>
      </c>
      <c r="DY37" s="56">
        <f t="shared" si="21"/>
        <v>0</v>
      </c>
      <c r="DZ37" s="56">
        <f t="shared" si="21"/>
        <v>0</v>
      </c>
      <c r="EA37" s="56">
        <f t="shared" si="21"/>
        <v>0</v>
      </c>
      <c r="EB37" s="56">
        <f t="shared" si="21"/>
        <v>0</v>
      </c>
      <c r="EC37" s="56">
        <f t="shared" si="21"/>
        <v>0</v>
      </c>
      <c r="ED37" s="56">
        <f t="shared" si="21"/>
        <v>0</v>
      </c>
      <c r="EE37" s="56">
        <f t="shared" si="21"/>
        <v>0</v>
      </c>
      <c r="EF37" s="56">
        <f t="shared" si="21"/>
        <v>0</v>
      </c>
      <c r="EG37" s="56">
        <f t="shared" si="21"/>
        <v>0</v>
      </c>
      <c r="EH37" s="56">
        <f t="shared" si="21"/>
        <v>0</v>
      </c>
      <c r="EI37" s="56">
        <f t="shared" si="21"/>
        <v>0</v>
      </c>
      <c r="EJ37" s="56">
        <f t="shared" si="21"/>
        <v>0</v>
      </c>
      <c r="EK37" s="56">
        <f t="shared" si="21"/>
        <v>0</v>
      </c>
      <c r="EL37" s="56">
        <f t="shared" si="21"/>
        <v>0</v>
      </c>
      <c r="EM37" s="56">
        <f t="shared" si="21"/>
        <v>0</v>
      </c>
      <c r="EN37" s="56">
        <f t="shared" si="21"/>
        <v>0</v>
      </c>
      <c r="EO37" s="56">
        <f t="shared" si="21"/>
        <v>0</v>
      </c>
      <c r="EP37" s="56">
        <f t="shared" si="5"/>
        <v>0</v>
      </c>
      <c r="EQ37" s="56">
        <f t="shared" si="2"/>
        <v>0</v>
      </c>
      <c r="ER37" s="56">
        <f t="shared" si="23"/>
        <v>0</v>
      </c>
      <c r="ES37" s="56">
        <f t="shared" si="23"/>
        <v>0</v>
      </c>
      <c r="ET37" s="56">
        <f t="shared" si="23"/>
        <v>0</v>
      </c>
      <c r="EU37" s="56">
        <f t="shared" si="23"/>
        <v>0</v>
      </c>
      <c r="EV37" s="56">
        <f t="shared" si="23"/>
        <v>0</v>
      </c>
      <c r="EW37" s="56">
        <f t="shared" si="23"/>
        <v>0</v>
      </c>
      <c r="EX37" s="56">
        <f t="shared" si="23"/>
        <v>0</v>
      </c>
      <c r="EY37" s="56">
        <f t="shared" si="23"/>
        <v>0</v>
      </c>
      <c r="EZ37" s="56">
        <f t="shared" si="23"/>
        <v>0</v>
      </c>
      <c r="FA37" s="56">
        <f t="shared" si="23"/>
        <v>0</v>
      </c>
      <c r="FB37" s="56">
        <f t="shared" si="6"/>
        <v>0</v>
      </c>
      <c r="FC37" s="56">
        <f t="shared" si="7"/>
        <v>0</v>
      </c>
      <c r="FD37" s="56">
        <f t="shared" si="23"/>
        <v>0</v>
      </c>
      <c r="FE37" s="56">
        <f t="shared" si="23"/>
        <v>0</v>
      </c>
      <c r="FF37" s="56">
        <f t="shared" si="23"/>
        <v>0</v>
      </c>
      <c r="FG37" s="56">
        <f t="shared" si="23"/>
        <v>0</v>
      </c>
      <c r="FH37" s="56">
        <f t="shared" si="23"/>
        <v>0</v>
      </c>
      <c r="FI37" s="56">
        <f t="shared" si="23"/>
        <v>0</v>
      </c>
      <c r="FJ37" s="56">
        <f t="shared" si="23"/>
        <v>0</v>
      </c>
      <c r="FK37" s="56">
        <f t="shared" si="23"/>
        <v>0</v>
      </c>
      <c r="FL37" s="56">
        <f t="shared" si="23"/>
        <v>0</v>
      </c>
      <c r="FM37" s="56">
        <f t="shared" si="23"/>
        <v>0</v>
      </c>
      <c r="FN37" s="56">
        <f t="shared" si="23"/>
        <v>0</v>
      </c>
      <c r="FO37" s="56">
        <f t="shared" si="23"/>
        <v>0</v>
      </c>
      <c r="FP37" s="56">
        <f t="shared" si="8"/>
        <v>0</v>
      </c>
      <c r="FQ37" s="56">
        <f t="shared" si="9"/>
        <v>0</v>
      </c>
      <c r="FR37" s="56">
        <f t="shared" si="10"/>
        <v>0</v>
      </c>
      <c r="FS37" s="56">
        <f t="shared" si="23"/>
        <v>0</v>
      </c>
      <c r="FT37" s="56">
        <f t="shared" si="23"/>
        <v>0</v>
      </c>
      <c r="FU37" s="56">
        <f t="shared" si="23"/>
        <v>0</v>
      </c>
      <c r="FV37" s="56">
        <f t="shared" si="23"/>
        <v>0</v>
      </c>
      <c r="FW37" s="56">
        <f t="shared" si="23"/>
        <v>0</v>
      </c>
      <c r="FX37" s="56">
        <f t="shared" si="23"/>
        <v>0</v>
      </c>
      <c r="FY37" s="56">
        <f t="shared" si="23"/>
        <v>0</v>
      </c>
      <c r="FZ37" s="56">
        <f t="shared" si="23"/>
        <v>0</v>
      </c>
      <c r="GA37" s="56">
        <f t="shared" si="23"/>
        <v>0</v>
      </c>
      <c r="GB37" s="56">
        <f t="shared" si="23"/>
        <v>0</v>
      </c>
      <c r="GC37" s="56">
        <f t="shared" si="23"/>
        <v>0</v>
      </c>
      <c r="GD37" s="56">
        <f t="shared" si="23"/>
        <v>0</v>
      </c>
      <c r="GE37" s="56">
        <f t="shared" si="23"/>
        <v>0</v>
      </c>
      <c r="GF37" s="56">
        <f t="shared" si="23"/>
        <v>0</v>
      </c>
      <c r="GG37" s="56">
        <f t="shared" si="23"/>
        <v>0</v>
      </c>
      <c r="GH37" s="56">
        <f t="shared" si="23"/>
        <v>0</v>
      </c>
      <c r="GI37" s="56">
        <f t="shared" si="23"/>
        <v>0</v>
      </c>
      <c r="GJ37" s="56">
        <f t="shared" si="23"/>
        <v>0</v>
      </c>
      <c r="GK37" s="56">
        <f t="shared" si="23"/>
        <v>0</v>
      </c>
      <c r="GL37" s="56">
        <f t="shared" si="23"/>
        <v>0</v>
      </c>
      <c r="GM37" s="56">
        <f t="shared" si="23"/>
        <v>0</v>
      </c>
      <c r="GN37" s="56">
        <f t="shared" si="23"/>
        <v>0</v>
      </c>
      <c r="GO37" s="56">
        <f t="shared" si="23"/>
        <v>0</v>
      </c>
      <c r="GP37" s="56">
        <f t="shared" si="23"/>
        <v>0</v>
      </c>
      <c r="GQ37" s="56">
        <f t="shared" si="23"/>
        <v>0</v>
      </c>
      <c r="GR37" s="56">
        <f t="shared" si="23"/>
        <v>0</v>
      </c>
      <c r="GS37" s="56">
        <f t="shared" si="23"/>
        <v>0</v>
      </c>
      <c r="GT37" s="56">
        <f t="shared" si="23"/>
        <v>0</v>
      </c>
      <c r="GU37" s="56">
        <f t="shared" si="23"/>
        <v>0</v>
      </c>
      <c r="GV37" s="56">
        <f t="shared" si="23"/>
        <v>0</v>
      </c>
      <c r="GW37" s="56">
        <f t="shared" si="23"/>
        <v>0</v>
      </c>
      <c r="GX37" s="56">
        <f t="shared" si="23"/>
        <v>0</v>
      </c>
      <c r="GY37" s="56">
        <f t="shared" si="23"/>
        <v>0</v>
      </c>
      <c r="GZ37" s="56">
        <f t="shared" si="23"/>
        <v>0</v>
      </c>
      <c r="HA37" s="56">
        <f t="shared" si="23"/>
        <v>0</v>
      </c>
      <c r="HB37" s="56">
        <f t="shared" si="23"/>
        <v>0</v>
      </c>
      <c r="HC37" s="56">
        <f t="shared" ref="HC37:HH39" si="24">IF(VALUE(HC$13)&lt;20,INDEX($O$14:$DK$44,ROW($A24),VALUE(HC$13)),INDEX($O$14:$DK$44,ROW($A24),VALUE(HC$13)+1))</f>
        <v>0</v>
      </c>
      <c r="HD37" s="56">
        <f t="shared" si="24"/>
        <v>0</v>
      </c>
      <c r="HE37" s="56">
        <f t="shared" si="24"/>
        <v>0</v>
      </c>
      <c r="HF37" s="56">
        <f t="shared" si="24"/>
        <v>0</v>
      </c>
      <c r="HG37" s="56">
        <f t="shared" si="24"/>
        <v>0</v>
      </c>
      <c r="HH37" s="56">
        <f t="shared" si="24"/>
        <v>0</v>
      </c>
    </row>
    <row r="38" spans="2:216" x14ac:dyDescent="0.15">
      <c r="B38" s="59">
        <f t="shared" si="11"/>
        <v>43125</v>
      </c>
      <c r="C38" s="57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55">
        <f t="shared" si="21"/>
        <v>0</v>
      </c>
      <c r="DM38" s="55">
        <f t="shared" si="21"/>
        <v>0</v>
      </c>
      <c r="DN38" s="55">
        <f t="shared" si="21"/>
        <v>0</v>
      </c>
      <c r="DO38" s="55">
        <f t="shared" si="21"/>
        <v>0</v>
      </c>
      <c r="DP38" s="55">
        <f t="shared" si="1"/>
        <v>0</v>
      </c>
      <c r="DQ38" s="55">
        <f t="shared" si="21"/>
        <v>0</v>
      </c>
      <c r="DR38" s="55">
        <f t="shared" si="21"/>
        <v>0</v>
      </c>
      <c r="DS38" s="55">
        <f t="shared" si="21"/>
        <v>0</v>
      </c>
      <c r="DT38" s="55">
        <f t="shared" si="21"/>
        <v>0</v>
      </c>
      <c r="DU38" s="55">
        <f t="shared" si="21"/>
        <v>0</v>
      </c>
      <c r="DV38" s="55">
        <f t="shared" si="21"/>
        <v>0</v>
      </c>
      <c r="DW38" s="55">
        <f t="shared" si="21"/>
        <v>0</v>
      </c>
      <c r="DX38" s="55">
        <f t="shared" si="21"/>
        <v>0</v>
      </c>
      <c r="DY38" s="55">
        <f t="shared" si="21"/>
        <v>0</v>
      </c>
      <c r="DZ38" s="55">
        <f t="shared" si="21"/>
        <v>0</v>
      </c>
      <c r="EA38" s="55">
        <f t="shared" si="21"/>
        <v>0</v>
      </c>
      <c r="EB38" s="55">
        <f t="shared" si="21"/>
        <v>0</v>
      </c>
      <c r="EC38" s="55">
        <f t="shared" si="21"/>
        <v>0</v>
      </c>
      <c r="ED38" s="55">
        <f t="shared" si="21"/>
        <v>0</v>
      </c>
      <c r="EE38" s="55">
        <f t="shared" si="21"/>
        <v>0</v>
      </c>
      <c r="EF38" s="55">
        <f t="shared" si="21"/>
        <v>0</v>
      </c>
      <c r="EG38" s="55">
        <f t="shared" si="21"/>
        <v>0</v>
      </c>
      <c r="EH38" s="55">
        <f t="shared" si="21"/>
        <v>0</v>
      </c>
      <c r="EI38" s="55">
        <f t="shared" si="21"/>
        <v>0</v>
      </c>
      <c r="EJ38" s="55">
        <f t="shared" si="21"/>
        <v>0</v>
      </c>
      <c r="EK38" s="55">
        <f t="shared" si="21"/>
        <v>0</v>
      </c>
      <c r="EL38" s="55">
        <f t="shared" si="21"/>
        <v>0</v>
      </c>
      <c r="EM38" s="55">
        <f t="shared" si="21"/>
        <v>0</v>
      </c>
      <c r="EN38" s="55">
        <f t="shared" si="21"/>
        <v>0</v>
      </c>
      <c r="EO38" s="55">
        <f t="shared" si="21"/>
        <v>0</v>
      </c>
      <c r="EP38" s="55">
        <f t="shared" si="5"/>
        <v>0</v>
      </c>
      <c r="EQ38" s="55">
        <f t="shared" si="2"/>
        <v>0</v>
      </c>
      <c r="ER38" s="55">
        <f t="shared" ref="ER38:HC39" si="25">IF(VALUE(ER$13)&lt;20,INDEX($O$14:$DK$44,ROW($A25),VALUE(ER$13)),INDEX($O$14:$DK$44,ROW($A25),VALUE(ER$13)+1))</f>
        <v>0</v>
      </c>
      <c r="ES38" s="55">
        <f t="shared" si="25"/>
        <v>0</v>
      </c>
      <c r="ET38" s="55">
        <f t="shared" si="25"/>
        <v>0</v>
      </c>
      <c r="EU38" s="55">
        <f t="shared" si="25"/>
        <v>0</v>
      </c>
      <c r="EV38" s="55">
        <f t="shared" si="25"/>
        <v>0</v>
      </c>
      <c r="EW38" s="55">
        <f t="shared" si="25"/>
        <v>0</v>
      </c>
      <c r="EX38" s="55">
        <f t="shared" si="25"/>
        <v>0</v>
      </c>
      <c r="EY38" s="55">
        <f t="shared" si="25"/>
        <v>0</v>
      </c>
      <c r="EZ38" s="55">
        <f t="shared" si="25"/>
        <v>0</v>
      </c>
      <c r="FA38" s="55">
        <f t="shared" si="25"/>
        <v>0</v>
      </c>
      <c r="FB38" s="55">
        <f t="shared" si="6"/>
        <v>0</v>
      </c>
      <c r="FC38" s="55">
        <f t="shared" si="7"/>
        <v>0</v>
      </c>
      <c r="FD38" s="55">
        <f t="shared" si="25"/>
        <v>0</v>
      </c>
      <c r="FE38" s="55">
        <f t="shared" si="25"/>
        <v>0</v>
      </c>
      <c r="FF38" s="55">
        <f t="shared" si="25"/>
        <v>0</v>
      </c>
      <c r="FG38" s="55">
        <f t="shared" si="25"/>
        <v>0</v>
      </c>
      <c r="FH38" s="55">
        <f t="shared" si="25"/>
        <v>0</v>
      </c>
      <c r="FI38" s="55">
        <f t="shared" si="25"/>
        <v>0</v>
      </c>
      <c r="FJ38" s="55">
        <f t="shared" si="25"/>
        <v>0</v>
      </c>
      <c r="FK38" s="55">
        <f t="shared" si="25"/>
        <v>0</v>
      </c>
      <c r="FL38" s="55">
        <f t="shared" si="25"/>
        <v>0</v>
      </c>
      <c r="FM38" s="55">
        <f t="shared" si="25"/>
        <v>0</v>
      </c>
      <c r="FN38" s="55">
        <f t="shared" si="25"/>
        <v>0</v>
      </c>
      <c r="FO38" s="55">
        <f t="shared" si="25"/>
        <v>0</v>
      </c>
      <c r="FP38" s="55">
        <f t="shared" si="8"/>
        <v>0</v>
      </c>
      <c r="FQ38" s="55">
        <f t="shared" si="9"/>
        <v>0</v>
      </c>
      <c r="FR38" s="55">
        <f t="shared" si="10"/>
        <v>0</v>
      </c>
      <c r="FS38" s="55">
        <f t="shared" si="25"/>
        <v>0</v>
      </c>
      <c r="FT38" s="55">
        <f t="shared" si="25"/>
        <v>0</v>
      </c>
      <c r="FU38" s="55">
        <f t="shared" si="25"/>
        <v>0</v>
      </c>
      <c r="FV38" s="55">
        <f t="shared" si="25"/>
        <v>0</v>
      </c>
      <c r="FW38" s="55">
        <f t="shared" si="25"/>
        <v>0</v>
      </c>
      <c r="FX38" s="55">
        <f t="shared" si="25"/>
        <v>0</v>
      </c>
      <c r="FY38" s="55">
        <f t="shared" si="25"/>
        <v>0</v>
      </c>
      <c r="FZ38" s="55">
        <f t="shared" si="25"/>
        <v>0</v>
      </c>
      <c r="GA38" s="55">
        <f t="shared" si="25"/>
        <v>0</v>
      </c>
      <c r="GB38" s="55">
        <f t="shared" si="25"/>
        <v>0</v>
      </c>
      <c r="GC38" s="55">
        <f t="shared" si="25"/>
        <v>0</v>
      </c>
      <c r="GD38" s="55">
        <f t="shared" si="25"/>
        <v>0</v>
      </c>
      <c r="GE38" s="55">
        <f t="shared" si="25"/>
        <v>0</v>
      </c>
      <c r="GF38" s="55">
        <f t="shared" si="25"/>
        <v>0</v>
      </c>
      <c r="GG38" s="55">
        <f t="shared" si="25"/>
        <v>0</v>
      </c>
      <c r="GH38" s="55">
        <f t="shared" si="25"/>
        <v>0</v>
      </c>
      <c r="GI38" s="55">
        <f t="shared" si="25"/>
        <v>0</v>
      </c>
      <c r="GJ38" s="55">
        <f t="shared" si="25"/>
        <v>0</v>
      </c>
      <c r="GK38" s="55">
        <f t="shared" si="25"/>
        <v>0</v>
      </c>
      <c r="GL38" s="55">
        <f t="shared" si="25"/>
        <v>0</v>
      </c>
      <c r="GM38" s="55">
        <f t="shared" si="25"/>
        <v>0</v>
      </c>
      <c r="GN38" s="55">
        <f t="shared" si="25"/>
        <v>0</v>
      </c>
      <c r="GO38" s="55">
        <f t="shared" si="25"/>
        <v>0</v>
      </c>
      <c r="GP38" s="55">
        <f t="shared" si="25"/>
        <v>0</v>
      </c>
      <c r="GQ38" s="55">
        <f t="shared" si="25"/>
        <v>0</v>
      </c>
      <c r="GR38" s="55">
        <f t="shared" si="25"/>
        <v>0</v>
      </c>
      <c r="GS38" s="55">
        <f t="shared" si="25"/>
        <v>0</v>
      </c>
      <c r="GT38" s="55">
        <f t="shared" si="25"/>
        <v>0</v>
      </c>
      <c r="GU38" s="55">
        <f t="shared" si="25"/>
        <v>0</v>
      </c>
      <c r="GV38" s="55">
        <f t="shared" si="25"/>
        <v>0</v>
      </c>
      <c r="GW38" s="55">
        <f t="shared" si="25"/>
        <v>0</v>
      </c>
      <c r="GX38" s="55">
        <f t="shared" si="25"/>
        <v>0</v>
      </c>
      <c r="GY38" s="55">
        <f t="shared" si="25"/>
        <v>0</v>
      </c>
      <c r="GZ38" s="55">
        <f t="shared" si="25"/>
        <v>0</v>
      </c>
      <c r="HA38" s="55">
        <f t="shared" si="25"/>
        <v>0</v>
      </c>
      <c r="HB38" s="55">
        <f t="shared" si="25"/>
        <v>0</v>
      </c>
      <c r="HC38" s="55">
        <f t="shared" si="25"/>
        <v>0</v>
      </c>
      <c r="HD38" s="55">
        <f t="shared" si="24"/>
        <v>0</v>
      </c>
      <c r="HE38" s="55">
        <f t="shared" si="24"/>
        <v>0</v>
      </c>
      <c r="HF38" s="55">
        <f t="shared" si="24"/>
        <v>0</v>
      </c>
      <c r="HG38" s="55">
        <f t="shared" si="24"/>
        <v>0</v>
      </c>
      <c r="HH38" s="55">
        <f t="shared" si="24"/>
        <v>0</v>
      </c>
    </row>
    <row r="39" spans="2:216" x14ac:dyDescent="0.15">
      <c r="B39" s="60">
        <f t="shared" si="11"/>
        <v>43126</v>
      </c>
      <c r="C39" s="58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6"/>
      <c r="DF39" s="56"/>
      <c r="DG39" s="56"/>
      <c r="DH39" s="56"/>
      <c r="DI39" s="56"/>
      <c r="DJ39" s="56"/>
      <c r="DK39" s="56"/>
      <c r="DL39" s="56">
        <f t="shared" si="21"/>
        <v>0</v>
      </c>
      <c r="DM39" s="56">
        <f t="shared" si="21"/>
        <v>0</v>
      </c>
      <c r="DN39" s="56">
        <f t="shared" si="21"/>
        <v>0</v>
      </c>
      <c r="DO39" s="56">
        <f t="shared" si="21"/>
        <v>0</v>
      </c>
      <c r="DP39" s="56">
        <f t="shared" si="1"/>
        <v>0</v>
      </c>
      <c r="DQ39" s="56">
        <f t="shared" si="21"/>
        <v>0</v>
      </c>
      <c r="DR39" s="56">
        <f t="shared" si="21"/>
        <v>0</v>
      </c>
      <c r="DS39" s="56">
        <f t="shared" si="21"/>
        <v>0</v>
      </c>
      <c r="DT39" s="56">
        <f t="shared" si="21"/>
        <v>0</v>
      </c>
      <c r="DU39" s="56">
        <f t="shared" si="21"/>
        <v>0</v>
      </c>
      <c r="DV39" s="56">
        <f t="shared" si="21"/>
        <v>0</v>
      </c>
      <c r="DW39" s="56">
        <f t="shared" si="21"/>
        <v>0</v>
      </c>
      <c r="DX39" s="56">
        <f t="shared" si="21"/>
        <v>0</v>
      </c>
      <c r="DY39" s="56">
        <f t="shared" si="21"/>
        <v>0</v>
      </c>
      <c r="DZ39" s="56">
        <f t="shared" si="21"/>
        <v>0</v>
      </c>
      <c r="EA39" s="56">
        <f t="shared" si="21"/>
        <v>0</v>
      </c>
      <c r="EB39" s="56">
        <f t="shared" si="21"/>
        <v>0</v>
      </c>
      <c r="EC39" s="56">
        <f t="shared" si="21"/>
        <v>0</v>
      </c>
      <c r="ED39" s="56">
        <f t="shared" si="21"/>
        <v>0</v>
      </c>
      <c r="EE39" s="56">
        <f t="shared" si="21"/>
        <v>0</v>
      </c>
      <c r="EF39" s="56">
        <f t="shared" si="21"/>
        <v>0</v>
      </c>
      <c r="EG39" s="56">
        <f t="shared" si="21"/>
        <v>0</v>
      </c>
      <c r="EH39" s="56">
        <f t="shared" si="21"/>
        <v>0</v>
      </c>
      <c r="EI39" s="56">
        <f t="shared" si="21"/>
        <v>0</v>
      </c>
      <c r="EJ39" s="56">
        <f t="shared" si="21"/>
        <v>0</v>
      </c>
      <c r="EK39" s="56">
        <f t="shared" si="21"/>
        <v>0</v>
      </c>
      <c r="EL39" s="56">
        <f t="shared" si="21"/>
        <v>0</v>
      </c>
      <c r="EM39" s="56">
        <f t="shared" si="21"/>
        <v>0</v>
      </c>
      <c r="EN39" s="56">
        <f t="shared" si="21"/>
        <v>0</v>
      </c>
      <c r="EO39" s="56">
        <f t="shared" si="21"/>
        <v>0</v>
      </c>
      <c r="EP39" s="56">
        <f t="shared" si="5"/>
        <v>0</v>
      </c>
      <c r="EQ39" s="56">
        <f t="shared" si="2"/>
        <v>0</v>
      </c>
      <c r="ER39" s="56">
        <f t="shared" si="25"/>
        <v>0</v>
      </c>
      <c r="ES39" s="56">
        <f t="shared" si="25"/>
        <v>0</v>
      </c>
      <c r="ET39" s="56">
        <f t="shared" si="25"/>
        <v>0</v>
      </c>
      <c r="EU39" s="56">
        <f t="shared" si="25"/>
        <v>0</v>
      </c>
      <c r="EV39" s="56">
        <f t="shared" si="25"/>
        <v>0</v>
      </c>
      <c r="EW39" s="56">
        <f t="shared" si="25"/>
        <v>0</v>
      </c>
      <c r="EX39" s="56">
        <f t="shared" si="25"/>
        <v>0</v>
      </c>
      <c r="EY39" s="56">
        <f t="shared" si="25"/>
        <v>0</v>
      </c>
      <c r="EZ39" s="56">
        <f t="shared" si="25"/>
        <v>0</v>
      </c>
      <c r="FA39" s="56">
        <f t="shared" si="25"/>
        <v>0</v>
      </c>
      <c r="FB39" s="56">
        <f t="shared" si="6"/>
        <v>0</v>
      </c>
      <c r="FC39" s="56">
        <f t="shared" si="7"/>
        <v>0</v>
      </c>
      <c r="FD39" s="56">
        <f t="shared" si="25"/>
        <v>0</v>
      </c>
      <c r="FE39" s="56">
        <f t="shared" si="25"/>
        <v>0</v>
      </c>
      <c r="FF39" s="56">
        <f t="shared" si="25"/>
        <v>0</v>
      </c>
      <c r="FG39" s="56">
        <f t="shared" si="25"/>
        <v>0</v>
      </c>
      <c r="FH39" s="56">
        <f t="shared" si="25"/>
        <v>0</v>
      </c>
      <c r="FI39" s="56">
        <f t="shared" si="25"/>
        <v>0</v>
      </c>
      <c r="FJ39" s="56">
        <f t="shared" si="25"/>
        <v>0</v>
      </c>
      <c r="FK39" s="56">
        <f t="shared" si="25"/>
        <v>0</v>
      </c>
      <c r="FL39" s="56">
        <f t="shared" si="25"/>
        <v>0</v>
      </c>
      <c r="FM39" s="56">
        <f t="shared" si="25"/>
        <v>0</v>
      </c>
      <c r="FN39" s="56">
        <f t="shared" si="25"/>
        <v>0</v>
      </c>
      <c r="FO39" s="56">
        <f t="shared" si="25"/>
        <v>0</v>
      </c>
      <c r="FP39" s="56">
        <f t="shared" si="8"/>
        <v>0</v>
      </c>
      <c r="FQ39" s="56">
        <f t="shared" si="9"/>
        <v>0</v>
      </c>
      <c r="FR39" s="56">
        <f t="shared" si="10"/>
        <v>0</v>
      </c>
      <c r="FS39" s="56">
        <f t="shared" si="25"/>
        <v>0</v>
      </c>
      <c r="FT39" s="56">
        <f t="shared" si="25"/>
        <v>0</v>
      </c>
      <c r="FU39" s="56">
        <f t="shared" si="25"/>
        <v>0</v>
      </c>
      <c r="FV39" s="56">
        <f t="shared" si="25"/>
        <v>0</v>
      </c>
      <c r="FW39" s="56">
        <f t="shared" si="25"/>
        <v>0</v>
      </c>
      <c r="FX39" s="56">
        <f t="shared" si="25"/>
        <v>0</v>
      </c>
      <c r="FY39" s="56">
        <f t="shared" si="25"/>
        <v>0</v>
      </c>
      <c r="FZ39" s="56">
        <f t="shared" si="25"/>
        <v>0</v>
      </c>
      <c r="GA39" s="56">
        <f t="shared" si="25"/>
        <v>0</v>
      </c>
      <c r="GB39" s="56">
        <f t="shared" si="25"/>
        <v>0</v>
      </c>
      <c r="GC39" s="56">
        <f t="shared" si="25"/>
        <v>0</v>
      </c>
      <c r="GD39" s="56">
        <f t="shared" si="25"/>
        <v>0</v>
      </c>
      <c r="GE39" s="56">
        <f t="shared" si="25"/>
        <v>0</v>
      </c>
      <c r="GF39" s="56">
        <f t="shared" si="25"/>
        <v>0</v>
      </c>
      <c r="GG39" s="56">
        <f t="shared" si="25"/>
        <v>0</v>
      </c>
      <c r="GH39" s="56">
        <f t="shared" si="25"/>
        <v>0</v>
      </c>
      <c r="GI39" s="56">
        <f t="shared" si="25"/>
        <v>0</v>
      </c>
      <c r="GJ39" s="56">
        <f t="shared" si="25"/>
        <v>0</v>
      </c>
      <c r="GK39" s="56">
        <f t="shared" si="25"/>
        <v>0</v>
      </c>
      <c r="GL39" s="56">
        <f t="shared" si="25"/>
        <v>0</v>
      </c>
      <c r="GM39" s="56">
        <f t="shared" si="25"/>
        <v>0</v>
      </c>
      <c r="GN39" s="56">
        <f t="shared" si="25"/>
        <v>0</v>
      </c>
      <c r="GO39" s="56">
        <f t="shared" si="25"/>
        <v>0</v>
      </c>
      <c r="GP39" s="56">
        <f t="shared" si="25"/>
        <v>0</v>
      </c>
      <c r="GQ39" s="56">
        <f t="shared" si="25"/>
        <v>0</v>
      </c>
      <c r="GR39" s="56">
        <f t="shared" si="25"/>
        <v>0</v>
      </c>
      <c r="GS39" s="56">
        <f t="shared" si="25"/>
        <v>0</v>
      </c>
      <c r="GT39" s="56">
        <f t="shared" si="25"/>
        <v>0</v>
      </c>
      <c r="GU39" s="56">
        <f t="shared" si="25"/>
        <v>0</v>
      </c>
      <c r="GV39" s="56">
        <f t="shared" si="25"/>
        <v>0</v>
      </c>
      <c r="GW39" s="56">
        <f t="shared" si="25"/>
        <v>0</v>
      </c>
      <c r="GX39" s="56">
        <f t="shared" si="25"/>
        <v>0</v>
      </c>
      <c r="GY39" s="56">
        <f t="shared" si="25"/>
        <v>0</v>
      </c>
      <c r="GZ39" s="56">
        <f t="shared" si="25"/>
        <v>0</v>
      </c>
      <c r="HA39" s="56">
        <f t="shared" si="25"/>
        <v>0</v>
      </c>
      <c r="HB39" s="56">
        <f t="shared" si="25"/>
        <v>0</v>
      </c>
      <c r="HC39" s="56">
        <f t="shared" si="25"/>
        <v>0</v>
      </c>
      <c r="HD39" s="56">
        <f t="shared" si="24"/>
        <v>0</v>
      </c>
      <c r="HE39" s="56">
        <f t="shared" si="24"/>
        <v>0</v>
      </c>
      <c r="HF39" s="56">
        <f t="shared" si="24"/>
        <v>0</v>
      </c>
      <c r="HG39" s="56">
        <f t="shared" si="24"/>
        <v>0</v>
      </c>
      <c r="HH39" s="56">
        <f t="shared" si="24"/>
        <v>0</v>
      </c>
    </row>
    <row r="40" spans="2:216" x14ac:dyDescent="0.15">
      <c r="B40" s="59">
        <f t="shared" si="11"/>
        <v>43127</v>
      </c>
      <c r="C40" s="57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  <c r="CZ40" s="55"/>
      <c r="DA40" s="55"/>
      <c r="DB40" s="55"/>
      <c r="DC40" s="55"/>
      <c r="DD40" s="55"/>
      <c r="DE40" s="55"/>
      <c r="DF40" s="55"/>
      <c r="DG40" s="55"/>
      <c r="DH40" s="55"/>
      <c r="DI40" s="55"/>
      <c r="DJ40" s="55"/>
      <c r="DK40" s="55"/>
      <c r="DL40" s="55">
        <f t="shared" si="21"/>
        <v>0</v>
      </c>
      <c r="DM40" s="55">
        <f t="shared" si="21"/>
        <v>0</v>
      </c>
      <c r="DN40" s="55">
        <f t="shared" si="21"/>
        <v>0</v>
      </c>
      <c r="DO40" s="55">
        <f t="shared" si="21"/>
        <v>0</v>
      </c>
      <c r="DP40" s="55">
        <f t="shared" si="1"/>
        <v>0</v>
      </c>
      <c r="DQ40" s="55">
        <f t="shared" si="21"/>
        <v>0</v>
      </c>
      <c r="DR40" s="55">
        <f t="shared" si="21"/>
        <v>0</v>
      </c>
      <c r="DS40" s="55">
        <f t="shared" si="21"/>
        <v>0</v>
      </c>
      <c r="DT40" s="55">
        <f t="shared" si="21"/>
        <v>0</v>
      </c>
      <c r="DU40" s="55">
        <f t="shared" si="21"/>
        <v>0</v>
      </c>
      <c r="DV40" s="55">
        <f t="shared" si="21"/>
        <v>0</v>
      </c>
      <c r="DW40" s="55">
        <f t="shared" si="21"/>
        <v>0</v>
      </c>
      <c r="DX40" s="55">
        <f t="shared" ref="DL40:EO44" si="26">IF(VALUE(DX$13)&lt;20,INDEX($O$14:$DK$44,ROW($A27),VALUE(DX$13)),INDEX($O$14:$DK$44,ROW($A27),VALUE(DX$13)+1))</f>
        <v>0</v>
      </c>
      <c r="DY40" s="55">
        <f t="shared" si="26"/>
        <v>0</v>
      </c>
      <c r="DZ40" s="55">
        <f t="shared" si="26"/>
        <v>0</v>
      </c>
      <c r="EA40" s="55">
        <f t="shared" si="26"/>
        <v>0</v>
      </c>
      <c r="EB40" s="55">
        <f t="shared" si="26"/>
        <v>0</v>
      </c>
      <c r="EC40" s="55">
        <f t="shared" si="26"/>
        <v>0</v>
      </c>
      <c r="ED40" s="55">
        <f t="shared" si="26"/>
        <v>0</v>
      </c>
      <c r="EE40" s="55">
        <f t="shared" si="26"/>
        <v>0</v>
      </c>
      <c r="EF40" s="55">
        <f t="shared" si="26"/>
        <v>0</v>
      </c>
      <c r="EG40" s="55">
        <f t="shared" si="26"/>
        <v>0</v>
      </c>
      <c r="EH40" s="55">
        <f t="shared" si="26"/>
        <v>0</v>
      </c>
      <c r="EI40" s="55">
        <f t="shared" si="26"/>
        <v>0</v>
      </c>
      <c r="EJ40" s="55">
        <f t="shared" si="26"/>
        <v>0</v>
      </c>
      <c r="EK40" s="55">
        <f t="shared" si="26"/>
        <v>0</v>
      </c>
      <c r="EL40" s="55">
        <f t="shared" si="26"/>
        <v>0</v>
      </c>
      <c r="EM40" s="55">
        <f t="shared" si="26"/>
        <v>0</v>
      </c>
      <c r="EN40" s="55">
        <f t="shared" si="26"/>
        <v>0</v>
      </c>
      <c r="EO40" s="55">
        <f t="shared" si="26"/>
        <v>0</v>
      </c>
      <c r="EP40" s="55">
        <f t="shared" si="5"/>
        <v>0</v>
      </c>
      <c r="EQ40" s="55">
        <f t="shared" si="2"/>
        <v>0</v>
      </c>
      <c r="ER40" s="55">
        <f t="shared" ref="ER40:HC40" si="27">IF(VALUE(ER$13)&lt;20,INDEX($O$14:$DK$44,ROW($A27),VALUE(ER$13)),INDEX($O$14:$DK$44,ROW($A27),VALUE(ER$13)+1))</f>
        <v>0</v>
      </c>
      <c r="ES40" s="55">
        <f t="shared" si="27"/>
        <v>0</v>
      </c>
      <c r="ET40" s="55">
        <f t="shared" si="27"/>
        <v>0</v>
      </c>
      <c r="EU40" s="55">
        <f t="shared" si="27"/>
        <v>0</v>
      </c>
      <c r="EV40" s="55">
        <f t="shared" si="27"/>
        <v>0</v>
      </c>
      <c r="EW40" s="55">
        <f t="shared" si="27"/>
        <v>0</v>
      </c>
      <c r="EX40" s="55">
        <f t="shared" si="27"/>
        <v>0</v>
      </c>
      <c r="EY40" s="55">
        <f t="shared" si="27"/>
        <v>0</v>
      </c>
      <c r="EZ40" s="55">
        <f t="shared" si="27"/>
        <v>0</v>
      </c>
      <c r="FA40" s="55">
        <f t="shared" si="27"/>
        <v>0</v>
      </c>
      <c r="FB40" s="55">
        <f t="shared" si="6"/>
        <v>0</v>
      </c>
      <c r="FC40" s="55">
        <f t="shared" si="7"/>
        <v>0</v>
      </c>
      <c r="FD40" s="55">
        <f t="shared" si="27"/>
        <v>0</v>
      </c>
      <c r="FE40" s="55">
        <f t="shared" si="27"/>
        <v>0</v>
      </c>
      <c r="FF40" s="55">
        <f t="shared" si="27"/>
        <v>0</v>
      </c>
      <c r="FG40" s="55">
        <f t="shared" si="27"/>
        <v>0</v>
      </c>
      <c r="FH40" s="55">
        <f t="shared" si="27"/>
        <v>0</v>
      </c>
      <c r="FI40" s="55">
        <f t="shared" si="27"/>
        <v>0</v>
      </c>
      <c r="FJ40" s="55">
        <f t="shared" si="27"/>
        <v>0</v>
      </c>
      <c r="FK40" s="55">
        <f t="shared" si="27"/>
        <v>0</v>
      </c>
      <c r="FL40" s="55">
        <f t="shared" si="27"/>
        <v>0</v>
      </c>
      <c r="FM40" s="55">
        <f t="shared" si="27"/>
        <v>0</v>
      </c>
      <c r="FN40" s="55">
        <f t="shared" si="27"/>
        <v>0</v>
      </c>
      <c r="FO40" s="55">
        <f t="shared" si="27"/>
        <v>0</v>
      </c>
      <c r="FP40" s="55">
        <f t="shared" si="8"/>
        <v>0</v>
      </c>
      <c r="FQ40" s="55">
        <f t="shared" si="9"/>
        <v>0</v>
      </c>
      <c r="FR40" s="55">
        <f t="shared" si="10"/>
        <v>0</v>
      </c>
      <c r="FS40" s="55">
        <f t="shared" si="27"/>
        <v>0</v>
      </c>
      <c r="FT40" s="55">
        <f t="shared" si="27"/>
        <v>0</v>
      </c>
      <c r="FU40" s="55">
        <f t="shared" si="27"/>
        <v>0</v>
      </c>
      <c r="FV40" s="55">
        <f t="shared" si="27"/>
        <v>0</v>
      </c>
      <c r="FW40" s="55">
        <f t="shared" si="27"/>
        <v>0</v>
      </c>
      <c r="FX40" s="55">
        <f t="shared" si="27"/>
        <v>0</v>
      </c>
      <c r="FY40" s="55">
        <f t="shared" si="27"/>
        <v>0</v>
      </c>
      <c r="FZ40" s="55">
        <f t="shared" si="27"/>
        <v>0</v>
      </c>
      <c r="GA40" s="55">
        <f t="shared" si="27"/>
        <v>0</v>
      </c>
      <c r="GB40" s="55">
        <f t="shared" si="27"/>
        <v>0</v>
      </c>
      <c r="GC40" s="55">
        <f t="shared" si="27"/>
        <v>0</v>
      </c>
      <c r="GD40" s="55">
        <f t="shared" si="27"/>
        <v>0</v>
      </c>
      <c r="GE40" s="55">
        <f t="shared" si="27"/>
        <v>0</v>
      </c>
      <c r="GF40" s="55">
        <f t="shared" si="27"/>
        <v>0</v>
      </c>
      <c r="GG40" s="55">
        <f t="shared" si="27"/>
        <v>0</v>
      </c>
      <c r="GH40" s="55">
        <f t="shared" si="27"/>
        <v>0</v>
      </c>
      <c r="GI40" s="55">
        <f t="shared" si="27"/>
        <v>0</v>
      </c>
      <c r="GJ40" s="55">
        <f t="shared" si="27"/>
        <v>0</v>
      </c>
      <c r="GK40" s="55">
        <f t="shared" si="27"/>
        <v>0</v>
      </c>
      <c r="GL40" s="55">
        <f t="shared" si="27"/>
        <v>0</v>
      </c>
      <c r="GM40" s="55">
        <f t="shared" si="27"/>
        <v>0</v>
      </c>
      <c r="GN40" s="55">
        <f t="shared" si="27"/>
        <v>0</v>
      </c>
      <c r="GO40" s="55">
        <f t="shared" si="27"/>
        <v>0</v>
      </c>
      <c r="GP40" s="55">
        <f t="shared" si="27"/>
        <v>0</v>
      </c>
      <c r="GQ40" s="55">
        <f t="shared" si="27"/>
        <v>0</v>
      </c>
      <c r="GR40" s="55">
        <f t="shared" si="27"/>
        <v>0</v>
      </c>
      <c r="GS40" s="55">
        <f t="shared" si="27"/>
        <v>0</v>
      </c>
      <c r="GT40" s="55">
        <f t="shared" si="27"/>
        <v>0</v>
      </c>
      <c r="GU40" s="55">
        <f t="shared" si="27"/>
        <v>0</v>
      </c>
      <c r="GV40" s="55">
        <f t="shared" si="27"/>
        <v>0</v>
      </c>
      <c r="GW40" s="55">
        <f t="shared" si="27"/>
        <v>0</v>
      </c>
      <c r="GX40" s="55">
        <f t="shared" si="27"/>
        <v>0</v>
      </c>
      <c r="GY40" s="55">
        <f t="shared" si="27"/>
        <v>0</v>
      </c>
      <c r="GZ40" s="55">
        <f t="shared" si="27"/>
        <v>0</v>
      </c>
      <c r="HA40" s="55">
        <f t="shared" si="27"/>
        <v>0</v>
      </c>
      <c r="HB40" s="55">
        <f t="shared" si="27"/>
        <v>0</v>
      </c>
      <c r="HC40" s="55">
        <f t="shared" si="27"/>
        <v>0</v>
      </c>
      <c r="HD40" s="55">
        <f t="shared" ref="HD40:HH40" si="28">IF(VALUE(HD$13)&lt;20,INDEX($O$14:$DK$44,ROW($A27),VALUE(HD$13)),INDEX($O$14:$DK$44,ROW($A27),VALUE(HD$13)+1))</f>
        <v>0</v>
      </c>
      <c r="HE40" s="55">
        <f t="shared" si="28"/>
        <v>0</v>
      </c>
      <c r="HF40" s="55">
        <f t="shared" si="28"/>
        <v>0</v>
      </c>
      <c r="HG40" s="55">
        <f t="shared" si="28"/>
        <v>0</v>
      </c>
      <c r="HH40" s="55">
        <f t="shared" si="28"/>
        <v>0</v>
      </c>
    </row>
    <row r="41" spans="2:216" x14ac:dyDescent="0.15">
      <c r="B41" s="60">
        <f t="shared" si="11"/>
        <v>43128</v>
      </c>
      <c r="C41" s="58">
        <v>5</v>
      </c>
      <c r="D41" s="56">
        <v>5</v>
      </c>
      <c r="E41" s="56">
        <v>12</v>
      </c>
      <c r="F41" s="56">
        <v>13</v>
      </c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>
        <v>34</v>
      </c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>
        <v>50</v>
      </c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6"/>
      <c r="CD41" s="56"/>
      <c r="CE41" s="56"/>
      <c r="CF41" s="56"/>
      <c r="CG41" s="56"/>
      <c r="CH41" s="56"/>
      <c r="CI41" s="5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T41" s="56"/>
      <c r="CU41" s="56"/>
      <c r="CV41" s="56"/>
      <c r="CW41" s="56"/>
      <c r="CX41" s="56"/>
      <c r="CY41" s="56"/>
      <c r="CZ41" s="56"/>
      <c r="DA41" s="56"/>
      <c r="DB41" s="56"/>
      <c r="DC41" s="56"/>
      <c r="DD41" s="56"/>
      <c r="DE41" s="56"/>
      <c r="DF41" s="56"/>
      <c r="DG41" s="56"/>
      <c r="DH41" s="56"/>
      <c r="DI41" s="56"/>
      <c r="DJ41" s="56"/>
      <c r="DK41" s="56"/>
      <c r="DL41" s="56">
        <f t="shared" si="26"/>
        <v>0</v>
      </c>
      <c r="DM41" s="56">
        <f t="shared" si="26"/>
        <v>0</v>
      </c>
      <c r="DN41" s="56">
        <f t="shared" si="26"/>
        <v>0</v>
      </c>
      <c r="DO41" s="56">
        <f t="shared" si="26"/>
        <v>0</v>
      </c>
      <c r="DP41" s="56">
        <f t="shared" si="1"/>
        <v>0</v>
      </c>
      <c r="DQ41" s="56">
        <f t="shared" si="26"/>
        <v>0</v>
      </c>
      <c r="DR41" s="56">
        <f t="shared" si="26"/>
        <v>0</v>
      </c>
      <c r="DS41" s="56">
        <f t="shared" si="26"/>
        <v>0</v>
      </c>
      <c r="DT41" s="56">
        <f t="shared" si="26"/>
        <v>0</v>
      </c>
      <c r="DU41" s="56">
        <f t="shared" si="26"/>
        <v>0</v>
      </c>
      <c r="DV41" s="56">
        <f t="shared" si="26"/>
        <v>0</v>
      </c>
      <c r="DW41" s="56">
        <f t="shared" si="26"/>
        <v>0</v>
      </c>
      <c r="DX41" s="56">
        <f t="shared" si="26"/>
        <v>0</v>
      </c>
      <c r="DY41" s="56">
        <f t="shared" si="26"/>
        <v>0</v>
      </c>
      <c r="DZ41" s="56">
        <f t="shared" si="26"/>
        <v>0</v>
      </c>
      <c r="EA41" s="56">
        <f t="shared" si="26"/>
        <v>0</v>
      </c>
      <c r="EB41" s="56">
        <f t="shared" si="26"/>
        <v>0</v>
      </c>
      <c r="EC41" s="56">
        <f t="shared" si="26"/>
        <v>0</v>
      </c>
      <c r="ED41" s="56">
        <f t="shared" si="26"/>
        <v>0</v>
      </c>
      <c r="EE41" s="56">
        <f t="shared" si="26"/>
        <v>0</v>
      </c>
      <c r="EF41" s="56">
        <f t="shared" si="26"/>
        <v>34</v>
      </c>
      <c r="EG41" s="56">
        <f t="shared" si="26"/>
        <v>0</v>
      </c>
      <c r="EH41" s="56">
        <f t="shared" si="26"/>
        <v>50</v>
      </c>
      <c r="EI41" s="56">
        <f t="shared" si="26"/>
        <v>0</v>
      </c>
      <c r="EJ41" s="56">
        <f t="shared" si="26"/>
        <v>0</v>
      </c>
      <c r="EK41" s="56">
        <f t="shared" si="26"/>
        <v>0</v>
      </c>
      <c r="EL41" s="56">
        <f t="shared" si="26"/>
        <v>0</v>
      </c>
      <c r="EM41" s="56">
        <f t="shared" si="26"/>
        <v>0</v>
      </c>
      <c r="EN41" s="56">
        <f t="shared" si="26"/>
        <v>0</v>
      </c>
      <c r="EO41" s="56">
        <f t="shared" si="26"/>
        <v>0</v>
      </c>
      <c r="EP41" s="56">
        <f t="shared" si="5"/>
        <v>0</v>
      </c>
      <c r="EQ41" s="56">
        <f t="shared" si="2"/>
        <v>0</v>
      </c>
      <c r="ER41" s="56">
        <f t="shared" ref="ER41:HC41" si="29">IF(VALUE(ER$13)&lt;20,INDEX($O$14:$DK$44,ROW($A28),VALUE(ER$13)),INDEX($O$14:$DK$44,ROW($A28),VALUE(ER$13)+1))</f>
        <v>0</v>
      </c>
      <c r="ES41" s="56">
        <f t="shared" si="29"/>
        <v>0</v>
      </c>
      <c r="ET41" s="56">
        <f t="shared" si="29"/>
        <v>0</v>
      </c>
      <c r="EU41" s="56">
        <f t="shared" si="29"/>
        <v>0</v>
      </c>
      <c r="EV41" s="56">
        <f t="shared" si="29"/>
        <v>0</v>
      </c>
      <c r="EW41" s="56">
        <f t="shared" si="29"/>
        <v>0</v>
      </c>
      <c r="EX41" s="56">
        <f t="shared" si="29"/>
        <v>0</v>
      </c>
      <c r="EY41" s="56">
        <f t="shared" si="29"/>
        <v>0</v>
      </c>
      <c r="EZ41" s="56">
        <f t="shared" si="29"/>
        <v>0</v>
      </c>
      <c r="FA41" s="56">
        <f t="shared" si="29"/>
        <v>0</v>
      </c>
      <c r="FB41" s="56">
        <f t="shared" si="6"/>
        <v>0</v>
      </c>
      <c r="FC41" s="56">
        <f t="shared" si="7"/>
        <v>0</v>
      </c>
      <c r="FD41" s="56">
        <f t="shared" si="29"/>
        <v>0</v>
      </c>
      <c r="FE41" s="56">
        <f t="shared" si="29"/>
        <v>0</v>
      </c>
      <c r="FF41" s="56">
        <f t="shared" si="29"/>
        <v>0</v>
      </c>
      <c r="FG41" s="56">
        <f t="shared" si="29"/>
        <v>0</v>
      </c>
      <c r="FH41" s="56">
        <f t="shared" si="29"/>
        <v>0</v>
      </c>
      <c r="FI41" s="56">
        <f t="shared" si="29"/>
        <v>0</v>
      </c>
      <c r="FJ41" s="56">
        <f t="shared" si="29"/>
        <v>0</v>
      </c>
      <c r="FK41" s="56">
        <f t="shared" si="29"/>
        <v>0</v>
      </c>
      <c r="FL41" s="56">
        <f t="shared" si="29"/>
        <v>0</v>
      </c>
      <c r="FM41" s="56">
        <f t="shared" si="29"/>
        <v>0</v>
      </c>
      <c r="FN41" s="56">
        <f t="shared" si="29"/>
        <v>0</v>
      </c>
      <c r="FO41" s="56">
        <f t="shared" si="29"/>
        <v>0</v>
      </c>
      <c r="FP41" s="56">
        <f t="shared" si="8"/>
        <v>0</v>
      </c>
      <c r="FQ41" s="56">
        <f t="shared" si="9"/>
        <v>0</v>
      </c>
      <c r="FR41" s="56">
        <f t="shared" si="10"/>
        <v>0</v>
      </c>
      <c r="FS41" s="56">
        <f t="shared" si="29"/>
        <v>0</v>
      </c>
      <c r="FT41" s="56">
        <f t="shared" si="29"/>
        <v>0</v>
      </c>
      <c r="FU41" s="56">
        <f t="shared" si="29"/>
        <v>0</v>
      </c>
      <c r="FV41" s="56">
        <f t="shared" si="29"/>
        <v>0</v>
      </c>
      <c r="FW41" s="56">
        <f t="shared" si="29"/>
        <v>0</v>
      </c>
      <c r="FX41" s="56">
        <f t="shared" si="29"/>
        <v>0</v>
      </c>
      <c r="FY41" s="56">
        <f t="shared" si="29"/>
        <v>0</v>
      </c>
      <c r="FZ41" s="56">
        <f t="shared" si="29"/>
        <v>0</v>
      </c>
      <c r="GA41" s="56">
        <f t="shared" si="29"/>
        <v>0</v>
      </c>
      <c r="GB41" s="56">
        <f t="shared" si="29"/>
        <v>0</v>
      </c>
      <c r="GC41" s="56">
        <f t="shared" si="29"/>
        <v>0</v>
      </c>
      <c r="GD41" s="56">
        <f t="shared" si="29"/>
        <v>0</v>
      </c>
      <c r="GE41" s="56">
        <f t="shared" si="29"/>
        <v>0</v>
      </c>
      <c r="GF41" s="56">
        <f t="shared" si="29"/>
        <v>0</v>
      </c>
      <c r="GG41" s="56">
        <f t="shared" si="29"/>
        <v>0</v>
      </c>
      <c r="GH41" s="56">
        <f t="shared" si="29"/>
        <v>0</v>
      </c>
      <c r="GI41" s="56">
        <f t="shared" si="29"/>
        <v>0</v>
      </c>
      <c r="GJ41" s="56">
        <f t="shared" si="29"/>
        <v>0</v>
      </c>
      <c r="GK41" s="56">
        <f t="shared" si="29"/>
        <v>0</v>
      </c>
      <c r="GL41" s="56">
        <f t="shared" si="29"/>
        <v>0</v>
      </c>
      <c r="GM41" s="56">
        <f t="shared" si="29"/>
        <v>0</v>
      </c>
      <c r="GN41" s="56">
        <f t="shared" si="29"/>
        <v>0</v>
      </c>
      <c r="GO41" s="56">
        <f t="shared" si="29"/>
        <v>0</v>
      </c>
      <c r="GP41" s="56">
        <f t="shared" si="29"/>
        <v>0</v>
      </c>
      <c r="GQ41" s="56">
        <f t="shared" si="29"/>
        <v>0</v>
      </c>
      <c r="GR41" s="56">
        <f t="shared" si="29"/>
        <v>0</v>
      </c>
      <c r="GS41" s="56">
        <f t="shared" si="29"/>
        <v>0</v>
      </c>
      <c r="GT41" s="56">
        <f t="shared" si="29"/>
        <v>0</v>
      </c>
      <c r="GU41" s="56">
        <f t="shared" si="29"/>
        <v>0</v>
      </c>
      <c r="GV41" s="56">
        <f t="shared" si="29"/>
        <v>0</v>
      </c>
      <c r="GW41" s="56">
        <f t="shared" si="29"/>
        <v>0</v>
      </c>
      <c r="GX41" s="56">
        <f t="shared" si="29"/>
        <v>0</v>
      </c>
      <c r="GY41" s="56">
        <f t="shared" si="29"/>
        <v>0</v>
      </c>
      <c r="GZ41" s="56">
        <f t="shared" si="29"/>
        <v>0</v>
      </c>
      <c r="HA41" s="56">
        <f t="shared" si="29"/>
        <v>0</v>
      </c>
      <c r="HB41" s="56">
        <f t="shared" si="29"/>
        <v>0</v>
      </c>
      <c r="HC41" s="56">
        <f t="shared" si="29"/>
        <v>0</v>
      </c>
      <c r="HD41" s="56">
        <f t="shared" ref="HD41:HH41" si="30">IF(VALUE(HD$13)&lt;20,INDEX($O$14:$DK$44,ROW($A28),VALUE(HD$13)),INDEX($O$14:$DK$44,ROW($A28),VALUE(HD$13)+1))</f>
        <v>0</v>
      </c>
      <c r="HE41" s="56">
        <f t="shared" si="30"/>
        <v>0</v>
      </c>
      <c r="HF41" s="56">
        <f t="shared" si="30"/>
        <v>0</v>
      </c>
      <c r="HG41" s="56">
        <f t="shared" si="30"/>
        <v>0</v>
      </c>
      <c r="HH41" s="56">
        <f t="shared" si="30"/>
        <v>0</v>
      </c>
    </row>
    <row r="42" spans="2:216" x14ac:dyDescent="0.15">
      <c r="B42" s="59">
        <f t="shared" si="11"/>
        <v>43129</v>
      </c>
      <c r="C42" s="57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55">
        <f t="shared" si="26"/>
        <v>0</v>
      </c>
      <c r="DM42" s="55">
        <f t="shared" si="26"/>
        <v>0</v>
      </c>
      <c r="DN42" s="55">
        <f t="shared" si="26"/>
        <v>0</v>
      </c>
      <c r="DO42" s="55">
        <f t="shared" si="26"/>
        <v>0</v>
      </c>
      <c r="DP42" s="55">
        <f t="shared" si="1"/>
        <v>0</v>
      </c>
      <c r="DQ42" s="55">
        <f t="shared" si="26"/>
        <v>0</v>
      </c>
      <c r="DR42" s="55">
        <f t="shared" si="26"/>
        <v>0</v>
      </c>
      <c r="DS42" s="55">
        <f t="shared" si="26"/>
        <v>0</v>
      </c>
      <c r="DT42" s="55">
        <f t="shared" si="26"/>
        <v>0</v>
      </c>
      <c r="DU42" s="55">
        <f t="shared" si="26"/>
        <v>0</v>
      </c>
      <c r="DV42" s="55">
        <f t="shared" si="26"/>
        <v>0</v>
      </c>
      <c r="DW42" s="55">
        <f t="shared" si="26"/>
        <v>0</v>
      </c>
      <c r="DX42" s="55">
        <f t="shared" si="26"/>
        <v>0</v>
      </c>
      <c r="DY42" s="55">
        <f t="shared" si="26"/>
        <v>0</v>
      </c>
      <c r="DZ42" s="55">
        <f t="shared" si="26"/>
        <v>0</v>
      </c>
      <c r="EA42" s="55">
        <f t="shared" si="26"/>
        <v>0</v>
      </c>
      <c r="EB42" s="55">
        <f t="shared" si="26"/>
        <v>0</v>
      </c>
      <c r="EC42" s="55">
        <f t="shared" si="26"/>
        <v>0</v>
      </c>
      <c r="ED42" s="55">
        <f t="shared" si="26"/>
        <v>0</v>
      </c>
      <c r="EE42" s="55">
        <f t="shared" si="26"/>
        <v>0</v>
      </c>
      <c r="EF42" s="55">
        <f t="shared" si="26"/>
        <v>0</v>
      </c>
      <c r="EG42" s="55">
        <f t="shared" si="26"/>
        <v>0</v>
      </c>
      <c r="EH42" s="55">
        <f t="shared" si="26"/>
        <v>0</v>
      </c>
      <c r="EI42" s="55">
        <f t="shared" si="26"/>
        <v>0</v>
      </c>
      <c r="EJ42" s="55">
        <f t="shared" si="26"/>
        <v>0</v>
      </c>
      <c r="EK42" s="55">
        <f t="shared" si="26"/>
        <v>0</v>
      </c>
      <c r="EL42" s="55">
        <f t="shared" si="26"/>
        <v>0</v>
      </c>
      <c r="EM42" s="55">
        <f t="shared" si="26"/>
        <v>0</v>
      </c>
      <c r="EN42" s="55">
        <f t="shared" si="26"/>
        <v>0</v>
      </c>
      <c r="EO42" s="55">
        <f t="shared" si="26"/>
        <v>0</v>
      </c>
      <c r="EP42" s="55">
        <f t="shared" si="5"/>
        <v>0</v>
      </c>
      <c r="EQ42" s="55">
        <f t="shared" si="2"/>
        <v>0</v>
      </c>
      <c r="ER42" s="55">
        <f t="shared" ref="ER42:HC42" si="31">IF(VALUE(ER$13)&lt;20,INDEX($O$14:$DK$44,ROW($A29),VALUE(ER$13)),INDEX($O$14:$DK$44,ROW($A29),VALUE(ER$13)+1))</f>
        <v>0</v>
      </c>
      <c r="ES42" s="55">
        <f t="shared" si="31"/>
        <v>0</v>
      </c>
      <c r="ET42" s="55">
        <f t="shared" si="31"/>
        <v>0</v>
      </c>
      <c r="EU42" s="55">
        <f t="shared" si="31"/>
        <v>0</v>
      </c>
      <c r="EV42" s="55">
        <f t="shared" si="31"/>
        <v>0</v>
      </c>
      <c r="EW42" s="55">
        <f t="shared" si="31"/>
        <v>0</v>
      </c>
      <c r="EX42" s="55">
        <f t="shared" si="31"/>
        <v>0</v>
      </c>
      <c r="EY42" s="55">
        <f t="shared" si="31"/>
        <v>0</v>
      </c>
      <c r="EZ42" s="55">
        <f t="shared" si="31"/>
        <v>0</v>
      </c>
      <c r="FA42" s="55">
        <f t="shared" si="31"/>
        <v>0</v>
      </c>
      <c r="FB42" s="55">
        <f t="shared" si="6"/>
        <v>0</v>
      </c>
      <c r="FC42" s="55">
        <f t="shared" si="7"/>
        <v>0</v>
      </c>
      <c r="FD42" s="55">
        <f t="shared" si="31"/>
        <v>0</v>
      </c>
      <c r="FE42" s="55">
        <f t="shared" si="31"/>
        <v>0</v>
      </c>
      <c r="FF42" s="55">
        <f t="shared" si="31"/>
        <v>0</v>
      </c>
      <c r="FG42" s="55">
        <f t="shared" si="31"/>
        <v>0</v>
      </c>
      <c r="FH42" s="55">
        <f t="shared" si="31"/>
        <v>0</v>
      </c>
      <c r="FI42" s="55">
        <f t="shared" si="31"/>
        <v>0</v>
      </c>
      <c r="FJ42" s="55">
        <f t="shared" si="31"/>
        <v>0</v>
      </c>
      <c r="FK42" s="55">
        <f t="shared" si="31"/>
        <v>0</v>
      </c>
      <c r="FL42" s="55">
        <f t="shared" si="31"/>
        <v>0</v>
      </c>
      <c r="FM42" s="55">
        <f t="shared" si="31"/>
        <v>0</v>
      </c>
      <c r="FN42" s="55">
        <f t="shared" si="31"/>
        <v>0</v>
      </c>
      <c r="FO42" s="55">
        <f t="shared" si="31"/>
        <v>0</v>
      </c>
      <c r="FP42" s="55">
        <f t="shared" si="8"/>
        <v>0</v>
      </c>
      <c r="FQ42" s="55">
        <f t="shared" si="9"/>
        <v>0</v>
      </c>
      <c r="FR42" s="55">
        <f t="shared" si="10"/>
        <v>0</v>
      </c>
      <c r="FS42" s="55">
        <f t="shared" si="31"/>
        <v>0</v>
      </c>
      <c r="FT42" s="55">
        <f t="shared" si="31"/>
        <v>0</v>
      </c>
      <c r="FU42" s="55">
        <f t="shared" si="31"/>
        <v>0</v>
      </c>
      <c r="FV42" s="55">
        <f t="shared" si="31"/>
        <v>0</v>
      </c>
      <c r="FW42" s="55">
        <f t="shared" si="31"/>
        <v>0</v>
      </c>
      <c r="FX42" s="55">
        <f t="shared" si="31"/>
        <v>0</v>
      </c>
      <c r="FY42" s="55">
        <f t="shared" si="31"/>
        <v>0</v>
      </c>
      <c r="FZ42" s="55">
        <f t="shared" si="31"/>
        <v>0</v>
      </c>
      <c r="GA42" s="55">
        <f t="shared" si="31"/>
        <v>0</v>
      </c>
      <c r="GB42" s="55">
        <f t="shared" si="31"/>
        <v>0</v>
      </c>
      <c r="GC42" s="55">
        <f t="shared" si="31"/>
        <v>0</v>
      </c>
      <c r="GD42" s="55">
        <f t="shared" si="31"/>
        <v>0</v>
      </c>
      <c r="GE42" s="55">
        <f t="shared" si="31"/>
        <v>0</v>
      </c>
      <c r="GF42" s="55">
        <f t="shared" si="31"/>
        <v>0</v>
      </c>
      <c r="GG42" s="55">
        <f t="shared" si="31"/>
        <v>0</v>
      </c>
      <c r="GH42" s="55">
        <f t="shared" si="31"/>
        <v>0</v>
      </c>
      <c r="GI42" s="55">
        <f t="shared" si="31"/>
        <v>0</v>
      </c>
      <c r="GJ42" s="55">
        <f t="shared" si="31"/>
        <v>0</v>
      </c>
      <c r="GK42" s="55">
        <f t="shared" si="31"/>
        <v>0</v>
      </c>
      <c r="GL42" s="55">
        <f t="shared" si="31"/>
        <v>0</v>
      </c>
      <c r="GM42" s="55">
        <f t="shared" si="31"/>
        <v>0</v>
      </c>
      <c r="GN42" s="55">
        <f t="shared" si="31"/>
        <v>0</v>
      </c>
      <c r="GO42" s="55">
        <f t="shared" si="31"/>
        <v>0</v>
      </c>
      <c r="GP42" s="55">
        <f t="shared" si="31"/>
        <v>0</v>
      </c>
      <c r="GQ42" s="55">
        <f t="shared" si="31"/>
        <v>0</v>
      </c>
      <c r="GR42" s="55">
        <f t="shared" si="31"/>
        <v>0</v>
      </c>
      <c r="GS42" s="55">
        <f t="shared" si="31"/>
        <v>0</v>
      </c>
      <c r="GT42" s="55">
        <f t="shared" si="31"/>
        <v>0</v>
      </c>
      <c r="GU42" s="55">
        <f t="shared" si="31"/>
        <v>0</v>
      </c>
      <c r="GV42" s="55">
        <f t="shared" si="31"/>
        <v>0</v>
      </c>
      <c r="GW42" s="55">
        <f t="shared" si="31"/>
        <v>0</v>
      </c>
      <c r="GX42" s="55">
        <f t="shared" si="31"/>
        <v>0</v>
      </c>
      <c r="GY42" s="55">
        <f t="shared" si="31"/>
        <v>0</v>
      </c>
      <c r="GZ42" s="55">
        <f t="shared" si="31"/>
        <v>0</v>
      </c>
      <c r="HA42" s="55">
        <f t="shared" si="31"/>
        <v>0</v>
      </c>
      <c r="HB42" s="55">
        <f t="shared" si="31"/>
        <v>0</v>
      </c>
      <c r="HC42" s="55">
        <f t="shared" si="31"/>
        <v>0</v>
      </c>
      <c r="HD42" s="55">
        <f t="shared" ref="HD42:HH42" si="32">IF(VALUE(HD$13)&lt;20,INDEX($O$14:$DK$44,ROW($A29),VALUE(HD$13)),INDEX($O$14:$DK$44,ROW($A29),VALUE(HD$13)+1))</f>
        <v>0</v>
      </c>
      <c r="HE42" s="55">
        <f t="shared" si="32"/>
        <v>0</v>
      </c>
      <c r="HF42" s="55">
        <f t="shared" si="32"/>
        <v>0</v>
      </c>
      <c r="HG42" s="55">
        <f t="shared" si="32"/>
        <v>0</v>
      </c>
      <c r="HH42" s="55">
        <f t="shared" si="32"/>
        <v>0</v>
      </c>
    </row>
    <row r="43" spans="2:216" x14ac:dyDescent="0.15">
      <c r="B43" s="60">
        <f t="shared" si="11"/>
        <v>43130</v>
      </c>
      <c r="C43" s="58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6"/>
      <c r="CD43" s="56"/>
      <c r="CE43" s="56"/>
      <c r="CF43" s="56"/>
      <c r="CG43" s="56"/>
      <c r="CH43" s="56"/>
      <c r="CI43" s="5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T43" s="56"/>
      <c r="CU43" s="56"/>
      <c r="CV43" s="56"/>
      <c r="CW43" s="56"/>
      <c r="CX43" s="56"/>
      <c r="CY43" s="56"/>
      <c r="CZ43" s="56"/>
      <c r="DA43" s="56"/>
      <c r="DB43" s="56"/>
      <c r="DC43" s="56"/>
      <c r="DD43" s="56"/>
      <c r="DE43" s="56"/>
      <c r="DF43" s="56"/>
      <c r="DG43" s="56"/>
      <c r="DH43" s="56"/>
      <c r="DI43" s="56"/>
      <c r="DJ43" s="56"/>
      <c r="DK43" s="56"/>
      <c r="DL43" s="56">
        <f t="shared" si="26"/>
        <v>0</v>
      </c>
      <c r="DM43" s="56">
        <f t="shared" si="26"/>
        <v>0</v>
      </c>
      <c r="DN43" s="56">
        <f t="shared" si="26"/>
        <v>0</v>
      </c>
      <c r="DO43" s="56">
        <f t="shared" si="26"/>
        <v>0</v>
      </c>
      <c r="DP43" s="56">
        <f t="shared" si="1"/>
        <v>0</v>
      </c>
      <c r="DQ43" s="56">
        <f t="shared" si="26"/>
        <v>0</v>
      </c>
      <c r="DR43" s="56">
        <f t="shared" si="26"/>
        <v>0</v>
      </c>
      <c r="DS43" s="56">
        <f t="shared" si="26"/>
        <v>0</v>
      </c>
      <c r="DT43" s="56">
        <f t="shared" si="26"/>
        <v>0</v>
      </c>
      <c r="DU43" s="56">
        <f t="shared" si="26"/>
        <v>0</v>
      </c>
      <c r="DV43" s="56">
        <f t="shared" si="26"/>
        <v>0</v>
      </c>
      <c r="DW43" s="56">
        <f t="shared" si="26"/>
        <v>0</v>
      </c>
      <c r="DX43" s="56">
        <f t="shared" si="26"/>
        <v>0</v>
      </c>
      <c r="DY43" s="56">
        <f t="shared" si="26"/>
        <v>0</v>
      </c>
      <c r="DZ43" s="56">
        <f t="shared" si="26"/>
        <v>0</v>
      </c>
      <c r="EA43" s="56">
        <f t="shared" si="26"/>
        <v>0</v>
      </c>
      <c r="EB43" s="56">
        <f t="shared" si="26"/>
        <v>0</v>
      </c>
      <c r="EC43" s="56">
        <f t="shared" si="26"/>
        <v>0</v>
      </c>
      <c r="ED43" s="56">
        <f t="shared" si="26"/>
        <v>0</v>
      </c>
      <c r="EE43" s="56">
        <f t="shared" si="26"/>
        <v>0</v>
      </c>
      <c r="EF43" s="56">
        <f t="shared" si="26"/>
        <v>0</v>
      </c>
      <c r="EG43" s="56">
        <f t="shared" si="26"/>
        <v>0</v>
      </c>
      <c r="EH43" s="56">
        <f t="shared" si="26"/>
        <v>0</v>
      </c>
      <c r="EI43" s="56">
        <f t="shared" si="26"/>
        <v>0</v>
      </c>
      <c r="EJ43" s="56">
        <f t="shared" si="26"/>
        <v>0</v>
      </c>
      <c r="EK43" s="56">
        <f t="shared" si="26"/>
        <v>0</v>
      </c>
      <c r="EL43" s="56">
        <f t="shared" si="26"/>
        <v>0</v>
      </c>
      <c r="EM43" s="56">
        <f t="shared" si="26"/>
        <v>0</v>
      </c>
      <c r="EN43" s="56">
        <f t="shared" si="26"/>
        <v>0</v>
      </c>
      <c r="EO43" s="56">
        <f t="shared" si="26"/>
        <v>0</v>
      </c>
      <c r="EP43" s="56">
        <f t="shared" si="5"/>
        <v>0</v>
      </c>
      <c r="EQ43" s="56">
        <f t="shared" si="2"/>
        <v>0</v>
      </c>
      <c r="ER43" s="56">
        <f t="shared" ref="ER43:HC43" si="33">IF(VALUE(ER$13)&lt;20,INDEX($O$14:$DK$44,ROW($A30),VALUE(ER$13)),INDEX($O$14:$DK$44,ROW($A30),VALUE(ER$13)+1))</f>
        <v>0</v>
      </c>
      <c r="ES43" s="56">
        <f t="shared" si="33"/>
        <v>0</v>
      </c>
      <c r="ET43" s="56">
        <f t="shared" si="33"/>
        <v>0</v>
      </c>
      <c r="EU43" s="56">
        <f t="shared" si="33"/>
        <v>0</v>
      </c>
      <c r="EV43" s="56">
        <f t="shared" si="33"/>
        <v>0</v>
      </c>
      <c r="EW43" s="56">
        <f t="shared" si="33"/>
        <v>0</v>
      </c>
      <c r="EX43" s="56">
        <f t="shared" si="33"/>
        <v>0</v>
      </c>
      <c r="EY43" s="56">
        <f t="shared" si="33"/>
        <v>0</v>
      </c>
      <c r="EZ43" s="56">
        <f t="shared" si="33"/>
        <v>0</v>
      </c>
      <c r="FA43" s="56">
        <f t="shared" si="33"/>
        <v>0</v>
      </c>
      <c r="FB43" s="56">
        <f t="shared" si="6"/>
        <v>0</v>
      </c>
      <c r="FC43" s="56">
        <f t="shared" si="7"/>
        <v>0</v>
      </c>
      <c r="FD43" s="56">
        <f t="shared" si="33"/>
        <v>0</v>
      </c>
      <c r="FE43" s="56">
        <f t="shared" si="33"/>
        <v>0</v>
      </c>
      <c r="FF43" s="56">
        <f t="shared" si="33"/>
        <v>0</v>
      </c>
      <c r="FG43" s="56">
        <f t="shared" si="33"/>
        <v>0</v>
      </c>
      <c r="FH43" s="56">
        <f t="shared" si="33"/>
        <v>0</v>
      </c>
      <c r="FI43" s="56">
        <f t="shared" si="33"/>
        <v>0</v>
      </c>
      <c r="FJ43" s="56">
        <f t="shared" si="33"/>
        <v>0</v>
      </c>
      <c r="FK43" s="56">
        <f t="shared" si="33"/>
        <v>0</v>
      </c>
      <c r="FL43" s="56">
        <f t="shared" si="33"/>
        <v>0</v>
      </c>
      <c r="FM43" s="56">
        <f t="shared" si="33"/>
        <v>0</v>
      </c>
      <c r="FN43" s="56">
        <f t="shared" si="33"/>
        <v>0</v>
      </c>
      <c r="FO43" s="56">
        <f t="shared" si="33"/>
        <v>0</v>
      </c>
      <c r="FP43" s="56">
        <f t="shared" si="8"/>
        <v>0</v>
      </c>
      <c r="FQ43" s="56">
        <f t="shared" si="9"/>
        <v>0</v>
      </c>
      <c r="FR43" s="56">
        <f t="shared" si="10"/>
        <v>0</v>
      </c>
      <c r="FS43" s="56">
        <f t="shared" si="33"/>
        <v>0</v>
      </c>
      <c r="FT43" s="56">
        <f t="shared" si="33"/>
        <v>0</v>
      </c>
      <c r="FU43" s="56">
        <f t="shared" si="33"/>
        <v>0</v>
      </c>
      <c r="FV43" s="56">
        <f t="shared" si="33"/>
        <v>0</v>
      </c>
      <c r="FW43" s="56">
        <f t="shared" si="33"/>
        <v>0</v>
      </c>
      <c r="FX43" s="56">
        <f t="shared" si="33"/>
        <v>0</v>
      </c>
      <c r="FY43" s="56">
        <f t="shared" si="33"/>
        <v>0</v>
      </c>
      <c r="FZ43" s="56">
        <f t="shared" si="33"/>
        <v>0</v>
      </c>
      <c r="GA43" s="56">
        <f t="shared" si="33"/>
        <v>0</v>
      </c>
      <c r="GB43" s="56">
        <f t="shared" si="33"/>
        <v>0</v>
      </c>
      <c r="GC43" s="56">
        <f t="shared" si="33"/>
        <v>0</v>
      </c>
      <c r="GD43" s="56">
        <f t="shared" si="33"/>
        <v>0</v>
      </c>
      <c r="GE43" s="56">
        <f t="shared" si="33"/>
        <v>0</v>
      </c>
      <c r="GF43" s="56">
        <f t="shared" si="33"/>
        <v>0</v>
      </c>
      <c r="GG43" s="56">
        <f t="shared" si="33"/>
        <v>0</v>
      </c>
      <c r="GH43" s="56">
        <f t="shared" si="33"/>
        <v>0</v>
      </c>
      <c r="GI43" s="56">
        <f t="shared" si="33"/>
        <v>0</v>
      </c>
      <c r="GJ43" s="56">
        <f t="shared" si="33"/>
        <v>0</v>
      </c>
      <c r="GK43" s="56">
        <f t="shared" si="33"/>
        <v>0</v>
      </c>
      <c r="GL43" s="56">
        <f t="shared" si="33"/>
        <v>0</v>
      </c>
      <c r="GM43" s="56">
        <f t="shared" si="33"/>
        <v>0</v>
      </c>
      <c r="GN43" s="56">
        <f t="shared" si="33"/>
        <v>0</v>
      </c>
      <c r="GO43" s="56">
        <f t="shared" si="33"/>
        <v>0</v>
      </c>
      <c r="GP43" s="56">
        <f t="shared" si="33"/>
        <v>0</v>
      </c>
      <c r="GQ43" s="56">
        <f t="shared" si="33"/>
        <v>0</v>
      </c>
      <c r="GR43" s="56">
        <f t="shared" si="33"/>
        <v>0</v>
      </c>
      <c r="GS43" s="56">
        <f t="shared" si="33"/>
        <v>0</v>
      </c>
      <c r="GT43" s="56">
        <f t="shared" si="33"/>
        <v>0</v>
      </c>
      <c r="GU43" s="56">
        <f t="shared" si="33"/>
        <v>0</v>
      </c>
      <c r="GV43" s="56">
        <f t="shared" si="33"/>
        <v>0</v>
      </c>
      <c r="GW43" s="56">
        <f t="shared" si="33"/>
        <v>0</v>
      </c>
      <c r="GX43" s="56">
        <f t="shared" si="33"/>
        <v>0</v>
      </c>
      <c r="GY43" s="56">
        <f t="shared" si="33"/>
        <v>0</v>
      </c>
      <c r="GZ43" s="56">
        <f t="shared" si="33"/>
        <v>0</v>
      </c>
      <c r="HA43" s="56">
        <f t="shared" si="33"/>
        <v>0</v>
      </c>
      <c r="HB43" s="56">
        <f t="shared" si="33"/>
        <v>0</v>
      </c>
      <c r="HC43" s="56">
        <f t="shared" si="33"/>
        <v>0</v>
      </c>
      <c r="HD43" s="56">
        <f t="shared" ref="HD43:HH43" si="34">IF(VALUE(HD$13)&lt;20,INDEX($O$14:$DK$44,ROW($A30),VALUE(HD$13)),INDEX($O$14:$DK$44,ROW($A30),VALUE(HD$13)+1))</f>
        <v>0</v>
      </c>
      <c r="HE43" s="56">
        <f t="shared" si="34"/>
        <v>0</v>
      </c>
      <c r="HF43" s="56">
        <f t="shared" si="34"/>
        <v>0</v>
      </c>
      <c r="HG43" s="56">
        <f t="shared" si="34"/>
        <v>0</v>
      </c>
      <c r="HH43" s="56">
        <f t="shared" si="34"/>
        <v>0</v>
      </c>
    </row>
    <row r="44" spans="2:216" x14ac:dyDescent="0.15">
      <c r="B44" s="59">
        <f>IF((B43+1)&lt;=$F$6,(B43+1),"")</f>
        <v>43131</v>
      </c>
      <c r="C44" s="57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5"/>
      <c r="DD44" s="55"/>
      <c r="DE44" s="55"/>
      <c r="DF44" s="55"/>
      <c r="DG44" s="55"/>
      <c r="DH44" s="55"/>
      <c r="DI44" s="55"/>
      <c r="DJ44" s="55"/>
      <c r="DK44" s="55"/>
      <c r="DL44" s="55">
        <f t="shared" si="26"/>
        <v>0</v>
      </c>
      <c r="DM44" s="55">
        <f t="shared" si="26"/>
        <v>0</v>
      </c>
      <c r="DN44" s="55">
        <f t="shared" si="26"/>
        <v>0</v>
      </c>
      <c r="DO44" s="55">
        <f t="shared" si="26"/>
        <v>0</v>
      </c>
      <c r="DP44" s="55">
        <f t="shared" si="1"/>
        <v>0</v>
      </c>
      <c r="DQ44" s="55">
        <f t="shared" si="26"/>
        <v>0</v>
      </c>
      <c r="DR44" s="55">
        <f t="shared" si="26"/>
        <v>0</v>
      </c>
      <c r="DS44" s="55">
        <f t="shared" si="26"/>
        <v>0</v>
      </c>
      <c r="DT44" s="55">
        <f t="shared" si="26"/>
        <v>0</v>
      </c>
      <c r="DU44" s="55">
        <f t="shared" si="26"/>
        <v>0</v>
      </c>
      <c r="DV44" s="55">
        <f t="shared" si="26"/>
        <v>0</v>
      </c>
      <c r="DW44" s="55">
        <f t="shared" si="26"/>
        <v>0</v>
      </c>
      <c r="DX44" s="55">
        <f t="shared" si="26"/>
        <v>0</v>
      </c>
      <c r="DY44" s="55">
        <f t="shared" si="26"/>
        <v>0</v>
      </c>
      <c r="DZ44" s="55">
        <f t="shared" si="26"/>
        <v>0</v>
      </c>
      <c r="EA44" s="55">
        <f t="shared" si="26"/>
        <v>0</v>
      </c>
      <c r="EB44" s="55">
        <f t="shared" si="26"/>
        <v>0</v>
      </c>
      <c r="EC44" s="55">
        <f t="shared" si="26"/>
        <v>0</v>
      </c>
      <c r="ED44" s="55">
        <f t="shared" si="26"/>
        <v>0</v>
      </c>
      <c r="EE44" s="55">
        <f t="shared" si="26"/>
        <v>0</v>
      </c>
      <c r="EF44" s="55">
        <f t="shared" si="26"/>
        <v>0</v>
      </c>
      <c r="EG44" s="55">
        <f t="shared" si="26"/>
        <v>0</v>
      </c>
      <c r="EH44" s="55">
        <f t="shared" si="26"/>
        <v>0</v>
      </c>
      <c r="EI44" s="55">
        <f t="shared" si="26"/>
        <v>0</v>
      </c>
      <c r="EJ44" s="55">
        <f t="shared" si="26"/>
        <v>0</v>
      </c>
      <c r="EK44" s="55">
        <f t="shared" si="26"/>
        <v>0</v>
      </c>
      <c r="EL44" s="55">
        <f t="shared" si="26"/>
        <v>0</v>
      </c>
      <c r="EM44" s="55">
        <f t="shared" si="26"/>
        <v>0</v>
      </c>
      <c r="EN44" s="55">
        <f t="shared" si="26"/>
        <v>0</v>
      </c>
      <c r="EO44" s="55">
        <f t="shared" si="26"/>
        <v>0</v>
      </c>
      <c r="EP44" s="55">
        <f t="shared" si="5"/>
        <v>0</v>
      </c>
      <c r="EQ44" s="55">
        <f t="shared" si="2"/>
        <v>0</v>
      </c>
      <c r="ER44" s="55">
        <f t="shared" ref="ER44:HC44" si="35">IF(VALUE(ER$13)&lt;20,INDEX($O$14:$DK$44,ROW($A31),VALUE(ER$13)),INDEX($O$14:$DK$44,ROW($A31),VALUE(ER$13)+1))</f>
        <v>0</v>
      </c>
      <c r="ES44" s="55">
        <f t="shared" si="35"/>
        <v>0</v>
      </c>
      <c r="ET44" s="55">
        <f t="shared" si="35"/>
        <v>0</v>
      </c>
      <c r="EU44" s="55">
        <f t="shared" si="35"/>
        <v>0</v>
      </c>
      <c r="EV44" s="55">
        <f t="shared" si="35"/>
        <v>0</v>
      </c>
      <c r="EW44" s="55">
        <f t="shared" si="35"/>
        <v>0</v>
      </c>
      <c r="EX44" s="55">
        <f t="shared" si="35"/>
        <v>0</v>
      </c>
      <c r="EY44" s="55">
        <f t="shared" si="35"/>
        <v>0</v>
      </c>
      <c r="EZ44" s="55">
        <f t="shared" si="35"/>
        <v>0</v>
      </c>
      <c r="FA44" s="55">
        <f t="shared" si="35"/>
        <v>0</v>
      </c>
      <c r="FB44" s="55">
        <f t="shared" si="6"/>
        <v>0</v>
      </c>
      <c r="FC44" s="55">
        <f t="shared" si="7"/>
        <v>0</v>
      </c>
      <c r="FD44" s="55">
        <f t="shared" si="35"/>
        <v>0</v>
      </c>
      <c r="FE44" s="55">
        <f t="shared" si="35"/>
        <v>0</v>
      </c>
      <c r="FF44" s="55">
        <f t="shared" si="35"/>
        <v>0</v>
      </c>
      <c r="FG44" s="55">
        <f t="shared" si="35"/>
        <v>0</v>
      </c>
      <c r="FH44" s="55">
        <f t="shared" si="35"/>
        <v>0</v>
      </c>
      <c r="FI44" s="55">
        <f t="shared" si="35"/>
        <v>0</v>
      </c>
      <c r="FJ44" s="55">
        <f t="shared" si="35"/>
        <v>0</v>
      </c>
      <c r="FK44" s="55">
        <f t="shared" si="35"/>
        <v>0</v>
      </c>
      <c r="FL44" s="55">
        <f t="shared" si="35"/>
        <v>0</v>
      </c>
      <c r="FM44" s="55">
        <f t="shared" si="35"/>
        <v>0</v>
      </c>
      <c r="FN44" s="55">
        <f t="shared" si="35"/>
        <v>0</v>
      </c>
      <c r="FO44" s="55">
        <f t="shared" si="35"/>
        <v>0</v>
      </c>
      <c r="FP44" s="55">
        <f t="shared" si="8"/>
        <v>0</v>
      </c>
      <c r="FQ44" s="55">
        <f t="shared" si="9"/>
        <v>0</v>
      </c>
      <c r="FR44" s="55">
        <f t="shared" si="10"/>
        <v>0</v>
      </c>
      <c r="FS44" s="55">
        <f t="shared" si="35"/>
        <v>0</v>
      </c>
      <c r="FT44" s="55">
        <f t="shared" si="35"/>
        <v>0</v>
      </c>
      <c r="FU44" s="55">
        <f t="shared" si="35"/>
        <v>0</v>
      </c>
      <c r="FV44" s="55">
        <f t="shared" si="35"/>
        <v>0</v>
      </c>
      <c r="FW44" s="55">
        <f t="shared" si="35"/>
        <v>0</v>
      </c>
      <c r="FX44" s="55">
        <f t="shared" si="35"/>
        <v>0</v>
      </c>
      <c r="FY44" s="55">
        <f t="shared" si="35"/>
        <v>0</v>
      </c>
      <c r="FZ44" s="55">
        <f t="shared" si="35"/>
        <v>0</v>
      </c>
      <c r="GA44" s="55">
        <f t="shared" si="35"/>
        <v>0</v>
      </c>
      <c r="GB44" s="55">
        <f t="shared" si="35"/>
        <v>0</v>
      </c>
      <c r="GC44" s="55">
        <f t="shared" si="35"/>
        <v>0</v>
      </c>
      <c r="GD44" s="55">
        <f t="shared" si="35"/>
        <v>0</v>
      </c>
      <c r="GE44" s="55">
        <f t="shared" si="35"/>
        <v>0</v>
      </c>
      <c r="GF44" s="55">
        <f t="shared" si="35"/>
        <v>0</v>
      </c>
      <c r="GG44" s="55">
        <f t="shared" si="35"/>
        <v>0</v>
      </c>
      <c r="GH44" s="55">
        <f t="shared" si="35"/>
        <v>0</v>
      </c>
      <c r="GI44" s="55">
        <f t="shared" si="35"/>
        <v>0</v>
      </c>
      <c r="GJ44" s="55">
        <f t="shared" si="35"/>
        <v>0</v>
      </c>
      <c r="GK44" s="55">
        <f t="shared" si="35"/>
        <v>0</v>
      </c>
      <c r="GL44" s="55">
        <f t="shared" si="35"/>
        <v>0</v>
      </c>
      <c r="GM44" s="55">
        <f t="shared" si="35"/>
        <v>0</v>
      </c>
      <c r="GN44" s="55">
        <f t="shared" si="35"/>
        <v>0</v>
      </c>
      <c r="GO44" s="55">
        <f t="shared" si="35"/>
        <v>0</v>
      </c>
      <c r="GP44" s="55">
        <f t="shared" si="35"/>
        <v>0</v>
      </c>
      <c r="GQ44" s="55">
        <f t="shared" si="35"/>
        <v>0</v>
      </c>
      <c r="GR44" s="55">
        <f t="shared" si="35"/>
        <v>0</v>
      </c>
      <c r="GS44" s="55">
        <f t="shared" si="35"/>
        <v>0</v>
      </c>
      <c r="GT44" s="55">
        <f t="shared" si="35"/>
        <v>0</v>
      </c>
      <c r="GU44" s="55">
        <f t="shared" si="35"/>
        <v>0</v>
      </c>
      <c r="GV44" s="55">
        <f t="shared" si="35"/>
        <v>0</v>
      </c>
      <c r="GW44" s="55">
        <f t="shared" si="35"/>
        <v>0</v>
      </c>
      <c r="GX44" s="55">
        <f t="shared" si="35"/>
        <v>0</v>
      </c>
      <c r="GY44" s="55">
        <f t="shared" si="35"/>
        <v>0</v>
      </c>
      <c r="GZ44" s="55">
        <f t="shared" si="35"/>
        <v>0</v>
      </c>
      <c r="HA44" s="55">
        <f t="shared" si="35"/>
        <v>0</v>
      </c>
      <c r="HB44" s="55">
        <f t="shared" si="35"/>
        <v>0</v>
      </c>
      <c r="HC44" s="55">
        <f t="shared" si="35"/>
        <v>0</v>
      </c>
      <c r="HD44" s="55">
        <f t="shared" ref="HD44:HH44" si="36">IF(VALUE(HD$13)&lt;20,INDEX($O$14:$DK$44,ROW($A31),VALUE(HD$13)),INDEX($O$14:$DK$44,ROW($A31),VALUE(HD$13)+1))</f>
        <v>0</v>
      </c>
      <c r="HE44" s="55">
        <f t="shared" si="36"/>
        <v>0</v>
      </c>
      <c r="HF44" s="55">
        <f t="shared" si="36"/>
        <v>0</v>
      </c>
      <c r="HG44" s="55">
        <f t="shared" si="36"/>
        <v>0</v>
      </c>
      <c r="HH44" s="55">
        <f t="shared" si="36"/>
        <v>0</v>
      </c>
    </row>
    <row r="45" spans="2:216" x14ac:dyDescent="0.15">
      <c r="B45" s="2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</row>
    <row r="46" spans="2:216" x14ac:dyDescent="0.15">
      <c r="B46" s="29" t="s">
        <v>49</v>
      </c>
      <c r="C46" s="11">
        <f>SUM(C17:C45)</f>
        <v>5</v>
      </c>
      <c r="D46" s="11">
        <f t="shared" ref="D46:BO46" si="37">SUM(D17:D45)</f>
        <v>5</v>
      </c>
      <c r="E46" s="11">
        <f t="shared" si="37"/>
        <v>12</v>
      </c>
      <c r="F46" s="11">
        <f t="shared" si="37"/>
        <v>13</v>
      </c>
      <c r="G46" s="11">
        <f t="shared" si="37"/>
        <v>0</v>
      </c>
      <c r="H46" s="11">
        <f t="shared" si="37"/>
        <v>0</v>
      </c>
      <c r="I46" s="11">
        <f t="shared" si="37"/>
        <v>0</v>
      </c>
      <c r="J46" s="11">
        <f t="shared" si="37"/>
        <v>0</v>
      </c>
      <c r="K46" s="11">
        <f t="shared" si="37"/>
        <v>0</v>
      </c>
      <c r="L46" s="11">
        <f t="shared" si="37"/>
        <v>0</v>
      </c>
      <c r="M46" s="11">
        <f t="shared" si="37"/>
        <v>0</v>
      </c>
      <c r="N46" s="11">
        <f t="shared" si="37"/>
        <v>0</v>
      </c>
      <c r="O46" s="11">
        <f t="shared" si="37"/>
        <v>0</v>
      </c>
      <c r="P46" s="11">
        <f t="shared" si="37"/>
        <v>0</v>
      </c>
      <c r="Q46" s="11">
        <f t="shared" si="37"/>
        <v>0</v>
      </c>
      <c r="R46" s="11">
        <f t="shared" si="37"/>
        <v>0</v>
      </c>
      <c r="S46" s="11">
        <f t="shared" si="37"/>
        <v>0</v>
      </c>
      <c r="T46" s="11">
        <f t="shared" si="37"/>
        <v>0</v>
      </c>
      <c r="U46" s="11">
        <f t="shared" si="37"/>
        <v>0</v>
      </c>
      <c r="V46" s="11">
        <f t="shared" si="37"/>
        <v>0</v>
      </c>
      <c r="W46" s="11">
        <f t="shared" si="37"/>
        <v>0</v>
      </c>
      <c r="X46" s="11">
        <f t="shared" si="37"/>
        <v>0</v>
      </c>
      <c r="Y46" s="11">
        <f t="shared" si="37"/>
        <v>0</v>
      </c>
      <c r="Z46" s="11">
        <f t="shared" si="37"/>
        <v>0</v>
      </c>
      <c r="AA46" s="11">
        <f t="shared" si="37"/>
        <v>0</v>
      </c>
      <c r="AB46" s="11">
        <f t="shared" si="37"/>
        <v>0</v>
      </c>
      <c r="AC46" s="11">
        <f t="shared" si="37"/>
        <v>0</v>
      </c>
      <c r="AD46" s="11">
        <f t="shared" si="37"/>
        <v>0</v>
      </c>
      <c r="AE46" s="11">
        <f t="shared" si="37"/>
        <v>0</v>
      </c>
      <c r="AF46" s="11">
        <f t="shared" si="37"/>
        <v>0</v>
      </c>
      <c r="AG46" s="11">
        <f t="shared" si="37"/>
        <v>0</v>
      </c>
      <c r="AH46" s="11">
        <f t="shared" si="37"/>
        <v>0</v>
      </c>
      <c r="AI46" s="11">
        <f t="shared" si="37"/>
        <v>0</v>
      </c>
      <c r="AJ46" s="11">
        <f t="shared" si="37"/>
        <v>0</v>
      </c>
      <c r="AK46" s="11">
        <f t="shared" si="37"/>
        <v>34</v>
      </c>
      <c r="AL46" s="11">
        <f t="shared" si="37"/>
        <v>0</v>
      </c>
      <c r="AM46" s="11">
        <f t="shared" si="37"/>
        <v>0</v>
      </c>
      <c r="AN46" s="11">
        <f t="shared" si="37"/>
        <v>0</v>
      </c>
      <c r="AO46" s="11">
        <f t="shared" si="37"/>
        <v>0</v>
      </c>
      <c r="AP46" s="11">
        <f t="shared" si="37"/>
        <v>0</v>
      </c>
      <c r="AQ46" s="11">
        <f t="shared" si="37"/>
        <v>0</v>
      </c>
      <c r="AR46" s="11">
        <f t="shared" si="37"/>
        <v>0</v>
      </c>
      <c r="AS46" s="11">
        <f t="shared" si="37"/>
        <v>0</v>
      </c>
      <c r="AT46" s="11">
        <f t="shared" si="37"/>
        <v>0</v>
      </c>
      <c r="AU46" s="11">
        <f t="shared" si="37"/>
        <v>0</v>
      </c>
      <c r="AV46" s="11">
        <f t="shared" si="37"/>
        <v>0</v>
      </c>
      <c r="AW46" s="11">
        <f t="shared" si="37"/>
        <v>0</v>
      </c>
      <c r="AX46" s="11">
        <f t="shared" si="37"/>
        <v>50</v>
      </c>
      <c r="AY46" s="11">
        <f t="shared" si="37"/>
        <v>0</v>
      </c>
      <c r="AZ46" s="11">
        <f t="shared" si="37"/>
        <v>0</v>
      </c>
      <c r="BA46" s="11">
        <f t="shared" si="37"/>
        <v>0</v>
      </c>
      <c r="BB46" s="11">
        <f t="shared" si="37"/>
        <v>0</v>
      </c>
      <c r="BC46" s="11">
        <f t="shared" si="37"/>
        <v>0</v>
      </c>
      <c r="BD46" s="11">
        <f t="shared" si="37"/>
        <v>0</v>
      </c>
      <c r="BE46" s="11">
        <f t="shared" si="37"/>
        <v>0</v>
      </c>
      <c r="BF46" s="11">
        <f t="shared" si="37"/>
        <v>0</v>
      </c>
      <c r="BG46" s="11">
        <f t="shared" si="37"/>
        <v>0</v>
      </c>
      <c r="BH46" s="11">
        <f t="shared" si="37"/>
        <v>0</v>
      </c>
      <c r="BI46" s="11">
        <f t="shared" si="37"/>
        <v>0</v>
      </c>
      <c r="BJ46" s="11">
        <f t="shared" si="37"/>
        <v>0</v>
      </c>
      <c r="BK46" s="11">
        <f t="shared" si="37"/>
        <v>0</v>
      </c>
      <c r="BL46" s="11">
        <f t="shared" si="37"/>
        <v>0</v>
      </c>
      <c r="BM46" s="11">
        <f t="shared" si="37"/>
        <v>0</v>
      </c>
      <c r="BN46" s="11">
        <f t="shared" si="37"/>
        <v>0</v>
      </c>
      <c r="BO46" s="11">
        <f t="shared" si="37"/>
        <v>0</v>
      </c>
      <c r="BP46" s="11">
        <f t="shared" ref="BP46:EA46" si="38">SUM(BP17:BP45)</f>
        <v>0</v>
      </c>
      <c r="BQ46" s="11">
        <f t="shared" si="38"/>
        <v>0</v>
      </c>
      <c r="BR46" s="11">
        <f t="shared" si="38"/>
        <v>0</v>
      </c>
      <c r="BS46" s="11">
        <f t="shared" si="38"/>
        <v>0</v>
      </c>
      <c r="BT46" s="11">
        <f t="shared" si="38"/>
        <v>0</v>
      </c>
      <c r="BU46" s="11">
        <f t="shared" si="38"/>
        <v>0</v>
      </c>
      <c r="BV46" s="11">
        <f t="shared" si="38"/>
        <v>0</v>
      </c>
      <c r="BW46" s="11">
        <f t="shared" si="38"/>
        <v>0</v>
      </c>
      <c r="BX46" s="11">
        <f t="shared" si="38"/>
        <v>0</v>
      </c>
      <c r="BY46" s="11">
        <f t="shared" si="38"/>
        <v>0</v>
      </c>
      <c r="BZ46" s="11">
        <f t="shared" si="38"/>
        <v>0</v>
      </c>
      <c r="CA46" s="11">
        <f t="shared" si="38"/>
        <v>0</v>
      </c>
      <c r="CB46" s="11">
        <f t="shared" si="38"/>
        <v>0</v>
      </c>
      <c r="CC46" s="11">
        <f t="shared" si="38"/>
        <v>0</v>
      </c>
      <c r="CD46" s="11">
        <f t="shared" si="38"/>
        <v>0</v>
      </c>
      <c r="CE46" s="11">
        <f t="shared" si="38"/>
        <v>0</v>
      </c>
      <c r="CF46" s="11">
        <f t="shared" si="38"/>
        <v>0</v>
      </c>
      <c r="CG46" s="11">
        <f t="shared" si="38"/>
        <v>0</v>
      </c>
      <c r="CH46" s="11">
        <f t="shared" si="38"/>
        <v>0</v>
      </c>
      <c r="CI46" s="11">
        <f t="shared" si="38"/>
        <v>0</v>
      </c>
      <c r="CJ46" s="11">
        <f t="shared" si="38"/>
        <v>0</v>
      </c>
      <c r="CK46" s="11">
        <f t="shared" si="38"/>
        <v>0</v>
      </c>
      <c r="CL46" s="11">
        <f t="shared" si="38"/>
        <v>0</v>
      </c>
      <c r="CM46" s="11">
        <f t="shared" si="38"/>
        <v>0</v>
      </c>
      <c r="CN46" s="11">
        <f t="shared" si="38"/>
        <v>0</v>
      </c>
      <c r="CO46" s="11">
        <f t="shared" si="38"/>
        <v>0</v>
      </c>
      <c r="CP46" s="11">
        <f t="shared" si="38"/>
        <v>0</v>
      </c>
      <c r="CQ46" s="11">
        <f t="shared" si="38"/>
        <v>0</v>
      </c>
      <c r="CR46" s="11">
        <f t="shared" si="38"/>
        <v>0</v>
      </c>
      <c r="CS46" s="11">
        <f t="shared" si="38"/>
        <v>0</v>
      </c>
      <c r="CT46" s="11">
        <f t="shared" si="38"/>
        <v>0</v>
      </c>
      <c r="CU46" s="11">
        <f t="shared" si="38"/>
        <v>0</v>
      </c>
      <c r="CV46" s="11">
        <f t="shared" si="38"/>
        <v>0</v>
      </c>
      <c r="CW46" s="11">
        <f t="shared" si="38"/>
        <v>0</v>
      </c>
      <c r="CX46" s="11">
        <f t="shared" si="38"/>
        <v>0</v>
      </c>
      <c r="CY46" s="11">
        <f t="shared" si="38"/>
        <v>0</v>
      </c>
      <c r="CZ46" s="11">
        <f t="shared" si="38"/>
        <v>0</v>
      </c>
      <c r="DA46" s="11">
        <f t="shared" si="38"/>
        <v>0</v>
      </c>
      <c r="DB46" s="11">
        <f t="shared" si="38"/>
        <v>0</v>
      </c>
      <c r="DC46" s="11">
        <f t="shared" si="38"/>
        <v>0</v>
      </c>
      <c r="DD46" s="11">
        <f t="shared" si="38"/>
        <v>0</v>
      </c>
      <c r="DE46" s="11">
        <f t="shared" si="38"/>
        <v>0</v>
      </c>
      <c r="DF46" s="11">
        <f t="shared" si="38"/>
        <v>0</v>
      </c>
      <c r="DG46" s="11">
        <f t="shared" si="38"/>
        <v>0</v>
      </c>
      <c r="DH46" s="11">
        <f t="shared" si="38"/>
        <v>0</v>
      </c>
      <c r="DI46" s="11">
        <f t="shared" si="38"/>
        <v>0</v>
      </c>
      <c r="DJ46" s="11">
        <f t="shared" si="38"/>
        <v>0</v>
      </c>
      <c r="DK46" s="11">
        <f t="shared" si="38"/>
        <v>0</v>
      </c>
      <c r="DL46" s="11">
        <f t="shared" si="38"/>
        <v>0</v>
      </c>
      <c r="DM46" s="11">
        <f t="shared" si="38"/>
        <v>0</v>
      </c>
      <c r="DN46" s="11">
        <f t="shared" si="38"/>
        <v>0</v>
      </c>
      <c r="DO46" s="11">
        <f t="shared" si="38"/>
        <v>0</v>
      </c>
      <c r="DP46" s="11">
        <f t="shared" si="38"/>
        <v>0</v>
      </c>
      <c r="DQ46" s="11">
        <f t="shared" si="38"/>
        <v>0</v>
      </c>
      <c r="DR46" s="11">
        <f t="shared" si="38"/>
        <v>0</v>
      </c>
      <c r="DS46" s="11">
        <f t="shared" si="38"/>
        <v>0</v>
      </c>
      <c r="DT46" s="11">
        <f t="shared" si="38"/>
        <v>0</v>
      </c>
      <c r="DU46" s="11">
        <f t="shared" si="38"/>
        <v>0</v>
      </c>
      <c r="DV46" s="11">
        <f t="shared" si="38"/>
        <v>0</v>
      </c>
      <c r="DW46" s="11">
        <f t="shared" si="38"/>
        <v>0</v>
      </c>
      <c r="DX46" s="11">
        <f t="shared" si="38"/>
        <v>0</v>
      </c>
      <c r="DY46" s="11">
        <f t="shared" si="38"/>
        <v>0</v>
      </c>
      <c r="DZ46" s="11">
        <f t="shared" si="38"/>
        <v>0</v>
      </c>
      <c r="EA46" s="11">
        <f t="shared" si="38"/>
        <v>0</v>
      </c>
      <c r="EB46" s="11">
        <f t="shared" ref="EB46:GM46" si="39">SUM(EB17:EB45)</f>
        <v>0</v>
      </c>
      <c r="EC46" s="11">
        <f t="shared" si="39"/>
        <v>0</v>
      </c>
      <c r="ED46" s="11">
        <f t="shared" si="39"/>
        <v>0</v>
      </c>
      <c r="EE46" s="11">
        <f t="shared" si="39"/>
        <v>0</v>
      </c>
      <c r="EF46" s="11">
        <f t="shared" si="39"/>
        <v>34</v>
      </c>
      <c r="EG46" s="11">
        <f t="shared" si="39"/>
        <v>0</v>
      </c>
      <c r="EH46" s="11">
        <f t="shared" si="39"/>
        <v>50</v>
      </c>
      <c r="EI46" s="11">
        <f t="shared" si="39"/>
        <v>0</v>
      </c>
      <c r="EJ46" s="11">
        <f t="shared" si="39"/>
        <v>0</v>
      </c>
      <c r="EK46" s="11">
        <f t="shared" si="39"/>
        <v>0</v>
      </c>
      <c r="EL46" s="11">
        <f t="shared" si="39"/>
        <v>0</v>
      </c>
      <c r="EM46" s="11">
        <f t="shared" si="39"/>
        <v>0</v>
      </c>
      <c r="EN46" s="11">
        <f t="shared" si="39"/>
        <v>0</v>
      </c>
      <c r="EO46" s="11">
        <f t="shared" si="39"/>
        <v>0</v>
      </c>
      <c r="EP46" s="11">
        <f t="shared" si="39"/>
        <v>0</v>
      </c>
      <c r="EQ46" s="11">
        <f t="shared" si="39"/>
        <v>0</v>
      </c>
      <c r="ER46" s="11">
        <f t="shared" si="39"/>
        <v>0</v>
      </c>
      <c r="ES46" s="11">
        <f t="shared" si="39"/>
        <v>0</v>
      </c>
      <c r="ET46" s="11">
        <f t="shared" si="39"/>
        <v>0</v>
      </c>
      <c r="EU46" s="11">
        <f t="shared" si="39"/>
        <v>0</v>
      </c>
      <c r="EV46" s="11">
        <f t="shared" si="39"/>
        <v>0</v>
      </c>
      <c r="EW46" s="11">
        <f t="shared" si="39"/>
        <v>0</v>
      </c>
      <c r="EX46" s="11">
        <f t="shared" si="39"/>
        <v>0</v>
      </c>
      <c r="EY46" s="11">
        <f t="shared" si="39"/>
        <v>0</v>
      </c>
      <c r="EZ46" s="11">
        <f t="shared" si="39"/>
        <v>0</v>
      </c>
      <c r="FA46" s="11">
        <f t="shared" si="39"/>
        <v>0</v>
      </c>
      <c r="FB46" s="11">
        <f t="shared" si="39"/>
        <v>0</v>
      </c>
      <c r="FC46" s="11">
        <f t="shared" si="39"/>
        <v>0</v>
      </c>
      <c r="FD46" s="11">
        <f t="shared" si="39"/>
        <v>0</v>
      </c>
      <c r="FE46" s="11">
        <f t="shared" si="39"/>
        <v>0</v>
      </c>
      <c r="FF46" s="11">
        <f t="shared" si="39"/>
        <v>0</v>
      </c>
      <c r="FG46" s="11">
        <f t="shared" si="39"/>
        <v>0</v>
      </c>
      <c r="FH46" s="11">
        <f t="shared" si="39"/>
        <v>0</v>
      </c>
      <c r="FI46" s="11">
        <f t="shared" si="39"/>
        <v>0</v>
      </c>
      <c r="FJ46" s="11">
        <f t="shared" si="39"/>
        <v>0</v>
      </c>
      <c r="FK46" s="11">
        <f t="shared" si="39"/>
        <v>0</v>
      </c>
      <c r="FL46" s="11">
        <f t="shared" si="39"/>
        <v>0</v>
      </c>
      <c r="FM46" s="11">
        <f t="shared" si="39"/>
        <v>0</v>
      </c>
      <c r="FN46" s="11">
        <f t="shared" si="39"/>
        <v>0</v>
      </c>
      <c r="FO46" s="11">
        <f t="shared" si="39"/>
        <v>0</v>
      </c>
      <c r="FP46" s="11">
        <f t="shared" si="39"/>
        <v>0</v>
      </c>
      <c r="FQ46" s="11">
        <f t="shared" si="39"/>
        <v>0</v>
      </c>
      <c r="FR46" s="11">
        <f t="shared" si="39"/>
        <v>0</v>
      </c>
      <c r="FS46" s="11">
        <f t="shared" si="39"/>
        <v>0</v>
      </c>
      <c r="FT46" s="11">
        <f t="shared" si="39"/>
        <v>0</v>
      </c>
      <c r="FU46" s="11">
        <f t="shared" si="39"/>
        <v>0</v>
      </c>
      <c r="FV46" s="11">
        <f t="shared" si="39"/>
        <v>0</v>
      </c>
      <c r="FW46" s="11">
        <f t="shared" si="39"/>
        <v>0</v>
      </c>
      <c r="FX46" s="11">
        <f t="shared" si="39"/>
        <v>0</v>
      </c>
      <c r="FY46" s="11">
        <f t="shared" si="39"/>
        <v>0</v>
      </c>
      <c r="FZ46" s="11">
        <f t="shared" si="39"/>
        <v>0</v>
      </c>
      <c r="GA46" s="11">
        <f t="shared" si="39"/>
        <v>0</v>
      </c>
      <c r="GB46" s="11">
        <f t="shared" si="39"/>
        <v>0</v>
      </c>
      <c r="GC46" s="11">
        <f t="shared" si="39"/>
        <v>0</v>
      </c>
      <c r="GD46" s="11">
        <f t="shared" si="39"/>
        <v>0</v>
      </c>
      <c r="GE46" s="11">
        <f t="shared" si="39"/>
        <v>0</v>
      </c>
      <c r="GF46" s="11">
        <f t="shared" si="39"/>
        <v>0</v>
      </c>
      <c r="GG46" s="11">
        <f t="shared" si="39"/>
        <v>0</v>
      </c>
      <c r="GH46" s="11">
        <f t="shared" si="39"/>
        <v>0</v>
      </c>
      <c r="GI46" s="11">
        <f t="shared" si="39"/>
        <v>0</v>
      </c>
      <c r="GJ46" s="11">
        <f t="shared" si="39"/>
        <v>0</v>
      </c>
      <c r="GK46" s="11">
        <f t="shared" si="39"/>
        <v>0</v>
      </c>
      <c r="GL46" s="11">
        <f t="shared" si="39"/>
        <v>0</v>
      </c>
      <c r="GM46" s="11">
        <f t="shared" si="39"/>
        <v>0</v>
      </c>
      <c r="GN46" s="11">
        <f t="shared" ref="GN46:HH46" si="40">SUM(GN17:GN45)</f>
        <v>0</v>
      </c>
      <c r="GO46" s="11">
        <f t="shared" si="40"/>
        <v>0</v>
      </c>
      <c r="GP46" s="11">
        <f t="shared" si="40"/>
        <v>0</v>
      </c>
      <c r="GQ46" s="11">
        <f t="shared" si="40"/>
        <v>0</v>
      </c>
      <c r="GR46" s="11">
        <f t="shared" si="40"/>
        <v>0</v>
      </c>
      <c r="GS46" s="11">
        <f t="shared" si="40"/>
        <v>0</v>
      </c>
      <c r="GT46" s="11">
        <f t="shared" si="40"/>
        <v>0</v>
      </c>
      <c r="GU46" s="11">
        <f t="shared" si="40"/>
        <v>0</v>
      </c>
      <c r="GV46" s="11">
        <f t="shared" si="40"/>
        <v>0</v>
      </c>
      <c r="GW46" s="11">
        <f t="shared" si="40"/>
        <v>0</v>
      </c>
      <c r="GX46" s="11">
        <f t="shared" si="40"/>
        <v>0</v>
      </c>
      <c r="GY46" s="11">
        <f t="shared" si="40"/>
        <v>0</v>
      </c>
      <c r="GZ46" s="11">
        <f t="shared" si="40"/>
        <v>0</v>
      </c>
      <c r="HA46" s="11">
        <f t="shared" si="40"/>
        <v>0</v>
      </c>
      <c r="HB46" s="11">
        <f t="shared" si="40"/>
        <v>0</v>
      </c>
      <c r="HC46" s="11">
        <f t="shared" si="40"/>
        <v>0</v>
      </c>
      <c r="HD46" s="11">
        <f t="shared" si="40"/>
        <v>0</v>
      </c>
      <c r="HE46" s="11">
        <f t="shared" si="40"/>
        <v>0</v>
      </c>
      <c r="HF46" s="11">
        <f t="shared" si="40"/>
        <v>0</v>
      </c>
      <c r="HG46" s="11">
        <f t="shared" si="40"/>
        <v>0</v>
      </c>
      <c r="HH46" s="11">
        <f t="shared" si="40"/>
        <v>0</v>
      </c>
    </row>
    <row r="47" spans="2:216" x14ac:dyDescent="0.15">
      <c r="B47" s="29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2:216" x14ac:dyDescent="0.15">
      <c r="B48" s="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2:115" x14ac:dyDescent="0.15">
      <c r="B49" s="2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2:115" x14ac:dyDescent="0.15">
      <c r="B50" s="2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2:115" x14ac:dyDescent="0.15">
      <c r="B51" s="2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2:115" x14ac:dyDescent="0.15">
      <c r="B52" s="2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2:115" x14ac:dyDescent="0.15">
      <c r="B53" s="2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2:115" x14ac:dyDescent="0.15">
      <c r="B54" s="2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2:115" x14ac:dyDescent="0.15">
      <c r="B55" s="2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2:115" x14ac:dyDescent="0.15">
      <c r="B56" s="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2:115" x14ac:dyDescent="0.15">
      <c r="B57" s="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</row>
    <row r="58" spans="2:115" x14ac:dyDescent="0.15">
      <c r="B58" s="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</row>
    <row r="59" spans="2:115" x14ac:dyDescent="0.15">
      <c r="B59" s="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</row>
    <row r="60" spans="2:115" x14ac:dyDescent="0.15">
      <c r="B60" s="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</row>
    <row r="61" spans="2:115" x14ac:dyDescent="0.15">
      <c r="B61" s="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</row>
    <row r="62" spans="2:115" x14ac:dyDescent="0.15">
      <c r="B62" s="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</row>
    <row r="63" spans="2:115" x14ac:dyDescent="0.15">
      <c r="B63" s="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</row>
    <row r="64" spans="2:115" x14ac:dyDescent="0.15">
      <c r="B64" s="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</row>
    <row r="65" spans="2:115" x14ac:dyDescent="0.15">
      <c r="B65" s="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</row>
    <row r="66" spans="2:115" x14ac:dyDescent="0.15">
      <c r="B66" s="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</row>
    <row r="67" spans="2:115" x14ac:dyDescent="0.15">
      <c r="B67" s="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</row>
    <row r="68" spans="2:115" x14ac:dyDescent="0.15">
      <c r="B68" s="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</row>
    <row r="69" spans="2:115" x14ac:dyDescent="0.15">
      <c r="B69" s="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</row>
    <row r="70" spans="2:115" x14ac:dyDescent="0.15">
      <c r="B70" s="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</row>
    <row r="71" spans="2:115" x14ac:dyDescent="0.15">
      <c r="B71" s="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</row>
    <row r="72" spans="2:115" x14ac:dyDescent="0.15"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</row>
    <row r="73" spans="2:115" x14ac:dyDescent="0.15">
      <c r="B73" s="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</row>
    <row r="74" spans="2:115" x14ac:dyDescent="0.15">
      <c r="B74" s="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</row>
    <row r="75" spans="2:115" x14ac:dyDescent="0.15">
      <c r="B75" s="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</row>
    <row r="76" spans="2:115" x14ac:dyDescent="0.15">
      <c r="B76" s="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</row>
    <row r="77" spans="2:115" x14ac:dyDescent="0.15">
      <c r="B77" s="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</row>
    <row r="78" spans="2:115" x14ac:dyDescent="0.15">
      <c r="B78" s="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</row>
    <row r="79" spans="2:115" x14ac:dyDescent="0.15">
      <c r="B79" s="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</row>
    <row r="80" spans="2:115" x14ac:dyDescent="0.15">
      <c r="B80" s="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</row>
    <row r="81" spans="2:115" x14ac:dyDescent="0.15">
      <c r="B81" s="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</row>
    <row r="82" spans="2:115" x14ac:dyDescent="0.15">
      <c r="B82" s="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</row>
    <row r="83" spans="2:115" x14ac:dyDescent="0.15">
      <c r="B83" s="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</row>
    <row r="84" spans="2:115" x14ac:dyDescent="0.15">
      <c r="B84" s="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</row>
    <row r="85" spans="2:115" x14ac:dyDescent="0.15">
      <c r="B85" s="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</row>
    <row r="86" spans="2:115" x14ac:dyDescent="0.15">
      <c r="B86" s="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</row>
    <row r="87" spans="2:115" x14ac:dyDescent="0.15">
      <c r="B87" s="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</row>
    <row r="88" spans="2:115" x14ac:dyDescent="0.15">
      <c r="B88" s="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</row>
    <row r="89" spans="2:115" x14ac:dyDescent="0.15">
      <c r="B89" s="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</row>
    <row r="90" spans="2:115" x14ac:dyDescent="0.15">
      <c r="B90" s="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</row>
    <row r="91" spans="2:115" x14ac:dyDescent="0.15">
      <c r="B91" s="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</row>
    <row r="92" spans="2:115" x14ac:dyDescent="0.15">
      <c r="B92" s="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</row>
    <row r="93" spans="2:115" x14ac:dyDescent="0.15">
      <c r="B93" s="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</row>
    <row r="94" spans="2:115" x14ac:dyDescent="0.15">
      <c r="B94" s="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</row>
    <row r="95" spans="2:115" x14ac:dyDescent="0.15">
      <c r="B95" s="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</row>
    <row r="96" spans="2:115" x14ac:dyDescent="0.15">
      <c r="B96" s="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</row>
    <row r="97" spans="2:115" x14ac:dyDescent="0.15">
      <c r="B97" s="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</row>
    <row r="98" spans="2:115" x14ac:dyDescent="0.15">
      <c r="B98" s="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</row>
    <row r="99" spans="2:115" x14ac:dyDescent="0.15">
      <c r="B99" s="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</row>
    <row r="100" spans="2:115" x14ac:dyDescent="0.15">
      <c r="B100" s="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</row>
    <row r="101" spans="2:115" x14ac:dyDescent="0.15">
      <c r="B101" s="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</row>
    <row r="102" spans="2:115" x14ac:dyDescent="0.15">
      <c r="B102" s="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</row>
    <row r="103" spans="2:115" x14ac:dyDescent="0.15">
      <c r="B103" s="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</row>
    <row r="104" spans="2:115" x14ac:dyDescent="0.15">
      <c r="B104" s="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</row>
    <row r="105" spans="2:115" x14ac:dyDescent="0.15">
      <c r="B105" s="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</row>
    <row r="106" spans="2:115" x14ac:dyDescent="0.15">
      <c r="B106" s="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</row>
    <row r="107" spans="2:115" x14ac:dyDescent="0.15">
      <c r="B107" s="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</row>
    <row r="108" spans="2:115" x14ac:dyDescent="0.15">
      <c r="B108" s="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</row>
    <row r="109" spans="2:115" x14ac:dyDescent="0.15">
      <c r="B109" s="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</row>
    <row r="110" spans="2:115" x14ac:dyDescent="0.15">
      <c r="B110" s="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</row>
    <row r="111" spans="2:115" x14ac:dyDescent="0.15">
      <c r="B111" s="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</row>
    <row r="112" spans="2:115" x14ac:dyDescent="0.15">
      <c r="B112" s="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</row>
    <row r="113" spans="2:115" x14ac:dyDescent="0.15">
      <c r="B113" s="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</row>
    <row r="114" spans="2:115" x14ac:dyDescent="0.15">
      <c r="B114" s="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</row>
    <row r="115" spans="2:115" x14ac:dyDescent="0.15">
      <c r="B115" s="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</row>
    <row r="116" spans="2:115" x14ac:dyDescent="0.15">
      <c r="B116" s="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</row>
    <row r="117" spans="2:115" x14ac:dyDescent="0.15">
      <c r="B117" s="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</row>
    <row r="118" spans="2:115" x14ac:dyDescent="0.15">
      <c r="B118" s="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</row>
    <row r="119" spans="2:115" x14ac:dyDescent="0.15">
      <c r="B119" s="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</row>
    <row r="120" spans="2:115" x14ac:dyDescent="0.15">
      <c r="B120" s="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</row>
    <row r="121" spans="2:115" x14ac:dyDescent="0.15">
      <c r="B121" s="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</row>
    <row r="122" spans="2:115" x14ac:dyDescent="0.15">
      <c r="B122" s="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</row>
    <row r="123" spans="2:115" x14ac:dyDescent="0.15">
      <c r="B123" s="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</row>
    <row r="124" spans="2:115" x14ac:dyDescent="0.15">
      <c r="B124" s="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</row>
    <row r="125" spans="2:115" x14ac:dyDescent="0.15">
      <c r="B125" s="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</row>
    <row r="126" spans="2:115" x14ac:dyDescent="0.15">
      <c r="B126" s="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</row>
    <row r="127" spans="2:115" x14ac:dyDescent="0.15">
      <c r="B127" s="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</row>
    <row r="128" spans="2:115" x14ac:dyDescent="0.15">
      <c r="B128" s="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</row>
    <row r="129" spans="2:115" x14ac:dyDescent="0.15">
      <c r="B129" s="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</row>
    <row r="130" spans="2:115" x14ac:dyDescent="0.15">
      <c r="B130" s="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</row>
    <row r="131" spans="2:115" x14ac:dyDescent="0.15">
      <c r="B131" s="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</row>
    <row r="132" spans="2:115" x14ac:dyDescent="0.15">
      <c r="B132" s="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</row>
    <row r="133" spans="2:115" x14ac:dyDescent="0.15">
      <c r="B133" s="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</row>
    <row r="134" spans="2:115" x14ac:dyDescent="0.15">
      <c r="B134" s="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</row>
    <row r="135" spans="2:115" x14ac:dyDescent="0.15">
      <c r="B135" s="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</row>
    <row r="136" spans="2:115" x14ac:dyDescent="0.15">
      <c r="B136" s="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</row>
    <row r="137" spans="2:115" x14ac:dyDescent="0.15">
      <c r="B137" s="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</row>
    <row r="138" spans="2:115" x14ac:dyDescent="0.15">
      <c r="B138" s="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</row>
    <row r="139" spans="2:115" x14ac:dyDescent="0.15">
      <c r="B139" s="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</row>
    <row r="140" spans="2:115" x14ac:dyDescent="0.15">
      <c r="B140" s="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</row>
    <row r="141" spans="2:115" x14ac:dyDescent="0.15">
      <c r="B141" s="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</row>
    <row r="142" spans="2:115" x14ac:dyDescent="0.15">
      <c r="B142" s="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</row>
    <row r="143" spans="2:115" x14ac:dyDescent="0.15">
      <c r="B143" s="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</row>
    <row r="144" spans="2:115" x14ac:dyDescent="0.15">
      <c r="B144" s="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</row>
    <row r="145" spans="2:115" x14ac:dyDescent="0.15">
      <c r="B145" s="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</row>
    <row r="146" spans="2:115" x14ac:dyDescent="0.15">
      <c r="B146" s="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</row>
    <row r="147" spans="2:115" x14ac:dyDescent="0.15">
      <c r="B147" s="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</row>
    <row r="148" spans="2:115" x14ac:dyDescent="0.15">
      <c r="B148" s="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</row>
    <row r="149" spans="2:115" x14ac:dyDescent="0.15">
      <c r="B149" s="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</row>
    <row r="150" spans="2:115" x14ac:dyDescent="0.15">
      <c r="B150" s="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</row>
    <row r="151" spans="2:115" x14ac:dyDescent="0.15">
      <c r="B151" s="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</row>
    <row r="152" spans="2:115" x14ac:dyDescent="0.15">
      <c r="B152" s="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</row>
    <row r="153" spans="2:115" x14ac:dyDescent="0.15">
      <c r="B153" s="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</row>
    <row r="154" spans="2:115" x14ac:dyDescent="0.15">
      <c r="B154" s="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</row>
    <row r="155" spans="2:115" x14ac:dyDescent="0.15">
      <c r="B155" s="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</row>
    <row r="156" spans="2:115" x14ac:dyDescent="0.15">
      <c r="B156" s="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</row>
    <row r="157" spans="2:115" x14ac:dyDescent="0.15">
      <c r="B157" s="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</row>
    <row r="158" spans="2:115" x14ac:dyDescent="0.15">
      <c r="B158" s="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</row>
    <row r="159" spans="2:115" x14ac:dyDescent="0.15">
      <c r="B159" s="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</row>
    <row r="160" spans="2:115" x14ac:dyDescent="0.15">
      <c r="B160" s="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</row>
    <row r="161" spans="2:115" x14ac:dyDescent="0.15">
      <c r="B161" s="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</row>
    <row r="162" spans="2:115" x14ac:dyDescent="0.15">
      <c r="B162" s="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</row>
    <row r="163" spans="2:115" x14ac:dyDescent="0.15">
      <c r="B163" s="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</row>
    <row r="164" spans="2:115" x14ac:dyDescent="0.15">
      <c r="B164" s="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</row>
    <row r="165" spans="2:115" x14ac:dyDescent="0.15">
      <c r="B165" s="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</row>
    <row r="166" spans="2:115" x14ac:dyDescent="0.15">
      <c r="B166" s="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</row>
    <row r="167" spans="2:115" x14ac:dyDescent="0.15">
      <c r="B167" s="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</row>
  </sheetData>
  <mergeCells count="40">
    <mergeCell ref="B1:EO1"/>
    <mergeCell ref="HC12:HH12"/>
    <mergeCell ref="FD12:FH12"/>
    <mergeCell ref="FS12:FW12"/>
    <mergeCell ref="FX12:GI12"/>
    <mergeCell ref="GJ12:GV12"/>
    <mergeCell ref="GX12:HB12"/>
    <mergeCell ref="FI12:FO12"/>
    <mergeCell ref="E3:G4"/>
    <mergeCell ref="H3:K4"/>
    <mergeCell ref="B5:E5"/>
    <mergeCell ref="B6:E6"/>
    <mergeCell ref="K12:K13"/>
    <mergeCell ref="J12:J13"/>
    <mergeCell ref="I12:I13"/>
    <mergeCell ref="E10:I10"/>
    <mergeCell ref="EP12:EQ12"/>
    <mergeCell ref="ER12:FA12"/>
    <mergeCell ref="L3:N4"/>
    <mergeCell ref="O12:DK12"/>
    <mergeCell ref="H12:H13"/>
    <mergeCell ref="N12:N13"/>
    <mergeCell ref="M12:M13"/>
    <mergeCell ref="EF12:EI12"/>
    <mergeCell ref="EJ12:EO12"/>
    <mergeCell ref="DL12:DW12"/>
    <mergeCell ref="DX12:EE12"/>
    <mergeCell ref="L12:L13"/>
    <mergeCell ref="G12:G13"/>
    <mergeCell ref="F12:F13"/>
    <mergeCell ref="E12:E13"/>
    <mergeCell ref="D12:D13"/>
    <mergeCell ref="B12:B13"/>
    <mergeCell ref="C12:C13"/>
    <mergeCell ref="B3:D4"/>
    <mergeCell ref="B9:D9"/>
    <mergeCell ref="J10:N10"/>
    <mergeCell ref="F5:N5"/>
    <mergeCell ref="F6:N6"/>
    <mergeCell ref="E9:N9"/>
  </mergeCell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Erreur" error="Merci d'utiliser la liste déroulante">
          <x14:formula1>
            <xm:f>BDD!$D$1:$D$12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L3</xm:sqref>
        </x14:dataValidation>
        <x14:dataValidation type="list" allowBlank="1" showInputMessage="1" showErrorMessage="1" errorTitle="Erreur" error="Merci d'utiliser la liste déroulante">
          <x14:formula1>
            <xm:f>BDD!$K$2:$K$22</xm:f>
          </x14:formula1>
          <xm:sqref>E9:N9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J41"/>
  <sheetViews>
    <sheetView showGridLines="0" zoomScaleNormal="100" workbookViewId="0">
      <selection activeCell="G27" sqref="G27"/>
    </sheetView>
  </sheetViews>
  <sheetFormatPr baseColWidth="10" defaultRowHeight="11.25" x14ac:dyDescent="0.15"/>
  <cols>
    <col min="2" max="2" width="17.375" bestFit="1" customWidth="1"/>
    <col min="7" max="7" width="11.875" customWidth="1"/>
  </cols>
  <sheetData>
    <row r="1" spans="2:10" ht="19.5" x14ac:dyDescent="0.15">
      <c r="B1" s="73" t="s">
        <v>63</v>
      </c>
      <c r="C1" s="73"/>
      <c r="D1" s="73"/>
      <c r="E1" s="73"/>
      <c r="F1" s="73"/>
      <c r="G1" s="73"/>
      <c r="H1" s="73"/>
      <c r="I1" s="73"/>
      <c r="J1" s="73"/>
    </row>
    <row r="2" spans="2:10" ht="12" thickBot="1" x14ac:dyDescent="0.2"/>
    <row r="3" spans="2:10" ht="14.25" x14ac:dyDescent="0.15">
      <c r="B3" s="80" t="s">
        <v>47</v>
      </c>
      <c r="C3" s="100" t="s">
        <v>50</v>
      </c>
      <c r="D3" s="84" t="s">
        <v>46</v>
      </c>
      <c r="E3" s="102">
        <v>2018</v>
      </c>
      <c r="F3" s="44" t="s">
        <v>43</v>
      </c>
      <c r="G3" s="76">
        <f>VLOOKUP($C$3,BDD!$D:$F,3,FALSE)</f>
        <v>43101</v>
      </c>
      <c r="H3" s="76"/>
      <c r="I3" s="77"/>
    </row>
    <row r="4" spans="2:10" ht="15" thickBot="1" x14ac:dyDescent="0.2">
      <c r="B4" s="81"/>
      <c r="C4" s="101"/>
      <c r="D4" s="85"/>
      <c r="E4" s="103"/>
      <c r="F4" s="45" t="s">
        <v>44</v>
      </c>
      <c r="G4" s="78">
        <f>EOMONTH(G3,0)</f>
        <v>43131</v>
      </c>
      <c r="H4" s="78"/>
      <c r="I4" s="79"/>
    </row>
    <row r="5" spans="2:10" x14ac:dyDescent="0.15">
      <c r="B5" s="4"/>
      <c r="C5" s="6"/>
      <c r="D5" s="4"/>
      <c r="F5" s="4"/>
      <c r="G5" s="5"/>
      <c r="H5" s="43"/>
      <c r="I5" s="5"/>
    </row>
    <row r="6" spans="2:10" x14ac:dyDescent="0.15">
      <c r="J6" s="2"/>
    </row>
    <row r="7" spans="2:10" x14ac:dyDescent="0.15">
      <c r="F7" s="47"/>
      <c r="G7" s="47"/>
      <c r="H7" s="47"/>
      <c r="I7" s="47"/>
      <c r="J7" s="48"/>
    </row>
    <row r="8" spans="2:10" x14ac:dyDescent="0.15">
      <c r="C8" s="137" t="s">
        <v>211</v>
      </c>
      <c r="D8" s="137"/>
      <c r="E8" s="32"/>
      <c r="F8" s="135" t="s">
        <v>212</v>
      </c>
      <c r="G8" s="135"/>
      <c r="H8" s="140">
        <v>250</v>
      </c>
      <c r="I8" s="140"/>
      <c r="J8" s="47"/>
    </row>
    <row r="9" spans="2:10" x14ac:dyDescent="0.15">
      <c r="B9" s="52">
        <f>VLOOKUP($C$3,BDD!$D:$F,3,FALSE)</f>
        <v>43101</v>
      </c>
      <c r="C9" s="138">
        <v>0</v>
      </c>
      <c r="D9" s="139"/>
      <c r="F9" s="47"/>
      <c r="G9" s="47"/>
      <c r="H9" s="47"/>
      <c r="I9" s="47"/>
      <c r="J9" s="47"/>
    </row>
    <row r="10" spans="2:10" x14ac:dyDescent="0.15">
      <c r="B10" s="53">
        <f>IF((B9+1)&lt;=$G$4,(B9+1),"")</f>
        <v>43102</v>
      </c>
      <c r="C10" s="130">
        <v>0</v>
      </c>
      <c r="D10" s="131"/>
      <c r="F10" s="136" t="s">
        <v>213</v>
      </c>
      <c r="G10" s="136"/>
      <c r="H10" s="129">
        <f>(($H$8)+(SUMIFS('ENTREES BDD'!$AI:$AI,'ENTREES BDD'!$A:$A,"&gt; "&amp;G3,'ENTREES BDD'!$A:$A,"&lt; "&amp;G4)))-(SUM($C$9:$D$39))</f>
        <v>497.5</v>
      </c>
      <c r="I10" s="129"/>
      <c r="J10" s="47"/>
    </row>
    <row r="11" spans="2:10" x14ac:dyDescent="0.15">
      <c r="B11" s="52">
        <f t="shared" ref="B11" si="0">IF((B10+1)&lt;=$G$4,(B10+1),"")</f>
        <v>43103</v>
      </c>
      <c r="C11" s="132">
        <v>0</v>
      </c>
      <c r="D11" s="133"/>
      <c r="F11" s="47"/>
      <c r="G11" s="47"/>
      <c r="H11" s="47"/>
      <c r="I11" s="47"/>
      <c r="J11" s="47"/>
    </row>
    <row r="12" spans="2:10" ht="12" x14ac:dyDescent="0.2">
      <c r="B12" s="53">
        <f>IF((B11+1)&lt;=$G$4,(B11+1),"")</f>
        <v>43104</v>
      </c>
      <c r="C12" s="130">
        <v>0</v>
      </c>
      <c r="D12" s="131"/>
      <c r="F12" s="136" t="s">
        <v>214</v>
      </c>
      <c r="G12" s="136"/>
      <c r="H12" s="129">
        <f>H10-H8</f>
        <v>247.5</v>
      </c>
      <c r="I12" s="129"/>
      <c r="J12" s="49"/>
    </row>
    <row r="13" spans="2:10" x14ac:dyDescent="0.15">
      <c r="B13" s="52">
        <f t="shared" ref="B13:B39" si="1">IF((B12+1)&lt;=$G$4,(B12+1),"")</f>
        <v>43105</v>
      </c>
      <c r="C13" s="132">
        <v>0</v>
      </c>
      <c r="D13" s="133"/>
      <c r="F13" s="47"/>
      <c r="G13" s="47"/>
      <c r="H13" s="47"/>
      <c r="I13" s="47"/>
      <c r="J13" s="47"/>
    </row>
    <row r="14" spans="2:10" x14ac:dyDescent="0.15">
      <c r="B14" s="53">
        <f t="shared" si="1"/>
        <v>43106</v>
      </c>
      <c r="C14" s="130">
        <v>0</v>
      </c>
      <c r="D14" s="131"/>
    </row>
    <row r="15" spans="2:10" x14ac:dyDescent="0.15">
      <c r="B15" s="52">
        <f t="shared" si="1"/>
        <v>43107</v>
      </c>
      <c r="C15" s="132">
        <v>0</v>
      </c>
      <c r="D15" s="133"/>
    </row>
    <row r="16" spans="2:10" x14ac:dyDescent="0.15">
      <c r="B16" s="53">
        <f t="shared" si="1"/>
        <v>43108</v>
      </c>
      <c r="C16" s="130">
        <v>0</v>
      </c>
      <c r="D16" s="131"/>
    </row>
    <row r="17" spans="2:4" x14ac:dyDescent="0.15">
      <c r="B17" s="52">
        <f t="shared" si="1"/>
        <v>43109</v>
      </c>
      <c r="C17" s="132">
        <v>0</v>
      </c>
      <c r="D17" s="133"/>
    </row>
    <row r="18" spans="2:4" x14ac:dyDescent="0.15">
      <c r="B18" s="53">
        <f t="shared" si="1"/>
        <v>43110</v>
      </c>
      <c r="C18" s="130">
        <v>0</v>
      </c>
      <c r="D18" s="131"/>
    </row>
    <row r="19" spans="2:4" x14ac:dyDescent="0.15">
      <c r="B19" s="52">
        <f t="shared" si="1"/>
        <v>43111</v>
      </c>
      <c r="C19" s="132">
        <v>0</v>
      </c>
      <c r="D19" s="133"/>
    </row>
    <row r="20" spans="2:4" x14ac:dyDescent="0.15">
      <c r="B20" s="53">
        <f t="shared" si="1"/>
        <v>43112</v>
      </c>
      <c r="C20" s="130">
        <v>0</v>
      </c>
      <c r="D20" s="131"/>
    </row>
    <row r="21" spans="2:4" x14ac:dyDescent="0.15">
      <c r="B21" s="52">
        <f t="shared" si="1"/>
        <v>43113</v>
      </c>
      <c r="C21" s="132">
        <v>0</v>
      </c>
      <c r="D21" s="133"/>
    </row>
    <row r="22" spans="2:4" x14ac:dyDescent="0.15">
      <c r="B22" s="53">
        <f t="shared" si="1"/>
        <v>43114</v>
      </c>
      <c r="C22" s="130">
        <v>0</v>
      </c>
      <c r="D22" s="131"/>
    </row>
    <row r="23" spans="2:4" x14ac:dyDescent="0.15">
      <c r="B23" s="52">
        <f t="shared" si="1"/>
        <v>43115</v>
      </c>
      <c r="C23" s="132">
        <v>0</v>
      </c>
      <c r="D23" s="133"/>
    </row>
    <row r="24" spans="2:4" x14ac:dyDescent="0.15">
      <c r="B24" s="53">
        <f t="shared" si="1"/>
        <v>43116</v>
      </c>
      <c r="C24" s="130">
        <v>0</v>
      </c>
      <c r="D24" s="131"/>
    </row>
    <row r="25" spans="2:4" x14ac:dyDescent="0.15">
      <c r="B25" s="52">
        <f t="shared" si="1"/>
        <v>43117</v>
      </c>
      <c r="C25" s="132">
        <v>0</v>
      </c>
      <c r="D25" s="133"/>
    </row>
    <row r="26" spans="2:4" x14ac:dyDescent="0.15">
      <c r="B26" s="53">
        <f t="shared" si="1"/>
        <v>43118</v>
      </c>
      <c r="C26" s="130">
        <v>0</v>
      </c>
      <c r="D26" s="131"/>
    </row>
    <row r="27" spans="2:4" x14ac:dyDescent="0.15">
      <c r="B27" s="52">
        <f t="shared" si="1"/>
        <v>43119</v>
      </c>
      <c r="C27" s="132">
        <v>0</v>
      </c>
      <c r="D27" s="133"/>
    </row>
    <row r="28" spans="2:4" x14ac:dyDescent="0.15">
      <c r="B28" s="53">
        <f t="shared" si="1"/>
        <v>43120</v>
      </c>
      <c r="C28" s="130">
        <v>0</v>
      </c>
      <c r="D28" s="131"/>
    </row>
    <row r="29" spans="2:4" x14ac:dyDescent="0.15">
      <c r="B29" s="52">
        <f t="shared" si="1"/>
        <v>43121</v>
      </c>
      <c r="C29" s="132">
        <v>0</v>
      </c>
      <c r="D29" s="133"/>
    </row>
    <row r="30" spans="2:4" x14ac:dyDescent="0.15">
      <c r="B30" s="53">
        <f t="shared" si="1"/>
        <v>43122</v>
      </c>
      <c r="C30" s="130">
        <v>0</v>
      </c>
      <c r="D30" s="131"/>
    </row>
    <row r="31" spans="2:4" x14ac:dyDescent="0.15">
      <c r="B31" s="52">
        <f t="shared" si="1"/>
        <v>43123</v>
      </c>
      <c r="C31" s="132">
        <v>0</v>
      </c>
      <c r="D31" s="133"/>
    </row>
    <row r="32" spans="2:4" x14ac:dyDescent="0.15">
      <c r="B32" s="53">
        <f t="shared" si="1"/>
        <v>43124</v>
      </c>
      <c r="C32" s="130">
        <v>0</v>
      </c>
      <c r="D32" s="131"/>
    </row>
    <row r="33" spans="2:4" x14ac:dyDescent="0.15">
      <c r="B33" s="52">
        <f t="shared" si="1"/>
        <v>43125</v>
      </c>
      <c r="C33" s="132">
        <v>0</v>
      </c>
      <c r="D33" s="133"/>
    </row>
    <row r="34" spans="2:4" x14ac:dyDescent="0.15">
      <c r="B34" s="53">
        <f t="shared" si="1"/>
        <v>43126</v>
      </c>
      <c r="C34" s="130">
        <v>0</v>
      </c>
      <c r="D34" s="131"/>
    </row>
    <row r="35" spans="2:4" x14ac:dyDescent="0.15">
      <c r="B35" s="52">
        <f t="shared" si="1"/>
        <v>43127</v>
      </c>
      <c r="C35" s="132">
        <v>0</v>
      </c>
      <c r="D35" s="133"/>
    </row>
    <row r="36" spans="2:4" x14ac:dyDescent="0.15">
      <c r="B36" s="53">
        <f t="shared" si="1"/>
        <v>43128</v>
      </c>
      <c r="C36" s="130">
        <v>0</v>
      </c>
      <c r="D36" s="131"/>
    </row>
    <row r="37" spans="2:4" x14ac:dyDescent="0.15">
      <c r="B37" s="52">
        <f t="shared" si="1"/>
        <v>43129</v>
      </c>
      <c r="C37" s="132">
        <v>0</v>
      </c>
      <c r="D37" s="133"/>
    </row>
    <row r="38" spans="2:4" x14ac:dyDescent="0.15">
      <c r="B38" s="53">
        <f t="shared" si="1"/>
        <v>43130</v>
      </c>
      <c r="C38" s="130">
        <v>0</v>
      </c>
      <c r="D38" s="131"/>
    </row>
    <row r="39" spans="2:4" x14ac:dyDescent="0.15">
      <c r="B39" s="52">
        <f t="shared" si="1"/>
        <v>43131</v>
      </c>
      <c r="C39" s="132">
        <v>0</v>
      </c>
      <c r="D39" s="133"/>
    </row>
    <row r="40" spans="2:4" x14ac:dyDescent="0.15">
      <c r="C40" s="1"/>
      <c r="D40" s="1"/>
    </row>
    <row r="41" spans="2:4" x14ac:dyDescent="0.15">
      <c r="B41" s="54" t="s">
        <v>49</v>
      </c>
      <c r="C41" s="134">
        <f>SUM(C9:D39)</f>
        <v>0</v>
      </c>
      <c r="D41" s="134"/>
    </row>
  </sheetData>
  <mergeCells count="46">
    <mergeCell ref="H8:I8"/>
    <mergeCell ref="H10:I10"/>
    <mergeCell ref="B1:J1"/>
    <mergeCell ref="B3:B4"/>
    <mergeCell ref="C3:C4"/>
    <mergeCell ref="D3:D4"/>
    <mergeCell ref="E3:E4"/>
    <mergeCell ref="G3:I3"/>
    <mergeCell ref="G4:I4"/>
    <mergeCell ref="C17:D17"/>
    <mergeCell ref="C8:D8"/>
    <mergeCell ref="C9:D9"/>
    <mergeCell ref="C10:D10"/>
    <mergeCell ref="C11:D11"/>
    <mergeCell ref="C41:D41"/>
    <mergeCell ref="F8:G8"/>
    <mergeCell ref="F10:G10"/>
    <mergeCell ref="F12:G12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H12:I12"/>
    <mergeCell ref="C36:D36"/>
    <mergeCell ref="C37:D37"/>
    <mergeCell ref="C38:D38"/>
    <mergeCell ref="C39:D3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6"/>
  <sheetViews>
    <sheetView workbookViewId="0"/>
  </sheetViews>
  <sheetFormatPr baseColWidth="10" defaultRowHeight="11.25" x14ac:dyDescent="0.15"/>
  <cols>
    <col min="2" max="2" width="13.625" style="50" bestFit="1" customWidth="1"/>
  </cols>
  <sheetData>
    <row r="1" spans="1:4" x14ac:dyDescent="0.15">
      <c r="A1" t="s">
        <v>0</v>
      </c>
      <c r="B1" s="50" t="s">
        <v>69</v>
      </c>
      <c r="C1" t="s">
        <v>70</v>
      </c>
      <c r="D1" t="s">
        <v>71</v>
      </c>
    </row>
    <row r="2" spans="1:4" x14ac:dyDescent="0.15">
      <c r="A2" s="2">
        <v>43128</v>
      </c>
      <c r="B2" s="50" t="s">
        <v>225</v>
      </c>
      <c r="C2" t="s">
        <v>76</v>
      </c>
      <c r="D2">
        <v>5</v>
      </c>
    </row>
    <row r="3" spans="1:4" x14ac:dyDescent="0.15">
      <c r="A3" s="2">
        <v>43128</v>
      </c>
      <c r="B3" s="50" t="s">
        <v>224</v>
      </c>
      <c r="C3" t="s">
        <v>73</v>
      </c>
      <c r="D3">
        <v>34</v>
      </c>
    </row>
    <row r="4" spans="1:4" x14ac:dyDescent="0.15">
      <c r="A4" s="2">
        <v>43128</v>
      </c>
      <c r="B4" s="50" t="s">
        <v>258</v>
      </c>
      <c r="C4" t="s">
        <v>73</v>
      </c>
      <c r="D4">
        <v>50</v>
      </c>
    </row>
    <row r="5" spans="1:4" x14ac:dyDescent="0.15">
      <c r="A5" s="2">
        <v>43128</v>
      </c>
      <c r="B5" s="50" t="s">
        <v>225</v>
      </c>
      <c r="C5" t="s">
        <v>74</v>
      </c>
      <c r="D5">
        <v>5</v>
      </c>
    </row>
    <row r="6" spans="1:4" x14ac:dyDescent="0.15">
      <c r="A6" s="2">
        <v>43128</v>
      </c>
      <c r="B6" s="50" t="s">
        <v>225</v>
      </c>
      <c r="C6" t="s">
        <v>85</v>
      </c>
      <c r="D6">
        <v>12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43"/>
  <sheetViews>
    <sheetView topLeftCell="I1" workbookViewId="0">
      <selection activeCell="Q2" sqref="Q2"/>
    </sheetView>
  </sheetViews>
  <sheetFormatPr baseColWidth="10" defaultRowHeight="11.25" x14ac:dyDescent="0.15"/>
  <cols>
    <col min="7" max="7" width="14.5" bestFit="1" customWidth="1"/>
    <col min="10" max="10" width="13.125" bestFit="1" customWidth="1"/>
    <col min="11" max="11" width="23.5" bestFit="1" customWidth="1"/>
    <col min="12" max="13" width="23.5" customWidth="1"/>
    <col min="14" max="14" width="12.125" bestFit="1" customWidth="1"/>
    <col min="15" max="15" width="26" bestFit="1" customWidth="1"/>
    <col min="16" max="16" width="23.5" bestFit="1" customWidth="1"/>
    <col min="17" max="17" width="21.25" bestFit="1" customWidth="1"/>
  </cols>
  <sheetData>
    <row r="1" spans="1:21" x14ac:dyDescent="0.15">
      <c r="A1">
        <v>1</v>
      </c>
      <c r="B1">
        <v>2017</v>
      </c>
      <c r="D1" t="s">
        <v>50</v>
      </c>
      <c r="E1" s="2">
        <f>("01/01/"&amp;'C.A par mois'!$E$3)*1</f>
        <v>43101</v>
      </c>
      <c r="F1" s="2">
        <f>("01/01/"&amp;'DEPOT TP'!$E$3)*1</f>
        <v>43101</v>
      </c>
      <c r="G1" t="s">
        <v>61</v>
      </c>
      <c r="H1">
        <f>WEEKNUM('C.A par mois'!G4,21)</f>
        <v>5</v>
      </c>
      <c r="I1" s="2">
        <f>("01/01/"&amp;'Suivi Départements'!$L$3)*1</f>
        <v>43101</v>
      </c>
      <c r="J1" t="s">
        <v>70</v>
      </c>
      <c r="K1" t="s">
        <v>195</v>
      </c>
      <c r="L1" s="33" t="s">
        <v>209</v>
      </c>
      <c r="M1" s="33" t="s">
        <v>210</v>
      </c>
      <c r="N1" s="72" t="s">
        <v>72</v>
      </c>
      <c r="O1" s="72"/>
      <c r="P1" t="s">
        <v>195</v>
      </c>
      <c r="Q1" s="72" t="s">
        <v>72</v>
      </c>
      <c r="R1" s="72"/>
      <c r="S1" t="s">
        <v>195</v>
      </c>
    </row>
    <row r="2" spans="1:21" x14ac:dyDescent="0.15">
      <c r="A2">
        <v>2</v>
      </c>
      <c r="B2">
        <v>2018</v>
      </c>
      <c r="D2" t="s">
        <v>51</v>
      </c>
      <c r="E2" s="2">
        <f>("01/02/"&amp;'C.A par mois'!$E$3)*1</f>
        <v>43132</v>
      </c>
      <c r="F2" s="2">
        <f>("01/02/"&amp;'DEPOT TP'!$E$3)*1</f>
        <v>43132</v>
      </c>
      <c r="I2" s="2">
        <f>("01/02/"&amp;'Suivi Départements'!$L$3)*1</f>
        <v>43132</v>
      </c>
      <c r="J2" t="s">
        <v>76</v>
      </c>
      <c r="K2" t="s">
        <v>199</v>
      </c>
      <c r="N2">
        <v>1</v>
      </c>
      <c r="O2" t="s">
        <v>102</v>
      </c>
      <c r="P2" t="s">
        <v>200</v>
      </c>
      <c r="Q2" t="str">
        <f>"00"&amp;N2</f>
        <v>001</v>
      </c>
      <c r="U2" s="30"/>
    </row>
    <row r="3" spans="1:21" x14ac:dyDescent="0.15">
      <c r="A3">
        <v>3</v>
      </c>
      <c r="B3">
        <v>2019</v>
      </c>
      <c r="D3" t="s">
        <v>52</v>
      </c>
      <c r="E3" s="2">
        <f>("01/03/"&amp;'C.A par mois'!$E$3)*1</f>
        <v>43160</v>
      </c>
      <c r="F3" s="2">
        <f>("01/03/"&amp;'DEPOT TP'!$E$3)*1</f>
        <v>43160</v>
      </c>
      <c r="I3" s="2">
        <f>("01/03/"&amp;'Suivi Départements'!$L$3)*1</f>
        <v>43160</v>
      </c>
      <c r="J3" t="s">
        <v>74</v>
      </c>
      <c r="K3" s="33" t="s">
        <v>198</v>
      </c>
      <c r="N3">
        <v>2</v>
      </c>
      <c r="O3" t="s">
        <v>103</v>
      </c>
      <c r="P3" t="s">
        <v>201</v>
      </c>
      <c r="Q3" t="str">
        <f t="shared" ref="Q3:Q10" si="0">"00"&amp;N3</f>
        <v>002</v>
      </c>
      <c r="U3" s="30"/>
    </row>
    <row r="4" spans="1:21" x14ac:dyDescent="0.15">
      <c r="A4">
        <v>4</v>
      </c>
      <c r="B4">
        <v>2020</v>
      </c>
      <c r="D4" t="s">
        <v>53</v>
      </c>
      <c r="E4" s="2">
        <f>("01/04/"&amp;'C.A par mois'!$E$3)*1</f>
        <v>43191</v>
      </c>
      <c r="F4" s="2">
        <f>("01/04/"&amp;'DEPOT TP'!$E$3)*1</f>
        <v>43191</v>
      </c>
      <c r="I4" s="2">
        <f>("01/04/"&amp;'Suivi Départements'!$L$3)*1</f>
        <v>43191</v>
      </c>
      <c r="J4" t="s">
        <v>85</v>
      </c>
      <c r="K4" t="s">
        <v>200</v>
      </c>
      <c r="L4">
        <v>116</v>
      </c>
      <c r="M4">
        <f>L5</f>
        <v>128</v>
      </c>
      <c r="N4">
        <v>3</v>
      </c>
      <c r="O4" t="s">
        <v>104</v>
      </c>
      <c r="P4" s="30" t="s">
        <v>200</v>
      </c>
      <c r="Q4" t="str">
        <f t="shared" si="0"/>
        <v>003</v>
      </c>
    </row>
    <row r="5" spans="1:21" x14ac:dyDescent="0.15">
      <c r="A5">
        <v>5</v>
      </c>
      <c r="B5">
        <v>2021</v>
      </c>
      <c r="D5" t="s">
        <v>54</v>
      </c>
      <c r="E5" s="2">
        <f>("01/05/"&amp;'C.A par mois'!$E$3)*1</f>
        <v>43221</v>
      </c>
      <c r="F5" s="2">
        <f>("01/05/"&amp;'DEPOT TP'!$E$3)*1</f>
        <v>43221</v>
      </c>
      <c r="I5" s="2">
        <f>("01/05/"&amp;'Suivi Départements'!$L$3)*1</f>
        <v>43221</v>
      </c>
      <c r="J5" t="s">
        <v>77</v>
      </c>
      <c r="K5" t="s">
        <v>205</v>
      </c>
      <c r="L5">
        <v>128</v>
      </c>
      <c r="M5">
        <f t="shared" ref="M5:M21" si="1">L6</f>
        <v>136</v>
      </c>
      <c r="N5">
        <v>4</v>
      </c>
      <c r="O5" t="s">
        <v>105</v>
      </c>
      <c r="P5" t="s">
        <v>202</v>
      </c>
      <c r="Q5" t="str">
        <f t="shared" si="0"/>
        <v>004</v>
      </c>
    </row>
    <row r="6" spans="1:21" x14ac:dyDescent="0.15">
      <c r="A6">
        <v>6</v>
      </c>
      <c r="B6">
        <v>2022</v>
      </c>
      <c r="D6" t="s">
        <v>55</v>
      </c>
      <c r="E6" s="2">
        <f>("01/06/"&amp;'C.A par mois'!$E$3)*1</f>
        <v>43252</v>
      </c>
      <c r="F6" s="2">
        <f>("01/06/"&amp;'DEPOT TP'!$E$3)*1</f>
        <v>43252</v>
      </c>
      <c r="I6" s="2">
        <f>("01/06/"&amp;'Suivi Départements'!$L$3)*1</f>
        <v>43252</v>
      </c>
      <c r="J6" t="s">
        <v>75</v>
      </c>
      <c r="K6" t="s">
        <v>92</v>
      </c>
      <c r="L6" s="30">
        <v>136</v>
      </c>
      <c r="M6">
        <f t="shared" si="1"/>
        <v>140</v>
      </c>
      <c r="N6">
        <v>5</v>
      </c>
      <c r="O6" t="s">
        <v>106</v>
      </c>
      <c r="P6" t="s">
        <v>202</v>
      </c>
      <c r="Q6" t="str">
        <f t="shared" si="0"/>
        <v>005</v>
      </c>
    </row>
    <row r="7" spans="1:21" x14ac:dyDescent="0.15">
      <c r="A7">
        <v>7</v>
      </c>
      <c r="B7">
        <v>2023</v>
      </c>
      <c r="D7" t="s">
        <v>56</v>
      </c>
      <c r="E7" s="2">
        <f>("01/07/"&amp;'C.A par mois'!$E$3)*1</f>
        <v>43282</v>
      </c>
      <c r="F7" s="2">
        <f>("01/07/"&amp;'DEPOT TP'!$E$3)*1</f>
        <v>43282</v>
      </c>
      <c r="I7" s="2">
        <f>("01/07/"&amp;'Suivi Départements'!$L$3)*1</f>
        <v>43282</v>
      </c>
      <c r="J7" t="s">
        <v>73</v>
      </c>
      <c r="K7" t="s">
        <v>204</v>
      </c>
      <c r="L7">
        <v>140</v>
      </c>
      <c r="M7">
        <f t="shared" si="1"/>
        <v>146</v>
      </c>
      <c r="N7">
        <v>6</v>
      </c>
      <c r="O7" t="s">
        <v>107</v>
      </c>
      <c r="P7" t="s">
        <v>202</v>
      </c>
      <c r="Q7" t="str">
        <f t="shared" si="0"/>
        <v>006</v>
      </c>
    </row>
    <row r="8" spans="1:21" x14ac:dyDescent="0.15">
      <c r="A8">
        <v>8</v>
      </c>
      <c r="B8">
        <v>2024</v>
      </c>
      <c r="D8" t="s">
        <v>57</v>
      </c>
      <c r="E8" s="2">
        <f>("01/08/"&amp;'C.A par mois'!$E$3)*1</f>
        <v>43313</v>
      </c>
      <c r="F8" s="2">
        <f>("01/08/"&amp;'DEPOT TP'!$E$3)*1</f>
        <v>43313</v>
      </c>
      <c r="I8" s="2">
        <f>("01/08/"&amp;'Suivi Départements'!$L$3)*1</f>
        <v>43313</v>
      </c>
      <c r="J8" t="s">
        <v>78</v>
      </c>
      <c r="K8" t="s">
        <v>90</v>
      </c>
      <c r="L8">
        <v>146</v>
      </c>
      <c r="M8">
        <f t="shared" si="1"/>
        <v>148</v>
      </c>
      <c r="N8">
        <v>7</v>
      </c>
      <c r="O8" t="s">
        <v>108</v>
      </c>
      <c r="P8" s="30" t="s">
        <v>200</v>
      </c>
      <c r="Q8" t="str">
        <f t="shared" si="0"/>
        <v>007</v>
      </c>
    </row>
    <row r="9" spans="1:21" x14ac:dyDescent="0.15">
      <c r="A9">
        <v>9</v>
      </c>
      <c r="B9">
        <v>2025</v>
      </c>
      <c r="D9" t="s">
        <v>58</v>
      </c>
      <c r="E9" s="2">
        <f>("01/09/"&amp;'C.A par mois'!$E$3)*1</f>
        <v>43344</v>
      </c>
      <c r="F9" s="2">
        <f>("01/09/"&amp;'DEPOT TP'!$E$3)*1</f>
        <v>43344</v>
      </c>
      <c r="I9" s="2">
        <f>("01/09/"&amp;'Suivi Départements'!$L$3)*1</f>
        <v>43344</v>
      </c>
      <c r="J9" t="s">
        <v>83</v>
      </c>
      <c r="K9" t="s">
        <v>86</v>
      </c>
      <c r="L9">
        <v>148</v>
      </c>
      <c r="M9">
        <f t="shared" si="1"/>
        <v>158</v>
      </c>
      <c r="N9">
        <v>8</v>
      </c>
      <c r="O9" t="s">
        <v>109</v>
      </c>
      <c r="P9" t="s">
        <v>86</v>
      </c>
      <c r="Q9" t="str">
        <f t="shared" si="0"/>
        <v>008</v>
      </c>
      <c r="U9" s="30"/>
    </row>
    <row r="10" spans="1:21" x14ac:dyDescent="0.15">
      <c r="A10">
        <v>10</v>
      </c>
      <c r="B10">
        <v>2026</v>
      </c>
      <c r="D10" t="s">
        <v>48</v>
      </c>
      <c r="E10" s="2">
        <f>("01/10/"&amp;'C.A par mois'!$E$3)*1</f>
        <v>43374</v>
      </c>
      <c r="F10" s="2">
        <f>("01/10/"&amp;'DEPOT TP'!$E$3)*1</f>
        <v>43374</v>
      </c>
      <c r="I10" s="2">
        <f>("01/10/"&amp;'Suivi Départements'!$L$3)*1</f>
        <v>43374</v>
      </c>
      <c r="J10" t="s">
        <v>84</v>
      </c>
      <c r="K10" t="s">
        <v>97</v>
      </c>
      <c r="L10">
        <v>158</v>
      </c>
      <c r="M10">
        <f t="shared" si="1"/>
        <v>159</v>
      </c>
      <c r="N10">
        <v>9</v>
      </c>
      <c r="O10" t="s">
        <v>110</v>
      </c>
      <c r="P10" s="30" t="s">
        <v>87</v>
      </c>
      <c r="Q10" t="str">
        <f t="shared" si="0"/>
        <v>009</v>
      </c>
    </row>
    <row r="11" spans="1:21" x14ac:dyDescent="0.15">
      <c r="A11">
        <v>11</v>
      </c>
      <c r="B11">
        <v>2027</v>
      </c>
      <c r="D11" t="s">
        <v>59</v>
      </c>
      <c r="E11" s="2">
        <f>("01/11/"&amp;'C.A par mois'!$E$3)*1</f>
        <v>43405</v>
      </c>
      <c r="F11" s="2">
        <f>("01/11/"&amp;'DEPOT TP'!$E$3)*1</f>
        <v>43405</v>
      </c>
      <c r="I11" s="2">
        <f>("01/11/"&amp;'Suivi Départements'!$L$3)*1</f>
        <v>43405</v>
      </c>
      <c r="J11" t="s">
        <v>81</v>
      </c>
      <c r="K11" t="s">
        <v>99</v>
      </c>
      <c r="L11">
        <v>159</v>
      </c>
      <c r="M11">
        <f t="shared" si="1"/>
        <v>160</v>
      </c>
      <c r="N11">
        <v>10</v>
      </c>
      <c r="O11" t="s">
        <v>111</v>
      </c>
      <c r="P11" t="s">
        <v>86</v>
      </c>
      <c r="Q11" t="str">
        <f>"0"&amp;N11</f>
        <v>010</v>
      </c>
    </row>
    <row r="12" spans="1:21" x14ac:dyDescent="0.15">
      <c r="A12">
        <v>12</v>
      </c>
      <c r="B12">
        <v>2028</v>
      </c>
      <c r="D12" t="s">
        <v>60</v>
      </c>
      <c r="E12" s="2">
        <f>("01/12/"&amp;'C.A par mois'!$E$3)*1</f>
        <v>43435</v>
      </c>
      <c r="F12" s="2">
        <f>("01/12/"&amp;'DEPOT TP'!$E$3)*1</f>
        <v>43435</v>
      </c>
      <c r="I12" s="2">
        <f>("01/12/"&amp;'Suivi Départements'!$L$3)*1</f>
        <v>43435</v>
      </c>
      <c r="J12" t="s">
        <v>79</v>
      </c>
      <c r="K12" t="s">
        <v>201</v>
      </c>
      <c r="L12">
        <v>160</v>
      </c>
      <c r="M12">
        <f t="shared" si="1"/>
        <v>165</v>
      </c>
      <c r="N12">
        <v>11</v>
      </c>
      <c r="O12" t="s">
        <v>112</v>
      </c>
      <c r="P12" t="s">
        <v>87</v>
      </c>
      <c r="Q12" t="str">
        <f t="shared" ref="Q12:Q75" si="2">"0"&amp;N12</f>
        <v>011</v>
      </c>
    </row>
    <row r="13" spans="1:21" x14ac:dyDescent="0.15">
      <c r="A13">
        <v>13</v>
      </c>
      <c r="B13">
        <v>2029</v>
      </c>
      <c r="J13" t="s">
        <v>82</v>
      </c>
      <c r="K13" t="s">
        <v>208</v>
      </c>
      <c r="L13">
        <v>165</v>
      </c>
      <c r="M13">
        <f t="shared" si="1"/>
        <v>172</v>
      </c>
      <c r="N13">
        <v>12</v>
      </c>
      <c r="O13" t="s">
        <v>113</v>
      </c>
      <c r="P13" t="s">
        <v>87</v>
      </c>
      <c r="Q13" t="str">
        <f t="shared" si="2"/>
        <v>012</v>
      </c>
    </row>
    <row r="14" spans="1:21" x14ac:dyDescent="0.15">
      <c r="A14">
        <v>14</v>
      </c>
      <c r="B14">
        <v>2030</v>
      </c>
      <c r="J14" t="s">
        <v>80</v>
      </c>
      <c r="K14" t="s">
        <v>100</v>
      </c>
      <c r="L14">
        <v>172</v>
      </c>
      <c r="M14">
        <f t="shared" si="1"/>
        <v>173</v>
      </c>
      <c r="N14">
        <v>13</v>
      </c>
      <c r="O14" t="s">
        <v>114</v>
      </c>
      <c r="P14" t="s">
        <v>202</v>
      </c>
      <c r="Q14" t="str">
        <f t="shared" si="2"/>
        <v>013</v>
      </c>
      <c r="R14" s="30"/>
      <c r="U14" s="30"/>
    </row>
    <row r="15" spans="1:21" x14ac:dyDescent="0.15">
      <c r="A15">
        <v>15</v>
      </c>
      <c r="K15" s="30" t="s">
        <v>98</v>
      </c>
      <c r="L15">
        <v>173</v>
      </c>
      <c r="M15">
        <f t="shared" si="1"/>
        <v>174</v>
      </c>
      <c r="N15">
        <v>14</v>
      </c>
      <c r="O15" t="s">
        <v>115</v>
      </c>
      <c r="P15" t="s">
        <v>88</v>
      </c>
      <c r="Q15" t="str">
        <f t="shared" si="2"/>
        <v>014</v>
      </c>
      <c r="R15" s="30"/>
    </row>
    <row r="16" spans="1:21" x14ac:dyDescent="0.15">
      <c r="A16">
        <v>16</v>
      </c>
      <c r="K16" t="s">
        <v>194</v>
      </c>
      <c r="L16" s="30">
        <v>174</v>
      </c>
      <c r="M16">
        <f t="shared" si="1"/>
        <v>175</v>
      </c>
      <c r="N16">
        <v>15</v>
      </c>
      <c r="O16" t="s">
        <v>116</v>
      </c>
      <c r="P16" t="s">
        <v>200</v>
      </c>
      <c r="Q16" t="str">
        <f t="shared" si="2"/>
        <v>015</v>
      </c>
    </row>
    <row r="17" spans="1:21" x14ac:dyDescent="0.15">
      <c r="A17">
        <v>17</v>
      </c>
      <c r="K17" t="s">
        <v>88</v>
      </c>
      <c r="L17">
        <v>175</v>
      </c>
      <c r="M17">
        <f t="shared" si="1"/>
        <v>180</v>
      </c>
      <c r="N17">
        <v>16</v>
      </c>
      <c r="O17" t="s">
        <v>117</v>
      </c>
      <c r="P17" s="30" t="s">
        <v>203</v>
      </c>
      <c r="Q17" t="str">
        <f t="shared" si="2"/>
        <v>016</v>
      </c>
    </row>
    <row r="18" spans="1:21" x14ac:dyDescent="0.15">
      <c r="A18">
        <v>18</v>
      </c>
      <c r="K18" s="30" t="s">
        <v>203</v>
      </c>
      <c r="L18">
        <v>180</v>
      </c>
      <c r="M18">
        <f t="shared" si="1"/>
        <v>192</v>
      </c>
      <c r="N18">
        <v>17</v>
      </c>
      <c r="O18" t="s">
        <v>118</v>
      </c>
      <c r="P18" s="30" t="s">
        <v>203</v>
      </c>
      <c r="Q18" t="str">
        <f t="shared" si="2"/>
        <v>017</v>
      </c>
    </row>
    <row r="19" spans="1:21" x14ac:dyDescent="0.15">
      <c r="A19">
        <v>19</v>
      </c>
      <c r="K19" t="s">
        <v>87</v>
      </c>
      <c r="L19" s="30">
        <v>192</v>
      </c>
      <c r="M19">
        <f t="shared" si="1"/>
        <v>205</v>
      </c>
      <c r="N19">
        <v>18</v>
      </c>
      <c r="O19" t="s">
        <v>119</v>
      </c>
      <c r="P19" t="s">
        <v>204</v>
      </c>
      <c r="Q19" t="str">
        <f t="shared" si="2"/>
        <v>018</v>
      </c>
    </row>
    <row r="20" spans="1:21" x14ac:dyDescent="0.15">
      <c r="A20">
        <v>20</v>
      </c>
      <c r="K20" t="s">
        <v>101</v>
      </c>
      <c r="L20">
        <v>205</v>
      </c>
      <c r="M20">
        <f t="shared" si="1"/>
        <v>206</v>
      </c>
      <c r="N20">
        <v>19</v>
      </c>
      <c r="O20" t="s">
        <v>120</v>
      </c>
      <c r="P20" s="30" t="s">
        <v>203</v>
      </c>
      <c r="Q20" t="str">
        <f t="shared" si="2"/>
        <v>019</v>
      </c>
    </row>
    <row r="21" spans="1:21" x14ac:dyDescent="0.15">
      <c r="A21">
        <v>21</v>
      </c>
      <c r="K21" t="s">
        <v>94</v>
      </c>
      <c r="L21">
        <v>206</v>
      </c>
      <c r="M21">
        <f t="shared" si="1"/>
        <v>211</v>
      </c>
      <c r="N21" s="4" t="s">
        <v>89</v>
      </c>
      <c r="O21" t="s">
        <v>121</v>
      </c>
      <c r="P21" t="s">
        <v>90</v>
      </c>
      <c r="Q21" t="str">
        <f t="shared" si="2"/>
        <v>02A</v>
      </c>
    </row>
    <row r="22" spans="1:21" x14ac:dyDescent="0.15">
      <c r="A22">
        <v>22</v>
      </c>
      <c r="K22" s="30" t="s">
        <v>202</v>
      </c>
      <c r="L22">
        <v>211</v>
      </c>
      <c r="M22">
        <v>217</v>
      </c>
      <c r="N22" s="4" t="s">
        <v>91</v>
      </c>
      <c r="O22" t="s">
        <v>122</v>
      </c>
      <c r="P22" t="s">
        <v>90</v>
      </c>
      <c r="Q22" t="str">
        <f t="shared" si="2"/>
        <v>02B</v>
      </c>
    </row>
    <row r="23" spans="1:21" x14ac:dyDescent="0.15">
      <c r="A23">
        <v>23</v>
      </c>
      <c r="L23" s="30"/>
      <c r="M23" s="30"/>
      <c r="N23">
        <v>21</v>
      </c>
      <c r="O23" t="s">
        <v>123</v>
      </c>
      <c r="P23" t="s">
        <v>205</v>
      </c>
      <c r="Q23" t="str">
        <f t="shared" si="2"/>
        <v>021</v>
      </c>
      <c r="U23" s="30"/>
    </row>
    <row r="24" spans="1:21" x14ac:dyDescent="0.15">
      <c r="A24">
        <v>24</v>
      </c>
      <c r="N24">
        <v>22</v>
      </c>
      <c r="O24" t="s">
        <v>124</v>
      </c>
      <c r="P24" t="s">
        <v>92</v>
      </c>
      <c r="Q24" t="str">
        <f t="shared" si="2"/>
        <v>022</v>
      </c>
    </row>
    <row r="25" spans="1:21" x14ac:dyDescent="0.15">
      <c r="A25">
        <v>25</v>
      </c>
      <c r="N25">
        <v>23</v>
      </c>
      <c r="O25" s="30" t="s">
        <v>125</v>
      </c>
      <c r="P25" t="s">
        <v>203</v>
      </c>
      <c r="Q25" t="str">
        <f t="shared" si="2"/>
        <v>023</v>
      </c>
    </row>
    <row r="26" spans="1:21" x14ac:dyDescent="0.15">
      <c r="A26">
        <v>26</v>
      </c>
      <c r="N26">
        <v>24</v>
      </c>
      <c r="O26" t="s">
        <v>126</v>
      </c>
      <c r="P26" t="s">
        <v>203</v>
      </c>
      <c r="Q26" t="str">
        <f t="shared" si="2"/>
        <v>024</v>
      </c>
    </row>
    <row r="27" spans="1:21" x14ac:dyDescent="0.15">
      <c r="A27">
        <v>27</v>
      </c>
      <c r="N27">
        <v>25</v>
      </c>
      <c r="O27" t="s">
        <v>127</v>
      </c>
      <c r="P27" s="30" t="s">
        <v>205</v>
      </c>
      <c r="Q27" t="str">
        <f t="shared" si="2"/>
        <v>025</v>
      </c>
    </row>
    <row r="28" spans="1:21" x14ac:dyDescent="0.15">
      <c r="A28">
        <v>28</v>
      </c>
      <c r="K28" s="30"/>
      <c r="L28" s="30"/>
      <c r="M28" s="30"/>
      <c r="N28">
        <v>26</v>
      </c>
      <c r="O28" t="s">
        <v>128</v>
      </c>
      <c r="P28" t="s">
        <v>200</v>
      </c>
      <c r="Q28" t="str">
        <f t="shared" si="2"/>
        <v>026</v>
      </c>
    </row>
    <row r="29" spans="1:21" x14ac:dyDescent="0.15">
      <c r="A29">
        <v>29</v>
      </c>
      <c r="N29">
        <v>27</v>
      </c>
      <c r="O29" s="30" t="s">
        <v>129</v>
      </c>
      <c r="P29" t="s">
        <v>88</v>
      </c>
      <c r="Q29" t="str">
        <f t="shared" si="2"/>
        <v>027</v>
      </c>
    </row>
    <row r="30" spans="1:21" x14ac:dyDescent="0.15">
      <c r="A30">
        <v>30</v>
      </c>
      <c r="N30">
        <v>28</v>
      </c>
      <c r="O30" t="s">
        <v>130</v>
      </c>
      <c r="P30" t="s">
        <v>204</v>
      </c>
      <c r="Q30" t="str">
        <f t="shared" si="2"/>
        <v>028</v>
      </c>
      <c r="U30" s="30"/>
    </row>
    <row r="31" spans="1:21" x14ac:dyDescent="0.15">
      <c r="A31">
        <v>31</v>
      </c>
      <c r="N31">
        <v>29</v>
      </c>
      <c r="O31" t="s">
        <v>131</v>
      </c>
      <c r="P31" t="s">
        <v>92</v>
      </c>
      <c r="Q31" t="str">
        <f t="shared" si="2"/>
        <v>029</v>
      </c>
    </row>
    <row r="32" spans="1:21" x14ac:dyDescent="0.15">
      <c r="A32">
        <v>32</v>
      </c>
      <c r="N32">
        <v>30</v>
      </c>
      <c r="O32" t="s">
        <v>132</v>
      </c>
      <c r="P32" s="30" t="s">
        <v>87</v>
      </c>
      <c r="Q32" t="str">
        <f t="shared" si="2"/>
        <v>030</v>
      </c>
    </row>
    <row r="33" spans="1:21" x14ac:dyDescent="0.15">
      <c r="A33">
        <v>33</v>
      </c>
      <c r="N33">
        <v>31</v>
      </c>
      <c r="O33" t="s">
        <v>133</v>
      </c>
      <c r="P33" s="30" t="s">
        <v>87</v>
      </c>
      <c r="Q33" t="str">
        <f t="shared" si="2"/>
        <v>031</v>
      </c>
    </row>
    <row r="34" spans="1:21" x14ac:dyDescent="0.15">
      <c r="A34">
        <v>34</v>
      </c>
      <c r="N34">
        <v>32</v>
      </c>
      <c r="O34" t="s">
        <v>134</v>
      </c>
      <c r="P34" s="30" t="s">
        <v>87</v>
      </c>
      <c r="Q34" t="str">
        <f t="shared" si="2"/>
        <v>032</v>
      </c>
    </row>
    <row r="35" spans="1:21" x14ac:dyDescent="0.15">
      <c r="A35">
        <v>35</v>
      </c>
      <c r="N35">
        <v>33</v>
      </c>
      <c r="O35" t="s">
        <v>135</v>
      </c>
      <c r="P35" s="30" t="s">
        <v>203</v>
      </c>
      <c r="Q35" t="str">
        <f t="shared" si="2"/>
        <v>033</v>
      </c>
    </row>
    <row r="36" spans="1:21" x14ac:dyDescent="0.15">
      <c r="A36">
        <v>36</v>
      </c>
      <c r="N36">
        <v>34</v>
      </c>
      <c r="O36" t="s">
        <v>136</v>
      </c>
      <c r="P36" t="s">
        <v>87</v>
      </c>
      <c r="Q36" t="str">
        <f t="shared" si="2"/>
        <v>034</v>
      </c>
    </row>
    <row r="37" spans="1:21" x14ac:dyDescent="0.15">
      <c r="A37">
        <v>37</v>
      </c>
      <c r="N37">
        <v>35</v>
      </c>
      <c r="O37" t="s">
        <v>137</v>
      </c>
      <c r="P37" s="30" t="s">
        <v>92</v>
      </c>
      <c r="Q37" t="str">
        <f t="shared" si="2"/>
        <v>035</v>
      </c>
    </row>
    <row r="38" spans="1:21" x14ac:dyDescent="0.15">
      <c r="A38">
        <v>38</v>
      </c>
      <c r="N38">
        <v>36</v>
      </c>
      <c r="O38" t="s">
        <v>138</v>
      </c>
      <c r="P38" t="s">
        <v>204</v>
      </c>
      <c r="Q38" t="str">
        <f t="shared" si="2"/>
        <v>036</v>
      </c>
    </row>
    <row r="39" spans="1:21" x14ac:dyDescent="0.15">
      <c r="A39">
        <v>39</v>
      </c>
      <c r="K39" s="30"/>
      <c r="L39" s="30"/>
      <c r="M39" s="30"/>
      <c r="N39">
        <v>37</v>
      </c>
      <c r="O39" t="s">
        <v>139</v>
      </c>
      <c r="P39" t="s">
        <v>204</v>
      </c>
      <c r="Q39" t="str">
        <f t="shared" si="2"/>
        <v>037</v>
      </c>
    </row>
    <row r="40" spans="1:21" x14ac:dyDescent="0.15">
      <c r="A40">
        <v>40</v>
      </c>
      <c r="N40">
        <v>38</v>
      </c>
      <c r="O40" t="s">
        <v>140</v>
      </c>
      <c r="P40" t="s">
        <v>200</v>
      </c>
      <c r="Q40" t="str">
        <f t="shared" si="2"/>
        <v>038</v>
      </c>
    </row>
    <row r="41" spans="1:21" x14ac:dyDescent="0.15">
      <c r="A41">
        <v>41</v>
      </c>
      <c r="N41">
        <v>39</v>
      </c>
      <c r="O41" t="s">
        <v>141</v>
      </c>
      <c r="P41" t="s">
        <v>205</v>
      </c>
      <c r="Q41" t="str">
        <f t="shared" si="2"/>
        <v>039</v>
      </c>
    </row>
    <row r="42" spans="1:21" x14ac:dyDescent="0.15">
      <c r="A42">
        <v>42</v>
      </c>
      <c r="N42">
        <v>40</v>
      </c>
      <c r="O42" t="s">
        <v>142</v>
      </c>
      <c r="P42" t="s">
        <v>203</v>
      </c>
      <c r="Q42" t="str">
        <f t="shared" si="2"/>
        <v>040</v>
      </c>
    </row>
    <row r="43" spans="1:21" x14ac:dyDescent="0.15">
      <c r="A43">
        <v>43</v>
      </c>
      <c r="N43">
        <v>41</v>
      </c>
      <c r="O43" s="30" t="s">
        <v>143</v>
      </c>
      <c r="P43" t="s">
        <v>204</v>
      </c>
      <c r="Q43" t="str">
        <f t="shared" si="2"/>
        <v>041</v>
      </c>
    </row>
    <row r="44" spans="1:21" x14ac:dyDescent="0.15">
      <c r="A44">
        <v>44</v>
      </c>
      <c r="N44">
        <v>42</v>
      </c>
      <c r="O44" t="s">
        <v>144</v>
      </c>
      <c r="P44" t="s">
        <v>200</v>
      </c>
      <c r="Q44" t="str">
        <f t="shared" si="2"/>
        <v>042</v>
      </c>
    </row>
    <row r="45" spans="1:21" x14ac:dyDescent="0.15">
      <c r="A45">
        <v>45</v>
      </c>
      <c r="K45" s="30"/>
      <c r="L45" s="30"/>
      <c r="M45" s="30"/>
      <c r="N45">
        <v>43</v>
      </c>
      <c r="O45" t="s">
        <v>145</v>
      </c>
      <c r="P45" t="s">
        <v>200</v>
      </c>
      <c r="Q45" t="str">
        <f t="shared" si="2"/>
        <v>043</v>
      </c>
    </row>
    <row r="46" spans="1:21" x14ac:dyDescent="0.15">
      <c r="A46">
        <v>46</v>
      </c>
      <c r="N46">
        <v>44</v>
      </c>
      <c r="O46" t="s">
        <v>146</v>
      </c>
      <c r="P46" t="s">
        <v>94</v>
      </c>
      <c r="Q46" t="str">
        <f t="shared" si="2"/>
        <v>044</v>
      </c>
      <c r="U46" s="30"/>
    </row>
    <row r="47" spans="1:21" x14ac:dyDescent="0.15">
      <c r="A47">
        <v>47</v>
      </c>
      <c r="N47">
        <v>45</v>
      </c>
      <c r="O47" t="s">
        <v>147</v>
      </c>
      <c r="P47" s="30" t="s">
        <v>204</v>
      </c>
      <c r="Q47" t="str">
        <f t="shared" si="2"/>
        <v>045</v>
      </c>
      <c r="U47" s="30"/>
    </row>
    <row r="48" spans="1:21" x14ac:dyDescent="0.15">
      <c r="A48">
        <v>48</v>
      </c>
      <c r="N48">
        <v>46</v>
      </c>
      <c r="O48" t="s">
        <v>148</v>
      </c>
      <c r="P48" t="s">
        <v>87</v>
      </c>
      <c r="Q48" t="str">
        <f t="shared" si="2"/>
        <v>046</v>
      </c>
      <c r="S48" s="30"/>
    </row>
    <row r="49" spans="1:21" x14ac:dyDescent="0.15">
      <c r="A49">
        <v>49</v>
      </c>
      <c r="N49">
        <v>47</v>
      </c>
      <c r="O49" t="s">
        <v>149</v>
      </c>
      <c r="P49" t="s">
        <v>206</v>
      </c>
      <c r="Q49" t="str">
        <f t="shared" si="2"/>
        <v>047</v>
      </c>
      <c r="U49" s="30"/>
    </row>
    <row r="50" spans="1:21" x14ac:dyDescent="0.15">
      <c r="A50">
        <v>50</v>
      </c>
      <c r="N50">
        <v>48</v>
      </c>
      <c r="O50" s="30" t="s">
        <v>150</v>
      </c>
      <c r="P50" t="s">
        <v>87</v>
      </c>
      <c r="Q50" t="str">
        <f t="shared" si="2"/>
        <v>048</v>
      </c>
    </row>
    <row r="51" spans="1:21" x14ac:dyDescent="0.15">
      <c r="A51">
        <v>51</v>
      </c>
      <c r="N51">
        <v>49</v>
      </c>
      <c r="O51" t="s">
        <v>151</v>
      </c>
      <c r="P51" t="s">
        <v>94</v>
      </c>
      <c r="Q51" t="str">
        <f t="shared" si="2"/>
        <v>049</v>
      </c>
    </row>
    <row r="52" spans="1:21" x14ac:dyDescent="0.15">
      <c r="A52">
        <v>52</v>
      </c>
      <c r="N52">
        <v>50</v>
      </c>
      <c r="O52" t="s">
        <v>152</v>
      </c>
      <c r="P52" s="30" t="s">
        <v>88</v>
      </c>
      <c r="Q52" t="str">
        <f t="shared" si="2"/>
        <v>050</v>
      </c>
    </row>
    <row r="53" spans="1:21" x14ac:dyDescent="0.15">
      <c r="A53">
        <v>53</v>
      </c>
      <c r="N53">
        <v>51</v>
      </c>
      <c r="O53" t="s">
        <v>153</v>
      </c>
      <c r="P53" t="s">
        <v>86</v>
      </c>
      <c r="Q53" t="str">
        <f t="shared" si="2"/>
        <v>051</v>
      </c>
    </row>
    <row r="54" spans="1:21" x14ac:dyDescent="0.15">
      <c r="N54">
        <v>52</v>
      </c>
      <c r="O54" t="s">
        <v>154</v>
      </c>
      <c r="P54" t="s">
        <v>86</v>
      </c>
      <c r="Q54" t="str">
        <f t="shared" si="2"/>
        <v>052</v>
      </c>
    </row>
    <row r="55" spans="1:21" x14ac:dyDescent="0.15">
      <c r="N55">
        <v>53</v>
      </c>
      <c r="O55" t="s">
        <v>95</v>
      </c>
      <c r="P55" s="30" t="s">
        <v>94</v>
      </c>
      <c r="Q55" t="str">
        <f t="shared" si="2"/>
        <v>053</v>
      </c>
    </row>
    <row r="56" spans="1:21" x14ac:dyDescent="0.15">
      <c r="K56" s="30"/>
      <c r="L56" s="30"/>
      <c r="M56" s="30"/>
      <c r="N56">
        <v>54</v>
      </c>
      <c r="O56" t="s">
        <v>155</v>
      </c>
      <c r="P56" t="s">
        <v>86</v>
      </c>
      <c r="Q56" t="str">
        <f t="shared" si="2"/>
        <v>054</v>
      </c>
      <c r="S56" s="30"/>
    </row>
    <row r="57" spans="1:21" x14ac:dyDescent="0.15">
      <c r="K57" s="30"/>
      <c r="L57" s="30"/>
      <c r="M57" s="30"/>
      <c r="N57">
        <v>55</v>
      </c>
      <c r="O57" t="s">
        <v>156</v>
      </c>
      <c r="P57" t="s">
        <v>86</v>
      </c>
      <c r="Q57" t="str">
        <f t="shared" si="2"/>
        <v>055</v>
      </c>
    </row>
    <row r="58" spans="1:21" x14ac:dyDescent="0.15">
      <c r="N58">
        <v>56</v>
      </c>
      <c r="O58" t="s">
        <v>157</v>
      </c>
      <c r="P58" t="s">
        <v>92</v>
      </c>
      <c r="Q58" t="str">
        <f t="shared" si="2"/>
        <v>056</v>
      </c>
      <c r="U58" s="30"/>
    </row>
    <row r="59" spans="1:21" x14ac:dyDescent="0.15">
      <c r="K59" s="30"/>
      <c r="L59" s="30"/>
      <c r="M59" s="30"/>
      <c r="N59">
        <v>57</v>
      </c>
      <c r="O59" s="30" t="s">
        <v>158</v>
      </c>
      <c r="P59" t="s">
        <v>86</v>
      </c>
      <c r="Q59" t="str">
        <f t="shared" si="2"/>
        <v>057</v>
      </c>
    </row>
    <row r="60" spans="1:21" x14ac:dyDescent="0.15">
      <c r="N60">
        <v>58</v>
      </c>
      <c r="O60" t="s">
        <v>159</v>
      </c>
      <c r="P60" t="s">
        <v>205</v>
      </c>
      <c r="Q60" t="str">
        <f t="shared" si="2"/>
        <v>058</v>
      </c>
    </row>
    <row r="61" spans="1:21" x14ac:dyDescent="0.15">
      <c r="N61">
        <v>59</v>
      </c>
      <c r="O61" t="s">
        <v>160</v>
      </c>
      <c r="P61" s="30" t="s">
        <v>201</v>
      </c>
      <c r="Q61" t="str">
        <f t="shared" si="2"/>
        <v>059</v>
      </c>
    </row>
    <row r="62" spans="1:21" x14ac:dyDescent="0.15">
      <c r="N62">
        <v>60</v>
      </c>
      <c r="O62" t="s">
        <v>161</v>
      </c>
      <c r="P62" s="30" t="s">
        <v>201</v>
      </c>
      <c r="Q62" t="str">
        <f t="shared" si="2"/>
        <v>060</v>
      </c>
      <c r="U62" s="30"/>
    </row>
    <row r="63" spans="1:21" x14ac:dyDescent="0.15">
      <c r="N63">
        <v>61</v>
      </c>
      <c r="O63" t="s">
        <v>162</v>
      </c>
      <c r="P63" s="30" t="s">
        <v>88</v>
      </c>
      <c r="Q63" t="str">
        <f t="shared" si="2"/>
        <v>061</v>
      </c>
      <c r="U63" s="30"/>
    </row>
    <row r="64" spans="1:21" x14ac:dyDescent="0.15">
      <c r="N64">
        <v>62</v>
      </c>
      <c r="O64" t="s">
        <v>163</v>
      </c>
      <c r="P64" t="s">
        <v>201</v>
      </c>
      <c r="Q64" t="str">
        <f t="shared" si="2"/>
        <v>062</v>
      </c>
    </row>
    <row r="65" spans="11:21" x14ac:dyDescent="0.15">
      <c r="N65">
        <v>63</v>
      </c>
      <c r="O65" t="s">
        <v>164</v>
      </c>
      <c r="P65" s="30" t="s">
        <v>200</v>
      </c>
      <c r="Q65" t="str">
        <f t="shared" si="2"/>
        <v>063</v>
      </c>
      <c r="U65" s="30"/>
    </row>
    <row r="66" spans="11:21" x14ac:dyDescent="0.15">
      <c r="N66">
        <v>64</v>
      </c>
      <c r="O66" t="s">
        <v>165</v>
      </c>
      <c r="P66" t="s">
        <v>203</v>
      </c>
      <c r="Q66" t="str">
        <f t="shared" si="2"/>
        <v>064</v>
      </c>
      <c r="U66" s="30"/>
    </row>
    <row r="67" spans="11:21" x14ac:dyDescent="0.15">
      <c r="K67" s="30"/>
      <c r="L67" s="30"/>
      <c r="M67" s="30"/>
      <c r="N67">
        <v>65</v>
      </c>
      <c r="O67" t="s">
        <v>166</v>
      </c>
      <c r="P67" t="s">
        <v>87</v>
      </c>
      <c r="Q67" t="str">
        <f t="shared" si="2"/>
        <v>065</v>
      </c>
      <c r="U67" s="30"/>
    </row>
    <row r="68" spans="11:21" x14ac:dyDescent="0.15">
      <c r="K68" s="30"/>
      <c r="L68" s="30"/>
      <c r="M68" s="30"/>
      <c r="N68">
        <v>66</v>
      </c>
      <c r="O68" t="s">
        <v>167</v>
      </c>
      <c r="P68" t="s">
        <v>87</v>
      </c>
      <c r="Q68" t="str">
        <f t="shared" si="2"/>
        <v>066</v>
      </c>
    </row>
    <row r="69" spans="11:21" x14ac:dyDescent="0.15">
      <c r="N69">
        <v>67</v>
      </c>
      <c r="O69" t="s">
        <v>168</v>
      </c>
      <c r="P69" t="s">
        <v>86</v>
      </c>
      <c r="Q69" t="str">
        <f t="shared" si="2"/>
        <v>067</v>
      </c>
    </row>
    <row r="70" spans="11:21" x14ac:dyDescent="0.15">
      <c r="K70" s="30"/>
      <c r="L70" s="30"/>
      <c r="M70" s="30"/>
      <c r="N70">
        <v>68</v>
      </c>
      <c r="O70" t="s">
        <v>169</v>
      </c>
      <c r="P70" t="s">
        <v>86</v>
      </c>
      <c r="Q70" t="str">
        <f t="shared" si="2"/>
        <v>068</v>
      </c>
      <c r="U70" s="30"/>
    </row>
    <row r="71" spans="11:21" x14ac:dyDescent="0.15">
      <c r="K71" s="30"/>
      <c r="L71" s="30"/>
      <c r="M71" s="30"/>
      <c r="N71">
        <v>69</v>
      </c>
      <c r="O71" t="e">
        <v>#VALUE!</v>
      </c>
      <c r="P71" t="s">
        <v>207</v>
      </c>
      <c r="Q71" t="str">
        <f t="shared" si="2"/>
        <v>069</v>
      </c>
    </row>
    <row r="72" spans="11:21" x14ac:dyDescent="0.15">
      <c r="N72">
        <v>70</v>
      </c>
      <c r="O72" t="s">
        <v>170</v>
      </c>
      <c r="P72" t="s">
        <v>205</v>
      </c>
      <c r="Q72" t="str">
        <f t="shared" si="2"/>
        <v>070</v>
      </c>
    </row>
    <row r="73" spans="11:21" x14ac:dyDescent="0.15">
      <c r="N73">
        <v>71</v>
      </c>
      <c r="O73" s="30" t="s">
        <v>171</v>
      </c>
      <c r="P73" t="s">
        <v>205</v>
      </c>
      <c r="Q73" t="str">
        <f t="shared" si="2"/>
        <v>071</v>
      </c>
    </row>
    <row r="74" spans="11:21" x14ac:dyDescent="0.15">
      <c r="K74" s="30"/>
      <c r="L74" s="30"/>
      <c r="M74" s="30"/>
      <c r="N74">
        <v>72</v>
      </c>
      <c r="O74" t="s">
        <v>172</v>
      </c>
      <c r="P74" t="s">
        <v>94</v>
      </c>
      <c r="Q74" t="str">
        <f t="shared" si="2"/>
        <v>072</v>
      </c>
      <c r="U74" s="30"/>
    </row>
    <row r="75" spans="11:21" x14ac:dyDescent="0.15">
      <c r="N75">
        <v>73</v>
      </c>
      <c r="O75" s="30" t="s">
        <v>173</v>
      </c>
      <c r="P75" t="s">
        <v>200</v>
      </c>
      <c r="Q75" t="str">
        <f t="shared" si="2"/>
        <v>073</v>
      </c>
      <c r="U75" s="30"/>
    </row>
    <row r="76" spans="11:21" x14ac:dyDescent="0.15">
      <c r="N76">
        <v>74</v>
      </c>
      <c r="O76" t="s">
        <v>174</v>
      </c>
      <c r="P76" t="s">
        <v>200</v>
      </c>
      <c r="Q76" t="str">
        <f t="shared" ref="Q76:Q97" si="3">"0"&amp;N76</f>
        <v>074</v>
      </c>
    </row>
    <row r="77" spans="11:21" x14ac:dyDescent="0.15">
      <c r="N77">
        <v>75</v>
      </c>
      <c r="O77" s="30" t="e">
        <v>#VALUE!</v>
      </c>
      <c r="P77" t="s">
        <v>101</v>
      </c>
      <c r="Q77" t="str">
        <f t="shared" si="3"/>
        <v>075</v>
      </c>
      <c r="U77" s="30"/>
    </row>
    <row r="78" spans="11:21" x14ac:dyDescent="0.15">
      <c r="K78" s="30"/>
      <c r="L78" s="30"/>
      <c r="M78" s="30"/>
      <c r="N78">
        <v>76</v>
      </c>
      <c r="O78" t="s">
        <v>175</v>
      </c>
      <c r="P78" t="s">
        <v>88</v>
      </c>
      <c r="Q78" t="str">
        <f t="shared" si="3"/>
        <v>076</v>
      </c>
    </row>
    <row r="79" spans="11:21" x14ac:dyDescent="0.15">
      <c r="K79" s="30"/>
      <c r="L79" s="30"/>
      <c r="M79" s="30"/>
      <c r="N79">
        <v>77</v>
      </c>
      <c r="O79" t="s">
        <v>176</v>
      </c>
      <c r="P79" t="s">
        <v>208</v>
      </c>
      <c r="Q79" t="str">
        <f t="shared" si="3"/>
        <v>077</v>
      </c>
    </row>
    <row r="80" spans="11:21" x14ac:dyDescent="0.15">
      <c r="N80">
        <v>78</v>
      </c>
      <c r="O80" t="s">
        <v>177</v>
      </c>
      <c r="P80" t="s">
        <v>208</v>
      </c>
      <c r="Q80" t="str">
        <f t="shared" si="3"/>
        <v>078</v>
      </c>
      <c r="U80" s="30"/>
    </row>
    <row r="81" spans="11:21" x14ac:dyDescent="0.15">
      <c r="K81" s="30"/>
      <c r="L81" s="30"/>
      <c r="M81" s="30"/>
      <c r="N81">
        <v>79</v>
      </c>
      <c r="O81" t="s">
        <v>178</v>
      </c>
      <c r="P81" t="s">
        <v>203</v>
      </c>
      <c r="Q81" t="str">
        <f t="shared" si="3"/>
        <v>079</v>
      </c>
      <c r="U81" s="30"/>
    </row>
    <row r="82" spans="11:21" x14ac:dyDescent="0.15">
      <c r="N82">
        <v>80</v>
      </c>
      <c r="O82" t="s">
        <v>179</v>
      </c>
      <c r="P82" s="30" t="s">
        <v>201</v>
      </c>
      <c r="Q82" t="str">
        <f t="shared" si="3"/>
        <v>080</v>
      </c>
      <c r="U82" s="30"/>
    </row>
    <row r="83" spans="11:21" x14ac:dyDescent="0.15">
      <c r="N83">
        <v>81</v>
      </c>
      <c r="O83" t="s">
        <v>180</v>
      </c>
      <c r="P83" t="s">
        <v>87</v>
      </c>
      <c r="Q83" t="str">
        <f t="shared" si="3"/>
        <v>081</v>
      </c>
    </row>
    <row r="84" spans="11:21" x14ac:dyDescent="0.15">
      <c r="K84" s="30"/>
      <c r="L84" s="30"/>
      <c r="M84" s="30"/>
      <c r="N84">
        <v>82</v>
      </c>
      <c r="O84" t="s">
        <v>181</v>
      </c>
      <c r="P84" t="s">
        <v>87</v>
      </c>
      <c r="Q84" t="str">
        <f t="shared" si="3"/>
        <v>082</v>
      </c>
    </row>
    <row r="85" spans="11:21" x14ac:dyDescent="0.15">
      <c r="K85" s="30"/>
      <c r="L85" s="30"/>
      <c r="M85" s="30"/>
      <c r="N85">
        <v>83</v>
      </c>
      <c r="O85" t="s">
        <v>182</v>
      </c>
      <c r="P85" s="30" t="s">
        <v>202</v>
      </c>
      <c r="Q85" t="str">
        <f t="shared" si="3"/>
        <v>083</v>
      </c>
    </row>
    <row r="86" spans="11:21" x14ac:dyDescent="0.15">
      <c r="K86" s="30"/>
      <c r="L86" s="30"/>
      <c r="M86" s="30"/>
      <c r="N86">
        <v>84</v>
      </c>
      <c r="O86" t="s">
        <v>183</v>
      </c>
      <c r="P86" s="30" t="s">
        <v>202</v>
      </c>
      <c r="Q86" t="str">
        <f t="shared" si="3"/>
        <v>084</v>
      </c>
    </row>
    <row r="87" spans="11:21" x14ac:dyDescent="0.15">
      <c r="N87">
        <v>85</v>
      </c>
      <c r="O87" t="s">
        <v>184</v>
      </c>
      <c r="P87" t="s">
        <v>94</v>
      </c>
      <c r="Q87" t="str">
        <f t="shared" si="3"/>
        <v>085</v>
      </c>
    </row>
    <row r="88" spans="11:21" x14ac:dyDescent="0.15">
      <c r="N88">
        <v>86</v>
      </c>
      <c r="O88" t="s">
        <v>93</v>
      </c>
      <c r="P88" s="30" t="s">
        <v>203</v>
      </c>
      <c r="Q88" t="str">
        <f t="shared" si="3"/>
        <v>086</v>
      </c>
    </row>
    <row r="89" spans="11:21" x14ac:dyDescent="0.15">
      <c r="N89">
        <v>87</v>
      </c>
      <c r="O89" t="s">
        <v>185</v>
      </c>
      <c r="P89" s="30" t="s">
        <v>203</v>
      </c>
      <c r="Q89" t="str">
        <f t="shared" si="3"/>
        <v>087</v>
      </c>
    </row>
    <row r="90" spans="11:21" x14ac:dyDescent="0.15">
      <c r="N90">
        <v>88</v>
      </c>
      <c r="O90" s="30" t="s">
        <v>186</v>
      </c>
      <c r="P90" t="s">
        <v>86</v>
      </c>
      <c r="Q90" t="str">
        <f t="shared" si="3"/>
        <v>088</v>
      </c>
    </row>
    <row r="91" spans="11:21" x14ac:dyDescent="0.15">
      <c r="N91">
        <v>89</v>
      </c>
      <c r="O91" t="s">
        <v>187</v>
      </c>
      <c r="P91" t="s">
        <v>205</v>
      </c>
      <c r="Q91" t="str">
        <f t="shared" si="3"/>
        <v>089</v>
      </c>
    </row>
    <row r="92" spans="11:21" x14ac:dyDescent="0.15">
      <c r="N92">
        <v>90</v>
      </c>
      <c r="O92" t="s">
        <v>188</v>
      </c>
      <c r="P92" t="s">
        <v>205</v>
      </c>
      <c r="Q92" t="str">
        <f t="shared" si="3"/>
        <v>090</v>
      </c>
    </row>
    <row r="93" spans="11:21" x14ac:dyDescent="0.15">
      <c r="N93">
        <v>91</v>
      </c>
      <c r="O93" t="s">
        <v>189</v>
      </c>
      <c r="P93" t="s">
        <v>208</v>
      </c>
      <c r="Q93" t="str">
        <f t="shared" si="3"/>
        <v>091</v>
      </c>
      <c r="U93" s="30"/>
    </row>
    <row r="94" spans="11:21" x14ac:dyDescent="0.15">
      <c r="K94" s="30"/>
      <c r="L94" s="30"/>
      <c r="M94" s="30"/>
      <c r="N94">
        <v>92</v>
      </c>
      <c r="O94" t="s">
        <v>190</v>
      </c>
      <c r="P94" t="s">
        <v>208</v>
      </c>
      <c r="Q94" t="str">
        <f t="shared" si="3"/>
        <v>092</v>
      </c>
    </row>
    <row r="95" spans="11:21" x14ac:dyDescent="0.15">
      <c r="N95">
        <v>93</v>
      </c>
      <c r="O95" t="s">
        <v>191</v>
      </c>
      <c r="P95" t="s">
        <v>208</v>
      </c>
      <c r="Q95" t="str">
        <f t="shared" si="3"/>
        <v>093</v>
      </c>
      <c r="S95" s="30"/>
    </row>
    <row r="96" spans="11:21" x14ac:dyDescent="0.15">
      <c r="N96">
        <v>94</v>
      </c>
      <c r="O96" t="s">
        <v>192</v>
      </c>
      <c r="P96" t="s">
        <v>208</v>
      </c>
      <c r="Q96" t="str">
        <f t="shared" si="3"/>
        <v>094</v>
      </c>
    </row>
    <row r="97" spans="11:21" x14ac:dyDescent="0.15">
      <c r="N97">
        <v>95</v>
      </c>
      <c r="O97" t="s">
        <v>193</v>
      </c>
      <c r="P97" t="s">
        <v>208</v>
      </c>
      <c r="Q97" t="str">
        <f t="shared" si="3"/>
        <v>095</v>
      </c>
    </row>
    <row r="98" spans="11:21" x14ac:dyDescent="0.15">
      <c r="N98">
        <v>971</v>
      </c>
      <c r="O98" t="s">
        <v>97</v>
      </c>
      <c r="P98" t="s">
        <v>97</v>
      </c>
      <c r="Q98">
        <f>N98</f>
        <v>971</v>
      </c>
    </row>
    <row r="99" spans="11:21" x14ac:dyDescent="0.15">
      <c r="N99">
        <v>972</v>
      </c>
      <c r="O99" t="s">
        <v>98</v>
      </c>
      <c r="P99" s="30" t="s">
        <v>98</v>
      </c>
      <c r="Q99">
        <f t="shared" ref="Q99:Q102" si="4">N99</f>
        <v>972</v>
      </c>
    </row>
    <row r="100" spans="11:21" x14ac:dyDescent="0.15">
      <c r="N100">
        <v>973</v>
      </c>
      <c r="O100" t="s">
        <v>99</v>
      </c>
      <c r="P100" t="s">
        <v>99</v>
      </c>
      <c r="Q100">
        <f t="shared" si="4"/>
        <v>973</v>
      </c>
      <c r="U100" s="30"/>
    </row>
    <row r="101" spans="11:21" x14ac:dyDescent="0.15">
      <c r="K101" s="30"/>
      <c r="L101" s="30"/>
      <c r="M101" s="30"/>
      <c r="N101">
        <v>974</v>
      </c>
      <c r="O101" s="30" t="s">
        <v>100</v>
      </c>
      <c r="P101" t="s">
        <v>100</v>
      </c>
      <c r="Q101">
        <f t="shared" si="4"/>
        <v>974</v>
      </c>
      <c r="U101" s="30"/>
    </row>
    <row r="102" spans="11:21" x14ac:dyDescent="0.15">
      <c r="K102" t="s">
        <v>96</v>
      </c>
      <c r="N102">
        <v>976</v>
      </c>
      <c r="O102" t="s">
        <v>194</v>
      </c>
      <c r="P102" t="s">
        <v>194</v>
      </c>
      <c r="Q102">
        <f t="shared" si="4"/>
        <v>976</v>
      </c>
    </row>
    <row r="103" spans="11:21" x14ac:dyDescent="0.15">
      <c r="K103" s="30"/>
      <c r="L103" s="30"/>
      <c r="M103" s="30"/>
      <c r="N103" s="33" t="s">
        <v>215</v>
      </c>
      <c r="O103" t="s">
        <v>102</v>
      </c>
      <c r="P103" t="s">
        <v>200</v>
      </c>
    </row>
    <row r="104" spans="11:21" x14ac:dyDescent="0.15">
      <c r="N104" s="33" t="s">
        <v>216</v>
      </c>
      <c r="O104" t="s">
        <v>103</v>
      </c>
      <c r="P104" t="s">
        <v>201</v>
      </c>
    </row>
    <row r="105" spans="11:21" x14ac:dyDescent="0.15">
      <c r="K105" s="30"/>
      <c r="L105" s="30"/>
      <c r="M105" s="30"/>
      <c r="N105" s="33" t="s">
        <v>217</v>
      </c>
      <c r="O105" t="s">
        <v>104</v>
      </c>
      <c r="P105" s="30" t="s">
        <v>200</v>
      </c>
    </row>
    <row r="106" spans="11:21" x14ac:dyDescent="0.15">
      <c r="N106" s="33" t="s">
        <v>218</v>
      </c>
      <c r="O106" t="s">
        <v>105</v>
      </c>
      <c r="P106" t="s">
        <v>202</v>
      </c>
    </row>
    <row r="107" spans="11:21" x14ac:dyDescent="0.15">
      <c r="K107" s="30"/>
      <c r="L107" s="30"/>
      <c r="M107" s="30"/>
      <c r="N107" s="33" t="s">
        <v>219</v>
      </c>
      <c r="O107" t="s">
        <v>106</v>
      </c>
      <c r="P107" t="s">
        <v>202</v>
      </c>
    </row>
    <row r="108" spans="11:21" x14ac:dyDescent="0.15">
      <c r="N108" s="33" t="s">
        <v>220</v>
      </c>
      <c r="O108" t="s">
        <v>107</v>
      </c>
      <c r="P108" t="s">
        <v>202</v>
      </c>
    </row>
    <row r="109" spans="11:21" x14ac:dyDescent="0.15">
      <c r="N109" s="33" t="s">
        <v>221</v>
      </c>
      <c r="O109" t="s">
        <v>108</v>
      </c>
      <c r="P109" s="30" t="s">
        <v>200</v>
      </c>
    </row>
    <row r="110" spans="11:21" x14ac:dyDescent="0.15">
      <c r="K110" s="30"/>
      <c r="L110" s="30"/>
      <c r="M110" s="30"/>
      <c r="N110" s="33" t="s">
        <v>222</v>
      </c>
      <c r="O110" t="s">
        <v>109</v>
      </c>
      <c r="P110" t="s">
        <v>86</v>
      </c>
    </row>
    <row r="111" spans="11:21" x14ac:dyDescent="0.15">
      <c r="N111" s="33" t="s">
        <v>223</v>
      </c>
      <c r="O111" t="s">
        <v>110</v>
      </c>
      <c r="P111" s="30" t="s">
        <v>87</v>
      </c>
      <c r="S111" s="30"/>
    </row>
    <row r="112" spans="11:21" x14ac:dyDescent="0.15">
      <c r="N112" t="s">
        <v>227</v>
      </c>
      <c r="O112" t="s">
        <v>102</v>
      </c>
      <c r="P112" t="s">
        <v>200</v>
      </c>
    </row>
    <row r="113" spans="11:16" x14ac:dyDescent="0.15">
      <c r="N113" t="s">
        <v>228</v>
      </c>
      <c r="O113" t="s">
        <v>103</v>
      </c>
      <c r="P113" t="s">
        <v>201</v>
      </c>
    </row>
    <row r="114" spans="11:16" x14ac:dyDescent="0.15">
      <c r="K114" s="30"/>
      <c r="L114" s="30"/>
      <c r="M114" s="30"/>
      <c r="N114" t="s">
        <v>229</v>
      </c>
      <c r="O114" t="s">
        <v>104</v>
      </c>
      <c r="P114" s="30" t="s">
        <v>200</v>
      </c>
    </row>
    <row r="115" spans="11:16" x14ac:dyDescent="0.15">
      <c r="N115" t="s">
        <v>230</v>
      </c>
      <c r="O115" t="s">
        <v>105</v>
      </c>
      <c r="P115" t="s">
        <v>202</v>
      </c>
    </row>
    <row r="116" spans="11:16" x14ac:dyDescent="0.15">
      <c r="N116" t="s">
        <v>231</v>
      </c>
      <c r="O116" t="s">
        <v>106</v>
      </c>
      <c r="P116" t="s">
        <v>202</v>
      </c>
    </row>
    <row r="117" spans="11:16" x14ac:dyDescent="0.15">
      <c r="K117" s="30"/>
      <c r="L117" s="30"/>
      <c r="M117" s="30"/>
      <c r="N117" t="s">
        <v>232</v>
      </c>
      <c r="O117" t="s">
        <v>107</v>
      </c>
      <c r="P117" t="s">
        <v>202</v>
      </c>
    </row>
    <row r="118" spans="11:16" x14ac:dyDescent="0.15">
      <c r="N118" t="s">
        <v>233</v>
      </c>
      <c r="O118" t="s">
        <v>108</v>
      </c>
      <c r="P118" s="30" t="s">
        <v>200</v>
      </c>
    </row>
    <row r="119" spans="11:16" x14ac:dyDescent="0.15">
      <c r="N119" t="s">
        <v>234</v>
      </c>
      <c r="O119" t="s">
        <v>109</v>
      </c>
      <c r="P119" t="s">
        <v>86</v>
      </c>
    </row>
    <row r="120" spans="11:16" x14ac:dyDescent="0.15">
      <c r="K120" s="30"/>
      <c r="L120" s="30"/>
      <c r="M120" s="30"/>
      <c r="N120" t="s">
        <v>235</v>
      </c>
      <c r="O120" t="s">
        <v>110</v>
      </c>
      <c r="P120" s="30" t="s">
        <v>87</v>
      </c>
    </row>
    <row r="121" spans="11:16" x14ac:dyDescent="0.15">
      <c r="N121" t="s">
        <v>236</v>
      </c>
      <c r="O121" t="s">
        <v>111</v>
      </c>
      <c r="P121" t="s">
        <v>86</v>
      </c>
    </row>
    <row r="122" spans="11:16" x14ac:dyDescent="0.15">
      <c r="N122" t="s">
        <v>226</v>
      </c>
      <c r="O122" t="s">
        <v>112</v>
      </c>
      <c r="P122" t="s">
        <v>87</v>
      </c>
    </row>
    <row r="123" spans="11:16" x14ac:dyDescent="0.15">
      <c r="N123" t="s">
        <v>237</v>
      </c>
      <c r="O123" t="s">
        <v>113</v>
      </c>
      <c r="P123" t="s">
        <v>87</v>
      </c>
    </row>
    <row r="124" spans="11:16" x14ac:dyDescent="0.15">
      <c r="K124" s="30"/>
      <c r="L124" s="30"/>
      <c r="M124" s="30"/>
      <c r="N124" t="s">
        <v>238</v>
      </c>
      <c r="O124" t="s">
        <v>114</v>
      </c>
      <c r="P124" t="s">
        <v>202</v>
      </c>
    </row>
    <row r="125" spans="11:16" x14ac:dyDescent="0.15">
      <c r="N125" t="s">
        <v>239</v>
      </c>
      <c r="O125" t="s">
        <v>115</v>
      </c>
      <c r="P125" t="s">
        <v>88</v>
      </c>
    </row>
    <row r="126" spans="11:16" x14ac:dyDescent="0.15">
      <c r="N126" t="s">
        <v>240</v>
      </c>
      <c r="O126" t="s">
        <v>116</v>
      </c>
      <c r="P126" t="s">
        <v>200</v>
      </c>
    </row>
    <row r="127" spans="11:16" x14ac:dyDescent="0.15">
      <c r="K127" s="30"/>
      <c r="L127" s="30"/>
      <c r="M127" s="30"/>
      <c r="N127" t="s">
        <v>241</v>
      </c>
      <c r="O127" t="s">
        <v>117</v>
      </c>
      <c r="P127" s="30" t="s">
        <v>203</v>
      </c>
    </row>
    <row r="128" spans="11:16" x14ac:dyDescent="0.15">
      <c r="N128" t="s">
        <v>242</v>
      </c>
      <c r="O128" t="s">
        <v>118</v>
      </c>
      <c r="P128" s="30" t="s">
        <v>203</v>
      </c>
    </row>
    <row r="129" spans="11:16" x14ac:dyDescent="0.15">
      <c r="N129" t="s">
        <v>243</v>
      </c>
      <c r="O129" t="s">
        <v>119</v>
      </c>
      <c r="P129" t="s">
        <v>204</v>
      </c>
    </row>
    <row r="130" spans="11:16" x14ac:dyDescent="0.15">
      <c r="N130" t="s">
        <v>244</v>
      </c>
      <c r="O130" t="s">
        <v>120</v>
      </c>
      <c r="P130" s="30" t="s">
        <v>203</v>
      </c>
    </row>
    <row r="131" spans="11:16" x14ac:dyDescent="0.15">
      <c r="K131" s="30"/>
      <c r="L131" s="30"/>
      <c r="M131" s="30"/>
      <c r="N131" t="s">
        <v>324</v>
      </c>
      <c r="O131" t="s">
        <v>121</v>
      </c>
      <c r="P131" t="s">
        <v>90</v>
      </c>
    </row>
    <row r="132" spans="11:16" x14ac:dyDescent="0.15">
      <c r="N132" t="s">
        <v>325</v>
      </c>
      <c r="O132" t="s">
        <v>122</v>
      </c>
      <c r="P132" t="s">
        <v>90</v>
      </c>
    </row>
    <row r="133" spans="11:16" x14ac:dyDescent="0.15">
      <c r="N133" t="s">
        <v>245</v>
      </c>
      <c r="O133" t="s">
        <v>123</v>
      </c>
      <c r="P133" t="s">
        <v>205</v>
      </c>
    </row>
    <row r="134" spans="11:16" x14ac:dyDescent="0.15">
      <c r="N134" t="s">
        <v>224</v>
      </c>
      <c r="O134" t="s">
        <v>124</v>
      </c>
      <c r="P134" t="s">
        <v>92</v>
      </c>
    </row>
    <row r="135" spans="11:16" x14ac:dyDescent="0.15">
      <c r="K135" s="30"/>
      <c r="L135" s="30"/>
      <c r="M135" s="30"/>
      <c r="N135" t="s">
        <v>246</v>
      </c>
      <c r="O135" s="30" t="s">
        <v>125</v>
      </c>
      <c r="P135" t="s">
        <v>203</v>
      </c>
    </row>
    <row r="136" spans="11:16" x14ac:dyDescent="0.15">
      <c r="N136" t="s">
        <v>247</v>
      </c>
      <c r="O136" t="s">
        <v>126</v>
      </c>
      <c r="P136" t="s">
        <v>203</v>
      </c>
    </row>
    <row r="137" spans="11:16" x14ac:dyDescent="0.15">
      <c r="N137" t="s">
        <v>248</v>
      </c>
      <c r="O137" t="s">
        <v>127</v>
      </c>
      <c r="P137" s="30" t="s">
        <v>205</v>
      </c>
    </row>
    <row r="138" spans="11:16" x14ac:dyDescent="0.15">
      <c r="K138" s="30"/>
      <c r="L138" s="30"/>
      <c r="M138" s="30"/>
      <c r="N138" t="s">
        <v>249</v>
      </c>
      <c r="O138" t="s">
        <v>128</v>
      </c>
      <c r="P138" t="s">
        <v>200</v>
      </c>
    </row>
    <row r="139" spans="11:16" x14ac:dyDescent="0.15">
      <c r="N139" t="s">
        <v>250</v>
      </c>
      <c r="O139" s="30" t="s">
        <v>129</v>
      </c>
      <c r="P139" t="s">
        <v>88</v>
      </c>
    </row>
    <row r="140" spans="11:16" x14ac:dyDescent="0.15">
      <c r="N140" t="s">
        <v>251</v>
      </c>
      <c r="O140" t="s">
        <v>130</v>
      </c>
      <c r="P140" t="s">
        <v>204</v>
      </c>
    </row>
    <row r="141" spans="11:16" x14ac:dyDescent="0.15">
      <c r="N141" t="s">
        <v>252</v>
      </c>
      <c r="O141" t="s">
        <v>131</v>
      </c>
      <c r="P141" t="s">
        <v>92</v>
      </c>
    </row>
    <row r="142" spans="11:16" x14ac:dyDescent="0.15">
      <c r="N142" t="s">
        <v>253</v>
      </c>
      <c r="O142" t="s">
        <v>132</v>
      </c>
      <c r="P142" s="30" t="s">
        <v>87</v>
      </c>
    </row>
    <row r="143" spans="11:16" x14ac:dyDescent="0.15">
      <c r="K143" s="30"/>
      <c r="L143" s="30"/>
      <c r="M143" s="30"/>
      <c r="N143" t="s">
        <v>254</v>
      </c>
      <c r="O143" t="s">
        <v>133</v>
      </c>
      <c r="P143" s="30" t="s">
        <v>87</v>
      </c>
    </row>
    <row r="144" spans="11:16" x14ac:dyDescent="0.15">
      <c r="N144" t="s">
        <v>255</v>
      </c>
      <c r="O144" t="s">
        <v>134</v>
      </c>
      <c r="P144" s="30" t="s">
        <v>87</v>
      </c>
    </row>
    <row r="145" spans="11:16" x14ac:dyDescent="0.15">
      <c r="N145" t="s">
        <v>256</v>
      </c>
      <c r="O145" t="s">
        <v>135</v>
      </c>
      <c r="P145" s="30" t="s">
        <v>203</v>
      </c>
    </row>
    <row r="146" spans="11:16" x14ac:dyDescent="0.15">
      <c r="N146" t="s">
        <v>257</v>
      </c>
      <c r="O146" t="s">
        <v>136</v>
      </c>
      <c r="P146" t="s">
        <v>87</v>
      </c>
    </row>
    <row r="147" spans="11:16" x14ac:dyDescent="0.15">
      <c r="N147" t="s">
        <v>258</v>
      </c>
      <c r="O147" t="s">
        <v>137</v>
      </c>
      <c r="P147" s="30" t="s">
        <v>92</v>
      </c>
    </row>
    <row r="148" spans="11:16" x14ac:dyDescent="0.15">
      <c r="K148" s="30"/>
      <c r="L148" s="30"/>
      <c r="M148" s="30"/>
      <c r="N148" t="s">
        <v>259</v>
      </c>
      <c r="O148" t="s">
        <v>138</v>
      </c>
      <c r="P148" t="s">
        <v>204</v>
      </c>
    </row>
    <row r="149" spans="11:16" x14ac:dyDescent="0.15">
      <c r="N149" t="s">
        <v>260</v>
      </c>
      <c r="O149" t="s">
        <v>139</v>
      </c>
      <c r="P149" t="s">
        <v>204</v>
      </c>
    </row>
    <row r="150" spans="11:16" x14ac:dyDescent="0.15">
      <c r="N150" t="s">
        <v>261</v>
      </c>
      <c r="O150" t="s">
        <v>140</v>
      </c>
      <c r="P150" t="s">
        <v>200</v>
      </c>
    </row>
    <row r="151" spans="11:16" x14ac:dyDescent="0.15">
      <c r="N151" t="s">
        <v>262</v>
      </c>
      <c r="O151" t="s">
        <v>141</v>
      </c>
      <c r="P151" t="s">
        <v>205</v>
      </c>
    </row>
    <row r="152" spans="11:16" x14ac:dyDescent="0.15">
      <c r="N152" t="s">
        <v>263</v>
      </c>
      <c r="O152" t="s">
        <v>142</v>
      </c>
      <c r="P152" t="s">
        <v>203</v>
      </c>
    </row>
    <row r="153" spans="11:16" x14ac:dyDescent="0.15">
      <c r="N153" t="s">
        <v>264</v>
      </c>
      <c r="O153" s="30" t="s">
        <v>143</v>
      </c>
      <c r="P153" t="s">
        <v>204</v>
      </c>
    </row>
    <row r="154" spans="11:16" x14ac:dyDescent="0.15">
      <c r="K154" s="30"/>
      <c r="L154" s="30"/>
      <c r="M154" s="30"/>
      <c r="N154" t="s">
        <v>265</v>
      </c>
      <c r="O154" t="s">
        <v>144</v>
      </c>
      <c r="P154" t="s">
        <v>200</v>
      </c>
    </row>
    <row r="155" spans="11:16" x14ac:dyDescent="0.15">
      <c r="N155" t="s">
        <v>266</v>
      </c>
      <c r="O155" t="s">
        <v>145</v>
      </c>
      <c r="P155" t="s">
        <v>200</v>
      </c>
    </row>
    <row r="156" spans="11:16" x14ac:dyDescent="0.15">
      <c r="N156" t="s">
        <v>267</v>
      </c>
      <c r="O156" t="s">
        <v>146</v>
      </c>
      <c r="P156" t="s">
        <v>94</v>
      </c>
    </row>
    <row r="157" spans="11:16" x14ac:dyDescent="0.15">
      <c r="N157" t="s">
        <v>268</v>
      </c>
      <c r="O157" t="s">
        <v>147</v>
      </c>
      <c r="P157" s="30" t="s">
        <v>204</v>
      </c>
    </row>
    <row r="158" spans="11:16" x14ac:dyDescent="0.15">
      <c r="K158" s="30"/>
      <c r="L158" s="30"/>
      <c r="M158" s="30"/>
      <c r="N158" t="s">
        <v>269</v>
      </c>
      <c r="O158" t="s">
        <v>148</v>
      </c>
      <c r="P158" t="s">
        <v>87</v>
      </c>
    </row>
    <row r="159" spans="11:16" x14ac:dyDescent="0.15">
      <c r="N159" t="s">
        <v>270</v>
      </c>
      <c r="O159" t="s">
        <v>149</v>
      </c>
      <c r="P159" t="s">
        <v>206</v>
      </c>
    </row>
    <row r="160" spans="11:16" x14ac:dyDescent="0.15">
      <c r="K160" s="30"/>
      <c r="L160" s="30"/>
      <c r="M160" s="30"/>
      <c r="N160" t="s">
        <v>271</v>
      </c>
      <c r="O160" s="30" t="s">
        <v>150</v>
      </c>
      <c r="P160" t="s">
        <v>87</v>
      </c>
    </row>
    <row r="161" spans="11:18" x14ac:dyDescent="0.15">
      <c r="N161" t="s">
        <v>272</v>
      </c>
      <c r="O161" t="s">
        <v>151</v>
      </c>
      <c r="P161" t="s">
        <v>94</v>
      </c>
    </row>
    <row r="162" spans="11:18" x14ac:dyDescent="0.15">
      <c r="K162" s="30"/>
      <c r="L162" s="30"/>
      <c r="M162" s="30"/>
      <c r="N162" t="s">
        <v>273</v>
      </c>
      <c r="O162" t="s">
        <v>152</v>
      </c>
      <c r="P162" s="30" t="s">
        <v>88</v>
      </c>
    </row>
    <row r="163" spans="11:18" x14ac:dyDescent="0.15">
      <c r="N163" t="s">
        <v>274</v>
      </c>
      <c r="O163" t="s">
        <v>153</v>
      </c>
      <c r="P163" t="s">
        <v>86</v>
      </c>
    </row>
    <row r="164" spans="11:18" x14ac:dyDescent="0.15">
      <c r="N164" t="s">
        <v>275</v>
      </c>
      <c r="O164" t="s">
        <v>154</v>
      </c>
      <c r="P164" t="s">
        <v>86</v>
      </c>
    </row>
    <row r="165" spans="11:18" x14ac:dyDescent="0.15">
      <c r="N165" t="s">
        <v>276</v>
      </c>
      <c r="O165" t="s">
        <v>95</v>
      </c>
      <c r="P165" s="30" t="s">
        <v>94</v>
      </c>
    </row>
    <row r="166" spans="11:18" x14ac:dyDescent="0.15">
      <c r="N166" t="s">
        <v>277</v>
      </c>
      <c r="O166" t="s">
        <v>155</v>
      </c>
      <c r="P166" t="s">
        <v>86</v>
      </c>
    </row>
    <row r="167" spans="11:18" x14ac:dyDescent="0.15">
      <c r="N167" t="s">
        <v>278</v>
      </c>
      <c r="O167" t="s">
        <v>156</v>
      </c>
      <c r="P167" t="s">
        <v>86</v>
      </c>
    </row>
    <row r="168" spans="11:18" x14ac:dyDescent="0.15">
      <c r="K168" s="30"/>
      <c r="L168" s="30"/>
      <c r="M168" s="30"/>
      <c r="N168" t="s">
        <v>279</v>
      </c>
      <c r="O168" t="s">
        <v>157</v>
      </c>
      <c r="P168" t="s">
        <v>92</v>
      </c>
    </row>
    <row r="169" spans="11:18" x14ac:dyDescent="0.15">
      <c r="N169" t="s">
        <v>280</v>
      </c>
      <c r="O169" s="30" t="s">
        <v>158</v>
      </c>
      <c r="P169" t="s">
        <v>86</v>
      </c>
    </row>
    <row r="170" spans="11:18" x14ac:dyDescent="0.15">
      <c r="N170" t="s">
        <v>281</v>
      </c>
      <c r="O170" t="s">
        <v>159</v>
      </c>
      <c r="P170" t="s">
        <v>205</v>
      </c>
    </row>
    <row r="171" spans="11:18" x14ac:dyDescent="0.15">
      <c r="N171" t="s">
        <v>282</v>
      </c>
      <c r="O171" t="s">
        <v>160</v>
      </c>
      <c r="P171" s="30" t="s">
        <v>201</v>
      </c>
    </row>
    <row r="172" spans="11:18" x14ac:dyDescent="0.15">
      <c r="N172" t="s">
        <v>283</v>
      </c>
      <c r="O172" t="s">
        <v>161</v>
      </c>
      <c r="P172" s="30" t="s">
        <v>201</v>
      </c>
    </row>
    <row r="173" spans="11:18" x14ac:dyDescent="0.15">
      <c r="N173" t="s">
        <v>284</v>
      </c>
      <c r="O173" t="s">
        <v>162</v>
      </c>
      <c r="P173" s="30" t="s">
        <v>88</v>
      </c>
    </row>
    <row r="174" spans="11:18" x14ac:dyDescent="0.15">
      <c r="N174" t="s">
        <v>285</v>
      </c>
      <c r="O174" t="s">
        <v>163</v>
      </c>
      <c r="P174" t="s">
        <v>201</v>
      </c>
      <c r="R174" s="30"/>
    </row>
    <row r="175" spans="11:18" x14ac:dyDescent="0.15">
      <c r="N175" t="s">
        <v>286</v>
      </c>
      <c r="O175" t="s">
        <v>164</v>
      </c>
      <c r="P175" s="30" t="s">
        <v>200</v>
      </c>
    </row>
    <row r="176" spans="11:18" x14ac:dyDescent="0.15">
      <c r="N176" t="s">
        <v>287</v>
      </c>
      <c r="O176" t="s">
        <v>165</v>
      </c>
      <c r="P176" t="s">
        <v>203</v>
      </c>
    </row>
    <row r="177" spans="11:19" x14ac:dyDescent="0.15">
      <c r="N177" t="s">
        <v>288</v>
      </c>
      <c r="O177" t="s">
        <v>166</v>
      </c>
      <c r="P177" t="s">
        <v>87</v>
      </c>
      <c r="S177" s="30"/>
    </row>
    <row r="178" spans="11:19" x14ac:dyDescent="0.15">
      <c r="N178" t="s">
        <v>289</v>
      </c>
      <c r="O178" t="s">
        <v>167</v>
      </c>
      <c r="P178" t="s">
        <v>87</v>
      </c>
    </row>
    <row r="179" spans="11:19" x14ac:dyDescent="0.15">
      <c r="N179" t="s">
        <v>290</v>
      </c>
      <c r="O179" t="s">
        <v>168</v>
      </c>
      <c r="P179" t="s">
        <v>86</v>
      </c>
    </row>
    <row r="180" spans="11:19" x14ac:dyDescent="0.15">
      <c r="N180" t="s">
        <v>291</v>
      </c>
      <c r="O180" t="s">
        <v>169</v>
      </c>
      <c r="P180" t="s">
        <v>86</v>
      </c>
    </row>
    <row r="181" spans="11:19" x14ac:dyDescent="0.15">
      <c r="N181" t="s">
        <v>292</v>
      </c>
      <c r="O181" t="e">
        <v>#VALUE!</v>
      </c>
      <c r="P181" t="s">
        <v>207</v>
      </c>
    </row>
    <row r="182" spans="11:19" x14ac:dyDescent="0.15">
      <c r="N182" t="s">
        <v>293</v>
      </c>
      <c r="O182" t="s">
        <v>170</v>
      </c>
      <c r="P182" t="s">
        <v>205</v>
      </c>
    </row>
    <row r="183" spans="11:19" x14ac:dyDescent="0.15">
      <c r="K183" s="30"/>
      <c r="L183" s="30"/>
      <c r="M183" s="30"/>
      <c r="N183" t="s">
        <v>294</v>
      </c>
      <c r="O183" s="30" t="s">
        <v>171</v>
      </c>
      <c r="P183" t="s">
        <v>205</v>
      </c>
    </row>
    <row r="184" spans="11:19" x14ac:dyDescent="0.15">
      <c r="N184" t="s">
        <v>295</v>
      </c>
      <c r="O184" t="s">
        <v>172</v>
      </c>
      <c r="P184" t="s">
        <v>94</v>
      </c>
    </row>
    <row r="185" spans="11:19" x14ac:dyDescent="0.15">
      <c r="K185" s="30"/>
      <c r="L185" s="30"/>
      <c r="M185" s="30"/>
      <c r="N185" t="s">
        <v>296</v>
      </c>
      <c r="O185" s="30" t="s">
        <v>173</v>
      </c>
      <c r="P185" t="s">
        <v>200</v>
      </c>
    </row>
    <row r="186" spans="11:19" x14ac:dyDescent="0.15">
      <c r="N186" t="s">
        <v>297</v>
      </c>
      <c r="O186" t="s">
        <v>174</v>
      </c>
      <c r="P186" t="s">
        <v>200</v>
      </c>
    </row>
    <row r="187" spans="11:19" x14ac:dyDescent="0.15">
      <c r="N187" t="s">
        <v>298</v>
      </c>
      <c r="O187" s="30" t="e">
        <v>#VALUE!</v>
      </c>
      <c r="P187" t="s">
        <v>101</v>
      </c>
    </row>
    <row r="188" spans="11:19" x14ac:dyDescent="0.15">
      <c r="N188" t="s">
        <v>299</v>
      </c>
      <c r="O188" t="s">
        <v>175</v>
      </c>
      <c r="P188" t="s">
        <v>88</v>
      </c>
    </row>
    <row r="189" spans="11:19" x14ac:dyDescent="0.15">
      <c r="N189" t="s">
        <v>300</v>
      </c>
      <c r="O189" t="s">
        <v>176</v>
      </c>
      <c r="P189" t="s">
        <v>208</v>
      </c>
    </row>
    <row r="190" spans="11:19" x14ac:dyDescent="0.15">
      <c r="N190" t="s">
        <v>301</v>
      </c>
      <c r="O190" t="s">
        <v>177</v>
      </c>
      <c r="P190" t="s">
        <v>208</v>
      </c>
    </row>
    <row r="191" spans="11:19" x14ac:dyDescent="0.15">
      <c r="N191" t="s">
        <v>302</v>
      </c>
      <c r="O191" t="s">
        <v>178</v>
      </c>
      <c r="P191" t="s">
        <v>203</v>
      </c>
    </row>
    <row r="192" spans="11:19" x14ac:dyDescent="0.15">
      <c r="N192" t="s">
        <v>303</v>
      </c>
      <c r="O192" t="s">
        <v>179</v>
      </c>
      <c r="P192" s="30" t="s">
        <v>201</v>
      </c>
    </row>
    <row r="193" spans="11:19" x14ac:dyDescent="0.15">
      <c r="K193" s="30"/>
      <c r="L193" s="30"/>
      <c r="M193" s="30"/>
      <c r="N193" t="s">
        <v>304</v>
      </c>
      <c r="O193" t="s">
        <v>180</v>
      </c>
      <c r="P193" t="s">
        <v>87</v>
      </c>
    </row>
    <row r="194" spans="11:19" x14ac:dyDescent="0.15">
      <c r="N194" t="s">
        <v>305</v>
      </c>
      <c r="O194" t="s">
        <v>181</v>
      </c>
      <c r="P194" t="s">
        <v>87</v>
      </c>
    </row>
    <row r="195" spans="11:19" x14ac:dyDescent="0.15">
      <c r="N195" t="s">
        <v>306</v>
      </c>
      <c r="O195" t="s">
        <v>182</v>
      </c>
      <c r="P195" s="30" t="s">
        <v>202</v>
      </c>
    </row>
    <row r="196" spans="11:19" x14ac:dyDescent="0.15">
      <c r="N196" t="s">
        <v>307</v>
      </c>
      <c r="O196" t="s">
        <v>183</v>
      </c>
      <c r="P196" s="30" t="s">
        <v>202</v>
      </c>
    </row>
    <row r="197" spans="11:19" x14ac:dyDescent="0.15">
      <c r="K197" s="30"/>
      <c r="L197" s="30"/>
      <c r="M197" s="30"/>
      <c r="N197" t="s">
        <v>308</v>
      </c>
      <c r="O197" t="s">
        <v>184</v>
      </c>
      <c r="P197" t="s">
        <v>94</v>
      </c>
    </row>
    <row r="198" spans="11:19" x14ac:dyDescent="0.15">
      <c r="N198" t="s">
        <v>309</v>
      </c>
      <c r="O198" t="s">
        <v>93</v>
      </c>
      <c r="P198" s="30" t="s">
        <v>203</v>
      </c>
    </row>
    <row r="199" spans="11:19" x14ac:dyDescent="0.15">
      <c r="N199" t="s">
        <v>310</v>
      </c>
      <c r="O199" t="s">
        <v>185</v>
      </c>
      <c r="P199" s="30" t="s">
        <v>203</v>
      </c>
    </row>
    <row r="200" spans="11:19" x14ac:dyDescent="0.15">
      <c r="N200" t="s">
        <v>311</v>
      </c>
      <c r="O200" s="30" t="s">
        <v>186</v>
      </c>
      <c r="P200" t="s">
        <v>86</v>
      </c>
    </row>
    <row r="201" spans="11:19" x14ac:dyDescent="0.15">
      <c r="N201" t="s">
        <v>312</v>
      </c>
      <c r="O201" t="s">
        <v>187</v>
      </c>
      <c r="P201" t="s">
        <v>205</v>
      </c>
    </row>
    <row r="202" spans="11:19" x14ac:dyDescent="0.15">
      <c r="K202" s="30"/>
      <c r="L202" s="30"/>
      <c r="M202" s="30"/>
      <c r="N202" t="s">
        <v>313</v>
      </c>
      <c r="O202" t="s">
        <v>188</v>
      </c>
      <c r="P202" t="s">
        <v>205</v>
      </c>
    </row>
    <row r="203" spans="11:19" x14ac:dyDescent="0.15">
      <c r="N203" t="s">
        <v>314</v>
      </c>
      <c r="O203" t="s">
        <v>189</v>
      </c>
      <c r="P203" t="s">
        <v>208</v>
      </c>
    </row>
    <row r="204" spans="11:19" x14ac:dyDescent="0.15">
      <c r="N204" t="s">
        <v>315</v>
      </c>
      <c r="O204" t="s">
        <v>190</v>
      </c>
      <c r="P204" t="s">
        <v>208</v>
      </c>
    </row>
    <row r="205" spans="11:19" x14ac:dyDescent="0.15">
      <c r="K205" s="30"/>
      <c r="L205" s="30"/>
      <c r="M205" s="30"/>
      <c r="N205" t="s">
        <v>316</v>
      </c>
      <c r="O205" t="s">
        <v>191</v>
      </c>
      <c r="P205" t="s">
        <v>208</v>
      </c>
    </row>
    <row r="206" spans="11:19" x14ac:dyDescent="0.15">
      <c r="N206" t="s">
        <v>317</v>
      </c>
      <c r="O206" t="s">
        <v>192</v>
      </c>
      <c r="P206" t="s">
        <v>208</v>
      </c>
      <c r="S206" s="30"/>
    </row>
    <row r="207" spans="11:19" x14ac:dyDescent="0.15">
      <c r="N207" t="s">
        <v>318</v>
      </c>
      <c r="O207" t="s">
        <v>193</v>
      </c>
      <c r="P207" t="s">
        <v>208</v>
      </c>
      <c r="R207" s="30"/>
    </row>
    <row r="209" spans="11:16" x14ac:dyDescent="0.15">
      <c r="K209" s="30"/>
      <c r="L209" s="30"/>
      <c r="M209" s="30"/>
      <c r="P209" s="30"/>
    </row>
    <row r="211" spans="11:16" x14ac:dyDescent="0.15">
      <c r="O211" s="30"/>
    </row>
    <row r="213" spans="11:16" x14ac:dyDescent="0.15">
      <c r="K213" s="30"/>
      <c r="L213" s="30"/>
      <c r="M213" s="30"/>
      <c r="P213" s="30"/>
    </row>
    <row r="215" spans="11:16" x14ac:dyDescent="0.15">
      <c r="K215" s="30"/>
      <c r="L215" s="30"/>
      <c r="M215" s="30"/>
      <c r="P215" s="30"/>
    </row>
    <row r="217" spans="11:16" x14ac:dyDescent="0.15">
      <c r="O217" s="30"/>
    </row>
    <row r="219" spans="11:16" x14ac:dyDescent="0.15">
      <c r="K219" s="30"/>
      <c r="L219" s="30"/>
      <c r="M219" s="30"/>
      <c r="P219" s="30"/>
    </row>
    <row r="221" spans="11:16" x14ac:dyDescent="0.15">
      <c r="K221" s="30"/>
      <c r="L221" s="30"/>
      <c r="M221" s="30"/>
      <c r="P221" s="30"/>
    </row>
    <row r="224" spans="11:16" x14ac:dyDescent="0.15">
      <c r="K224" s="30"/>
      <c r="L224" s="30"/>
      <c r="M224" s="30"/>
      <c r="P224" s="30"/>
    </row>
    <row r="235" spans="11:19" x14ac:dyDescent="0.15">
      <c r="N235" s="30"/>
    </row>
    <row r="236" spans="11:19" x14ac:dyDescent="0.15">
      <c r="S236" s="30"/>
    </row>
    <row r="239" spans="11:19" x14ac:dyDescent="0.15">
      <c r="K239" s="30"/>
      <c r="L239" s="30"/>
      <c r="M239" s="30"/>
      <c r="P239" s="30"/>
    </row>
    <row r="240" spans="11:19" x14ac:dyDescent="0.15">
      <c r="S240" s="30"/>
    </row>
    <row r="243" spans="11:16" x14ac:dyDescent="0.15">
      <c r="K243" s="30"/>
      <c r="L243" s="30"/>
      <c r="M243" s="30"/>
      <c r="P243" s="30"/>
    </row>
  </sheetData>
  <sortState ref="U1:V102">
    <sortCondition ref="U1:U102"/>
  </sortState>
  <mergeCells count="2">
    <mergeCell ref="N1:O1"/>
    <mergeCell ref="Q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ENTREES BDD</vt:lpstr>
      <vt:lpstr>C.A par semaine</vt:lpstr>
      <vt:lpstr>C.A par mois</vt:lpstr>
      <vt:lpstr>Suivi Départements</vt:lpstr>
      <vt:lpstr>DEPOT TP</vt:lpstr>
      <vt:lpstr>Dpt BDD</vt:lpstr>
      <vt:lpstr>BDD</vt:lpstr>
      <vt:lpstr>'Suivi Départements'!liste_dates</vt:lpstr>
      <vt:lpstr>'Suivi Départements'!liste_pays</vt:lpstr>
      <vt:lpstr>'Suivi Départements'!quantités_pays</vt:lpstr>
      <vt:lpstr>'Suivi Départements'!Zone_d_impression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patrice phishert</cp:lastModifiedBy>
  <cp:lastPrinted>2018-01-28T11:58:53Z</cp:lastPrinted>
  <dcterms:created xsi:type="dcterms:W3CDTF">2017-10-28T19:45:12Z</dcterms:created>
  <dcterms:modified xsi:type="dcterms:W3CDTF">2018-01-29T15:30:16Z</dcterms:modified>
</cp:coreProperties>
</file>