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defaultThemeVersion="124226"/>
  <bookViews>
    <workbookView xWindow="0" yWindow="0" windowWidth="20490" windowHeight="7755"/>
  </bookViews>
  <sheets>
    <sheet name="BD Finance" sheetId="1" r:id="rId1"/>
    <sheet name="Suivie des CP" sheetId="8" r:id="rId2"/>
    <sheet name="Suivi des AE" sheetId="11" r:id="rId3"/>
    <sheet name="Suivi administratif" sheetId="9" r:id="rId4"/>
    <sheet name="Indicateurs" sheetId="7" r:id="rId5"/>
    <sheet name="LIST" sheetId="2" r:id="rId6"/>
    <sheet name="Répertoire" sheetId="3" r:id="rId7"/>
  </sheets>
  <functionGroups builtInGroupCount="18"/>
  <definedNames>
    <definedName name="En_cours_de_signature_à_l_Onema">#REF!</definedName>
    <definedName name="Segment_DATE_CA">#N/A</definedName>
  </definedNames>
  <calcPr calcId="152511"/>
  <pivotCaches>
    <pivotCache cacheId="0" r:id="rId8"/>
  </pivotCaches>
  <extLst>
    <ext xmlns:x14="http://schemas.microsoft.com/office/spreadsheetml/2009/9/main" uri="{BBE1A952-AA13-448e-AADC-164F8A28A991}">
      <x14:slicerCaches>
        <x14:slicerCache r:id="rId9"/>
      </x14:slicerCaches>
    </ext>
    <ext xmlns:x14="http://schemas.microsoft.com/office/spreadsheetml/2009/9/main" uri="{79F54976-1DA5-4618-B147-4CDE4B953A38}">
      <x14:workbookPr/>
    </ext>
  </extLst>
</workbook>
</file>

<file path=xl/calcChain.xml><?xml version="1.0" encoding="utf-8"?>
<calcChain xmlns="http://schemas.openxmlformats.org/spreadsheetml/2006/main">
  <c r="S2" i="1" l="1"/>
  <c r="S3" i="1"/>
  <c r="S4" i="1"/>
  <c r="S5" i="1"/>
  <c r="S6" i="1"/>
  <c r="S7" i="1"/>
  <c r="S8" i="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AH2" i="1"/>
  <c r="AH3" i="1"/>
  <c r="AH4" i="1"/>
  <c r="AH5" i="1"/>
  <c r="AH6" i="1"/>
  <c r="AH7" i="1"/>
  <c r="AH8" i="1"/>
  <c r="AH9" i="1"/>
  <c r="AH10" i="1"/>
  <c r="AH11" i="1"/>
  <c r="AH12" i="1"/>
  <c r="AH13" i="1"/>
  <c r="AH14" i="1"/>
  <c r="AH15" i="1"/>
  <c r="AH16" i="1"/>
  <c r="AH17" i="1"/>
  <c r="AH18" i="1"/>
  <c r="AH19" i="1"/>
  <c r="AH20" i="1"/>
  <c r="AH21" i="1"/>
  <c r="AH22" i="1"/>
  <c r="AH23" i="1"/>
  <c r="AH24" i="1"/>
  <c r="AH25" i="1"/>
  <c r="AH26" i="1"/>
  <c r="AH27" i="1"/>
  <c r="AH28" i="1"/>
  <c r="AH29" i="1"/>
  <c r="AH30" i="1"/>
  <c r="AH31" i="1"/>
  <c r="AH32" i="1"/>
  <c r="AH33" i="1"/>
  <c r="AH34" i="1"/>
  <c r="AH35" i="1"/>
  <c r="AH36" i="1"/>
  <c r="AH37" i="1"/>
  <c r="AH38" i="1"/>
  <c r="AH39" i="1"/>
  <c r="AH40" i="1"/>
  <c r="AH41" i="1"/>
  <c r="AH42" i="1"/>
  <c r="AH43" i="1"/>
  <c r="AH44" i="1"/>
  <c r="AH45" i="1"/>
  <c r="AH46" i="1"/>
  <c r="AH47" i="1"/>
  <c r="AH48" i="1"/>
  <c r="AH49" i="1"/>
  <c r="AH50" i="1"/>
  <c r="AH51" i="1"/>
  <c r="AH52" i="1"/>
  <c r="AH53" i="1"/>
  <c r="AH54" i="1"/>
  <c r="AH55" i="1"/>
  <c r="AH56" i="1"/>
  <c r="AH57" i="1"/>
  <c r="AH58" i="1"/>
  <c r="AH59" i="1"/>
  <c r="AH60" i="1"/>
  <c r="AH61" i="1"/>
  <c r="AH62" i="1"/>
  <c r="AH63" i="1"/>
  <c r="AH64" i="1"/>
  <c r="AH65" i="1"/>
  <c r="AH66" i="1"/>
  <c r="AH67" i="1"/>
  <c r="AH68" i="1"/>
  <c r="AH69" i="1"/>
  <c r="AH70" i="1"/>
  <c r="AH71" i="1"/>
  <c r="AH72" i="1"/>
  <c r="AH73" i="1"/>
  <c r="AH74" i="1"/>
  <c r="AH75" i="1"/>
  <c r="AH76" i="1"/>
  <c r="AH77" i="1"/>
  <c r="AH78" i="1"/>
  <c r="AH79" i="1"/>
  <c r="AH80" i="1"/>
  <c r="AH81" i="1"/>
  <c r="AH82" i="1"/>
  <c r="AH83" i="1"/>
  <c r="AH84" i="1"/>
  <c r="AH85" i="1"/>
  <c r="AH86" i="1"/>
  <c r="AH87" i="1"/>
  <c r="AH88" i="1"/>
  <c r="AH89" i="1"/>
  <c r="AH90" i="1"/>
  <c r="AH91" i="1"/>
  <c r="AH92" i="1"/>
  <c r="AH93" i="1"/>
  <c r="AH94" i="1"/>
  <c r="AH95" i="1"/>
  <c r="AH96" i="1"/>
  <c r="AH97" i="1"/>
  <c r="AH98" i="1"/>
  <c r="AH99" i="1"/>
  <c r="AH100" i="1"/>
  <c r="AH101" i="1"/>
  <c r="AH102" i="1"/>
  <c r="AH103" i="1"/>
  <c r="AH104" i="1"/>
  <c r="AH105" i="1"/>
  <c r="AH106" i="1"/>
  <c r="AH107" i="1"/>
  <c r="AH108" i="1"/>
  <c r="AH109" i="1"/>
  <c r="AH110" i="1"/>
  <c r="AH111" i="1"/>
  <c r="AH112" i="1"/>
  <c r="AH113" i="1"/>
  <c r="AH114" i="1"/>
  <c r="AH115" i="1"/>
  <c r="AH116" i="1"/>
  <c r="AH117" i="1"/>
  <c r="AH118" i="1"/>
  <c r="AH119" i="1"/>
  <c r="AH120" i="1"/>
  <c r="AH121" i="1"/>
  <c r="AH122" i="1"/>
  <c r="AH123" i="1"/>
  <c r="AH124" i="1"/>
  <c r="AH125" i="1"/>
  <c r="AH126" i="1"/>
  <c r="AH127" i="1"/>
  <c r="AH128" i="1"/>
  <c r="AH129" i="1"/>
  <c r="AH130" i="1"/>
  <c r="AH131" i="1"/>
  <c r="AH132" i="1"/>
  <c r="AH133" i="1"/>
  <c r="AH134" i="1"/>
  <c r="AH135" i="1"/>
  <c r="AH136" i="1"/>
  <c r="AH137" i="1"/>
  <c r="AH138" i="1"/>
  <c r="AH139" i="1"/>
  <c r="AH140" i="1"/>
  <c r="AH141" i="1"/>
  <c r="AH142" i="1"/>
  <c r="AH143" i="1"/>
  <c r="AH144" i="1"/>
  <c r="AH145" i="1"/>
  <c r="AH146" i="1"/>
  <c r="AH147" i="1"/>
  <c r="AH148" i="1"/>
  <c r="AH149" i="1"/>
  <c r="AH150" i="1"/>
  <c r="AH151" i="1"/>
  <c r="AH152" i="1"/>
  <c r="AH153" i="1"/>
  <c r="AH154" i="1"/>
  <c r="AH155" i="1"/>
  <c r="AH156" i="1"/>
  <c r="AH157" i="1"/>
  <c r="AH158" i="1"/>
  <c r="AH159" i="1"/>
  <c r="AH160" i="1"/>
  <c r="AH161" i="1"/>
  <c r="AH162" i="1"/>
  <c r="AH163" i="1"/>
  <c r="AH164" i="1"/>
  <c r="AH165" i="1"/>
  <c r="AH166" i="1"/>
  <c r="AH167" i="1"/>
  <c r="AH168" i="1"/>
  <c r="AH169" i="1"/>
  <c r="AH170" i="1"/>
  <c r="AH171" i="1"/>
  <c r="AH172" i="1"/>
  <c r="AH173" i="1"/>
  <c r="AH174" i="1"/>
  <c r="AH175" i="1"/>
  <c r="AH176" i="1"/>
  <c r="AH177" i="1"/>
  <c r="AH178" i="1"/>
  <c r="AH179" i="1"/>
  <c r="AF67" i="1"/>
  <c r="AF82" i="1"/>
  <c r="AF83" i="1"/>
  <c r="AF84" i="1"/>
  <c r="AF85" i="1"/>
  <c r="AF86" i="1"/>
  <c r="AF87" i="1"/>
  <c r="AF88" i="1"/>
  <c r="AF89" i="1"/>
  <c r="AF90" i="1"/>
  <c r="AF91" i="1"/>
  <c r="AF92" i="1"/>
  <c r="AF93" i="1"/>
  <c r="AF94" i="1"/>
  <c r="AF95" i="1"/>
  <c r="AF96" i="1"/>
  <c r="AF97" i="1"/>
  <c r="AF98" i="1"/>
  <c r="AF99" i="1"/>
  <c r="AF100" i="1"/>
  <c r="AF101" i="1"/>
  <c r="AF102" i="1"/>
  <c r="AF103" i="1"/>
  <c r="AF104" i="1"/>
  <c r="AF105" i="1"/>
  <c r="AF106" i="1"/>
  <c r="AF107" i="1"/>
  <c r="AF108" i="1"/>
  <c r="AF109" i="1"/>
  <c r="AF110" i="1"/>
  <c r="AF111" i="1"/>
  <c r="AF112" i="1"/>
  <c r="AF113" i="1"/>
  <c r="AF114" i="1"/>
  <c r="AF115" i="1"/>
  <c r="AF116" i="1"/>
  <c r="AF117" i="1"/>
  <c r="AF118" i="1"/>
  <c r="AF119" i="1"/>
  <c r="AF120" i="1"/>
  <c r="AF121" i="1"/>
  <c r="AF122" i="1"/>
  <c r="AF123" i="1"/>
  <c r="AF124" i="1"/>
  <c r="AF125" i="1"/>
  <c r="AF126" i="1"/>
  <c r="AF127" i="1"/>
  <c r="AF128" i="1"/>
  <c r="AF129" i="1"/>
  <c r="AF179" i="1"/>
  <c r="AD2" i="1"/>
  <c r="AD3" i="1"/>
  <c r="AD4" i="1"/>
  <c r="AD5" i="1"/>
  <c r="AD6" i="1"/>
  <c r="AD7" i="1"/>
  <c r="AD8" i="1"/>
  <c r="AD9" i="1"/>
  <c r="AD10" i="1"/>
  <c r="AD11" i="1"/>
  <c r="AD12" i="1"/>
  <c r="AD13" i="1"/>
  <c r="AD14" i="1"/>
  <c r="AD15" i="1"/>
  <c r="AD16" i="1"/>
  <c r="AD17" i="1"/>
  <c r="AD18" i="1"/>
  <c r="AD19" i="1"/>
  <c r="AD20" i="1"/>
  <c r="AD21" i="1"/>
  <c r="AD22" i="1"/>
  <c r="AD23" i="1"/>
  <c r="AD24" i="1"/>
  <c r="AD25" i="1"/>
  <c r="AD26" i="1"/>
  <c r="AD27" i="1"/>
  <c r="AD28" i="1"/>
  <c r="AD29" i="1"/>
  <c r="AD30" i="1"/>
  <c r="AD31" i="1"/>
  <c r="AD32" i="1"/>
  <c r="AD33" i="1"/>
  <c r="AD34" i="1"/>
  <c r="AD35" i="1"/>
  <c r="AD36" i="1"/>
  <c r="AD37" i="1"/>
  <c r="AD38" i="1"/>
  <c r="AD39" i="1"/>
  <c r="AD40" i="1"/>
  <c r="AD41" i="1"/>
  <c r="AD42" i="1"/>
  <c r="AD43" i="1"/>
  <c r="AD44" i="1"/>
  <c r="AD45" i="1"/>
  <c r="AD46" i="1"/>
  <c r="AD47" i="1"/>
  <c r="AD48" i="1"/>
  <c r="AD49" i="1"/>
  <c r="AD50" i="1"/>
  <c r="AD51" i="1"/>
  <c r="AD52" i="1"/>
  <c r="AD53" i="1"/>
  <c r="AD54" i="1"/>
  <c r="AD55" i="1"/>
  <c r="AD56" i="1"/>
  <c r="AD57" i="1"/>
  <c r="AD58" i="1"/>
  <c r="AD59" i="1"/>
  <c r="AD60" i="1"/>
  <c r="AD61" i="1"/>
  <c r="AD62" i="1"/>
  <c r="AD63" i="1"/>
  <c r="AD64" i="1"/>
  <c r="AD65" i="1"/>
  <c r="AD66" i="1"/>
  <c r="AD67" i="1"/>
  <c r="AD68" i="1"/>
  <c r="AD69" i="1"/>
  <c r="AD70" i="1"/>
  <c r="AD71" i="1"/>
  <c r="AD72" i="1"/>
  <c r="AD73" i="1"/>
  <c r="AD74" i="1"/>
  <c r="AD75" i="1"/>
  <c r="AD76" i="1"/>
  <c r="AD77" i="1"/>
  <c r="AD78" i="1"/>
  <c r="AD79" i="1"/>
  <c r="AD80" i="1"/>
  <c r="AD81" i="1"/>
  <c r="AD82" i="1"/>
  <c r="AD83" i="1"/>
  <c r="AD84" i="1"/>
  <c r="AD85" i="1"/>
  <c r="AD86" i="1"/>
  <c r="AD87" i="1"/>
  <c r="AD88" i="1"/>
  <c r="AD89" i="1"/>
  <c r="AD90" i="1"/>
  <c r="AD91" i="1"/>
  <c r="AD92" i="1"/>
  <c r="AD93" i="1"/>
  <c r="AD94" i="1"/>
  <c r="AD95" i="1"/>
  <c r="AD96" i="1"/>
  <c r="AD97" i="1"/>
  <c r="AD98" i="1"/>
  <c r="AD99" i="1"/>
  <c r="AD100" i="1"/>
  <c r="AD101" i="1"/>
  <c r="AD102" i="1"/>
  <c r="AD103" i="1"/>
  <c r="AD104" i="1"/>
  <c r="AD105" i="1"/>
  <c r="AD106" i="1"/>
  <c r="AD107" i="1"/>
  <c r="AD108" i="1"/>
  <c r="AD109" i="1"/>
  <c r="AD110" i="1"/>
  <c r="AD111" i="1"/>
  <c r="AD112" i="1"/>
  <c r="AD113" i="1"/>
  <c r="AD114" i="1"/>
  <c r="AD115" i="1"/>
  <c r="AD116" i="1"/>
  <c r="AD117" i="1"/>
  <c r="AD118" i="1"/>
  <c r="AD119" i="1"/>
  <c r="AD120" i="1"/>
  <c r="AD121" i="1"/>
  <c r="AD122" i="1"/>
  <c r="AD123" i="1"/>
  <c r="AD124" i="1"/>
  <c r="AD125" i="1"/>
  <c r="AD126" i="1"/>
  <c r="AD127" i="1"/>
  <c r="AD128" i="1"/>
  <c r="AD129" i="1"/>
  <c r="AD130" i="1"/>
  <c r="AD131" i="1"/>
  <c r="AD132" i="1"/>
  <c r="AD133" i="1"/>
  <c r="AD134" i="1"/>
  <c r="AD135" i="1"/>
  <c r="AD136" i="1"/>
  <c r="AD137" i="1"/>
  <c r="AD138" i="1"/>
  <c r="AD139" i="1"/>
  <c r="AD140" i="1"/>
  <c r="AD141" i="1"/>
  <c r="AD142" i="1"/>
  <c r="AD143" i="1"/>
  <c r="AD144" i="1"/>
  <c r="AD145" i="1"/>
  <c r="AD146" i="1"/>
  <c r="AD147" i="1"/>
  <c r="AD148" i="1"/>
  <c r="AD149" i="1"/>
  <c r="AD150" i="1"/>
  <c r="AD151" i="1"/>
  <c r="AD152" i="1"/>
  <c r="AD153" i="1"/>
  <c r="AD154" i="1"/>
  <c r="AD155" i="1"/>
  <c r="AD156" i="1"/>
  <c r="AD157" i="1"/>
  <c r="AD158" i="1"/>
  <c r="AD159" i="1"/>
  <c r="AD160" i="1"/>
  <c r="AD161" i="1"/>
  <c r="AD162" i="1"/>
  <c r="AD163" i="1"/>
  <c r="AD164" i="1"/>
  <c r="AD165" i="1"/>
  <c r="AD166" i="1"/>
  <c r="AD167" i="1"/>
  <c r="AD168" i="1"/>
  <c r="AD169" i="1"/>
  <c r="AD170" i="1"/>
  <c r="AD171" i="1"/>
  <c r="AD172" i="1"/>
  <c r="AD173" i="1"/>
  <c r="AD174" i="1"/>
  <c r="AD175" i="1"/>
  <c r="AD176" i="1"/>
  <c r="AD177" i="1"/>
  <c r="AD178" i="1"/>
  <c r="AD179" i="1"/>
  <c r="AI67" i="1" l="1"/>
  <c r="AI75" i="1"/>
  <c r="AI76" i="1"/>
  <c r="AI78" i="1"/>
  <c r="AI82" i="1"/>
  <c r="AI83" i="1"/>
  <c r="AI84" i="1"/>
  <c r="AI85" i="1"/>
  <c r="AI86" i="1"/>
  <c r="AI87" i="1"/>
  <c r="AI88" i="1"/>
  <c r="AI89" i="1"/>
  <c r="AI90" i="1"/>
  <c r="AI91" i="1"/>
  <c r="AI92" i="1"/>
  <c r="AI93" i="1"/>
  <c r="AI94" i="1"/>
  <c r="AI95" i="1"/>
  <c r="AI96" i="1"/>
  <c r="AI97" i="1"/>
  <c r="AI98" i="1"/>
  <c r="AI99" i="1"/>
  <c r="AI100" i="1"/>
  <c r="AI101" i="1"/>
  <c r="AI102" i="1"/>
  <c r="AI103" i="1"/>
  <c r="AI104" i="1"/>
  <c r="AI105" i="1"/>
  <c r="AI106" i="1"/>
  <c r="AI107" i="1"/>
  <c r="AI108" i="1"/>
  <c r="AI109" i="1"/>
  <c r="AI110" i="1"/>
  <c r="AI111" i="1"/>
  <c r="AI112" i="1"/>
  <c r="AI113" i="1"/>
  <c r="AI114" i="1"/>
  <c r="AI115" i="1"/>
  <c r="AI116" i="1"/>
  <c r="AI117" i="1"/>
  <c r="AI118" i="1"/>
  <c r="AI119" i="1"/>
  <c r="AI120" i="1"/>
  <c r="AI121" i="1"/>
  <c r="AI122" i="1"/>
  <c r="AI123" i="1"/>
  <c r="AI124" i="1"/>
  <c r="AI125" i="1"/>
  <c r="AI126" i="1"/>
  <c r="AI127" i="1"/>
  <c r="AI128" i="1"/>
  <c r="AI129" i="1"/>
  <c r="AI165" i="1"/>
  <c r="AI172" i="1"/>
  <c r="AI174" i="1"/>
  <c r="AI176" i="1"/>
  <c r="AI179" i="1"/>
  <c r="T3" i="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AN3" i="1" l="1"/>
  <c r="AN4" i="1"/>
  <c r="AN5" i="1"/>
  <c r="AN6" i="1"/>
  <c r="AN7" i="1"/>
  <c r="AN8" i="1"/>
  <c r="AN9" i="1"/>
  <c r="AN10" i="1"/>
  <c r="AN11" i="1"/>
  <c r="AN12" i="1"/>
  <c r="AN13" i="1"/>
  <c r="AN14" i="1"/>
  <c r="AN15" i="1"/>
  <c r="AN16" i="1"/>
  <c r="AN17" i="1"/>
  <c r="AN18" i="1"/>
  <c r="AN19" i="1"/>
  <c r="AN20" i="1"/>
  <c r="AN21" i="1"/>
  <c r="AN22" i="1"/>
  <c r="AN23" i="1"/>
  <c r="AN24" i="1"/>
  <c r="AN25" i="1"/>
  <c r="AN26" i="1"/>
  <c r="AN27" i="1"/>
  <c r="AN28" i="1"/>
  <c r="AN29" i="1"/>
  <c r="AN30" i="1"/>
  <c r="AN31" i="1"/>
  <c r="AN32" i="1"/>
  <c r="AN33" i="1"/>
  <c r="AN34" i="1"/>
  <c r="AN35" i="1"/>
  <c r="AN36" i="1"/>
  <c r="AN37" i="1"/>
  <c r="AN38" i="1"/>
  <c r="AN39" i="1"/>
  <c r="AN40" i="1"/>
  <c r="AN41" i="1"/>
  <c r="AN42" i="1"/>
  <c r="AN43" i="1"/>
  <c r="AN44" i="1"/>
  <c r="AN45" i="1"/>
  <c r="AN46" i="1"/>
  <c r="AN47" i="1"/>
  <c r="AN48" i="1"/>
  <c r="AN49" i="1"/>
  <c r="AN50" i="1"/>
  <c r="AN51" i="1"/>
  <c r="AN52" i="1"/>
  <c r="AN53" i="1"/>
  <c r="AN54" i="1"/>
  <c r="AN55" i="1"/>
  <c r="AN56" i="1"/>
  <c r="AN57" i="1"/>
  <c r="AN58" i="1"/>
  <c r="AN59" i="1"/>
  <c r="AN60" i="1"/>
  <c r="AN61" i="1"/>
  <c r="AN62" i="1"/>
  <c r="AN63" i="1"/>
  <c r="AN64" i="1"/>
  <c r="AN65" i="1"/>
  <c r="AN66" i="1"/>
  <c r="AN67" i="1"/>
  <c r="AN68" i="1"/>
  <c r="AN69" i="1"/>
  <c r="AN70" i="1"/>
  <c r="AN71" i="1"/>
  <c r="AN72" i="1"/>
  <c r="AN73" i="1"/>
  <c r="AN74" i="1"/>
  <c r="AN75" i="1"/>
  <c r="AN76" i="1"/>
  <c r="AN77" i="1"/>
  <c r="AN78" i="1"/>
  <c r="AN79" i="1"/>
  <c r="AN80" i="1"/>
  <c r="AN81" i="1"/>
  <c r="AN82" i="1"/>
  <c r="AN83" i="1"/>
  <c r="AN84" i="1"/>
  <c r="AN85" i="1"/>
  <c r="AN86" i="1"/>
  <c r="AN87" i="1"/>
  <c r="AN88" i="1"/>
  <c r="AN89" i="1"/>
  <c r="AN90" i="1"/>
  <c r="AN91" i="1"/>
  <c r="AN92" i="1"/>
  <c r="AN93" i="1"/>
  <c r="AN94" i="1"/>
  <c r="AN95" i="1"/>
  <c r="AN96" i="1"/>
  <c r="AN97" i="1"/>
  <c r="AN98" i="1"/>
  <c r="AN99" i="1"/>
  <c r="AN100" i="1"/>
  <c r="AN101" i="1"/>
  <c r="AN102" i="1"/>
  <c r="AN103" i="1"/>
  <c r="AN104" i="1"/>
  <c r="AN105" i="1"/>
  <c r="AN106" i="1"/>
  <c r="AN107" i="1"/>
  <c r="AN108" i="1"/>
  <c r="AN109" i="1"/>
  <c r="AN110" i="1"/>
  <c r="AN111" i="1"/>
  <c r="AN112" i="1"/>
  <c r="AN113" i="1"/>
  <c r="AN114" i="1"/>
  <c r="AN115" i="1"/>
  <c r="AN116" i="1"/>
  <c r="AN117" i="1"/>
  <c r="AN118" i="1"/>
  <c r="AN119" i="1"/>
  <c r="AN120" i="1"/>
  <c r="AN121" i="1"/>
  <c r="AN122" i="1"/>
  <c r="AN123" i="1"/>
  <c r="AN124" i="1"/>
  <c r="AN125" i="1"/>
  <c r="AN126" i="1"/>
  <c r="AN127" i="1"/>
  <c r="AN128" i="1"/>
  <c r="AN129" i="1"/>
  <c r="AN130" i="1"/>
  <c r="AN131" i="1"/>
  <c r="AN132" i="1"/>
  <c r="AN133" i="1"/>
  <c r="AN134" i="1"/>
  <c r="AN135" i="1"/>
  <c r="AN136" i="1"/>
  <c r="AN137" i="1"/>
  <c r="AN138" i="1"/>
  <c r="AN139" i="1"/>
  <c r="AN140" i="1"/>
  <c r="AN141" i="1"/>
  <c r="AN142" i="1"/>
  <c r="AN143" i="1"/>
  <c r="AN144" i="1"/>
  <c r="AN145" i="1"/>
  <c r="AN146" i="1"/>
  <c r="AN147" i="1"/>
  <c r="AN148" i="1"/>
  <c r="AN149" i="1"/>
  <c r="AN150" i="1"/>
  <c r="AN151" i="1"/>
  <c r="AN152" i="1"/>
  <c r="AN153" i="1"/>
  <c r="AN154" i="1"/>
  <c r="AN155" i="1"/>
  <c r="AN156" i="1"/>
  <c r="AN157" i="1"/>
  <c r="AN158" i="1"/>
  <c r="AN159" i="1"/>
  <c r="AN160" i="1"/>
  <c r="AN161" i="1"/>
  <c r="AN162" i="1"/>
  <c r="AN163" i="1"/>
  <c r="AN164" i="1"/>
  <c r="AN165" i="1"/>
  <c r="AN166" i="1"/>
  <c r="AN167" i="1"/>
  <c r="AN168" i="1"/>
  <c r="AN169" i="1"/>
  <c r="AN170" i="1"/>
  <c r="AN171" i="1"/>
  <c r="AN172" i="1"/>
  <c r="AN173" i="1"/>
  <c r="AN174" i="1"/>
  <c r="AN175" i="1"/>
  <c r="AN176" i="1"/>
  <c r="AN177" i="1"/>
  <c r="AN178" i="1"/>
  <c r="AN179" i="1"/>
  <c r="AN2" i="1"/>
  <c r="BB3" i="1"/>
  <c r="BB4" i="1"/>
  <c r="BB5" i="1"/>
  <c r="BB6" i="1"/>
  <c r="BB7" i="1"/>
  <c r="BB8" i="1"/>
  <c r="BB9" i="1"/>
  <c r="BB10" i="1"/>
  <c r="BB11" i="1"/>
  <c r="BB12" i="1"/>
  <c r="BB13" i="1"/>
  <c r="BB14" i="1"/>
  <c r="BB15" i="1"/>
  <c r="BB16" i="1"/>
  <c r="BB17" i="1"/>
  <c r="BB18" i="1"/>
  <c r="BB19" i="1"/>
  <c r="BB20" i="1"/>
  <c r="BB21" i="1"/>
  <c r="BB22" i="1"/>
  <c r="BB23" i="1"/>
  <c r="BB24" i="1"/>
  <c r="BB25" i="1"/>
  <c r="BB26" i="1"/>
  <c r="BB27" i="1"/>
  <c r="BB28" i="1"/>
  <c r="BB29" i="1"/>
  <c r="BB30" i="1"/>
  <c r="BB31" i="1"/>
  <c r="BB32" i="1"/>
  <c r="BB33" i="1"/>
  <c r="BB34" i="1"/>
  <c r="BB35" i="1"/>
  <c r="BB36" i="1"/>
  <c r="BB37" i="1"/>
  <c r="BB38" i="1"/>
  <c r="BB39" i="1"/>
  <c r="BB40" i="1"/>
  <c r="BB41" i="1"/>
  <c r="BB42" i="1"/>
  <c r="BB43" i="1"/>
  <c r="BB44" i="1"/>
  <c r="BB45" i="1"/>
  <c r="BB46" i="1"/>
  <c r="BB47" i="1"/>
  <c r="BB48" i="1"/>
  <c r="BB49" i="1"/>
  <c r="BB50" i="1"/>
  <c r="BB51" i="1"/>
  <c r="BB52" i="1"/>
  <c r="BB53" i="1"/>
  <c r="BB54" i="1"/>
  <c r="BB55" i="1"/>
  <c r="BB56" i="1"/>
  <c r="BB57" i="1"/>
  <c r="BB58" i="1"/>
  <c r="BB59" i="1"/>
  <c r="BB60" i="1"/>
  <c r="BB61" i="1"/>
  <c r="BB62" i="1"/>
  <c r="BB63" i="1"/>
  <c r="BB64" i="1"/>
  <c r="BB65" i="1"/>
  <c r="BB66" i="1"/>
  <c r="BB67" i="1"/>
  <c r="BB68" i="1"/>
  <c r="BB69" i="1"/>
  <c r="BB70" i="1"/>
  <c r="BB71" i="1"/>
  <c r="BB72" i="1"/>
  <c r="BB73" i="1"/>
  <c r="BB74" i="1"/>
  <c r="BB75" i="1"/>
  <c r="BB76" i="1"/>
  <c r="BB77" i="1"/>
  <c r="BB78" i="1"/>
  <c r="BB79" i="1"/>
  <c r="BB80" i="1"/>
  <c r="BB81" i="1"/>
  <c r="BB82" i="1"/>
  <c r="BB83" i="1"/>
  <c r="BB84" i="1"/>
  <c r="BB85" i="1"/>
  <c r="BB86" i="1"/>
  <c r="BB87" i="1"/>
  <c r="BB88" i="1"/>
  <c r="BB89" i="1"/>
  <c r="BB90" i="1"/>
  <c r="BB91" i="1"/>
  <c r="BB92" i="1"/>
  <c r="BB93" i="1"/>
  <c r="BB94" i="1"/>
  <c r="BB95" i="1"/>
  <c r="BB96" i="1"/>
  <c r="BB97" i="1"/>
  <c r="BB98" i="1"/>
  <c r="BB99" i="1"/>
  <c r="BB100" i="1"/>
  <c r="BB101" i="1"/>
  <c r="BB102" i="1"/>
  <c r="BB103" i="1"/>
  <c r="BB104" i="1"/>
  <c r="BB105" i="1"/>
  <c r="BB106" i="1"/>
  <c r="BB107" i="1"/>
  <c r="BB108" i="1"/>
  <c r="BB109" i="1"/>
  <c r="BB110" i="1"/>
  <c r="BB111" i="1"/>
  <c r="BB112" i="1"/>
  <c r="BB113" i="1"/>
  <c r="BB114" i="1"/>
  <c r="BB115" i="1"/>
  <c r="BB116" i="1"/>
  <c r="BB117" i="1"/>
  <c r="BB118" i="1"/>
  <c r="BB119" i="1"/>
  <c r="BB120" i="1"/>
  <c r="BB121" i="1"/>
  <c r="BB122" i="1"/>
  <c r="BB123" i="1"/>
  <c r="BB124" i="1"/>
  <c r="BB125" i="1"/>
  <c r="BB126" i="1"/>
  <c r="BB127" i="1"/>
  <c r="BB128" i="1"/>
  <c r="BB129" i="1"/>
  <c r="BB130" i="1"/>
  <c r="BB131" i="1"/>
  <c r="BB132" i="1"/>
  <c r="BB133" i="1"/>
  <c r="BB134" i="1"/>
  <c r="BB135" i="1"/>
  <c r="BB136" i="1"/>
  <c r="BB137" i="1"/>
  <c r="BB138" i="1"/>
  <c r="BB139" i="1"/>
  <c r="BB140" i="1"/>
  <c r="BB141" i="1"/>
  <c r="BB142" i="1"/>
  <c r="BB143" i="1"/>
  <c r="BB144" i="1"/>
  <c r="BB145" i="1"/>
  <c r="BB146" i="1"/>
  <c r="BB147" i="1"/>
  <c r="BB148" i="1"/>
  <c r="BB149" i="1"/>
  <c r="BB150" i="1"/>
  <c r="BB151" i="1"/>
  <c r="BB152" i="1"/>
  <c r="BB153" i="1"/>
  <c r="BB154" i="1"/>
  <c r="BB155" i="1"/>
  <c r="BB156" i="1"/>
  <c r="BB157" i="1"/>
  <c r="BB158" i="1"/>
  <c r="BB159" i="1"/>
  <c r="BB160" i="1"/>
  <c r="BB161" i="1"/>
  <c r="BB162" i="1"/>
  <c r="BB163" i="1"/>
  <c r="BB164" i="1"/>
  <c r="BB165" i="1"/>
  <c r="BB166" i="1"/>
  <c r="BB167" i="1"/>
  <c r="BB168" i="1"/>
  <c r="BB169" i="1"/>
  <c r="BB170" i="1"/>
  <c r="BB171" i="1"/>
  <c r="BB172" i="1"/>
  <c r="BB173" i="1"/>
  <c r="BB174" i="1"/>
  <c r="BB175" i="1"/>
  <c r="BB176" i="1"/>
  <c r="BB177" i="1"/>
  <c r="BB178" i="1"/>
  <c r="BB179" i="1"/>
  <c r="BB2" i="1"/>
  <c r="AE11" i="1" l="1"/>
  <c r="AF11" i="1" s="1"/>
  <c r="AE14" i="1"/>
  <c r="AF14" i="1" s="1"/>
  <c r="AE17" i="1"/>
  <c r="AF17" i="1" s="1"/>
  <c r="AE18" i="1"/>
  <c r="AF18" i="1" s="1"/>
  <c r="AE19" i="1"/>
  <c r="AF19" i="1" s="1"/>
  <c r="AE20" i="1"/>
  <c r="AF20" i="1" s="1"/>
  <c r="AE24" i="1"/>
  <c r="AF24" i="1" s="1"/>
  <c r="AE26" i="1"/>
  <c r="AF26" i="1" s="1"/>
  <c r="AE27" i="1"/>
  <c r="AF27" i="1" s="1"/>
  <c r="AE28" i="1"/>
  <c r="AF28" i="1" s="1"/>
  <c r="AE32" i="1"/>
  <c r="AF32" i="1" s="1"/>
  <c r="AE33" i="1"/>
  <c r="AF33" i="1" s="1"/>
  <c r="AE34" i="1"/>
  <c r="AF34" i="1" s="1"/>
  <c r="AE35" i="1"/>
  <c r="AF35" i="1" s="1"/>
  <c r="AE36" i="1"/>
  <c r="AF36" i="1" s="1"/>
  <c r="AE38" i="1"/>
  <c r="AF38" i="1" s="1"/>
  <c r="AE39" i="1"/>
  <c r="AF39" i="1" s="1"/>
  <c r="AE41" i="1"/>
  <c r="AF41" i="1" s="1"/>
  <c r="AE43" i="1"/>
  <c r="AF43" i="1" s="1"/>
  <c r="AE44" i="1"/>
  <c r="AF44" i="1" s="1"/>
  <c r="AE45" i="1"/>
  <c r="AF45" i="1" s="1"/>
  <c r="AE46" i="1"/>
  <c r="AF46" i="1" s="1"/>
  <c r="AE47" i="1"/>
  <c r="AF47" i="1" s="1"/>
  <c r="AE48" i="1"/>
  <c r="AF48" i="1" s="1"/>
  <c r="AE49" i="1"/>
  <c r="AF49" i="1" s="1"/>
  <c r="AE50" i="1"/>
  <c r="AF50" i="1" s="1"/>
  <c r="AE51" i="1"/>
  <c r="AF51" i="1" s="1"/>
  <c r="AE52" i="1"/>
  <c r="AF52" i="1" s="1"/>
  <c r="AE53" i="1"/>
  <c r="AF53" i="1" s="1"/>
  <c r="AE54" i="1"/>
  <c r="AF54" i="1" s="1"/>
  <c r="AE55" i="1"/>
  <c r="AF55" i="1" s="1"/>
  <c r="AE56" i="1"/>
  <c r="AF56" i="1" s="1"/>
  <c r="AE57" i="1"/>
  <c r="AF57" i="1" s="1"/>
  <c r="AE58" i="1"/>
  <c r="AF58" i="1" s="1"/>
  <c r="AE59" i="1"/>
  <c r="AF59" i="1" s="1"/>
  <c r="AE60" i="1"/>
  <c r="AF60" i="1" s="1"/>
  <c r="AE61" i="1"/>
  <c r="AF61" i="1" s="1"/>
  <c r="AE62" i="1"/>
  <c r="AF62" i="1" s="1"/>
  <c r="AE63" i="1"/>
  <c r="AF63" i="1" s="1"/>
  <c r="AE64" i="1"/>
  <c r="AF64" i="1" s="1"/>
  <c r="AE65" i="1"/>
  <c r="AF65" i="1" s="1"/>
  <c r="AE66" i="1"/>
  <c r="AF66" i="1" s="1"/>
  <c r="AE68" i="1"/>
  <c r="AF68" i="1" s="1"/>
  <c r="AE69" i="1"/>
  <c r="AF69" i="1" s="1"/>
  <c r="AE70" i="1"/>
  <c r="AF70" i="1" s="1"/>
  <c r="AE71" i="1"/>
  <c r="AF71" i="1" s="1"/>
  <c r="AE73" i="1"/>
  <c r="AF73" i="1" s="1"/>
  <c r="AE75" i="1"/>
  <c r="AF75" i="1" s="1"/>
  <c r="AE76" i="1"/>
  <c r="AF76" i="1" s="1"/>
  <c r="AE77" i="1"/>
  <c r="AF77" i="1" s="1"/>
  <c r="AE78" i="1"/>
  <c r="AF78" i="1" s="1"/>
  <c r="AE80" i="1"/>
  <c r="AF80" i="1" s="1"/>
  <c r="AE81" i="1"/>
  <c r="AF81" i="1" s="1"/>
  <c r="AE84" i="1"/>
  <c r="AE86" i="1"/>
  <c r="AE88" i="1"/>
  <c r="AE92" i="1"/>
  <c r="AE114" i="1"/>
  <c r="AE127" i="1"/>
  <c r="U2" i="1" l="1"/>
  <c r="U3" i="1"/>
  <c r="U4"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79" i="1"/>
  <c r="T2" i="1"/>
  <c r="T146" i="1"/>
  <c r="U146" i="1" l="1"/>
  <c r="AC17" i="1"/>
  <c r="AI17" i="1" s="1"/>
  <c r="AZ75" i="1" l="1"/>
  <c r="AZ76" i="1"/>
  <c r="BA76" i="1" s="1"/>
  <c r="AZ78" i="1"/>
  <c r="AZ82" i="1"/>
  <c r="BA82" i="1" s="1"/>
  <c r="AZ83" i="1"/>
  <c r="AZ84" i="1"/>
  <c r="BA84" i="1" s="1"/>
  <c r="AZ85" i="1"/>
  <c r="AZ86" i="1"/>
  <c r="BA86" i="1" s="1"/>
  <c r="AZ87" i="1"/>
  <c r="AZ88" i="1"/>
  <c r="BA88" i="1" s="1"/>
  <c r="AZ89" i="1"/>
  <c r="AZ90" i="1"/>
  <c r="BA90" i="1" s="1"/>
  <c r="AZ91" i="1"/>
  <c r="AZ92" i="1"/>
  <c r="BA92" i="1" s="1"/>
  <c r="AZ93" i="1"/>
  <c r="AZ94" i="1"/>
  <c r="BA94" i="1" s="1"/>
  <c r="AZ95" i="1"/>
  <c r="AZ96" i="1"/>
  <c r="BA96" i="1" s="1"/>
  <c r="AZ97" i="1"/>
  <c r="AZ98" i="1"/>
  <c r="BA98" i="1" s="1"/>
  <c r="AZ99" i="1"/>
  <c r="AZ100" i="1"/>
  <c r="BA100" i="1" s="1"/>
  <c r="AZ101" i="1"/>
  <c r="AZ102" i="1"/>
  <c r="BA102" i="1" s="1"/>
  <c r="AZ103" i="1"/>
  <c r="AZ104" i="1"/>
  <c r="BA104" i="1" s="1"/>
  <c r="AZ105" i="1"/>
  <c r="AZ106" i="1"/>
  <c r="BA106" i="1" s="1"/>
  <c r="AZ107" i="1"/>
  <c r="AZ108" i="1"/>
  <c r="BA108" i="1" s="1"/>
  <c r="AZ109" i="1"/>
  <c r="AZ110" i="1"/>
  <c r="BA110" i="1" s="1"/>
  <c r="AZ111" i="1"/>
  <c r="AZ112" i="1"/>
  <c r="BA112" i="1" s="1"/>
  <c r="AZ113" i="1"/>
  <c r="AZ114" i="1"/>
  <c r="BA114" i="1" s="1"/>
  <c r="AZ115" i="1"/>
  <c r="AZ116" i="1"/>
  <c r="BA116" i="1" s="1"/>
  <c r="AZ117" i="1"/>
  <c r="AZ118" i="1"/>
  <c r="BA118" i="1" s="1"/>
  <c r="AZ119" i="1"/>
  <c r="AZ120" i="1"/>
  <c r="BA120" i="1" s="1"/>
  <c r="AZ121" i="1"/>
  <c r="AZ122" i="1"/>
  <c r="BA122" i="1" s="1"/>
  <c r="AZ123" i="1"/>
  <c r="AZ124" i="1"/>
  <c r="BA124" i="1" s="1"/>
  <c r="AZ125" i="1"/>
  <c r="AZ126" i="1"/>
  <c r="BA126" i="1" s="1"/>
  <c r="AZ127" i="1"/>
  <c r="AZ128" i="1"/>
  <c r="BA128" i="1" s="1"/>
  <c r="AZ129" i="1"/>
  <c r="AZ165" i="1"/>
  <c r="BA165" i="1" s="1"/>
  <c r="AZ172" i="1"/>
  <c r="AZ174" i="1"/>
  <c r="BA174" i="1" s="1"/>
  <c r="AZ176" i="1"/>
  <c r="AZ179" i="1"/>
  <c r="BA179" i="1" s="1"/>
  <c r="P31" i="1"/>
  <c r="P32" i="1"/>
  <c r="P33" i="1"/>
  <c r="P34" i="1"/>
  <c r="P35" i="1"/>
  <c r="P36" i="1"/>
  <c r="P37" i="1"/>
  <c r="P38" i="1"/>
  <c r="P39" i="1"/>
  <c r="P40" i="1"/>
  <c r="P41" i="1"/>
  <c r="P42" i="1"/>
  <c r="P43" i="1"/>
  <c r="P44" i="1"/>
  <c r="V44" i="1" s="1"/>
  <c r="P45" i="1"/>
  <c r="P46" i="1"/>
  <c r="V46" i="1" s="1"/>
  <c r="P47" i="1"/>
  <c r="P48" i="1"/>
  <c r="P49" i="1"/>
  <c r="P50" i="1"/>
  <c r="V50" i="1" s="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AX31" i="1"/>
  <c r="AX32" i="1"/>
  <c r="AX33" i="1"/>
  <c r="AX34" i="1"/>
  <c r="AX35" i="1"/>
  <c r="AX36" i="1"/>
  <c r="AX37" i="1"/>
  <c r="AX38" i="1"/>
  <c r="AX39" i="1"/>
  <c r="AX40" i="1"/>
  <c r="AX41" i="1"/>
  <c r="AX42" i="1"/>
  <c r="AX43" i="1"/>
  <c r="AX44" i="1"/>
  <c r="AX45" i="1"/>
  <c r="AX46" i="1"/>
  <c r="AX47" i="1"/>
  <c r="AX48" i="1"/>
  <c r="AX49" i="1"/>
  <c r="AX50" i="1"/>
  <c r="AX51" i="1"/>
  <c r="AX52" i="1"/>
  <c r="AX53" i="1"/>
  <c r="AX54" i="1"/>
  <c r="AX55" i="1"/>
  <c r="AX56" i="1"/>
  <c r="AX57" i="1"/>
  <c r="AX58" i="1"/>
  <c r="AX59" i="1"/>
  <c r="AX60" i="1"/>
  <c r="AX61" i="1"/>
  <c r="AX62" i="1"/>
  <c r="AX63" i="1"/>
  <c r="AX64" i="1"/>
  <c r="AX65" i="1"/>
  <c r="AX66" i="1"/>
  <c r="AX67" i="1"/>
  <c r="AX68" i="1"/>
  <c r="AX69" i="1"/>
  <c r="AX70" i="1"/>
  <c r="AX71" i="1"/>
  <c r="AX72" i="1"/>
  <c r="AX73" i="1"/>
  <c r="AX74" i="1"/>
  <c r="AX75" i="1"/>
  <c r="AX76" i="1"/>
  <c r="AX77" i="1"/>
  <c r="AX78" i="1"/>
  <c r="AX79" i="1"/>
  <c r="AX80" i="1"/>
  <c r="AX81" i="1"/>
  <c r="AX82" i="1"/>
  <c r="AX83" i="1"/>
  <c r="AX84" i="1"/>
  <c r="AX85" i="1"/>
  <c r="AX86" i="1"/>
  <c r="AX87" i="1"/>
  <c r="AX88" i="1"/>
  <c r="AX89" i="1"/>
  <c r="AX90" i="1"/>
  <c r="AX91" i="1"/>
  <c r="AX92" i="1"/>
  <c r="AX93" i="1"/>
  <c r="AX94" i="1"/>
  <c r="AX95" i="1"/>
  <c r="AX96" i="1"/>
  <c r="AX97" i="1"/>
  <c r="AX98" i="1"/>
  <c r="AX99" i="1"/>
  <c r="AX100" i="1"/>
  <c r="AX101" i="1"/>
  <c r="AX102" i="1"/>
  <c r="AX103" i="1"/>
  <c r="AX104" i="1"/>
  <c r="AX105" i="1"/>
  <c r="AX106" i="1"/>
  <c r="AX107" i="1"/>
  <c r="AX108" i="1"/>
  <c r="AX109" i="1"/>
  <c r="AX110" i="1"/>
  <c r="AX111" i="1"/>
  <c r="AX112" i="1"/>
  <c r="AX113" i="1"/>
  <c r="AX114" i="1"/>
  <c r="AX115" i="1"/>
  <c r="AX116" i="1"/>
  <c r="AX117" i="1"/>
  <c r="AX118" i="1"/>
  <c r="AX119" i="1"/>
  <c r="AX120" i="1"/>
  <c r="AX121" i="1"/>
  <c r="AX122" i="1"/>
  <c r="AX123" i="1"/>
  <c r="AX124" i="1"/>
  <c r="AX125" i="1"/>
  <c r="AX126" i="1"/>
  <c r="AX127" i="1"/>
  <c r="AX128" i="1"/>
  <c r="AX129" i="1"/>
  <c r="AX130" i="1"/>
  <c r="AX131" i="1"/>
  <c r="AX132" i="1"/>
  <c r="AX133" i="1"/>
  <c r="AX134" i="1"/>
  <c r="AX135" i="1"/>
  <c r="AX136" i="1"/>
  <c r="AX137" i="1"/>
  <c r="AX138" i="1"/>
  <c r="AX139" i="1"/>
  <c r="AX140" i="1"/>
  <c r="AX141" i="1"/>
  <c r="AX142" i="1"/>
  <c r="AX143" i="1"/>
  <c r="AX144" i="1"/>
  <c r="AX145" i="1"/>
  <c r="AX146" i="1"/>
  <c r="AX147" i="1"/>
  <c r="AX148" i="1"/>
  <c r="AX149" i="1"/>
  <c r="AX150" i="1"/>
  <c r="AX151" i="1"/>
  <c r="AX152" i="1"/>
  <c r="AX153" i="1"/>
  <c r="AX154" i="1"/>
  <c r="AX155" i="1"/>
  <c r="AX156" i="1"/>
  <c r="AX157" i="1"/>
  <c r="AX158" i="1"/>
  <c r="AX159" i="1"/>
  <c r="AX160" i="1"/>
  <c r="AX161" i="1"/>
  <c r="AX162" i="1"/>
  <c r="AX163" i="1"/>
  <c r="AX164" i="1"/>
  <c r="AX165" i="1"/>
  <c r="AX166" i="1"/>
  <c r="AX167" i="1"/>
  <c r="AX168" i="1"/>
  <c r="AX169" i="1"/>
  <c r="AX170" i="1"/>
  <c r="AX171" i="1"/>
  <c r="AX172" i="1"/>
  <c r="AX173" i="1"/>
  <c r="AX174" i="1"/>
  <c r="AX175" i="1"/>
  <c r="AX176" i="1"/>
  <c r="AX177" i="1"/>
  <c r="AX178" i="1"/>
  <c r="AX179" i="1"/>
  <c r="AC31" i="1"/>
  <c r="AI31" i="1" s="1"/>
  <c r="AC32" i="1"/>
  <c r="AC33" i="1"/>
  <c r="AC34" i="1"/>
  <c r="AC35" i="1"/>
  <c r="AC36" i="1"/>
  <c r="AC37" i="1"/>
  <c r="AC38" i="1"/>
  <c r="AC39" i="1"/>
  <c r="AC40" i="1"/>
  <c r="AI40" i="1" s="1"/>
  <c r="AC41" i="1"/>
  <c r="AC42" i="1"/>
  <c r="AI42" i="1" s="1"/>
  <c r="AC43" i="1"/>
  <c r="AC44" i="1"/>
  <c r="AI44" i="1" s="1"/>
  <c r="AC45" i="1"/>
  <c r="AC46" i="1"/>
  <c r="AI46" i="1" s="1"/>
  <c r="AC47" i="1"/>
  <c r="AC48" i="1"/>
  <c r="AC49" i="1"/>
  <c r="AC50" i="1"/>
  <c r="AI50" i="1" s="1"/>
  <c r="AC51" i="1"/>
  <c r="AC52" i="1"/>
  <c r="AC53" i="1"/>
  <c r="AC54" i="1"/>
  <c r="AC55" i="1"/>
  <c r="AI55" i="1" s="1"/>
  <c r="AC56" i="1"/>
  <c r="AC57" i="1"/>
  <c r="AC58" i="1"/>
  <c r="AC59" i="1"/>
  <c r="AC60" i="1"/>
  <c r="AC61" i="1"/>
  <c r="AC62" i="1"/>
  <c r="AI62" i="1" s="1"/>
  <c r="AC63" i="1"/>
  <c r="AI63" i="1" s="1"/>
  <c r="AC64" i="1"/>
  <c r="AC65" i="1"/>
  <c r="AC66" i="1"/>
  <c r="AI66" i="1" s="1"/>
  <c r="AC68" i="1"/>
  <c r="AC69" i="1"/>
  <c r="AC70" i="1"/>
  <c r="AC71" i="1"/>
  <c r="AI71" i="1" s="1"/>
  <c r="AC72" i="1"/>
  <c r="AC73" i="1"/>
  <c r="AC74" i="1"/>
  <c r="AI74" i="1" s="1"/>
  <c r="AC75" i="1"/>
  <c r="AC76" i="1"/>
  <c r="AC77" i="1"/>
  <c r="AC78" i="1"/>
  <c r="AC79" i="1"/>
  <c r="AI79" i="1" s="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I131" i="1" s="1"/>
  <c r="AC132" i="1"/>
  <c r="AI132" i="1" s="1"/>
  <c r="AC133" i="1"/>
  <c r="AC134" i="1"/>
  <c r="AC135" i="1"/>
  <c r="AI135" i="1" s="1"/>
  <c r="AC136" i="1"/>
  <c r="AI136" i="1" s="1"/>
  <c r="AC137" i="1"/>
  <c r="AC138" i="1"/>
  <c r="AC139" i="1"/>
  <c r="AI139" i="1" s="1"/>
  <c r="AC140" i="1"/>
  <c r="AI140" i="1" s="1"/>
  <c r="AC141" i="1"/>
  <c r="AC142" i="1"/>
  <c r="AC143" i="1"/>
  <c r="AI143" i="1" s="1"/>
  <c r="AC144" i="1"/>
  <c r="AI144" i="1" s="1"/>
  <c r="AC145" i="1"/>
  <c r="AC146" i="1"/>
  <c r="AC147" i="1"/>
  <c r="AI147" i="1" s="1"/>
  <c r="AC148" i="1"/>
  <c r="AI148" i="1" s="1"/>
  <c r="AC149" i="1"/>
  <c r="AC150" i="1"/>
  <c r="AC151" i="1"/>
  <c r="AI151" i="1" s="1"/>
  <c r="AC152" i="1"/>
  <c r="AI152" i="1" s="1"/>
  <c r="AC153" i="1"/>
  <c r="AI153" i="1" s="1"/>
  <c r="AC154" i="1"/>
  <c r="AC155" i="1"/>
  <c r="AI155" i="1" s="1"/>
  <c r="AC156" i="1"/>
  <c r="AI156" i="1" s="1"/>
  <c r="AC157" i="1"/>
  <c r="AI157" i="1" s="1"/>
  <c r="AC158" i="1"/>
  <c r="AC159" i="1"/>
  <c r="AI159" i="1" s="1"/>
  <c r="AC160" i="1"/>
  <c r="AI160" i="1" s="1"/>
  <c r="AC161" i="1"/>
  <c r="AI161" i="1" s="1"/>
  <c r="AC162" i="1"/>
  <c r="AC163" i="1"/>
  <c r="AI163" i="1" s="1"/>
  <c r="AC164" i="1"/>
  <c r="AI164" i="1" s="1"/>
  <c r="AC165" i="1"/>
  <c r="AC166" i="1"/>
  <c r="AC167" i="1"/>
  <c r="AI167" i="1" s="1"/>
  <c r="AC168" i="1"/>
  <c r="AI168" i="1" s="1"/>
  <c r="AC169" i="1"/>
  <c r="AI169" i="1" s="1"/>
  <c r="AC170" i="1"/>
  <c r="AC171" i="1"/>
  <c r="AI171" i="1" s="1"/>
  <c r="AC172" i="1"/>
  <c r="AC173" i="1"/>
  <c r="AI173" i="1" s="1"/>
  <c r="AC174" i="1"/>
  <c r="AC175" i="1"/>
  <c r="AI175" i="1" s="1"/>
  <c r="AC176" i="1"/>
  <c r="AC177" i="1"/>
  <c r="AI177" i="1" s="1"/>
  <c r="AC178" i="1"/>
  <c r="AC179" i="1"/>
  <c r="AE31" i="1"/>
  <c r="AF31" i="1" s="1"/>
  <c r="AE37" i="1"/>
  <c r="AF37" i="1" s="1"/>
  <c r="AE40" i="1"/>
  <c r="AF40" i="1" s="1"/>
  <c r="AE42" i="1"/>
  <c r="AF42" i="1" s="1"/>
  <c r="AE72" i="1"/>
  <c r="AF72" i="1" s="1"/>
  <c r="AE74" i="1"/>
  <c r="AF74" i="1" s="1"/>
  <c r="AE79" i="1"/>
  <c r="AF79" i="1" s="1"/>
  <c r="AE82" i="1"/>
  <c r="AE83" i="1"/>
  <c r="AE85" i="1"/>
  <c r="AE87" i="1"/>
  <c r="AE89" i="1"/>
  <c r="AE90" i="1"/>
  <c r="AE91" i="1"/>
  <c r="AE93" i="1"/>
  <c r="AE94" i="1"/>
  <c r="AE95" i="1"/>
  <c r="AE96" i="1"/>
  <c r="AE97" i="1"/>
  <c r="AE98" i="1"/>
  <c r="AE99" i="1"/>
  <c r="AE100" i="1"/>
  <c r="AE101" i="1"/>
  <c r="AE102" i="1"/>
  <c r="AE103" i="1"/>
  <c r="AE104" i="1"/>
  <c r="AE105" i="1"/>
  <c r="AE106" i="1"/>
  <c r="AE107" i="1"/>
  <c r="AE108" i="1"/>
  <c r="AE109" i="1"/>
  <c r="AE110" i="1"/>
  <c r="AE111" i="1"/>
  <c r="AE112" i="1"/>
  <c r="AE113" i="1"/>
  <c r="AE115" i="1"/>
  <c r="AE116" i="1"/>
  <c r="AE117" i="1"/>
  <c r="AE118" i="1"/>
  <c r="AE119" i="1"/>
  <c r="AE120" i="1"/>
  <c r="AE121" i="1"/>
  <c r="AE122" i="1"/>
  <c r="AE123" i="1"/>
  <c r="AE124" i="1"/>
  <c r="AE125" i="1"/>
  <c r="AE126" i="1"/>
  <c r="AE128" i="1"/>
  <c r="AE129" i="1"/>
  <c r="AE130" i="1"/>
  <c r="AF130" i="1" s="1"/>
  <c r="AE131" i="1"/>
  <c r="AF131" i="1" s="1"/>
  <c r="AE132" i="1"/>
  <c r="AF132" i="1" s="1"/>
  <c r="AE133" i="1"/>
  <c r="AF133" i="1" s="1"/>
  <c r="AE134" i="1"/>
  <c r="AF134" i="1" s="1"/>
  <c r="AE135" i="1"/>
  <c r="AF135" i="1" s="1"/>
  <c r="AE136" i="1"/>
  <c r="AF136" i="1" s="1"/>
  <c r="AE137" i="1"/>
  <c r="AF137" i="1" s="1"/>
  <c r="AE138" i="1"/>
  <c r="AF138" i="1" s="1"/>
  <c r="AE139" i="1"/>
  <c r="AF139" i="1" s="1"/>
  <c r="AE140" i="1"/>
  <c r="AF140" i="1" s="1"/>
  <c r="AE141" i="1"/>
  <c r="AF141" i="1" s="1"/>
  <c r="AE142" i="1"/>
  <c r="AF142" i="1" s="1"/>
  <c r="AE143" i="1"/>
  <c r="AF143" i="1" s="1"/>
  <c r="AE144" i="1"/>
  <c r="AF144" i="1" s="1"/>
  <c r="AE145" i="1"/>
  <c r="AF145" i="1" s="1"/>
  <c r="AE146" i="1"/>
  <c r="AF146" i="1" s="1"/>
  <c r="AE147" i="1"/>
  <c r="AF147" i="1" s="1"/>
  <c r="AE148" i="1"/>
  <c r="AF148" i="1" s="1"/>
  <c r="AE149" i="1"/>
  <c r="AF149" i="1" s="1"/>
  <c r="AE150" i="1"/>
  <c r="AF150" i="1" s="1"/>
  <c r="AE151" i="1"/>
  <c r="AF151" i="1" s="1"/>
  <c r="AE152" i="1"/>
  <c r="AF152" i="1" s="1"/>
  <c r="AE153" i="1"/>
  <c r="AF153" i="1" s="1"/>
  <c r="AE154" i="1"/>
  <c r="AF154" i="1" s="1"/>
  <c r="AE155" i="1"/>
  <c r="AF155" i="1" s="1"/>
  <c r="AE156" i="1"/>
  <c r="AF156" i="1" s="1"/>
  <c r="AE157" i="1"/>
  <c r="AF157" i="1" s="1"/>
  <c r="AE158" i="1"/>
  <c r="AF158" i="1" s="1"/>
  <c r="AE159" i="1"/>
  <c r="AF159" i="1" s="1"/>
  <c r="AE160" i="1"/>
  <c r="AF160" i="1" s="1"/>
  <c r="AE161" i="1"/>
  <c r="AF161" i="1" s="1"/>
  <c r="AE162" i="1"/>
  <c r="AF162" i="1" s="1"/>
  <c r="AE163" i="1"/>
  <c r="AF163" i="1" s="1"/>
  <c r="AE164" i="1"/>
  <c r="AF164" i="1" s="1"/>
  <c r="AE165" i="1"/>
  <c r="AF165" i="1" s="1"/>
  <c r="AE166" i="1"/>
  <c r="AF166" i="1" s="1"/>
  <c r="AE167" i="1"/>
  <c r="AF167" i="1" s="1"/>
  <c r="AE168" i="1"/>
  <c r="AF168" i="1" s="1"/>
  <c r="AE169" i="1"/>
  <c r="AF169" i="1" s="1"/>
  <c r="AE170" i="1"/>
  <c r="AF170" i="1" s="1"/>
  <c r="AE171" i="1"/>
  <c r="AF171" i="1" s="1"/>
  <c r="AE172" i="1"/>
  <c r="AF172" i="1" s="1"/>
  <c r="AE173" i="1"/>
  <c r="AF173" i="1" s="1"/>
  <c r="AE174" i="1"/>
  <c r="AF174" i="1" s="1"/>
  <c r="AE175" i="1"/>
  <c r="AF175" i="1" s="1"/>
  <c r="AE176" i="1"/>
  <c r="AF176" i="1" s="1"/>
  <c r="AE177" i="1"/>
  <c r="AF177" i="1" s="1"/>
  <c r="AE178" i="1"/>
  <c r="AF178" i="1" s="1"/>
  <c r="AE179" i="1"/>
  <c r="AG31" i="1"/>
  <c r="AG32" i="1"/>
  <c r="AG33" i="1"/>
  <c r="AG34" i="1"/>
  <c r="AG35" i="1"/>
  <c r="AG36" i="1"/>
  <c r="AG37" i="1"/>
  <c r="AG38" i="1"/>
  <c r="AG39" i="1"/>
  <c r="AG40" i="1"/>
  <c r="AG41" i="1"/>
  <c r="AG42" i="1"/>
  <c r="AG43" i="1"/>
  <c r="AG44" i="1"/>
  <c r="AG45" i="1"/>
  <c r="AG46" i="1"/>
  <c r="AG47" i="1"/>
  <c r="AG48" i="1"/>
  <c r="AG49" i="1"/>
  <c r="AG50" i="1"/>
  <c r="AG51" i="1"/>
  <c r="AG52" i="1"/>
  <c r="AG53" i="1"/>
  <c r="AG54" i="1"/>
  <c r="AG55" i="1"/>
  <c r="AG56" i="1"/>
  <c r="AG57" i="1"/>
  <c r="AG58" i="1"/>
  <c r="AG59" i="1"/>
  <c r="AG60" i="1"/>
  <c r="AG61" i="1"/>
  <c r="AG62" i="1"/>
  <c r="AG63" i="1"/>
  <c r="AG64" i="1"/>
  <c r="AG65" i="1"/>
  <c r="AG66" i="1"/>
  <c r="AG68" i="1"/>
  <c r="AG69" i="1"/>
  <c r="AG70" i="1"/>
  <c r="AG71" i="1"/>
  <c r="AG72" i="1"/>
  <c r="AG73" i="1"/>
  <c r="AG74" i="1"/>
  <c r="AG75" i="1"/>
  <c r="AG76" i="1"/>
  <c r="AG77" i="1"/>
  <c r="AG78" i="1"/>
  <c r="AG79" i="1"/>
  <c r="AG80" i="1"/>
  <c r="AG81" i="1"/>
  <c r="AG82" i="1"/>
  <c r="AG83" i="1"/>
  <c r="AG84" i="1"/>
  <c r="AG85" i="1"/>
  <c r="AG86" i="1"/>
  <c r="AG87" i="1"/>
  <c r="AG88" i="1"/>
  <c r="AG89" i="1"/>
  <c r="AG90" i="1"/>
  <c r="AG91" i="1"/>
  <c r="AG92" i="1"/>
  <c r="AG93" i="1"/>
  <c r="AG94" i="1"/>
  <c r="AG95" i="1"/>
  <c r="AG96" i="1"/>
  <c r="AG97" i="1"/>
  <c r="AG98" i="1"/>
  <c r="AG99" i="1"/>
  <c r="AG100" i="1"/>
  <c r="AG101" i="1"/>
  <c r="AG102" i="1"/>
  <c r="AG103" i="1"/>
  <c r="AG104" i="1"/>
  <c r="AG105" i="1"/>
  <c r="AG106" i="1"/>
  <c r="AG107" i="1"/>
  <c r="AG108" i="1"/>
  <c r="AG109" i="1"/>
  <c r="AG110" i="1"/>
  <c r="AG111" i="1"/>
  <c r="AG112" i="1"/>
  <c r="AG113" i="1"/>
  <c r="AG114" i="1"/>
  <c r="AG115" i="1"/>
  <c r="AG116" i="1"/>
  <c r="AG117" i="1"/>
  <c r="AG118" i="1"/>
  <c r="AG119" i="1"/>
  <c r="AG120" i="1"/>
  <c r="AG121" i="1"/>
  <c r="AG122" i="1"/>
  <c r="AG123" i="1"/>
  <c r="AG124" i="1"/>
  <c r="AG125" i="1"/>
  <c r="AG126" i="1"/>
  <c r="AG127" i="1"/>
  <c r="AG128" i="1"/>
  <c r="AG129" i="1"/>
  <c r="AG130" i="1"/>
  <c r="AG131" i="1"/>
  <c r="AG132" i="1"/>
  <c r="AG133" i="1"/>
  <c r="AG134" i="1"/>
  <c r="AG135" i="1"/>
  <c r="AG136" i="1"/>
  <c r="AG137" i="1"/>
  <c r="AG138" i="1"/>
  <c r="AG139" i="1"/>
  <c r="AG140" i="1"/>
  <c r="AG141" i="1"/>
  <c r="AG142" i="1"/>
  <c r="AG143" i="1"/>
  <c r="AG144" i="1"/>
  <c r="AG145" i="1"/>
  <c r="AG146" i="1"/>
  <c r="AG147" i="1"/>
  <c r="AG148" i="1"/>
  <c r="AG149" i="1"/>
  <c r="AG150" i="1"/>
  <c r="AG151" i="1"/>
  <c r="AG152" i="1"/>
  <c r="AG153" i="1"/>
  <c r="AG154" i="1"/>
  <c r="AG155" i="1"/>
  <c r="AG156" i="1"/>
  <c r="AG157" i="1"/>
  <c r="AG158" i="1"/>
  <c r="AG159" i="1"/>
  <c r="AG160" i="1"/>
  <c r="AG161" i="1"/>
  <c r="AG162" i="1"/>
  <c r="AG163" i="1"/>
  <c r="AG164" i="1"/>
  <c r="AG165" i="1"/>
  <c r="AG166" i="1"/>
  <c r="AG167" i="1"/>
  <c r="AG168" i="1"/>
  <c r="AG169" i="1"/>
  <c r="AG170" i="1"/>
  <c r="AG171" i="1"/>
  <c r="AG172" i="1"/>
  <c r="AG173" i="1"/>
  <c r="AG174" i="1"/>
  <c r="AG175" i="1"/>
  <c r="AG176" i="1"/>
  <c r="AG177" i="1"/>
  <c r="AG178" i="1"/>
  <c r="AG179" i="1"/>
  <c r="BA75" i="1"/>
  <c r="BA78" i="1"/>
  <c r="BA83" i="1"/>
  <c r="BA85" i="1"/>
  <c r="BA87" i="1"/>
  <c r="BA89" i="1"/>
  <c r="BA91" i="1"/>
  <c r="BA93" i="1"/>
  <c r="BA95" i="1"/>
  <c r="BA97" i="1"/>
  <c r="BA99" i="1"/>
  <c r="BA101" i="1"/>
  <c r="BA103" i="1"/>
  <c r="BA105" i="1"/>
  <c r="BA107" i="1"/>
  <c r="BA109" i="1"/>
  <c r="BA111" i="1"/>
  <c r="BA113" i="1"/>
  <c r="BA115" i="1"/>
  <c r="BA117" i="1"/>
  <c r="BA119" i="1"/>
  <c r="BA121" i="1"/>
  <c r="BA123" i="1"/>
  <c r="BA125" i="1"/>
  <c r="BA127" i="1"/>
  <c r="BA129" i="1"/>
  <c r="BA172" i="1"/>
  <c r="BA176" i="1"/>
  <c r="BC31" i="1"/>
  <c r="BC32" i="1"/>
  <c r="BC33" i="1"/>
  <c r="BC34" i="1"/>
  <c r="BC35" i="1"/>
  <c r="BC36" i="1"/>
  <c r="BC37" i="1"/>
  <c r="BC38" i="1"/>
  <c r="BC39" i="1"/>
  <c r="BC40" i="1"/>
  <c r="BC41" i="1"/>
  <c r="BC42" i="1"/>
  <c r="BC43" i="1"/>
  <c r="BC44" i="1"/>
  <c r="BC45" i="1"/>
  <c r="BC46" i="1"/>
  <c r="BC47" i="1"/>
  <c r="BC48" i="1"/>
  <c r="BC49" i="1"/>
  <c r="BC50" i="1"/>
  <c r="BC51" i="1"/>
  <c r="BC52" i="1"/>
  <c r="BC53" i="1"/>
  <c r="BC54" i="1"/>
  <c r="BC55" i="1"/>
  <c r="BC56" i="1"/>
  <c r="BC57" i="1"/>
  <c r="BC58" i="1"/>
  <c r="BC59" i="1"/>
  <c r="BC60" i="1"/>
  <c r="BC61" i="1"/>
  <c r="BC62" i="1"/>
  <c r="BC63" i="1"/>
  <c r="BC64" i="1"/>
  <c r="BC65" i="1"/>
  <c r="BC66" i="1"/>
  <c r="BC67" i="1"/>
  <c r="BC68" i="1"/>
  <c r="BC69" i="1"/>
  <c r="BC70" i="1"/>
  <c r="BC71" i="1"/>
  <c r="BC72" i="1"/>
  <c r="BC73" i="1"/>
  <c r="BC74" i="1"/>
  <c r="BC75" i="1"/>
  <c r="BC76" i="1"/>
  <c r="BC77" i="1"/>
  <c r="BC78" i="1"/>
  <c r="BC79" i="1"/>
  <c r="BC80" i="1"/>
  <c r="BC81" i="1"/>
  <c r="BC82" i="1"/>
  <c r="BC83" i="1"/>
  <c r="BC84" i="1"/>
  <c r="BC85" i="1"/>
  <c r="BC86" i="1"/>
  <c r="BC87" i="1"/>
  <c r="BC88" i="1"/>
  <c r="BC89" i="1"/>
  <c r="BC90" i="1"/>
  <c r="BC91" i="1"/>
  <c r="BC92" i="1"/>
  <c r="BC93" i="1"/>
  <c r="BC94" i="1"/>
  <c r="BC95" i="1"/>
  <c r="BC96" i="1"/>
  <c r="BC97" i="1"/>
  <c r="BC98" i="1"/>
  <c r="BC99" i="1"/>
  <c r="BC100" i="1"/>
  <c r="BC101" i="1"/>
  <c r="BC102" i="1"/>
  <c r="BC103" i="1"/>
  <c r="BC104" i="1"/>
  <c r="BC105" i="1"/>
  <c r="BC106" i="1"/>
  <c r="BC107" i="1"/>
  <c r="BC108" i="1"/>
  <c r="BC109" i="1"/>
  <c r="BC110" i="1"/>
  <c r="BC111" i="1"/>
  <c r="BC112" i="1"/>
  <c r="BC113" i="1"/>
  <c r="BC114" i="1"/>
  <c r="BC115" i="1"/>
  <c r="BC116" i="1"/>
  <c r="BC117" i="1"/>
  <c r="BC118" i="1"/>
  <c r="BC119" i="1"/>
  <c r="BC120" i="1"/>
  <c r="BC121" i="1"/>
  <c r="BC122" i="1"/>
  <c r="BC123" i="1"/>
  <c r="BC124" i="1"/>
  <c r="BC125" i="1"/>
  <c r="BC126" i="1"/>
  <c r="BC127" i="1"/>
  <c r="BC128" i="1"/>
  <c r="BC129" i="1"/>
  <c r="BC130" i="1"/>
  <c r="BC131" i="1"/>
  <c r="BC132" i="1"/>
  <c r="BC133" i="1"/>
  <c r="BC134" i="1"/>
  <c r="BC135" i="1"/>
  <c r="BC136" i="1"/>
  <c r="BC137" i="1"/>
  <c r="BC138" i="1"/>
  <c r="BC139" i="1"/>
  <c r="BC140" i="1"/>
  <c r="BC141" i="1"/>
  <c r="BC142" i="1"/>
  <c r="BC143" i="1"/>
  <c r="BC144" i="1"/>
  <c r="BC145" i="1"/>
  <c r="BC146" i="1"/>
  <c r="BC147" i="1"/>
  <c r="BC148" i="1"/>
  <c r="BC149" i="1"/>
  <c r="BC150" i="1"/>
  <c r="BC151" i="1"/>
  <c r="BC152" i="1"/>
  <c r="BC153" i="1"/>
  <c r="BC154" i="1"/>
  <c r="BC155" i="1"/>
  <c r="BC156" i="1"/>
  <c r="BC157" i="1"/>
  <c r="BC158" i="1"/>
  <c r="BC159" i="1"/>
  <c r="BC160" i="1"/>
  <c r="BC161" i="1"/>
  <c r="BC162" i="1"/>
  <c r="BC163" i="1"/>
  <c r="BC164" i="1"/>
  <c r="BC165" i="1"/>
  <c r="BC166" i="1"/>
  <c r="BC167" i="1"/>
  <c r="BC168" i="1"/>
  <c r="BC169" i="1"/>
  <c r="BC170" i="1"/>
  <c r="BC171" i="1"/>
  <c r="BC172" i="1"/>
  <c r="BC173" i="1"/>
  <c r="BC174" i="1"/>
  <c r="BC175" i="1"/>
  <c r="BC176" i="1"/>
  <c r="BC177" i="1"/>
  <c r="BC178" i="1"/>
  <c r="BC179" i="1"/>
  <c r="BD31" i="1"/>
  <c r="BD32" i="1"/>
  <c r="BD33" i="1"/>
  <c r="BD34" i="1"/>
  <c r="BD35" i="1"/>
  <c r="BD36" i="1"/>
  <c r="BD37" i="1"/>
  <c r="BD38" i="1"/>
  <c r="BD39" i="1"/>
  <c r="BD40" i="1"/>
  <c r="BD41" i="1"/>
  <c r="BD42" i="1"/>
  <c r="BD43" i="1"/>
  <c r="BD44" i="1"/>
  <c r="BD45" i="1"/>
  <c r="BD46" i="1"/>
  <c r="BD47" i="1"/>
  <c r="BD48" i="1"/>
  <c r="BD49" i="1"/>
  <c r="BD50" i="1"/>
  <c r="BD51" i="1"/>
  <c r="BD52" i="1"/>
  <c r="BD53" i="1"/>
  <c r="BD54" i="1"/>
  <c r="BD55" i="1"/>
  <c r="BD56" i="1"/>
  <c r="BD57" i="1"/>
  <c r="BD58" i="1"/>
  <c r="BD59" i="1"/>
  <c r="BD60" i="1"/>
  <c r="BD61" i="1"/>
  <c r="BD62" i="1"/>
  <c r="BD63" i="1"/>
  <c r="BD64" i="1"/>
  <c r="BD65" i="1"/>
  <c r="BD66" i="1"/>
  <c r="BD67" i="1"/>
  <c r="BD68" i="1"/>
  <c r="BD69" i="1"/>
  <c r="BD70" i="1"/>
  <c r="BD71" i="1"/>
  <c r="BD72" i="1"/>
  <c r="BD73" i="1"/>
  <c r="BD74" i="1"/>
  <c r="BD75" i="1"/>
  <c r="BD76" i="1"/>
  <c r="BD77" i="1"/>
  <c r="BD78" i="1"/>
  <c r="BD79" i="1"/>
  <c r="BD80" i="1"/>
  <c r="BD81" i="1"/>
  <c r="BD82" i="1"/>
  <c r="BD83" i="1"/>
  <c r="BD84" i="1"/>
  <c r="BD85" i="1"/>
  <c r="BD86" i="1"/>
  <c r="BD87" i="1"/>
  <c r="BD88" i="1"/>
  <c r="BD89" i="1"/>
  <c r="BD90" i="1"/>
  <c r="BD91" i="1"/>
  <c r="BD92" i="1"/>
  <c r="BD93" i="1"/>
  <c r="BD94" i="1"/>
  <c r="BD95" i="1"/>
  <c r="BD96" i="1"/>
  <c r="BD97" i="1"/>
  <c r="BD98" i="1"/>
  <c r="BD99" i="1"/>
  <c r="BD100" i="1"/>
  <c r="BD101" i="1"/>
  <c r="BD102" i="1"/>
  <c r="BD103" i="1"/>
  <c r="BD104" i="1"/>
  <c r="BD105" i="1"/>
  <c r="BD106" i="1"/>
  <c r="BD107" i="1"/>
  <c r="BD108" i="1"/>
  <c r="BD109" i="1"/>
  <c r="BD110" i="1"/>
  <c r="BD111" i="1"/>
  <c r="BD112" i="1"/>
  <c r="BD113" i="1"/>
  <c r="BD114" i="1"/>
  <c r="BD115" i="1"/>
  <c r="BD116" i="1"/>
  <c r="BD117" i="1"/>
  <c r="BD118" i="1"/>
  <c r="BD119" i="1"/>
  <c r="BD120" i="1"/>
  <c r="BD121" i="1"/>
  <c r="BD122" i="1"/>
  <c r="BD123" i="1"/>
  <c r="BD124" i="1"/>
  <c r="BD125" i="1"/>
  <c r="BD126" i="1"/>
  <c r="BD127" i="1"/>
  <c r="BD128" i="1"/>
  <c r="BD129" i="1"/>
  <c r="BD130" i="1"/>
  <c r="BD131" i="1"/>
  <c r="BD132" i="1"/>
  <c r="BD133" i="1"/>
  <c r="BD134" i="1"/>
  <c r="BD135" i="1"/>
  <c r="BD136" i="1"/>
  <c r="BD137" i="1"/>
  <c r="BD138" i="1"/>
  <c r="BD139" i="1"/>
  <c r="BD140" i="1"/>
  <c r="BD141" i="1"/>
  <c r="BD142" i="1"/>
  <c r="BD143" i="1"/>
  <c r="BD144" i="1"/>
  <c r="BD145" i="1"/>
  <c r="BD146" i="1"/>
  <c r="BD147" i="1"/>
  <c r="BD148" i="1"/>
  <c r="BD149" i="1"/>
  <c r="BD150" i="1"/>
  <c r="BD151" i="1"/>
  <c r="BD152" i="1"/>
  <c r="BD153" i="1"/>
  <c r="BD154" i="1"/>
  <c r="BD155" i="1"/>
  <c r="BD156" i="1"/>
  <c r="BD157" i="1"/>
  <c r="BD158" i="1"/>
  <c r="BD159" i="1"/>
  <c r="BD160" i="1"/>
  <c r="BD161" i="1"/>
  <c r="BD162" i="1"/>
  <c r="BD163" i="1"/>
  <c r="BD164" i="1"/>
  <c r="BD165" i="1"/>
  <c r="BD166" i="1"/>
  <c r="BD167" i="1"/>
  <c r="BD168" i="1"/>
  <c r="BD169" i="1"/>
  <c r="BD170" i="1"/>
  <c r="BD171" i="1"/>
  <c r="BD172" i="1"/>
  <c r="BD173" i="1"/>
  <c r="BD174" i="1"/>
  <c r="BD175" i="1"/>
  <c r="BD176" i="1"/>
  <c r="BD177" i="1"/>
  <c r="BD178" i="1"/>
  <c r="BD179" i="1"/>
  <c r="AI81" i="1" l="1"/>
  <c r="AZ81" i="1" s="1"/>
  <c r="BA81" i="1" s="1"/>
  <c r="AI77" i="1"/>
  <c r="AZ77" i="1" s="1"/>
  <c r="BA77" i="1" s="1"/>
  <c r="AI73" i="1"/>
  <c r="AZ73" i="1" s="1"/>
  <c r="BA73" i="1" s="1"/>
  <c r="AI69" i="1"/>
  <c r="AZ69" i="1" s="1"/>
  <c r="BA69" i="1" s="1"/>
  <c r="AI64" i="1"/>
  <c r="AZ64" i="1" s="1"/>
  <c r="BA64" i="1" s="1"/>
  <c r="AI60" i="1"/>
  <c r="AZ60" i="1" s="1"/>
  <c r="BA60" i="1" s="1"/>
  <c r="AI58" i="1"/>
  <c r="AZ58" i="1" s="1"/>
  <c r="BA58" i="1" s="1"/>
  <c r="AI56" i="1"/>
  <c r="AZ56" i="1" s="1"/>
  <c r="BA56" i="1" s="1"/>
  <c r="AI54" i="1"/>
  <c r="AZ54" i="1" s="1"/>
  <c r="BA54" i="1" s="1"/>
  <c r="AI52" i="1"/>
  <c r="AZ52" i="1" s="1"/>
  <c r="BA52" i="1" s="1"/>
  <c r="AI48" i="1"/>
  <c r="AZ48" i="1" s="1"/>
  <c r="BA48" i="1" s="1"/>
  <c r="AI38" i="1"/>
  <c r="AZ38" i="1" s="1"/>
  <c r="BA38" i="1" s="1"/>
  <c r="AI36" i="1"/>
  <c r="AZ36" i="1" s="1"/>
  <c r="BA36" i="1" s="1"/>
  <c r="AI34" i="1"/>
  <c r="AZ34" i="1" s="1"/>
  <c r="BA34" i="1" s="1"/>
  <c r="AI32" i="1"/>
  <c r="AZ32" i="1" s="1"/>
  <c r="BA32" i="1" s="1"/>
  <c r="AI149" i="1"/>
  <c r="AZ149" i="1" s="1"/>
  <c r="BA149" i="1" s="1"/>
  <c r="AI145" i="1"/>
  <c r="AZ145" i="1" s="1"/>
  <c r="BA145" i="1" s="1"/>
  <c r="AI141" i="1"/>
  <c r="AZ141" i="1" s="1"/>
  <c r="BA141" i="1" s="1"/>
  <c r="AI137" i="1"/>
  <c r="AZ137" i="1" s="1"/>
  <c r="BA137" i="1" s="1"/>
  <c r="AI133" i="1"/>
  <c r="AZ133" i="1" s="1"/>
  <c r="BA133" i="1" s="1"/>
  <c r="AI178" i="1"/>
  <c r="AZ178" i="1" s="1"/>
  <c r="BA178" i="1" s="1"/>
  <c r="AI170" i="1"/>
  <c r="AZ170" i="1" s="1"/>
  <c r="BA170" i="1" s="1"/>
  <c r="AI166" i="1"/>
  <c r="AZ166" i="1" s="1"/>
  <c r="BA166" i="1" s="1"/>
  <c r="AI162" i="1"/>
  <c r="AZ162" i="1" s="1"/>
  <c r="BA162" i="1" s="1"/>
  <c r="AI158" i="1"/>
  <c r="AZ158" i="1" s="1"/>
  <c r="BA158" i="1" s="1"/>
  <c r="AI154" i="1"/>
  <c r="AZ154" i="1" s="1"/>
  <c r="BA154" i="1" s="1"/>
  <c r="AI150" i="1"/>
  <c r="AZ150" i="1" s="1"/>
  <c r="BA150" i="1" s="1"/>
  <c r="AI146" i="1"/>
  <c r="AZ146" i="1" s="1"/>
  <c r="BA146" i="1" s="1"/>
  <c r="AI142" i="1"/>
  <c r="AZ142" i="1" s="1"/>
  <c r="BA142" i="1" s="1"/>
  <c r="AI138" i="1"/>
  <c r="AZ138" i="1" s="1"/>
  <c r="BA138" i="1" s="1"/>
  <c r="AI134" i="1"/>
  <c r="AZ134" i="1" s="1"/>
  <c r="BA134" i="1" s="1"/>
  <c r="AI130" i="1"/>
  <c r="AZ130" i="1" s="1"/>
  <c r="BA130" i="1" s="1"/>
  <c r="AI80" i="1"/>
  <c r="AZ80" i="1" s="1"/>
  <c r="BA80" i="1" s="1"/>
  <c r="AI72" i="1"/>
  <c r="AZ72" i="1" s="1"/>
  <c r="BA72" i="1" s="1"/>
  <c r="AI70" i="1"/>
  <c r="AZ70" i="1" s="1"/>
  <c r="BA70" i="1" s="1"/>
  <c r="AI68" i="1"/>
  <c r="AZ68" i="1" s="1"/>
  <c r="BA68" i="1" s="1"/>
  <c r="AI65" i="1"/>
  <c r="AZ65" i="1" s="1"/>
  <c r="BA65" i="1" s="1"/>
  <c r="AI61" i="1"/>
  <c r="AZ61" i="1" s="1"/>
  <c r="BA61" i="1" s="1"/>
  <c r="AI59" i="1"/>
  <c r="AZ59" i="1" s="1"/>
  <c r="BA59" i="1" s="1"/>
  <c r="AI57" i="1"/>
  <c r="AZ57" i="1" s="1"/>
  <c r="BA57" i="1" s="1"/>
  <c r="AI53" i="1"/>
  <c r="AZ53" i="1" s="1"/>
  <c r="BA53" i="1" s="1"/>
  <c r="AI51" i="1"/>
  <c r="AZ51" i="1" s="1"/>
  <c r="BA51" i="1" s="1"/>
  <c r="AI49" i="1"/>
  <c r="AZ49" i="1" s="1"/>
  <c r="BA49" i="1" s="1"/>
  <c r="AI47" i="1"/>
  <c r="AZ47" i="1" s="1"/>
  <c r="BA47" i="1" s="1"/>
  <c r="AI45" i="1"/>
  <c r="AZ45" i="1" s="1"/>
  <c r="BA45" i="1" s="1"/>
  <c r="AI43" i="1"/>
  <c r="AZ43" i="1" s="1"/>
  <c r="BA43" i="1" s="1"/>
  <c r="AI41" i="1"/>
  <c r="AZ41" i="1" s="1"/>
  <c r="BA41" i="1" s="1"/>
  <c r="AI39" i="1"/>
  <c r="AZ39" i="1" s="1"/>
  <c r="BA39" i="1" s="1"/>
  <c r="AI37" i="1"/>
  <c r="AZ37" i="1" s="1"/>
  <c r="BA37" i="1" s="1"/>
  <c r="AI35" i="1"/>
  <c r="AZ35" i="1" s="1"/>
  <c r="BA35" i="1" s="1"/>
  <c r="AI33" i="1"/>
  <c r="AZ33" i="1" s="1"/>
  <c r="BA33" i="1" s="1"/>
  <c r="AZ168" i="1"/>
  <c r="BA168" i="1" s="1"/>
  <c r="AZ164" i="1"/>
  <c r="BA164" i="1" s="1"/>
  <c r="AZ160" i="1"/>
  <c r="BA160" i="1" s="1"/>
  <c r="AZ156" i="1"/>
  <c r="BA156" i="1" s="1"/>
  <c r="AZ152" i="1"/>
  <c r="BA152" i="1" s="1"/>
  <c r="AZ148" i="1"/>
  <c r="BA148" i="1" s="1"/>
  <c r="AZ144" i="1"/>
  <c r="BA144" i="1" s="1"/>
  <c r="AZ140" i="1"/>
  <c r="BA140" i="1" s="1"/>
  <c r="AZ136" i="1"/>
  <c r="BA136" i="1" s="1"/>
  <c r="AZ132" i="1"/>
  <c r="BA132" i="1" s="1"/>
  <c r="AZ74" i="1"/>
  <c r="BA74" i="1" s="1"/>
  <c r="AZ66" i="1"/>
  <c r="BA66" i="1" s="1"/>
  <c r="AZ62" i="1"/>
  <c r="BA62" i="1" s="1"/>
  <c r="AZ50" i="1"/>
  <c r="BA50" i="1" s="1"/>
  <c r="AZ46" i="1"/>
  <c r="BA46" i="1" s="1"/>
  <c r="AZ44" i="1"/>
  <c r="BA44" i="1" s="1"/>
  <c r="AZ42" i="1"/>
  <c r="BA42" i="1" s="1"/>
  <c r="AZ40" i="1"/>
  <c r="BA40" i="1" s="1"/>
  <c r="AZ177" i="1"/>
  <c r="BA177" i="1" s="1"/>
  <c r="AZ175" i="1"/>
  <c r="BA175" i="1" s="1"/>
  <c r="AZ173" i="1"/>
  <c r="BA173" i="1" s="1"/>
  <c r="AZ171" i="1"/>
  <c r="BA171" i="1" s="1"/>
  <c r="AZ169" i="1"/>
  <c r="BA169" i="1" s="1"/>
  <c r="AZ167" i="1"/>
  <c r="BA167" i="1" s="1"/>
  <c r="AZ163" i="1"/>
  <c r="BA163" i="1" s="1"/>
  <c r="AZ161" i="1"/>
  <c r="BA161" i="1" s="1"/>
  <c r="AZ159" i="1"/>
  <c r="BA159" i="1" s="1"/>
  <c r="AZ157" i="1"/>
  <c r="BA157" i="1" s="1"/>
  <c r="AZ155" i="1"/>
  <c r="BA155" i="1" s="1"/>
  <c r="AZ153" i="1"/>
  <c r="BA153" i="1" s="1"/>
  <c r="AZ151" i="1"/>
  <c r="BA151" i="1" s="1"/>
  <c r="AZ147" i="1"/>
  <c r="BA147" i="1" s="1"/>
  <c r="AZ143" i="1"/>
  <c r="BA143" i="1" s="1"/>
  <c r="AZ139" i="1"/>
  <c r="BA139" i="1" s="1"/>
  <c r="AZ135" i="1"/>
  <c r="BA135" i="1" s="1"/>
  <c r="AZ131" i="1"/>
  <c r="BA131" i="1" s="1"/>
  <c r="AZ79" i="1"/>
  <c r="BA79" i="1" s="1"/>
  <c r="AZ71" i="1"/>
  <c r="BA71" i="1" s="1"/>
  <c r="AZ67" i="1"/>
  <c r="BA67" i="1" s="1"/>
  <c r="AZ63" i="1"/>
  <c r="BA63" i="1" s="1"/>
  <c r="AZ55" i="1"/>
  <c r="BA55" i="1" s="1"/>
  <c r="AZ31" i="1"/>
  <c r="BA31" i="1" s="1"/>
  <c r="V178" i="1"/>
  <c r="V174" i="1"/>
  <c r="V170" i="1"/>
  <c r="V166" i="1"/>
  <c r="V162" i="1"/>
  <c r="V158" i="1"/>
  <c r="V154" i="1"/>
  <c r="V150" i="1"/>
  <c r="V146" i="1"/>
  <c r="V142" i="1"/>
  <c r="V138" i="1"/>
  <c r="V134" i="1"/>
  <c r="V130" i="1"/>
  <c r="V81" i="1"/>
  <c r="V77" i="1"/>
  <c r="V73" i="1"/>
  <c r="V69" i="1"/>
  <c r="V65" i="1"/>
  <c r="V61" i="1"/>
  <c r="V57" i="1"/>
  <c r="V53" i="1"/>
  <c r="V49" i="1"/>
  <c r="V45" i="1"/>
  <c r="V41" i="1"/>
  <c r="V37" i="1"/>
  <c r="V33" i="1"/>
  <c r="V177" i="1"/>
  <c r="V173" i="1"/>
  <c r="V169" i="1"/>
  <c r="V165" i="1"/>
  <c r="V161" i="1"/>
  <c r="V157" i="1"/>
  <c r="V153" i="1"/>
  <c r="V149" i="1"/>
  <c r="V145" i="1"/>
  <c r="V141" i="1"/>
  <c r="V137" i="1"/>
  <c r="V133" i="1"/>
  <c r="V80" i="1"/>
  <c r="V76" i="1"/>
  <c r="V72" i="1"/>
  <c r="V68" i="1"/>
  <c r="V64" i="1"/>
  <c r="V60" i="1"/>
  <c r="V56" i="1"/>
  <c r="V52" i="1"/>
  <c r="V48" i="1"/>
  <c r="V40" i="1"/>
  <c r="V36" i="1"/>
  <c r="V32" i="1"/>
  <c r="V176" i="1"/>
  <c r="V172" i="1"/>
  <c r="V168" i="1"/>
  <c r="V164" i="1"/>
  <c r="V160" i="1"/>
  <c r="V156" i="1"/>
  <c r="V152" i="1"/>
  <c r="V148" i="1"/>
  <c r="V144" i="1"/>
  <c r="V140" i="1"/>
  <c r="V136" i="1"/>
  <c r="V132" i="1"/>
  <c r="V79" i="1"/>
  <c r="V75" i="1"/>
  <c r="V71" i="1"/>
  <c r="V67" i="1"/>
  <c r="V63" i="1"/>
  <c r="V59" i="1"/>
  <c r="V55" i="1"/>
  <c r="V51" i="1"/>
  <c r="V47" i="1"/>
  <c r="V43" i="1"/>
  <c r="V39" i="1"/>
  <c r="V35" i="1"/>
  <c r="V31" i="1"/>
  <c r="V175" i="1"/>
  <c r="V171" i="1"/>
  <c r="V167" i="1"/>
  <c r="V163" i="1"/>
  <c r="V159" i="1"/>
  <c r="V155" i="1"/>
  <c r="V151" i="1"/>
  <c r="V147" i="1"/>
  <c r="V143" i="1"/>
  <c r="V139" i="1"/>
  <c r="V135" i="1"/>
  <c r="V131" i="1"/>
  <c r="V78" i="1"/>
  <c r="V74" i="1"/>
  <c r="V70" i="1"/>
  <c r="V66" i="1"/>
  <c r="V62" i="1"/>
  <c r="V58" i="1"/>
  <c r="V54" i="1"/>
  <c r="V42" i="1"/>
  <c r="V38" i="1"/>
  <c r="V34" i="1"/>
  <c r="BC2" i="1" l="1"/>
  <c r="BC3" i="1"/>
  <c r="BC4" i="1"/>
  <c r="BC5" i="1"/>
  <c r="BC6" i="1"/>
  <c r="BC7" i="1"/>
  <c r="BC8" i="1"/>
  <c r="BC9" i="1"/>
  <c r="BC10" i="1"/>
  <c r="BC11" i="1"/>
  <c r="BC12" i="1"/>
  <c r="BC13" i="1"/>
  <c r="BC14" i="1"/>
  <c r="BC15" i="1"/>
  <c r="BC16" i="1"/>
  <c r="BC17" i="1"/>
  <c r="BC18" i="1"/>
  <c r="BC19" i="1"/>
  <c r="BC20" i="1"/>
  <c r="BC21" i="1"/>
  <c r="BC22" i="1"/>
  <c r="BC23" i="1"/>
  <c r="BC24" i="1"/>
  <c r="BC25" i="1"/>
  <c r="BC26" i="1"/>
  <c r="BC27" i="1"/>
  <c r="BC28" i="1"/>
  <c r="BC29" i="1"/>
  <c r="BC30" i="1"/>
  <c r="P23" i="1" l="1"/>
  <c r="P30" i="1"/>
  <c r="AX30" i="1"/>
  <c r="AC30" i="1"/>
  <c r="AE30" i="1"/>
  <c r="AF30" i="1" s="1"/>
  <c r="AG30" i="1"/>
  <c r="P27" i="1"/>
  <c r="P28" i="1"/>
  <c r="P29" i="1"/>
  <c r="AX27" i="1"/>
  <c r="AX28" i="1"/>
  <c r="BD28" i="1" s="1"/>
  <c r="AX29" i="1"/>
  <c r="BD29" i="1" s="1"/>
  <c r="AC27" i="1"/>
  <c r="AC28" i="1"/>
  <c r="AC29" i="1"/>
  <c r="AE29" i="1"/>
  <c r="AF29" i="1" s="1"/>
  <c r="AG27" i="1"/>
  <c r="AG28" i="1"/>
  <c r="AG29" i="1"/>
  <c r="P22" i="1"/>
  <c r="P24" i="1"/>
  <c r="P25" i="1"/>
  <c r="P26" i="1"/>
  <c r="AX22" i="1"/>
  <c r="BD22" i="1" s="1"/>
  <c r="AX23" i="1"/>
  <c r="AX24" i="1"/>
  <c r="BD24" i="1" s="1"/>
  <c r="AX25" i="1"/>
  <c r="BD25" i="1" s="1"/>
  <c r="AX26" i="1"/>
  <c r="AC22" i="1"/>
  <c r="AC23" i="1"/>
  <c r="AC24" i="1"/>
  <c r="AC25" i="1"/>
  <c r="AC26" i="1"/>
  <c r="AE22" i="1"/>
  <c r="AF22" i="1" s="1"/>
  <c r="AE23" i="1"/>
  <c r="AF23" i="1" s="1"/>
  <c r="AE25" i="1"/>
  <c r="AF25" i="1" s="1"/>
  <c r="AG22" i="1"/>
  <c r="AG23" i="1"/>
  <c r="AG24" i="1"/>
  <c r="AG25" i="1"/>
  <c r="AG26" i="1"/>
  <c r="P20" i="1"/>
  <c r="P21" i="1"/>
  <c r="AX20" i="1"/>
  <c r="AX21" i="1"/>
  <c r="BD21" i="1" s="1"/>
  <c r="AC20" i="1"/>
  <c r="AC21" i="1"/>
  <c r="AE21" i="1"/>
  <c r="AF21" i="1" s="1"/>
  <c r="AG20" i="1"/>
  <c r="AG21" i="1"/>
  <c r="P15" i="1"/>
  <c r="P16" i="1"/>
  <c r="P17" i="1"/>
  <c r="P18" i="1"/>
  <c r="P19" i="1"/>
  <c r="AX15" i="1"/>
  <c r="AX16" i="1"/>
  <c r="AX17" i="1"/>
  <c r="BD17" i="1" s="1"/>
  <c r="AX18" i="1"/>
  <c r="BD18" i="1" s="1"/>
  <c r="AX19" i="1"/>
  <c r="BD19" i="1" s="1"/>
  <c r="AC15" i="1"/>
  <c r="AC16" i="1"/>
  <c r="AZ17" i="1"/>
  <c r="AC18" i="1"/>
  <c r="AC19" i="1"/>
  <c r="AE15" i="1"/>
  <c r="AF15" i="1" s="1"/>
  <c r="AE16" i="1"/>
  <c r="AF16" i="1" s="1"/>
  <c r="AG15" i="1"/>
  <c r="AG16" i="1"/>
  <c r="AG17" i="1"/>
  <c r="AG18" i="1"/>
  <c r="AG19" i="1"/>
  <c r="BD15" i="1"/>
  <c r="BD16" i="1"/>
  <c r="P12" i="1"/>
  <c r="P13" i="1"/>
  <c r="P14" i="1"/>
  <c r="AX12" i="1"/>
  <c r="AX13" i="1"/>
  <c r="BD13" i="1" s="1"/>
  <c r="AX14" i="1"/>
  <c r="AC12" i="1"/>
  <c r="AC13" i="1"/>
  <c r="AC14" i="1"/>
  <c r="AE12" i="1"/>
  <c r="AF12" i="1" s="1"/>
  <c r="AE13" i="1"/>
  <c r="AF13" i="1" s="1"/>
  <c r="AG12" i="1"/>
  <c r="AG13" i="1"/>
  <c r="AG14" i="1"/>
  <c r="P8" i="1"/>
  <c r="P9" i="1"/>
  <c r="P10" i="1"/>
  <c r="P11" i="1"/>
  <c r="AX8" i="1"/>
  <c r="BD8" i="1" s="1"/>
  <c r="AX9" i="1"/>
  <c r="AX10" i="1"/>
  <c r="AX11" i="1"/>
  <c r="AC8" i="1"/>
  <c r="AC9" i="1"/>
  <c r="AC10" i="1"/>
  <c r="AC11" i="1"/>
  <c r="AI11" i="1" s="1"/>
  <c r="AE8" i="1"/>
  <c r="AF8" i="1" s="1"/>
  <c r="AE9" i="1"/>
  <c r="AF9" i="1" s="1"/>
  <c r="AE10" i="1"/>
  <c r="AF10" i="1" s="1"/>
  <c r="AG8" i="1"/>
  <c r="AG9" i="1"/>
  <c r="AG10" i="1"/>
  <c r="AG11" i="1"/>
  <c r="BD9" i="1"/>
  <c r="BD10" i="1"/>
  <c r="P7" i="1"/>
  <c r="AX7" i="1"/>
  <c r="AC7" i="1"/>
  <c r="AE7" i="1"/>
  <c r="AF7" i="1" s="1"/>
  <c r="AG7" i="1"/>
  <c r="P5" i="1"/>
  <c r="P6" i="1"/>
  <c r="AX5" i="1"/>
  <c r="BD5" i="1" s="1"/>
  <c r="AX6" i="1"/>
  <c r="AC5" i="1"/>
  <c r="AC6" i="1"/>
  <c r="AE5" i="1"/>
  <c r="AF5" i="1" s="1"/>
  <c r="AE6" i="1"/>
  <c r="AF6" i="1" s="1"/>
  <c r="AG5" i="1"/>
  <c r="AG6" i="1"/>
  <c r="AI6" i="1" l="1"/>
  <c r="AZ6" i="1" s="1"/>
  <c r="BA6" i="1" s="1"/>
  <c r="AI5" i="1"/>
  <c r="AZ5" i="1" s="1"/>
  <c r="BA5" i="1" s="1"/>
  <c r="AI9" i="1"/>
  <c r="AZ9" i="1" s="1"/>
  <c r="BA9" i="1" s="1"/>
  <c r="AI13" i="1"/>
  <c r="AZ13" i="1" s="1"/>
  <c r="BA13" i="1" s="1"/>
  <c r="AI18" i="1"/>
  <c r="AZ18" i="1" s="1"/>
  <c r="BA18" i="1" s="1"/>
  <c r="AI16" i="1"/>
  <c r="AZ16" i="1" s="1"/>
  <c r="BA16" i="1" s="1"/>
  <c r="AI20" i="1"/>
  <c r="AZ20" i="1" s="1"/>
  <c r="BA20" i="1" s="1"/>
  <c r="AI25" i="1"/>
  <c r="AZ25" i="1" s="1"/>
  <c r="BA25" i="1" s="1"/>
  <c r="AI23" i="1"/>
  <c r="AZ23" i="1" s="1"/>
  <c r="BA23" i="1" s="1"/>
  <c r="AI28" i="1"/>
  <c r="AZ28" i="1" s="1"/>
  <c r="BA28" i="1" s="1"/>
  <c r="AI30" i="1"/>
  <c r="AZ30" i="1" s="1"/>
  <c r="BA30" i="1" s="1"/>
  <c r="AI7" i="1"/>
  <c r="AZ7" i="1" s="1"/>
  <c r="BA7" i="1" s="1"/>
  <c r="AI10" i="1"/>
  <c r="AZ10" i="1" s="1"/>
  <c r="AI8" i="1"/>
  <c r="AZ8" i="1" s="1"/>
  <c r="BA8" i="1" s="1"/>
  <c r="AI14" i="1"/>
  <c r="AZ14" i="1" s="1"/>
  <c r="BA14" i="1" s="1"/>
  <c r="AI12" i="1"/>
  <c r="AZ12" i="1" s="1"/>
  <c r="BA12" i="1" s="1"/>
  <c r="AI19" i="1"/>
  <c r="AZ19" i="1" s="1"/>
  <c r="BA19" i="1" s="1"/>
  <c r="AI15" i="1"/>
  <c r="AZ15" i="1" s="1"/>
  <c r="BA15" i="1" s="1"/>
  <c r="AI21" i="1"/>
  <c r="AZ21" i="1" s="1"/>
  <c r="BA21" i="1" s="1"/>
  <c r="AI26" i="1"/>
  <c r="AZ26" i="1" s="1"/>
  <c r="BA26" i="1" s="1"/>
  <c r="AI24" i="1"/>
  <c r="AZ24" i="1" s="1"/>
  <c r="BA24" i="1" s="1"/>
  <c r="AI22" i="1"/>
  <c r="AZ22" i="1" s="1"/>
  <c r="BA22" i="1" s="1"/>
  <c r="AI29" i="1"/>
  <c r="AZ29" i="1" s="1"/>
  <c r="BA29" i="1" s="1"/>
  <c r="AI27" i="1"/>
  <c r="AZ27" i="1" s="1"/>
  <c r="BA27" i="1" s="1"/>
  <c r="AZ11" i="1"/>
  <c r="BA11" i="1" s="1"/>
  <c r="V11" i="1"/>
  <c r="V10" i="1"/>
  <c r="V19" i="1"/>
  <c r="V15" i="1"/>
  <c r="V22" i="1"/>
  <c r="V28" i="1"/>
  <c r="V30" i="1"/>
  <c r="V6" i="1"/>
  <c r="V7" i="1"/>
  <c r="V9" i="1"/>
  <c r="V14" i="1"/>
  <c r="V18" i="1"/>
  <c r="V21" i="1"/>
  <c r="V26" i="1"/>
  <c r="V27" i="1"/>
  <c r="V23" i="1"/>
  <c r="V5" i="1"/>
  <c r="V8" i="1"/>
  <c r="V13" i="1"/>
  <c r="V17" i="1"/>
  <c r="V20" i="1"/>
  <c r="V25" i="1"/>
  <c r="V12" i="1"/>
  <c r="V16" i="1"/>
  <c r="V24" i="1"/>
  <c r="V29" i="1"/>
  <c r="BA17" i="1"/>
  <c r="BD11" i="1"/>
  <c r="BD23" i="1"/>
  <c r="BD20" i="1"/>
  <c r="BD7" i="1"/>
  <c r="BD6" i="1"/>
  <c r="BD14" i="1"/>
  <c r="BD26" i="1"/>
  <c r="BD30" i="1"/>
  <c r="BD12" i="1"/>
  <c r="BD27" i="1"/>
  <c r="BA10" i="1" l="1"/>
  <c r="P4" i="1"/>
  <c r="AX4" i="1"/>
  <c r="AC4" i="1"/>
  <c r="AE4" i="1"/>
  <c r="AF4" i="1" s="1"/>
  <c r="AG4" i="1"/>
  <c r="BD4" i="1"/>
  <c r="AI4" i="1" l="1"/>
  <c r="AZ4" i="1" s="1"/>
  <c r="BA4" i="1" s="1"/>
  <c r="V4" i="1"/>
  <c r="AG2" i="1" l="1"/>
  <c r="AG3" i="1"/>
  <c r="AE2" i="1"/>
  <c r="AF2" i="1" s="1"/>
  <c r="AE3" i="1"/>
  <c r="AF3" i="1" s="1"/>
  <c r="AC2" i="1"/>
  <c r="AC3" i="1"/>
  <c r="AI3" i="1" l="1"/>
  <c r="AZ3" i="1" s="1"/>
  <c r="BA3" i="1" s="1"/>
  <c r="AI2" i="1"/>
  <c r="AZ2" i="1" s="1"/>
  <c r="P3" i="1"/>
  <c r="AX3" i="1"/>
  <c r="V3" i="1" l="1"/>
  <c r="BD3" i="1"/>
  <c r="AX2" i="1" l="1"/>
  <c r="P2" i="1"/>
  <c r="BA2" i="1"/>
  <c r="V2" i="1" l="1"/>
  <c r="BD2" i="1"/>
</calcChain>
</file>

<file path=xl/sharedStrings.xml><?xml version="1.0" encoding="utf-8"?>
<sst xmlns="http://schemas.openxmlformats.org/spreadsheetml/2006/main" count="1368" uniqueCount="170">
  <si>
    <t>Pilote d'axe</t>
  </si>
  <si>
    <t>Version du plan</t>
  </si>
  <si>
    <t>Statut</t>
  </si>
  <si>
    <t>Montant du projet</t>
  </si>
  <si>
    <t>Montant participation voté au CA</t>
  </si>
  <si>
    <t>Montant des crédits non engagés</t>
  </si>
  <si>
    <t xml:space="preserve">Date signature </t>
  </si>
  <si>
    <t>AVANCE PREVUE</t>
  </si>
  <si>
    <t>Date de l'avance prévue</t>
  </si>
  <si>
    <t>SOLDE PREVU</t>
  </si>
  <si>
    <t xml:space="preserve">Date du solde prévue  </t>
  </si>
  <si>
    <t>AVANCE VERSEE</t>
  </si>
  <si>
    <t>SOLDE VERSE</t>
  </si>
  <si>
    <t>Commentaires</t>
  </si>
  <si>
    <t>Total CP payés</t>
  </si>
  <si>
    <t xml:space="preserve">Restes à payer </t>
  </si>
  <si>
    <t xml:space="preserve">Titre de recette </t>
  </si>
  <si>
    <t>Réfaction</t>
  </si>
  <si>
    <t>Observations</t>
  </si>
  <si>
    <t>Version</t>
  </si>
  <si>
    <t>V1</t>
  </si>
  <si>
    <t>V2</t>
  </si>
  <si>
    <t>Nature juridique</t>
  </si>
  <si>
    <t>Secteur</t>
  </si>
  <si>
    <t xml:space="preserve">Nom du contact </t>
  </si>
  <si>
    <t>Mail</t>
  </si>
  <si>
    <t>Téléphone</t>
  </si>
  <si>
    <t>AXE</t>
  </si>
  <si>
    <t>Pilote</t>
  </si>
  <si>
    <t>PIL1</t>
  </si>
  <si>
    <t>PIL2</t>
  </si>
  <si>
    <t>PIL3</t>
  </si>
  <si>
    <t>PIL4</t>
  </si>
  <si>
    <t>PIL5</t>
  </si>
  <si>
    <t>PIL6</t>
  </si>
  <si>
    <t>Porteur de projet</t>
  </si>
  <si>
    <t>Dégagement</t>
  </si>
  <si>
    <t>Enveloppe</t>
  </si>
  <si>
    <t xml:space="preserve"> </t>
  </si>
  <si>
    <t>0ECO</t>
  </si>
  <si>
    <t>8 et 9</t>
  </si>
  <si>
    <t>13.1</t>
  </si>
  <si>
    <t>17 et 18</t>
  </si>
  <si>
    <t>1 et 3</t>
  </si>
  <si>
    <t>5 et 12</t>
  </si>
  <si>
    <t>PIL 1 et 3</t>
  </si>
  <si>
    <t>Contact Pilote</t>
  </si>
  <si>
    <t>Contact Porteur</t>
  </si>
  <si>
    <t xml:space="preserve">Signée </t>
  </si>
  <si>
    <t>1.2</t>
  </si>
  <si>
    <t>1 et 5</t>
  </si>
  <si>
    <t>5 et 6</t>
  </si>
  <si>
    <t>6.1</t>
  </si>
  <si>
    <t xml:space="preserve">Marché </t>
  </si>
  <si>
    <t xml:space="preserve">En cours de validation au service juridique </t>
  </si>
  <si>
    <t xml:space="preserve">En cours de signature chez le partenaire </t>
  </si>
  <si>
    <t>6.2</t>
  </si>
  <si>
    <t>29.2</t>
  </si>
  <si>
    <t>30.2</t>
  </si>
  <si>
    <t xml:space="preserve"> 6 et 6.1</t>
  </si>
  <si>
    <t>1.3</t>
  </si>
  <si>
    <t xml:space="preserve">En cours de validation chez le contrôleur financier </t>
  </si>
  <si>
    <t xml:space="preserve">En cours d'envoi au partenaire </t>
  </si>
  <si>
    <t xml:space="preserve">projet en cours de validation chez le partenaire </t>
  </si>
  <si>
    <t>Problème (report, blocage …)</t>
  </si>
  <si>
    <t xml:space="preserve">En cours de rédaction chez le partenaire </t>
  </si>
  <si>
    <t>Annulée</t>
  </si>
  <si>
    <t xml:space="preserve">Marchés </t>
  </si>
  <si>
    <t>Avenant</t>
  </si>
  <si>
    <t>19 à 29.2</t>
  </si>
  <si>
    <t>7 à 9</t>
  </si>
  <si>
    <t>oui</t>
  </si>
  <si>
    <t>2 et 3</t>
  </si>
  <si>
    <t>27/05/2016 CI</t>
  </si>
  <si>
    <t>19/09/2016 CI</t>
  </si>
  <si>
    <t xml:space="preserve">Diminution de la durée de la convention </t>
  </si>
  <si>
    <t>Report 2017</t>
  </si>
  <si>
    <t>\\dg94stoc.onema.fr\partages_$\dg94_dcuat\ECOPHYTO\ECOPHYTO 2018\CONVENTIONS\ECOPHYTO I\Axe 2\Action 14\APCA\APCA - PLURIANNUELLE 2015 - n°2553</t>
  </si>
  <si>
    <t>\\dg94stoc.onema.fr\partages_$\dg94_dcuat\ECOPHYTO\ECOPHYTO 2018\CONVENTIONS\ECOPHYTO II\AXE 4  JEVI (jardins, espaces végétalisés et infrastructures)\GENERATIONS FUTURES\2016</t>
  </si>
  <si>
    <t>\\dg94stoc.onema.fr\partages_$\dg94_dcuat\ECOPHYTO\ECOPHYTO 2018\CONVENTIONS\ECOPHYTO II\AXE 1 AGIR AUJOURDHUI ET FAIRE EVOLUER LES PRATIQUES\Action 1 Pratiques concourant à la diminution de PP\1.1 CEPP</t>
  </si>
  <si>
    <t>\\dg94stoc.onema.fr\partages_$\dg94_dcuat\ECOPHYTO\ECOPHYTO 2018\CONVENTIONS\ECOPHYTO II\AXE 4  JEVI (jardins, espaces végétalisés et infrastructures)\PLANTE ET CITE\2016</t>
  </si>
  <si>
    <t>\\dg94stoc.onema.fr\partages_$\dg94_dcuat\ECOPHYTO\ECOPHYTO 2018\CONVENTIONS\ECOPHYTO II\AXE 1 AGIR AUJOURDHUI ET FAIRE EVOLUER LES PRATIQUES\SOLAGRO\2016</t>
  </si>
  <si>
    <t>\\dg94stoc.onema.fr\partages_$\dg94_dcuat\ECOPHYTO\ECOPHYTO 2018\CONVENTIONS\ECOPHYTO II\AXE 3  EVALUER ET MAITRISER LES RISQUES ET LES IMPACTS\NEGOCE EXPANSION\2016</t>
  </si>
  <si>
    <t>\\dg94stoc.onema.fr\partages_$\dg94_dcuat\ECOPHYTO\ECOPHYTO 2018\CONVENTIONS\ECOPHYTO II\AXE 4  JEVI (jardins, espaces végétalisés et infrastructures)\JARDINOT</t>
  </si>
  <si>
    <t>\\dg94stoc.onema.fr\partages_$\dg94_dcuat\ECOPHYTO\ECOPHYTO 2018\CONVENTIONS\ECOPHYTO II\AXE 2  AMELIORER LES CONNAISSANCES ET LES OUTILS POUR DEMAIN ET ENCOURAGER LA RECHERCHE ET L’INNOVATION\APR CASDAR 2016 CA 19 11 2015\DITYLUZ</t>
  </si>
  <si>
    <t>\\dg94stoc.onema.fr\partages_$\dg94_dcuat\ECOPHYTO\ECOPHYTO 2018\CONVENTIONS\ECOPHYTO II\AXE 4  JEVI (jardins, espaces végétalisés et infrastructures)\INRA\2016</t>
  </si>
  <si>
    <t>\\dg94stoc.onema.fr\partages_$\dg94_dcuat\ECOPHYTO\ECOPHYTO 2018\CONVENTIONS\ECOPHYTO II\AXE 1 AGIR AUJOURDHUI ET FAIRE EVOLUER LES PRATIQUES\CRA DEPHY\2016</t>
  </si>
  <si>
    <t>\\dg94stoc.onema.fr\partages_$\dg94_dcuat\ECOPHYTO\ECOPHYTO 2018\CONVENTIONS\ECOPHYTO II\AXE 2  AMELIORER LES CONNAISSANCES ET LES OUTILS POUR DEMAIN ET ENCOURAGER LA RECHERCHE ET L’INNOVATION\APR CASDAR 2016 CA 19 11 2015\SEMENCES</t>
  </si>
  <si>
    <t>\\dg94stoc.onema.fr\partages_$\dg94_dcuat\ECOPHYTO\ECOPHYTO 2018\CONVENTIONS\ECOPHYTO II\AXE 6  COMMUNIQUER ET GOUVERNANCE SIMPLIFIEE\RAD</t>
  </si>
  <si>
    <t>\\dg94stoc.onema.fr\partages_$\dg94_dcuat\ECOPHYTO\ECOPHYTO 2018\CONVENTIONS\ECOPHYTO II\AXE 5  POLITIQUES PUBLIQUES, TERRITOIRES ET FILIERES\ODEADOM\2016\professionnaliser les acteurs et favoriser le transfert de comptences</t>
  </si>
  <si>
    <t>\\dg94stoc.onema.fr\partages_$\dg94_dcuat\ECOPHYTO\ECOPHYTO 2018\CONVENTIONS\ECOPHYTO II\AXE 5  POLITIQUES PUBLIQUES, TERRITOIRES ET FILIERES\ODEADOM\2016\Programme expérimentation</t>
  </si>
  <si>
    <t>\\dg94stoc.onema.fr\partages_$\dg94_dcuat\ECOPHYTO\ECOPHYTO 2018\CONVENTIONS\ECOPHYTO II\AXE 6  COMMUNIQUER ET GOUVERNANCE SIMPLIFIEE\CTIFL\2016\communication GIS PIClèg</t>
  </si>
  <si>
    <t>\\dg94stoc.onema.fr\partages_$\dg94_dcuat\ECOPHYTO\ECOPHYTO 2018\CONVENTIONS\ECOPHYTO II\AXE 1 AGIR AUJOURDHUI ET FAIRE EVOLUER LES PRATIQUES\IFV\2016</t>
  </si>
  <si>
    <t>\\dg94stoc.onema.fr\partages_$\dg94_dcuat\ECOPHYTO\ECOPHYTO 2018\CONVENTIONS\ECOPHYTO II\AXE 4  JEVI (jardins, espaces végétalisés et infrastructures)\ACTA\2016</t>
  </si>
  <si>
    <t>\\dg94stoc.onema.fr\partages_$\dg94_dcuat\ECOPHYTO\ECOPHYTO 2018\CONVENTIONS\ECOPHYTO II\AXE 2  AMELIORER LES CONNAISSANCES ET LES OUTILS POUR DEMAIN ET ENCOURAGER LA RECHERCHE ET L’INNOVATION\APR CASDAR 2016 CA 19 11 2015\IRIGAM</t>
  </si>
  <si>
    <t>\\dg94stoc.onema.fr\partages_$\dg94_dcuat\ECOPHYTO\ECOPHYTO 2018\CONVENTIONS\ECOPHYTO II\AXE 3  EVALUER ET MAITRISER LES RISQUES ET LES IMPACTS\LSTE\2016\Former les conjoints des viticulteurs</t>
  </si>
  <si>
    <t>\\dg94stoc.onema.fr\partages_$\dg94_dcuat\ECOPHYTO\ECOPHYTO 2018\CONVENTIONS\ECOPHYTO II\AXE 3  EVALUER ET MAITRISER LES RISQUES ET LES IMPACTS\InvS\2016\Matphyto 2</t>
  </si>
  <si>
    <t>\\dg94stoc.onema.fr\partages_$\dg94_dcuat\ECOPHYTO\ECOPHYTO 2018\CONVENTIONS\ECOPHYTO II\AXE 3  EVALUER ET MAITRISER LES RISQUES ET LES IMPACTS\InvS DST\2016</t>
  </si>
  <si>
    <t xml:space="preserve">En cours de signature </t>
  </si>
  <si>
    <t xml:space="preserve">Durée totale conv' </t>
  </si>
  <si>
    <t>Échéance remise rapport inter'</t>
  </si>
  <si>
    <t xml:space="preserve">R
E
S
E
A
U
</t>
  </si>
  <si>
    <t xml:space="preserve">A
X
E
</t>
  </si>
  <si>
    <t>A
C
T
I
O
N</t>
  </si>
  <si>
    <t>PORTEUR
DE
PROJET</t>
  </si>
  <si>
    <t>LIBELE
PROJET</t>
  </si>
  <si>
    <t>STATUT</t>
  </si>
  <si>
    <t>DATE CA</t>
  </si>
  <si>
    <t>N°SIREPA</t>
  </si>
  <si>
    <t>Clé
primaire</t>
  </si>
  <si>
    <t>Avenant 1 date signature</t>
  </si>
  <si>
    <t>Objet avenant 1</t>
  </si>
  <si>
    <t>Avenant 2 date signature</t>
  </si>
  <si>
    <t>Objet avenant 2</t>
  </si>
  <si>
    <t>Durée du projet</t>
  </si>
  <si>
    <t>Durée suppl' pour pièces</t>
  </si>
  <si>
    <t>Début éligibilité dépenses</t>
  </si>
  <si>
    <t>Fin éligibilité dépenses</t>
  </si>
  <si>
    <t>Échéance demande d'avenant</t>
  </si>
  <si>
    <t>Échéance de la conv' et rapport final</t>
  </si>
  <si>
    <t>ACOMPTE VERSE</t>
  </si>
  <si>
    <t>Date du mandat Acompte</t>
  </si>
  <si>
    <t>Date du mandat Avance</t>
  </si>
  <si>
    <t>ACOMPTE PREVU</t>
  </si>
  <si>
    <t>Date de l'acompte prévue</t>
  </si>
  <si>
    <t>Date de relance RI</t>
  </si>
  <si>
    <t>Date de réception RI</t>
  </si>
  <si>
    <t>Date de relance RF</t>
  </si>
  <si>
    <t>Date de réception RF</t>
  </si>
  <si>
    <t>Date envoi ASF Acompte</t>
  </si>
  <si>
    <t xml:space="preserve">Date envoi l'ASF solde </t>
  </si>
  <si>
    <t>Date mandat Solde</t>
  </si>
  <si>
    <t>30/09/2016</t>
  </si>
  <si>
    <t>17/06/2016</t>
  </si>
  <si>
    <t>Montant participation à signature</t>
  </si>
  <si>
    <t>Total général</t>
  </si>
  <si>
    <t>(vide)</t>
  </si>
  <si>
    <t>Voir nouvelle methode de prise en compte des avenants pour retomber sur délibs</t>
  </si>
  <si>
    <t>Nombre de conventions</t>
  </si>
  <si>
    <t>Statuts</t>
  </si>
  <si>
    <t>Avance</t>
  </si>
  <si>
    <t>Acompte</t>
  </si>
  <si>
    <t>Solde</t>
  </si>
  <si>
    <t>Bidul</t>
  </si>
  <si>
    <t>Chouette</t>
  </si>
  <si>
    <t>Machin</t>
  </si>
  <si>
    <t>Montant subvention accordée</t>
  </si>
  <si>
    <t>En cours de signature chez nous</t>
  </si>
  <si>
    <t>En cours d'envoi à nous</t>
  </si>
  <si>
    <t>En cours d'envoi chez  nous</t>
  </si>
  <si>
    <t>En cours de validation chez nous</t>
  </si>
  <si>
    <t>En cours de rédaction chez nous</t>
  </si>
  <si>
    <t xml:space="preserve">Diminution du montant de la participation  et du cout global du projet </t>
  </si>
  <si>
    <t xml:space="preserve">Augmentation de la participation, montant du programme d'action et de la durée du projet </t>
  </si>
  <si>
    <t>no</t>
  </si>
  <si>
    <t>pas de mise en œuvre</t>
  </si>
  <si>
    <t>Somme avance 2016</t>
  </si>
  <si>
    <t>Somme avance 2017</t>
  </si>
  <si>
    <t>Somme avance 2018</t>
  </si>
  <si>
    <t>Somme avance 2019</t>
  </si>
  <si>
    <t>Somme solde 2018</t>
  </si>
  <si>
    <t>Somme acompte 2017</t>
  </si>
  <si>
    <t>Somme acompte 2018</t>
  </si>
  <si>
    <t>Somme acompte 2019</t>
  </si>
  <si>
    <t>Somme solde 2019</t>
  </si>
  <si>
    <t>ACOMPTE PREVUE</t>
  </si>
  <si>
    <t>SOLDE PREVUE</t>
  </si>
  <si>
    <t>Somme acompte 2016</t>
  </si>
  <si>
    <t>Somme solde 2016</t>
  </si>
  <si>
    <t>Somme solde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</si>
</sst>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3" x14ac:knownFonts="1">
    <font>
      <sz val="11"/>
      <color theme="1"/>
      <name val="Calibri"/>
      <family val="2"/>
      <scheme val="minor"/>
    </font>
    <font>
      <sz val="11"/>
      <color theme="1"/>
      <name val="Calibri"/>
      <family val="2"/>
      <scheme val="minor"/>
    </font>
    <font>
      <b/>
      <sz val="11"/>
      <color theme="0"/>
      <name val="Calibri"/>
      <family val="2"/>
      <scheme val="minor"/>
    </font>
    <font>
      <sz val="12"/>
      <name val="Arial"/>
      <family val="2"/>
    </font>
    <font>
      <b/>
      <sz val="10"/>
      <name val="Arial"/>
      <family val="2"/>
    </font>
    <font>
      <sz val="11"/>
      <name val="Calibri"/>
      <family val="2"/>
      <scheme val="minor"/>
    </font>
    <font>
      <u/>
      <sz val="11"/>
      <color theme="10"/>
      <name val="Calibri"/>
      <family val="2"/>
      <scheme val="minor"/>
    </font>
    <font>
      <sz val="11"/>
      <color theme="1"/>
      <name val="Calibri"/>
      <family val="2"/>
      <scheme val="minor"/>
    </font>
    <font>
      <b/>
      <sz val="11"/>
      <color theme="1"/>
      <name val="Calibri"/>
      <family val="2"/>
      <scheme val="minor"/>
    </font>
    <font>
      <i/>
      <sz val="11"/>
      <color theme="1"/>
      <name val="Calibri"/>
      <family val="2"/>
      <scheme val="minor"/>
    </font>
    <font>
      <b/>
      <sz val="11"/>
      <name val="Calibri"/>
      <family val="2"/>
      <scheme val="minor"/>
    </font>
    <font>
      <i/>
      <sz val="11"/>
      <name val="Calibri"/>
      <family val="2"/>
      <scheme val="minor"/>
    </font>
    <font>
      <i/>
      <sz val="11"/>
      <color rgb="FFFFFF00"/>
      <name val="Calibri"/>
      <family val="2"/>
      <scheme val="minor"/>
    </font>
  </fonts>
  <fills count="14">
    <fill>
      <patternFill patternType="none"/>
    </fill>
    <fill>
      <patternFill patternType="gray125"/>
    </fill>
    <fill>
      <patternFill patternType="solid">
        <fgColor theme="4" tint="-0.249977111117893"/>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
      <patternFill patternType="solid">
        <fgColor theme="3" tint="-0.249977111117893"/>
        <bgColor indexed="64"/>
      </patternFill>
    </fill>
    <fill>
      <patternFill patternType="solid">
        <fgColor theme="3" tint="0.59999389629810485"/>
        <bgColor indexed="64"/>
      </patternFill>
    </fill>
    <fill>
      <patternFill patternType="solid">
        <fgColor theme="3" tint="-0.249977111117893"/>
        <bgColor theme="4"/>
      </patternFill>
    </fill>
    <fill>
      <patternFill patternType="solid">
        <fgColor theme="3" tint="0.39997558519241921"/>
        <bgColor theme="4"/>
      </patternFill>
    </fill>
    <fill>
      <patternFill patternType="solid">
        <fgColor theme="9" tint="0.39997558519241921"/>
        <bgColor indexed="64"/>
      </patternFill>
    </fill>
    <fill>
      <patternFill patternType="solid">
        <fgColor rgb="FFFFC000"/>
        <bgColor indexed="64"/>
      </patternFill>
    </fill>
  </fills>
  <borders count="7">
    <border>
      <left/>
      <right/>
      <top/>
      <bottom/>
      <diagonal/>
    </border>
    <border>
      <left style="thin">
        <color theme="4"/>
      </left>
      <right/>
      <top style="thin">
        <color theme="4"/>
      </top>
      <bottom/>
      <diagonal/>
    </border>
    <border>
      <left/>
      <right/>
      <top style="thin">
        <color theme="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theme="8"/>
      </top>
      <bottom/>
      <diagonal/>
    </border>
  </borders>
  <cellStyleXfs count="4">
    <xf numFmtId="0" fontId="0" fillId="0" borderId="0"/>
    <xf numFmtId="44" fontId="1" fillId="0" borderId="0" applyFont="0" applyFill="0" applyBorder="0" applyAlignment="0" applyProtection="0"/>
    <xf numFmtId="0" fontId="3" fillId="0" borderId="0"/>
    <xf numFmtId="0" fontId="6" fillId="0" borderId="0" applyNumberFormat="0" applyFill="0" applyBorder="0" applyAlignment="0" applyProtection="0"/>
  </cellStyleXfs>
  <cellXfs count="110">
    <xf numFmtId="0" fontId="0" fillId="0" borderId="0" xfId="0"/>
    <xf numFmtId="44" fontId="4" fillId="4" borderId="4" xfId="1" applyFont="1" applyFill="1" applyBorder="1" applyAlignment="1">
      <alignment horizontal="center" vertical="center" wrapText="1" shrinkToFit="1"/>
    </xf>
    <xf numFmtId="0" fontId="0" fillId="0" borderId="0" xfId="0" applyFill="1"/>
    <xf numFmtId="0" fontId="0" fillId="0" borderId="0" xfId="0" applyFont="1" applyFill="1" applyBorder="1" applyAlignment="1">
      <alignment horizontal="center" vertical="center"/>
    </xf>
    <xf numFmtId="0" fontId="0" fillId="0" borderId="0" xfId="0" applyFill="1" applyAlignment="1">
      <alignment horizontal="center" vertical="center"/>
    </xf>
    <xf numFmtId="0" fontId="0" fillId="0" borderId="0" xfId="0" applyAlignment="1">
      <alignment horizontal="center"/>
    </xf>
    <xf numFmtId="14" fontId="0" fillId="0" borderId="0" xfId="0" applyNumberFormat="1" applyFill="1" applyAlignment="1">
      <alignment horizontal="center"/>
    </xf>
    <xf numFmtId="44" fontId="0" fillId="0" borderId="0" xfId="1" applyFont="1"/>
    <xf numFmtId="0" fontId="0" fillId="0" borderId="0" xfId="0" applyNumberFormat="1"/>
    <xf numFmtId="14" fontId="0" fillId="0" borderId="0" xfId="0" applyNumberFormat="1"/>
    <xf numFmtId="44" fontId="2" fillId="2" borderId="0" xfId="1" applyFont="1" applyFill="1" applyBorder="1" applyAlignment="1">
      <alignment horizontal="center" vertical="center" wrapText="1"/>
    </xf>
    <xf numFmtId="44" fontId="4" fillId="3" borderId="3" xfId="1" applyFont="1" applyFill="1" applyBorder="1" applyAlignment="1">
      <alignment horizontal="center" vertical="center" wrapText="1" shrinkToFit="1"/>
    </xf>
    <xf numFmtId="44" fontId="4" fillId="3" borderId="4" xfId="1" applyFont="1" applyFill="1" applyBorder="1" applyAlignment="1">
      <alignment horizontal="center" vertical="center" wrapText="1" shrinkToFit="1"/>
    </xf>
    <xf numFmtId="14" fontId="4" fillId="3" borderId="4" xfId="2" applyNumberFormat="1" applyFont="1" applyFill="1" applyBorder="1" applyAlignment="1">
      <alignment horizontal="center" vertical="center" wrapText="1" shrinkToFit="1"/>
    </xf>
    <xf numFmtId="14" fontId="4" fillId="4" borderId="4" xfId="2" applyNumberFormat="1" applyFont="1" applyFill="1" applyBorder="1" applyAlignment="1">
      <alignment horizontal="center" vertical="center" wrapText="1" shrinkToFit="1"/>
    </xf>
    <xf numFmtId="0" fontId="0" fillId="0" borderId="0" xfId="0" applyAlignment="1">
      <alignment horizontal="left"/>
    </xf>
    <xf numFmtId="44" fontId="0" fillId="0" borderId="0" xfId="1" applyFont="1" applyFill="1"/>
    <xf numFmtId="44" fontId="0" fillId="0" borderId="0" xfId="1" applyFont="1" applyFill="1" applyAlignment="1">
      <alignment horizontal="center"/>
    </xf>
    <xf numFmtId="0" fontId="0" fillId="0" borderId="0" xfId="0" applyFill="1" applyAlignment="1">
      <alignment horizontal="left"/>
    </xf>
    <xf numFmtId="0" fontId="0" fillId="0" borderId="0" xfId="0" applyNumberFormat="1" applyFill="1" applyAlignment="1">
      <alignment horizontal="center"/>
    </xf>
    <xf numFmtId="0" fontId="0" fillId="0" borderId="0" xfId="0" applyNumberFormat="1" applyFill="1" applyAlignment="1">
      <alignment horizontal="left"/>
    </xf>
    <xf numFmtId="44" fontId="0" fillId="0" borderId="0" xfId="1" applyNumberFormat="1" applyFont="1" applyFill="1" applyAlignment="1">
      <alignment horizontal="center"/>
    </xf>
    <xf numFmtId="0" fontId="0" fillId="0" borderId="0" xfId="0" applyAlignment="1">
      <alignment wrapText="1"/>
    </xf>
    <xf numFmtId="0" fontId="0" fillId="0" borderId="0" xfId="0" applyAlignment="1">
      <alignment vertical="center" wrapText="1"/>
    </xf>
    <xf numFmtId="0" fontId="6" fillId="0" borderId="0" xfId="3" applyAlignment="1">
      <alignment vertical="center" wrapText="1"/>
    </xf>
    <xf numFmtId="0" fontId="6" fillId="0" borderId="0" xfId="3" applyAlignment="1">
      <alignment horizontal="left"/>
    </xf>
    <xf numFmtId="0" fontId="8" fillId="0" borderId="0" xfId="0" applyFont="1" applyAlignment="1">
      <alignment wrapText="1"/>
    </xf>
    <xf numFmtId="0" fontId="0" fillId="0" borderId="0" xfId="0" applyFill="1" applyAlignment="1">
      <alignment horizontal="left" vertical="center"/>
    </xf>
    <xf numFmtId="14" fontId="0" fillId="0" borderId="0" xfId="0" applyNumberFormat="1" applyAlignment="1">
      <alignment horizontal="center" vertical="center"/>
    </xf>
    <xf numFmtId="44" fontId="1" fillId="0" borderId="0" xfId="1" applyFont="1" applyAlignment="1">
      <alignment horizontal="center" vertical="center"/>
    </xf>
    <xf numFmtId="0" fontId="8" fillId="0" borderId="0" xfId="0" applyFont="1"/>
    <xf numFmtId="14" fontId="0" fillId="0" borderId="0" xfId="0" applyNumberFormat="1" applyFill="1"/>
    <xf numFmtId="0" fontId="10" fillId="0" borderId="0" xfId="0" applyFont="1" applyFill="1" applyBorder="1" applyAlignment="1">
      <alignment horizontal="center" vertical="center" wrapText="1"/>
    </xf>
    <xf numFmtId="44" fontId="10" fillId="0" borderId="0" xfId="1" applyNumberFormat="1" applyFont="1" applyFill="1" applyBorder="1" applyAlignment="1">
      <alignment horizontal="center" vertical="center" wrapText="1"/>
    </xf>
    <xf numFmtId="14" fontId="0" fillId="0" borderId="0" xfId="0" applyNumberFormat="1" applyFont="1" applyFill="1" applyAlignment="1">
      <alignment horizontal="center"/>
    </xf>
    <xf numFmtId="0" fontId="0" fillId="0" borderId="0" xfId="0" applyFont="1" applyFill="1" applyAlignment="1">
      <alignment horizontal="left"/>
    </xf>
    <xf numFmtId="0" fontId="0" fillId="0" borderId="0" xfId="0" applyFont="1" applyFill="1" applyAlignment="1">
      <alignment horizontal="center"/>
    </xf>
    <xf numFmtId="0" fontId="0" fillId="0" borderId="0" xfId="0" applyNumberFormat="1" applyFont="1" applyFill="1" applyAlignment="1">
      <alignment horizontal="center"/>
    </xf>
    <xf numFmtId="0" fontId="0" fillId="0" borderId="0" xfId="0" applyFont="1" applyFill="1" applyAlignment="1">
      <alignment horizontal="center" vertical="center"/>
    </xf>
    <xf numFmtId="14" fontId="0" fillId="0" borderId="0" xfId="0" applyNumberFormat="1" applyFont="1" applyFill="1" applyAlignment="1">
      <alignment horizontal="center" vertical="center"/>
    </xf>
    <xf numFmtId="0" fontId="0" fillId="0" borderId="0" xfId="0" applyFont="1" applyFill="1" applyAlignment="1">
      <alignment horizontal="center" vertical="center" wrapText="1"/>
    </xf>
    <xf numFmtId="44" fontId="0" fillId="0" borderId="0" xfId="1" applyFont="1" applyFill="1" applyAlignment="1">
      <alignment horizontal="center" vertical="center"/>
    </xf>
    <xf numFmtId="44" fontId="0" fillId="0" borderId="0" xfId="1" applyFont="1" applyFill="1" applyAlignment="1">
      <alignment vertical="center"/>
    </xf>
    <xf numFmtId="0" fontId="0" fillId="0" borderId="0" xfId="0" applyNumberFormat="1" applyFont="1" applyFill="1" applyAlignment="1">
      <alignment horizontal="center" vertical="center"/>
    </xf>
    <xf numFmtId="0" fontId="0" fillId="0" borderId="0" xfId="0" applyFont="1" applyFill="1" applyBorder="1" applyAlignment="1">
      <alignment horizontal="center" vertical="center" wrapText="1"/>
    </xf>
    <xf numFmtId="44" fontId="0" fillId="0" borderId="0" xfId="1" applyFont="1" applyFill="1" applyBorder="1" applyAlignment="1">
      <alignment horizontal="right"/>
    </xf>
    <xf numFmtId="14" fontId="0" fillId="0" borderId="0" xfId="0" applyNumberFormat="1" applyFont="1" applyFill="1" applyAlignment="1">
      <alignment horizontal="center" vertical="center" wrapText="1"/>
    </xf>
    <xf numFmtId="0" fontId="9" fillId="0" borderId="0" xfId="0" applyFont="1" applyFill="1" applyAlignment="1">
      <alignment horizontal="center" vertical="center"/>
    </xf>
    <xf numFmtId="14" fontId="9" fillId="0" borderId="0" xfId="0" applyNumberFormat="1" applyFont="1" applyFill="1" applyAlignment="1">
      <alignment horizontal="center" vertical="center"/>
    </xf>
    <xf numFmtId="0" fontId="9" fillId="0" borderId="0" xfId="0" applyFont="1" applyFill="1" applyAlignment="1">
      <alignment horizontal="center" vertical="center" wrapText="1"/>
    </xf>
    <xf numFmtId="44" fontId="9" fillId="0" borderId="0" xfId="1" applyFont="1" applyFill="1" applyBorder="1" applyAlignment="1">
      <alignment horizontal="right"/>
    </xf>
    <xf numFmtId="0" fontId="9" fillId="0" borderId="0" xfId="0" applyFont="1" applyFill="1" applyBorder="1" applyAlignment="1">
      <alignment horizontal="center" vertical="center"/>
    </xf>
    <xf numFmtId="44" fontId="0" fillId="0" borderId="0" xfId="1" applyFont="1" applyFill="1" applyBorder="1" applyAlignment="1">
      <alignment horizontal="center" vertical="center"/>
    </xf>
    <xf numFmtId="44" fontId="0" fillId="0" borderId="0" xfId="1" applyFont="1" applyFill="1" applyBorder="1" applyAlignment="1">
      <alignment horizontal="center" vertical="center" wrapText="1"/>
    </xf>
    <xf numFmtId="44" fontId="0" fillId="0" borderId="0" xfId="1" applyFont="1" applyFill="1" applyBorder="1" applyAlignment="1">
      <alignment horizontal="right" wrapText="1"/>
    </xf>
    <xf numFmtId="44" fontId="9" fillId="0" borderId="0" xfId="1" applyFont="1" applyFill="1" applyBorder="1" applyAlignment="1">
      <alignment horizontal="right" wrapText="1"/>
    </xf>
    <xf numFmtId="44" fontId="5" fillId="0" borderId="0" xfId="1" applyFont="1" applyFill="1" applyBorder="1" applyAlignment="1">
      <alignment horizontal="center" vertical="center"/>
    </xf>
    <xf numFmtId="14" fontId="4" fillId="4" borderId="5" xfId="2" applyNumberFormat="1" applyFont="1" applyFill="1" applyBorder="1" applyAlignment="1">
      <alignment horizontal="center" vertical="center" wrapText="1" shrinkToFit="1"/>
    </xf>
    <xf numFmtId="44" fontId="0" fillId="0" borderId="0" xfId="1" applyFont="1" applyFill="1" applyBorder="1" applyAlignment="1">
      <alignment horizontal="right" vertical="center"/>
    </xf>
    <xf numFmtId="14" fontId="5" fillId="0" borderId="0" xfId="0" applyNumberFormat="1" applyFont="1" applyFill="1" applyAlignment="1">
      <alignment horizontal="center"/>
    </xf>
    <xf numFmtId="14" fontId="5" fillId="0" borderId="0" xfId="0" applyNumberFormat="1" applyFont="1" applyFill="1" applyAlignment="1">
      <alignment horizontal="center" vertical="center"/>
    </xf>
    <xf numFmtId="0" fontId="5" fillId="0" borderId="0" xfId="0" applyFont="1" applyFill="1" applyAlignment="1">
      <alignment horizontal="center" vertical="center"/>
    </xf>
    <xf numFmtId="0" fontId="11" fillId="0" borderId="0" xfId="0" applyFont="1" applyFill="1" applyAlignment="1">
      <alignment horizontal="center" vertical="center"/>
    </xf>
    <xf numFmtId="14" fontId="0" fillId="0" borderId="0" xfId="0" applyNumberFormat="1" applyBorder="1" applyAlignment="1">
      <alignment horizontal="center" vertical="center"/>
    </xf>
    <xf numFmtId="14" fontId="5" fillId="0" borderId="0" xfId="0" applyNumberFormat="1" applyFont="1" applyFill="1" applyBorder="1" applyAlignment="1">
      <alignment horizontal="center" vertical="center"/>
    </xf>
    <xf numFmtId="14" fontId="5" fillId="0" borderId="0" xfId="1" applyNumberFormat="1" applyFont="1" applyFill="1" applyBorder="1" applyAlignment="1">
      <alignment horizontal="center" vertical="center"/>
    </xf>
    <xf numFmtId="0" fontId="5" fillId="0" borderId="0" xfId="0" applyFont="1" applyFill="1" applyBorder="1" applyAlignment="1">
      <alignment horizontal="center" vertical="center"/>
    </xf>
    <xf numFmtId="14" fontId="11" fillId="0" borderId="0" xfId="0" applyNumberFormat="1" applyFont="1" applyFill="1" applyBorder="1" applyAlignment="1">
      <alignment horizontal="center" vertical="center"/>
    </xf>
    <xf numFmtId="0" fontId="11" fillId="0" borderId="0" xfId="0" applyFont="1" applyFill="1" applyBorder="1" applyAlignment="1">
      <alignment horizontal="center" vertical="center"/>
    </xf>
    <xf numFmtId="14" fontId="0" fillId="0" borderId="6" xfId="0" applyNumberFormat="1" applyBorder="1" applyAlignment="1">
      <alignment horizontal="center" vertical="center"/>
    </xf>
    <xf numFmtId="0" fontId="5" fillId="0" borderId="0"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0" fillId="0" borderId="0" xfId="0" applyFont="1" applyFill="1" applyAlignment="1">
      <alignment horizontal="left" wrapText="1"/>
    </xf>
    <xf numFmtId="0" fontId="6" fillId="0" borderId="0" xfId="3" applyFill="1" applyBorder="1" applyAlignment="1">
      <alignment horizontal="center" vertical="center" wrapText="1"/>
    </xf>
    <xf numFmtId="44" fontId="9" fillId="0" borderId="0" xfId="1" applyFont="1" applyFill="1" applyBorder="1" applyAlignment="1">
      <alignment horizontal="center" vertical="center"/>
    </xf>
    <xf numFmtId="44" fontId="0" fillId="5" borderId="0" xfId="1" applyNumberFormat="1" applyFont="1" applyFill="1" applyAlignment="1">
      <alignment horizontal="center"/>
    </xf>
    <xf numFmtId="14" fontId="0" fillId="5" borderId="0" xfId="0" applyNumberFormat="1" applyFill="1" applyAlignment="1">
      <alignment horizontal="center"/>
    </xf>
    <xf numFmtId="14" fontId="5" fillId="0" borderId="0" xfId="0" applyNumberFormat="1" applyFont="1" applyFill="1" applyBorder="1" applyAlignment="1">
      <alignment horizontal="center" vertical="center" wrapText="1"/>
    </xf>
    <xf numFmtId="14" fontId="11" fillId="0" borderId="0" xfId="0" applyNumberFormat="1" applyFont="1" applyFill="1" applyBorder="1" applyAlignment="1">
      <alignment horizontal="center" vertical="center" wrapText="1"/>
    </xf>
    <xf numFmtId="14" fontId="0" fillId="0" borderId="0" xfId="0" applyNumberFormat="1" applyFont="1" applyFill="1" applyAlignment="1">
      <alignment horizontal="center" wrapText="1"/>
    </xf>
    <xf numFmtId="0" fontId="0" fillId="7" borderId="0" xfId="0" applyFill="1" applyAlignment="1">
      <alignment horizontal="center" vertical="center" wrapText="1"/>
    </xf>
    <xf numFmtId="44" fontId="2" fillId="9" borderId="0" xfId="1" applyFont="1" applyFill="1" applyBorder="1" applyAlignment="1">
      <alignment horizontal="center" vertical="center" wrapText="1"/>
    </xf>
    <xf numFmtId="0" fontId="2" fillId="10" borderId="1" xfId="0" applyFont="1" applyFill="1" applyBorder="1" applyAlignment="1">
      <alignment horizontal="center" wrapText="1"/>
    </xf>
    <xf numFmtId="0" fontId="2" fillId="10" borderId="1" xfId="0" applyNumberFormat="1" applyFont="1" applyFill="1" applyBorder="1" applyAlignment="1">
      <alignment horizontal="center" vertical="top" wrapText="1"/>
    </xf>
    <xf numFmtId="0" fontId="2" fillId="10"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11" borderId="0" xfId="0" applyNumberFormat="1" applyFont="1" applyFill="1" applyBorder="1" applyAlignment="1">
      <alignment horizontal="center" vertical="center" wrapText="1"/>
    </xf>
    <xf numFmtId="44" fontId="2" fillId="12" borderId="2" xfId="1" applyFont="1" applyFill="1" applyBorder="1" applyAlignment="1">
      <alignment horizontal="center" vertical="center" wrapText="1"/>
    </xf>
    <xf numFmtId="44" fontId="0" fillId="0" borderId="0" xfId="1" applyFont="1" applyAlignment="1">
      <alignment horizontal="center" vertical="center"/>
    </xf>
    <xf numFmtId="0" fontId="0" fillId="0" borderId="0" xfId="0" applyFont="1" applyFill="1" applyBorder="1" applyAlignment="1">
      <alignment horizontal="center"/>
    </xf>
    <xf numFmtId="0" fontId="0" fillId="0" borderId="0" xfId="0" applyFont="1" applyFill="1" applyAlignment="1">
      <alignment horizontal="center" wrapText="1"/>
    </xf>
    <xf numFmtId="0" fontId="0" fillId="6" borderId="0" xfId="0" applyFont="1" applyFill="1" applyAlignment="1">
      <alignment horizontal="center"/>
    </xf>
    <xf numFmtId="0" fontId="12" fillId="5" borderId="0" xfId="0" applyFont="1" applyFill="1" applyAlignment="1">
      <alignment horizontal="center"/>
    </xf>
    <xf numFmtId="0" fontId="9" fillId="0" borderId="0" xfId="0" applyFont="1" applyFill="1" applyBorder="1" applyAlignment="1">
      <alignment horizontal="center"/>
    </xf>
    <xf numFmtId="0" fontId="0" fillId="5" borderId="0" xfId="0" applyFont="1" applyFill="1" applyAlignment="1">
      <alignment horizontal="center"/>
    </xf>
    <xf numFmtId="0" fontId="9" fillId="0" borderId="0" xfId="0" applyFont="1" applyFill="1" applyAlignment="1">
      <alignment horizontal="center"/>
    </xf>
    <xf numFmtId="0" fontId="0" fillId="0" borderId="0" xfId="0" applyFont="1" applyFill="1" applyAlignment="1">
      <alignment horizontal="left" vertical="center"/>
    </xf>
    <xf numFmtId="14" fontId="0" fillId="0" borderId="0" xfId="0" applyNumberFormat="1" applyAlignment="1">
      <alignment horizontal="center"/>
    </xf>
    <xf numFmtId="44" fontId="7" fillId="0" borderId="0" xfId="1" applyFont="1" applyFill="1" applyAlignment="1">
      <alignment horizontal="center"/>
    </xf>
    <xf numFmtId="0" fontId="2" fillId="10" borderId="1" xfId="0" applyFont="1" applyFill="1" applyBorder="1" applyAlignment="1">
      <alignment horizontal="left" vertical="center" wrapText="1"/>
    </xf>
    <xf numFmtId="0" fontId="0" fillId="0" borderId="0" xfId="0" applyNumberFormat="1" applyAlignment="1">
      <alignment horizontal="left"/>
    </xf>
    <xf numFmtId="0" fontId="0" fillId="13" borderId="0" xfId="0" applyFont="1" applyFill="1" applyAlignment="1">
      <alignment horizontal="center" vertical="center" wrapText="1"/>
    </xf>
    <xf numFmtId="0" fontId="0" fillId="13" borderId="0" xfId="0" applyFont="1" applyFill="1" applyAlignment="1">
      <alignment horizontal="center" vertical="center"/>
    </xf>
    <xf numFmtId="0" fontId="9" fillId="13" borderId="0" xfId="0" applyFont="1" applyFill="1" applyAlignment="1">
      <alignment horizontal="center"/>
    </xf>
    <xf numFmtId="0" fontId="0" fillId="13" borderId="0" xfId="0" applyFill="1" applyBorder="1" applyAlignment="1">
      <alignment wrapText="1"/>
    </xf>
    <xf numFmtId="0" fontId="0" fillId="5" borderId="0" xfId="0" applyNumberFormat="1" applyFont="1" applyFill="1" applyAlignment="1">
      <alignment horizontal="center"/>
    </xf>
    <xf numFmtId="44" fontId="0" fillId="0" borderId="0" xfId="0" applyNumberFormat="1"/>
    <xf numFmtId="0" fontId="0" fillId="0" borderId="0" xfId="0" applyAlignment="1">
      <alignment horizontal="center" vertical="center" wrapText="1"/>
    </xf>
    <xf numFmtId="0" fontId="0" fillId="0" borderId="0" xfId="0" pivotButton="1" applyAlignment="1">
      <alignment horizontal="center" vertical="center" wrapText="1"/>
    </xf>
    <xf numFmtId="0" fontId="0" fillId="13" borderId="0" xfId="0" applyFont="1" applyFill="1" applyAlignment="1">
      <alignment horizontal="center"/>
    </xf>
  </cellXfs>
  <cellStyles count="4">
    <cellStyle name="Lien hypertexte" xfId="3" builtinId="8"/>
    <cellStyle name="Monétaire" xfId="1" builtinId="4"/>
    <cellStyle name="Normal" xfId="0" builtinId="0"/>
    <cellStyle name="Normal_09-06-30 Tableau type de bénéficiaires-rev DGPAAT" xfId="2"/>
  </cellStyles>
  <dxfs count="85">
    <dxf>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34" formatCode="_-* #,##0.00\ &quot;€&quot;_-;\-* #,##0.00\ &quot;€&quot;_-;_-* &quot;-&quot;??\ &quot;€&quot;_-;_-@_-"/>
    </dxf>
    <dxf>
      <numFmt numFmtId="34" formatCode="_-* #,##0.00\ &quot;€&quot;_-;\-* #,##0.00\ &quot;€&quot;_-;_-* &quot;-&quot;??\ &quot;€&quot;_-;_-@_-"/>
    </dxf>
    <dxf>
      <numFmt numFmtId="34" formatCode="_-* #,##0.00\ &quot;€&quot;_-;\-* #,##0.00\ &quot;€&quot;_-;_-* &quot;-&quot;??\ &quot;€&quot;_-;_-@_-"/>
    </dxf>
    <dxf>
      <alignment wrapText="1" readingOrder="0"/>
    </dxf>
    <dxf>
      <alignment wrapText="1" readingOrder="0"/>
    </dxf>
    <dxf>
      <alignment horizontal="center" readingOrder="0"/>
    </dxf>
    <dxf>
      <alignment horizontal="center" readingOrder="0"/>
    </dxf>
    <dxf>
      <alignment vertical="center" readingOrder="0"/>
    </dxf>
    <dxf>
      <alignment vertical="center"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dxf>
    <dxf>
      <font>
        <strike val="0"/>
        <outline val="0"/>
        <shadow val="0"/>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dxf>
    <dxf>
      <font>
        <strike val="0"/>
        <outline val="0"/>
        <shadow val="0"/>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dxf>
    <dxf>
      <numFmt numFmtId="0" formatCode="General"/>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numFmt numFmtId="19" formatCode="dd/mm/yyyy"/>
      <fill>
        <patternFill patternType="none">
          <fgColor indexed="64"/>
          <bgColor indexed="65"/>
        </patternFill>
      </fill>
      <alignment horizontal="center" vertical="bottom" textRotation="0" wrapText="0" indent="0" justifyLastLine="0" shrinkToFit="0" readingOrder="0"/>
    </dxf>
    <dxf>
      <numFmt numFmtId="19" formatCode="dd/mm/yyyy"/>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dxf>
    <dxf>
      <numFmt numFmtId="19" formatCode="dd/mm/yyyy"/>
      <fill>
        <patternFill patternType="none">
          <fgColor indexed="64"/>
          <bgColor auto="1"/>
        </patternFill>
      </fill>
      <alignment horizontal="center" vertical="bottom" textRotation="0" wrapText="0" indent="0" justifyLastLine="0" shrinkToFit="0" readingOrder="0"/>
    </dxf>
    <dxf>
      <numFmt numFmtId="19" formatCode="dd/mm/yyyy"/>
      <fill>
        <patternFill patternType="none">
          <fgColor indexed="64"/>
          <bgColor auto="1"/>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dxf>
    <dxf>
      <font>
        <strike val="0"/>
        <outline val="0"/>
        <shadow val="0"/>
        <u val="none"/>
        <vertAlign val="baseline"/>
        <sz val="11"/>
        <color auto="1"/>
        <name val="Calibri"/>
        <scheme val="minor"/>
      </font>
      <numFmt numFmtId="19" formatCode="dd/mm/yyyy"/>
      <fill>
        <patternFill patternType="none">
          <fgColor indexed="64"/>
          <bgColor auto="1"/>
        </patternFill>
      </fill>
      <alignment horizontal="center" vertical="center" textRotation="0" wrapText="0" indent="0" justifyLastLine="0" shrinkToFit="0" readingOrder="0"/>
    </dxf>
    <dxf>
      <numFmt numFmtId="34" formatCode="_-* #,##0.00\ &quot;€&quot;_-;\-* #,##0.00\ &quot;€&quot;_-;_-* &quot;-&quot;??\ &quot;€&quot;_-;_-@_-"/>
      <fill>
        <patternFill patternType="none">
          <fgColor indexed="64"/>
          <bgColor auto="1"/>
        </patternFill>
      </fill>
      <alignment horizontal="center" vertical="bottom" textRotation="0" wrapText="0" indent="0" justifyLastLine="0" shrinkToFit="0" readingOrder="0"/>
    </dxf>
    <dxf>
      <numFmt numFmtId="19" formatCode="dd/mm/yyyy"/>
      <fill>
        <patternFill patternType="none">
          <fgColor indexed="64"/>
          <bgColor auto="1"/>
        </patternFill>
      </fill>
      <alignment horizontal="center" vertical="bottom" textRotation="0" wrapText="0" indent="0" justifyLastLine="0" shrinkToFit="0" readingOrder="0"/>
    </dxf>
    <dxf>
      <numFmt numFmtId="34" formatCode="_-* #,##0.00\ &quot;€&quot;_-;\-* #,##0.00\ &quot;€&quot;_-;_-* &quot;-&quot;??\ &quot;€&quot;_-;_-@_-"/>
      <fill>
        <patternFill patternType="none">
          <fgColor indexed="64"/>
          <bgColor auto="1"/>
        </patternFill>
      </fill>
      <alignment horizontal="center" vertical="bottom" textRotation="0" wrapText="0" indent="0" justifyLastLine="0" shrinkToFit="0" readingOrder="0"/>
    </dxf>
    <dxf>
      <numFmt numFmtId="19" formatCode="dd/mm/yyyy"/>
      <fill>
        <patternFill patternType="none">
          <fgColor indexed="64"/>
          <bgColor auto="1"/>
        </patternFill>
      </fill>
      <alignment horizontal="center" vertical="bottom" textRotation="0" wrapText="0" indent="0" justifyLastLine="0" shrinkToFit="0" readingOrder="0"/>
    </dxf>
    <dxf>
      <numFmt numFmtId="34" formatCode="_-* #,##0.00\ &quot;€&quot;_-;\-* #,##0.00\ &quot;€&quot;_-;_-* &quot;-&quot;??\ &quot;€&quot;_-;_-@_-"/>
      <fill>
        <patternFill patternType="none">
          <fgColor indexed="64"/>
          <bgColor auto="1"/>
        </patternFill>
      </fill>
      <alignment horizontal="center" vertical="bottom" textRotation="0" wrapText="0" indent="0" justifyLastLine="0" shrinkToFit="0" readingOrder="0"/>
    </dxf>
    <dxf>
      <numFmt numFmtId="19" formatCode="dd/mm/yyyy"/>
      <fill>
        <patternFill patternType="none">
          <fgColor indexed="64"/>
          <bgColor auto="1"/>
        </patternFill>
      </fill>
      <alignment horizontal="center" vertical="bottom" textRotation="0" wrapText="0" indent="0" justifyLastLine="0" shrinkToFit="0" readingOrder="0"/>
    </dxf>
    <dxf>
      <numFmt numFmtId="34" formatCode="_-* #,##0.00\ &quot;€&quot;_-;\-* #,##0.00\ &quot;€&quot;_-;_-* &quot;-&quot;??\ &quot;€&quot;_-;_-@_-"/>
      <fill>
        <patternFill patternType="none">
          <fgColor indexed="64"/>
          <bgColor auto="1"/>
        </patternFill>
      </fill>
      <alignment horizontal="center" vertical="bottom" textRotation="0" wrapText="0" indent="0" justifyLastLine="0" shrinkToFit="0" readingOrder="0"/>
    </dxf>
    <dxf>
      <numFmt numFmtId="0" formatCode="General"/>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center" textRotation="0" wrapText="1" indent="0" justifyLastLine="0" shrinkToFit="0" readingOrder="0"/>
    </dxf>
    <dxf>
      <fill>
        <patternFill patternType="none">
          <fgColor indexed="64"/>
          <bgColor indexed="65"/>
        </patternFill>
      </fill>
      <alignment horizontal="center" vertical="center" textRotation="0" wrapText="1" indent="0" justifyLastLine="0" shrinkToFit="0" readingOrder="0"/>
    </dxf>
    <dxf>
      <font>
        <strike val="0"/>
        <outline val="0"/>
        <shadow val="0"/>
        <vertAlign val="baseline"/>
        <sz val="11"/>
        <color theme="1"/>
        <name val="Calibri"/>
        <scheme val="minor"/>
      </font>
      <numFmt numFmtId="0" formatCode="General"/>
      <fill>
        <patternFill patternType="none">
          <fgColor indexed="64"/>
          <bgColor indexed="65"/>
        </patternFill>
      </fill>
      <alignment horizontal="center" vertical="center" textRotation="0" wrapText="1" indent="0" justifyLastLine="0" shrinkToFit="0" readingOrder="0"/>
    </dxf>
    <dxf>
      <fill>
        <patternFill patternType="none">
          <fgColor indexed="64"/>
          <bgColor indexed="65"/>
        </patternFill>
      </fill>
      <alignment horizontal="center" vertical="center" textRotation="0" wrapText="1" indent="0" justifyLastLine="0" shrinkToFit="0" readingOrder="0"/>
    </dxf>
    <dxf>
      <font>
        <strike val="0"/>
        <outline val="0"/>
        <shadow val="0"/>
        <vertAlign val="baseline"/>
        <sz val="11"/>
        <color theme="1"/>
        <name val="Calibri"/>
        <scheme val="minor"/>
      </font>
      <numFmt numFmtId="0" formatCode="General"/>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color auto="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numFmt numFmtId="19" formatCode="dd/mm/yyyy"/>
      <fill>
        <patternFill patternType="none">
          <fgColor indexed="64"/>
          <bgColor indexed="65"/>
        </patternFill>
      </fill>
      <alignment horizontal="center" vertical="bottom" textRotation="0" wrapText="0" indent="0" justifyLastLine="0" shrinkToFit="0" readingOrder="0"/>
    </dxf>
    <dxf>
      <numFmt numFmtId="19" formatCode="dd/mm/yyyy"/>
      <fill>
        <patternFill patternType="none">
          <fgColor indexed="64"/>
          <bgColor indexed="65"/>
        </patternFill>
      </fill>
      <alignment horizontal="center" vertical="bottom" textRotation="0" wrapText="0" indent="0" justifyLastLine="0" shrinkToFit="0" readingOrder="0"/>
    </dxf>
    <dxf>
      <numFmt numFmtId="19" formatCode="dd/mm/yyyy"/>
      <fill>
        <patternFill patternType="none">
          <fgColor indexed="64"/>
          <bgColor indexed="65"/>
        </patternFill>
      </fill>
      <alignment horizontal="center" vertical="bottom" textRotation="0" wrapText="0" indent="0" justifyLastLine="0" shrinkToFit="0" readingOrder="0"/>
    </dxf>
    <dxf>
      <font>
        <strike val="0"/>
        <outline val="0"/>
        <shadow val="0"/>
        <u val="none"/>
        <vertAlign val="baseline"/>
        <sz val="11"/>
        <color auto="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strike val="0"/>
        <outline val="0"/>
        <shadow val="0"/>
        <vertAlign val="baseline"/>
        <sz val="11"/>
        <color theme="1"/>
        <name val="Calibri"/>
        <scheme val="minor"/>
      </font>
      <numFmt numFmtId="19" formatCode="dd/mm/yyyy"/>
      <fill>
        <patternFill patternType="none">
          <fgColor indexed="64"/>
          <bgColor indexed="65"/>
        </patternFill>
      </fill>
      <alignment horizontal="center" vertical="center" textRotation="0" wrapText="0" indent="0" justifyLastLine="0" shrinkToFit="0" readingOrder="0"/>
    </dxf>
    <dxf>
      <font>
        <strike val="0"/>
        <outline val="0"/>
        <shadow val="0"/>
        <vertAlign val="baseline"/>
        <sz val="11"/>
        <color theme="1"/>
        <name val="Calibri"/>
        <scheme val="minor"/>
      </font>
      <numFmt numFmtId="0" formatCode="General"/>
      <fill>
        <patternFill patternType="none">
          <fgColor indexed="64"/>
          <bgColor indexed="65"/>
        </patternFill>
      </fill>
      <alignment horizontal="center" vertical="bottom" textRotation="0" wrapText="0" indent="0" justifyLastLine="0" shrinkToFit="0" readingOrder="0"/>
    </dxf>
    <dxf>
      <font>
        <strike val="0"/>
        <outline val="0"/>
        <shadow val="0"/>
        <vertAlign val="baseline"/>
        <sz val="11"/>
        <color theme="1"/>
        <name val="Calibri"/>
        <scheme val="minor"/>
      </font>
      <numFmt numFmtId="0" formatCode="General"/>
      <fill>
        <patternFill patternType="none">
          <fgColor indexed="64"/>
          <bgColor indexed="65"/>
        </patternFill>
      </fill>
      <alignment horizontal="center" vertical="bottom" textRotation="0" wrapText="0" indent="0" justifyLastLine="0" shrinkToFit="0" readingOrder="0"/>
    </dxf>
    <dxf>
      <font>
        <strike val="0"/>
        <outline val="0"/>
        <shadow val="0"/>
        <vertAlign val="baseline"/>
        <sz val="11"/>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strike val="0"/>
        <outline val="0"/>
        <shadow val="0"/>
        <vertAlign val="baseline"/>
        <sz val="11"/>
        <color theme="1"/>
        <name val="Calibri"/>
        <scheme val="minor"/>
      </font>
      <fill>
        <patternFill patternType="none">
          <fgColor indexed="64"/>
          <bgColor indexed="65"/>
        </patternFill>
      </fill>
      <alignment horizontal="left" vertical="bottom" textRotation="0" wrapText="0" indent="0" justifyLastLine="0" shrinkToFit="0" readingOrder="0"/>
    </dxf>
    <dxf>
      <font>
        <strike val="0"/>
        <outline val="0"/>
        <shadow val="0"/>
        <vertAlign val="baseline"/>
        <sz val="11"/>
        <color theme="1"/>
        <name val="Calibri"/>
        <scheme val="minor"/>
      </font>
      <numFmt numFmtId="19" formatCode="dd/mm/yyyy"/>
      <fill>
        <patternFill patternType="none">
          <fgColor indexed="64"/>
          <bgColor indexed="65"/>
        </patternFill>
      </fill>
      <alignment horizontal="center" vertical="bottom" textRotation="0" wrapText="0" indent="0" justifyLastLine="0" shrinkToFit="0" readingOrder="0"/>
    </dxf>
    <dxf>
      <font>
        <strike val="0"/>
        <outline val="0"/>
        <shadow val="0"/>
        <vertAlign val="baseline"/>
        <sz val="11"/>
        <color theme="1"/>
        <name val="Calibri"/>
        <scheme val="minor"/>
      </font>
      <fill>
        <patternFill patternType="none">
          <fgColor indexed="64"/>
          <bgColor indexed="65"/>
        </patternFill>
      </fill>
      <alignment horizontal="left" vertical="bottom" textRotation="0" wrapText="1" indent="0" justifyLastLine="0" shrinkToFit="0" readingOrder="0"/>
    </dxf>
    <dxf>
      <font>
        <strike val="0"/>
        <outline val="0"/>
        <shadow val="0"/>
        <vertAlign val="baseline"/>
        <sz val="11"/>
        <color theme="1"/>
        <name val="Calibri"/>
        <scheme val="minor"/>
      </font>
      <numFmt numFmtId="19" formatCode="dd/mm/yyyy"/>
      <fill>
        <patternFill patternType="none">
          <fgColor indexed="64"/>
          <bgColor indexed="65"/>
        </patternFill>
      </fill>
      <alignment horizontal="center" vertical="bottom" textRotation="0" wrapText="1" indent="0" justifyLastLine="0" shrinkToFit="0" readingOrder="0"/>
    </dxf>
    <dxf>
      <font>
        <strike val="0"/>
        <outline val="0"/>
        <shadow val="0"/>
        <vertAlign val="baseline"/>
        <sz val="11"/>
        <color theme="1"/>
        <name val="Calibri"/>
        <scheme val="minor"/>
      </font>
      <numFmt numFmtId="0" formatCode="General"/>
      <fill>
        <patternFill patternType="none">
          <fgColor indexed="64"/>
          <bgColor indexed="65"/>
        </patternFill>
      </fill>
      <alignment horizontal="center" vertical="center" textRotation="0" wrapText="1" indent="0" justifyLastLine="0" shrinkToFit="0" readingOrder="0"/>
    </dxf>
    <dxf>
      <font>
        <strike val="0"/>
        <outline val="0"/>
        <shadow val="0"/>
        <vertAlign val="baseline"/>
        <sz val="11"/>
        <color theme="1"/>
        <name val="Calibri"/>
        <scheme val="minor"/>
      </font>
      <numFmt numFmtId="0" formatCode="General"/>
      <fill>
        <patternFill patternType="none">
          <fgColor indexed="64"/>
          <bgColor auto="1"/>
        </patternFill>
      </fill>
      <alignment horizontal="left" vertical="center" textRotation="0" wrapText="0" indent="0" justifyLastLine="0" shrinkToFit="0" readingOrder="0"/>
    </dxf>
    <dxf>
      <font>
        <strike val="0"/>
        <outline val="0"/>
        <shadow val="0"/>
        <vertAlign val="baseline"/>
        <sz val="11"/>
        <color theme="1"/>
        <name val="Calibri"/>
        <scheme val="minor"/>
      </font>
      <numFmt numFmtId="0" formatCode="General"/>
      <fill>
        <patternFill patternType="none">
          <fgColor indexed="64"/>
          <bgColor auto="1"/>
        </patternFill>
      </fill>
      <alignment horizontal="left" vertical="center" textRotation="0" wrapText="0" indent="0" justifyLastLine="0" shrinkToFit="0" readingOrder="0"/>
    </dxf>
    <dxf>
      <font>
        <strike val="0"/>
        <outline val="0"/>
        <shadow val="0"/>
        <vertAlign val="baseline"/>
        <sz val="11"/>
        <color theme="1"/>
        <name val="Calibri"/>
        <scheme val="minor"/>
      </font>
      <numFmt numFmtId="0" formatCode="General"/>
      <fill>
        <patternFill patternType="none">
          <fgColor indexed="64"/>
          <bgColor auto="1"/>
        </patternFill>
      </fill>
      <alignment horizontal="center" vertical="center" textRotation="0" wrapText="0" indent="0" justifyLastLine="0" shrinkToFit="0" readingOrder="0"/>
    </dxf>
    <dxf>
      <font>
        <strike val="0"/>
        <outline val="0"/>
        <shadow val="0"/>
        <vertAlign val="baseline"/>
        <sz val="11"/>
        <color theme="1"/>
        <name val="Calibri"/>
        <scheme val="minor"/>
      </font>
      <numFmt numFmtId="0" formatCode="General"/>
      <fill>
        <patternFill patternType="none">
          <fgColor indexed="64"/>
          <bgColor auto="1"/>
        </patternFill>
      </fill>
      <alignment horizontal="center" vertical="center" textRotation="0" wrapText="0" indent="0" justifyLastLine="0" shrinkToFit="0" readingOrder="0"/>
    </dxf>
    <dxf>
      <numFmt numFmtId="19" formatCode="dd/mm/yyyy"/>
      <fill>
        <patternFill patternType="none">
          <fgColor indexed="64"/>
          <bgColor indexed="65"/>
        </patternFill>
      </fill>
      <alignment horizontal="center" vertical="center" textRotation="0" wrapText="1" indent="0" justifyLastLine="0" shrinkToFit="0" readingOrder="0"/>
    </dxf>
    <dxf>
      <font>
        <strike val="0"/>
        <outline val="0"/>
        <shadow val="0"/>
        <vertAlign val="baseline"/>
        <sz val="11"/>
        <color theme="1"/>
        <name val="Calibri"/>
        <scheme val="minor"/>
      </font>
      <numFmt numFmtId="19" formatCode="dd/mm/yyyy"/>
      <fill>
        <patternFill patternType="none">
          <fgColor indexed="64"/>
          <bgColor auto="1"/>
        </patternFill>
      </fill>
      <alignment horizontal="center" vertical="center" textRotation="0" wrapText="0" indent="0" justifyLastLine="0" shrinkToFit="0" readingOrder="0"/>
    </dxf>
    <dxf>
      <font>
        <strike val="0"/>
        <outline val="0"/>
        <shadow val="0"/>
        <vertAlign val="baseline"/>
        <sz val="11"/>
        <color theme="1"/>
        <name val="Calibri"/>
        <scheme val="minor"/>
      </font>
      <numFmt numFmtId="0" formatCode="General"/>
      <fill>
        <patternFill patternType="none">
          <fgColor indexed="64"/>
          <bgColor auto="1"/>
        </patternFill>
      </fill>
      <alignment horizontal="center" vertical="bottom" textRotation="0" wrapText="0" indent="0" justifyLastLine="0" shrinkToFit="0" readingOrder="0"/>
    </dxf>
    <dxf>
      <fill>
        <patternFill patternType="none">
          <fgColor indexed="64"/>
          <bgColor indexed="65"/>
        </patternFill>
      </fill>
      <alignment horizontal="center" vertical="center" textRotation="0" wrapText="0" indent="0" justifyLastLine="0" shrinkToFit="0" readingOrder="0"/>
    </dxf>
    <dxf>
      <border outline="0">
        <top style="thin">
          <color theme="4"/>
        </top>
      </border>
    </dxf>
    <dxf>
      <fill>
        <patternFill patternType="none">
          <fgColor indexed="64"/>
          <bgColor auto="1"/>
        </patternFill>
      </fill>
    </dxf>
    <dxf>
      <alignment horizontal="center" vertical="center" textRotation="0" wrapText="1" indent="0" justifyLastLine="0" readingOrder="0"/>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FFC000"/>
        </patternFill>
      </fill>
    </dxf>
    <dxf>
      <fill>
        <patternFill>
          <bgColor rgb="FFFF000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microsoft.com/office/2007/relationships/slicerCache" Target="slicerCaches/slicerCache1.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9525</xdr:rowOff>
    </xdr:from>
    <xdr:to>
      <xdr:col>1</xdr:col>
      <xdr:colOff>723900</xdr:colOff>
      <xdr:row>0</xdr:row>
      <xdr:rowOff>1047750</xdr:rowOff>
    </xdr:to>
    <xdr:sp macro="[0]!Afficher_Tout" textlink="">
      <xdr:nvSpPr>
        <xdr:cNvPr id="14" name="Rectangle à coins arrondis 13"/>
        <xdr:cNvSpPr/>
      </xdr:nvSpPr>
      <xdr:spPr>
        <a:xfrm>
          <a:off x="0" y="9525"/>
          <a:ext cx="723900" cy="1038225"/>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fr-FR" sz="1100"/>
            <a:t>Afficher </a:t>
          </a:r>
        </a:p>
        <a:p>
          <a:pPr algn="ctr"/>
          <a:r>
            <a:rPr lang="fr-FR" sz="1100"/>
            <a:t>tout</a:t>
          </a:r>
        </a:p>
      </xdr:txBody>
    </xdr:sp>
    <xdr:clientData/>
  </xdr:twoCellAnchor>
  <xdr:twoCellAnchor>
    <xdr:from>
      <xdr:col>2</xdr:col>
      <xdr:colOff>28575</xdr:colOff>
      <xdr:row>0</xdr:row>
      <xdr:rowOff>381000</xdr:rowOff>
    </xdr:from>
    <xdr:to>
      <xdr:col>2</xdr:col>
      <xdr:colOff>971550</xdr:colOff>
      <xdr:row>0</xdr:row>
      <xdr:rowOff>695325</xdr:rowOff>
    </xdr:to>
    <xdr:sp macro="[0]!Masquer" textlink="">
      <xdr:nvSpPr>
        <xdr:cNvPr id="16" name="Paie"/>
        <xdr:cNvSpPr/>
      </xdr:nvSpPr>
      <xdr:spPr>
        <a:xfrm>
          <a:off x="762000" y="381000"/>
          <a:ext cx="942975" cy="314325"/>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fr-FR" sz="1100"/>
            <a:t>Paiements</a:t>
          </a:r>
        </a:p>
      </xdr:txBody>
    </xdr:sp>
    <xdr:clientData/>
  </xdr:twoCellAnchor>
  <xdr:twoCellAnchor>
    <xdr:from>
      <xdr:col>2</xdr:col>
      <xdr:colOff>28575</xdr:colOff>
      <xdr:row>0</xdr:row>
      <xdr:rowOff>733425</xdr:rowOff>
    </xdr:from>
    <xdr:to>
      <xdr:col>2</xdr:col>
      <xdr:colOff>962025</xdr:colOff>
      <xdr:row>0</xdr:row>
      <xdr:rowOff>1047750</xdr:rowOff>
    </xdr:to>
    <xdr:sp macro="[0]!Masquer" textlink="">
      <xdr:nvSpPr>
        <xdr:cNvPr id="17" name="Eché"/>
        <xdr:cNvSpPr/>
      </xdr:nvSpPr>
      <xdr:spPr>
        <a:xfrm>
          <a:off x="762000" y="733425"/>
          <a:ext cx="933450" cy="314325"/>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fr-FR" sz="1100"/>
            <a:t>Echéances</a:t>
          </a:r>
        </a:p>
      </xdr:txBody>
    </xdr:sp>
    <xdr:clientData/>
  </xdr:twoCellAnchor>
  <xdr:twoCellAnchor>
    <xdr:from>
      <xdr:col>2</xdr:col>
      <xdr:colOff>28577</xdr:colOff>
      <xdr:row>0</xdr:row>
      <xdr:rowOff>38100</xdr:rowOff>
    </xdr:from>
    <xdr:to>
      <xdr:col>2</xdr:col>
      <xdr:colOff>971551</xdr:colOff>
      <xdr:row>0</xdr:row>
      <xdr:rowOff>342900</xdr:rowOff>
    </xdr:to>
    <xdr:sp macro="[0]!Bouton_Convention_Cliquer" textlink="">
      <xdr:nvSpPr>
        <xdr:cNvPr id="3" name="Carré corné 2"/>
        <xdr:cNvSpPr/>
      </xdr:nvSpPr>
      <xdr:spPr>
        <a:xfrm>
          <a:off x="762002" y="38100"/>
          <a:ext cx="942974" cy="304800"/>
        </a:xfrm>
        <a:prstGeom prst="foldedCorner">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ctr"/>
        <a:lstStyle/>
        <a:p>
          <a:pPr algn="ctr"/>
          <a:r>
            <a:rPr lang="fr-FR" sz="1100"/>
            <a:t>Convention</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6</xdr:row>
      <xdr:rowOff>38100</xdr:rowOff>
    </xdr:from>
    <xdr:to>
      <xdr:col>0</xdr:col>
      <xdr:colOff>1181100</xdr:colOff>
      <xdr:row>14</xdr:row>
      <xdr:rowOff>66675</xdr:rowOff>
    </xdr:to>
    <mc:AlternateContent xmlns:mc="http://schemas.openxmlformats.org/markup-compatibility/2006" xmlns:a14="http://schemas.microsoft.com/office/drawing/2010/main">
      <mc:Choice Requires="a14">
        <xdr:graphicFrame macro="">
          <xdr:nvGraphicFramePr>
            <xdr:cNvPr id="5" name="DATE CA"/>
            <xdr:cNvGraphicFramePr/>
          </xdr:nvGraphicFramePr>
          <xdr:xfrm>
            <a:off x="0" y="0"/>
            <a:ext cx="0" cy="0"/>
          </xdr:xfrm>
          <a:graphic>
            <a:graphicData uri="http://schemas.microsoft.com/office/drawing/2010/slicer">
              <sle:slicer xmlns:sle="http://schemas.microsoft.com/office/drawing/2010/slicer" name="DATE CA"/>
            </a:graphicData>
          </a:graphic>
        </xdr:graphicFrame>
      </mc:Choice>
      <mc:Fallback xmlns="">
        <xdr:sp macro="" textlink="">
          <xdr:nvSpPr>
            <xdr:cNvPr id="0" name=""/>
            <xdr:cNvSpPr>
              <a:spLocks noTextEdit="1"/>
            </xdr:cNvSpPr>
          </xdr:nvSpPr>
          <xdr:spPr>
            <a:xfrm>
              <a:off x="0" y="1371600"/>
              <a:ext cx="1181100" cy="1552575"/>
            </a:xfrm>
            <a:prstGeom prst="rect">
              <a:avLst/>
            </a:prstGeom>
            <a:solidFill>
              <a:prstClr val="white"/>
            </a:solidFill>
            <a:ln w="1">
              <a:solidFill>
                <a:prstClr val="green"/>
              </a:solidFill>
            </a:ln>
          </xdr:spPr>
          <xdr:txBody>
            <a:bodyPr vertOverflow="clip" horzOverflow="clip"/>
            <a:lstStyle/>
            <a:p>
              <a:r>
                <a:rPr lang="en-US"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BD%20V2%20-%20Copie.xlsm"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uteur" refreshedDate="42742.652851736108" createdVersion="5" refreshedVersion="5" minRefreshableVersion="3" recordCount="178">
  <cacheSource type="worksheet">
    <worksheetSource name="Tableau2" r:id="rId2"/>
  </cacheSource>
  <cacheFields count="57">
    <cacheField name="Clé_x000a_primaire" numFmtId="0">
      <sharedItems containsSemiMixedTypes="0" containsString="0" containsNumber="1" containsInteger="1" minValue="1" maxValue="181"/>
    </cacheField>
    <cacheField name="N°SIREPA" numFmtId="0">
      <sharedItems containsBlank="1" containsMixedTypes="1" containsNumber="1" containsInteger="1" minValue="2553" maxValue="2940"/>
    </cacheField>
    <cacheField name="DATE CA" numFmtId="14">
      <sharedItems containsDate="1" containsMixedTypes="1" minDate="2015-11-19T00:00:00" maxDate="2016-11-30T00:00:00" count="4">
        <d v="2015-11-19T00:00:00"/>
        <d v="2016-11-29T00:00:00"/>
        <s v="27/05/2016 CI"/>
        <s v="19/09/2016 CI"/>
      </sharedItems>
    </cacheField>
    <cacheField name="R_x000a_E_x000a_S_x000a_E_x000a_A_x000a_U_x000a_" numFmtId="0">
      <sharedItems containsBlank="1"/>
    </cacheField>
    <cacheField name="A_x000a_X_x000a_E_x000a_" numFmtId="0">
      <sharedItems containsBlank="1" containsMixedTypes="1" containsNumber="1" containsInteger="1" minValue="1" maxValue="6" count="11">
        <m/>
        <n v="4"/>
        <n v="1"/>
        <n v="3"/>
        <n v="2"/>
        <s v="1 et 5"/>
        <n v="6"/>
        <n v="5"/>
        <s v="5 et 6"/>
        <s v="Marché "/>
        <s v="pas de mise en œuvre sur Ecophyto II"/>
      </sharedItems>
    </cacheField>
    <cacheField name="A_x000a_C_x000a_T_x000a_I_x000a_O_x000a_N" numFmtId="0">
      <sharedItems containsBlank="1" containsMixedTypes="1" containsNumber="1" containsInteger="1" minValue="2" maxValue="28" count="32">
        <m/>
        <s v="17 et 18"/>
        <s v="1.2"/>
        <n v="16"/>
        <s v="8 et 9"/>
        <n v="21"/>
        <s v="5 et 12"/>
        <n v="28"/>
        <n v="27"/>
        <s v="13.1"/>
        <s v="2 et 3"/>
        <s v="19 à 29.2"/>
        <n v="2"/>
        <s v="6.1"/>
        <s v="Marché "/>
        <n v="3"/>
        <n v="4"/>
        <n v="5"/>
        <s v="6.2"/>
        <s v="7 à 9"/>
        <n v="12"/>
        <n v="14"/>
        <s v="29.2"/>
        <s v="30.2"/>
        <s v=" 6 et 6.1"/>
        <s v="pas de mise en œuvre sur Ecophyto II"/>
        <n v="22"/>
        <n v="11"/>
        <s v="1.3"/>
        <n v="20"/>
        <n v="13"/>
        <n v="26"/>
      </sharedItems>
    </cacheField>
    <cacheField name="PORTEUR_x000a_DE_x000a_PROJET" numFmtId="0">
      <sharedItems/>
    </cacheField>
    <cacheField name="LIBELE_x000a_PROJET" numFmtId="0">
      <sharedItems count="125" longText="1">
        <s v="DEPHY - CAN - pluriannuel - avenant (recrutement sur 2 ans)"/>
        <s v="Semaine pour les alternatives aux pesticides"/>
        <s v="CEPP - comité d'évaluation"/>
        <s v="Plate-forme ecophytozna-pro : maintenance et contenu"/>
        <s v="Outil d'aide à la mise en œuvre de la lutte intégrée (phase 3)"/>
        <s v="Lutte contre le commerce illégal"/>
        <s v="Jardinot - certification des centres de jardins familiaux"/>
        <s v="Soutien à 4 projets CASDAR Semences - DITYLUZ : détection et quantification du nématode des tiges"/>
        <s v="Mieux suivre spatialement l’usage des pesticides en s’appuyant sur la BNV-D - poursuite"/>
        <s v="Surveillance biologique du territoire"/>
        <s v="Soutien à 4 projets CASDAR Semences - Mise en place et analyse d'un agrosystème vigne innovant"/>
        <s v="Faciliter les apprentissages des SCEP : série de films"/>
        <s v="ETP Structuration des filières"/>
        <s v="Programme d'expérimentation"/>
        <s v="Communication GIS PIClég"/>
        <s v="Classification multicritères des performances des pulvés"/>
        <s v="EcophytoPIC : maintenance, développement et alimentation ; portail EcophytoPIC 2"/>
        <s v="Soutien à 4 projets CASDAR Semences - Identification de résistances à la fusariose et à l'accumulation de mycotoxines - IRIGAM"/>
        <s v="Former les conjoints des viticulteurs à repérer les situations d'exposition"/>
        <s v="Matphyto 2 (matrice emploi-exposition multinuisances)"/>
        <s v="Matrice Matgéné"/>
        <s v="Communication nationale Ecophyto"/>
        <s v="DEPHY - CAN - Annuelle "/>
        <s v="Appui à la déclinaison régionale du plan Ecophyto - animateurs en CRA et à l'APCA"/>
        <s v="Refonte de la plate-forme jardiner-autrement"/>
        <s v="DEPHY - conventions CRA"/>
        <s v="ANIMATEUR - Actions d'initiative régionale - forfait communication"/>
        <s v="Soutien à 4 projets CASDAR Semences - Efficacité des résistances partielles - ARMEN"/>
        <s v="Certificat individuel - FAM"/>
        <s v="Certificat individuel - ACTA"/>
        <s v="Communication JEVI jardiniers amateurs"/>
        <s v="Gestion des conventions par l'ONEMA"/>
        <s v="Soutien à un projet ANR - MIXTRESS (interactions entre pathogènes et mélanges de pesticides chez l'abeille)"/>
        <s v="DEPHY FERME"/>
        <s v="Outil d'enregistrement Agrosyst - avenant "/>
        <s v="DEPHY EXPE"/>
        <s v="Cellule d'appui nationale 30 000"/>
        <s v="Portail EcophytoPIC + GECO"/>
        <s v="Herbéa – phase 4 – Outil d'aide à la mise en oeuvre de la lutte intégrée"/>
        <s v="Surveillance biologique du territoire – Epidémiosurveillance (BSV)"/>
        <s v="Certiphyto"/>
        <s v="EDUC’ECOPHYTO, diffusion de pratiques agronomiques performantes et économes en produits phytopharmaceutiques"/>
        <s v="Colloque de restitution des projets de recherche issus de l’appel « Pour et Sur le Plan Ecophyto » (PSPE1) et de l’APR 2011 du programme Pesticides"/>
        <s v="_x000a_Thyrogenox – Perturbation thyroïdienne et neurodéveloppementale par les pesticides (Anses)_x000a_"/>
        <s v="MECOTOX - Exposition fœtale aux pesticides et hypospadias (Anses)_x000a_"/>
        <s v=" IMPULsE - développement et Intégration de Méthodes innovantes pour la maîtrise des PUnaises en cultures Legumières (CASDAR IP)"/>
        <s v=" PlacoHB - Plantes couvre-sol comme contribution au contrôle des adventices et à la promotion de la biodiversité (CASDAR IP)"/>
        <s v="BRASSIDEL - Criblage d’une collection de brassicacées sauvages et cultivées afin d’identifier des sources de résistance à la mouche du chou Delia radicum pour les variétés de brassicacées légumière  (CASDAR)"/>
        <s v="PoTStaR - Stabilité des résistances au mildiou de la pomme de terre et identification de marqueurs associés  (CASDAR)"/>
        <s v=" COPP’R - modélisation de la COntamination de l’air par les Produits Physanitaires à l’échelle Régionale "/>
        <s v="TRANSPOPEST - Transferts de produits phytosanitaires des zones de cultures vers les zones habitées et exposition des populations riveraine"/>
        <s v="PALMOBIOTRAP - Développement d'un piège attractif de biocontrôle pour surveiller et contrôler le papillon palmivore, Paysandisia archon  (Appel à projets JEVI)"/>
        <s v="« GUSTINSECTES » La mouche du vinaigre goûte les molécules de l’environnement avec ses ailes: analyse des détections chiomio-sensorielles par les ailes chez les insectes ravageurs  (Appel à projets JEVI)"/>
        <s v="Desherbal « Développement et étude de l’efficacité de substances allélopathiques pour améliorer le désherbage des espèces récalcitrantes   (Appel à projets JEVI)"/>
        <s v=" AUTOPPhéno –Etude de technologies AUTOmatisées  de monitoring des adultes Lépidoptères ravageurs afin d’optimiser les périodes d’utilisation des stratégies de lutte en alternative aux produits phytopharmaceutiques. Etude conduite sur la Processionnaire du Pin  (Appel à projets JEVI)"/>
        <s v="ALTHERCOL Les pratiques alternatives aux herbicides dans les jardins collectifs en ville  (Appel à projets JEVI)"/>
        <s v="ACCERO - Acceptabilité du « zéro-pesticides » dans les espaces publics – étude socio-economique  (Appel à projets JEVI)"/>
        <s v="ALT’CIM - Vers le zéro phyto dans les cimetières  (Appel à projets JEVI)"/>
        <s v="DEMETER - Bio-olfacticides: produire plus avec moins d'insecticides (Appel à projets ANR)_x000a__x000a_"/>
        <s v="HerbiFun - Les champignons pathogènes des plantes, une source de nouveaux herbicides (Appel à projets ANR)_x000a__x000a_"/>
        <s v="Viro-DUB - Deubiquitinases virales : de nouveaux acteurs dans le contrôle des infections virales chez les plantes  (Appel à projets ANR)_x000a__x000a__x000a_"/>
        <s v="Surveillance biologique du territoire – Suivi des effets non intentionnels"/>
        <s v="API-IFT"/>
        <s v="Enquête Phyto Légumes 2017"/>
        <s v="Enquête Phyto Viti 2016"/>
        <s v="Spatialisation BNV-d"/>
        <s v="Lutte contre la fraude et le commerce illégal"/>
        <s v="Communication JEVI (Variable)"/>
        <s v="Concours Jardinot"/>
        <s v="Plate-forme Terre Saine"/>
        <s v="Plate-forme Jardiner autrement"/>
        <s v="Séminaire DOM"/>
        <s v="Communication du GIS PIClég"/>
        <s v="Appui à la déclinaison régionale du plan Ecophyto"/>
        <s v="Gestion des crédits par l'AEAP – Prélevé à la source"/>
        <s v="Gestion des crédits par l'ONEMA"/>
        <s v="(complément)  Développement de méthodes économes en produits phytopharmaceutiques et programme d’expérimentation « usages orphelins » dans les DOM "/>
        <s v="SC TRACE / Traçabilité systématisée et harmonisée grâce à la lecture optique sur l’ensemble de la filière de la protection des plantes"/>
        <s v="Appui à l'animation de l'axe recherche et innovation du plan Écophyto"/>
        <s v="Certificat individuel professionnel produits phytopharmaceutiques – Mayotte"/>
        <s v="C-Root Control approche holistique de la gestion de la maladie de la croissance anarchique du système racinaire causé par Agrobacterium Rhizogenes chez la tomate, le concombre et l’aubergine. "/>
        <s v="IPMB light 2.0 - Pour un contrôle durable du mildiou de la pomme de terre – Exploitation de données de populations de pathogènes pour des outils d’aide à la décision optimisés"/>
        <s v="« IMPACT CE » – Développement et transfert aux opérationnels d’outils intégratifs de mesure chimique et biologique au sein des cours d’eau pour le suivi de l'impact des pratiques agricoles et de leur évolution"/>
        <s v="AGRO-ECO-VITI – Accompagner la viticulture vers l'agroécologie – Développement des mesures agro-environnementales"/>
        <s v="Transmettre les méthodes de Biocontrôle auprès des relais associatifs (Graine, FNE, …) dans le contexte de mise en oeuvre de la loi Labbé pour toucher les collectivités et les jardiniers amateurs"/>
        <s v="Ecophyto'EAU CHAUDE – Evaluation du désherbage à l'eau chaude sur culture pérenne"/>
        <s v="Demain la Terre – pour des fruits et légumes responsables, plus sains, plus sûrs, pour tous"/>
        <s v="OPTI-CROPS LOW-FONGI National - Mise en place d’une plateforme multi site d’expérimentation à l’échelle parcellaire des OAD de Promété sur les maladies fongiques en grandes cultures."/>
        <s v="Maîtrise des résidus dans les légumes au cours des process de transformation"/>
        <s v="Les pesticides, apprenons à nous en passer, des solutions alternatives existent - Information et formation des jardiniers amateurs via les nouveaux vecteurs de communication que sont les vidéos présentes sur les chaines de Jardinage de YOU TUBE"/>
        <s v="Limiter l'utilisation des produits phytosanitaires en culture de pomme de terre grâce au biocontrôle"/>
        <s v="Campagne de mobilisation sur les alternatives aux phytosanitaires chimiques, à la connaissance et à l'accueil de la biodiversité dans les JEVI"/>
        <s v="ZERRAC – Zone expérimentale de régulation des rongeurs en agriculture de conservation"/>
        <s v="FAAR-Phy – Formation à l'animation et à l'accompagnement vers la réduction de l'utilisation, des impacts et des risques des produits phytopharmaceutiques"/>
        <s v="Formation Ecophyto+ en santé et sécurité au travail à l'attention des relais d'opinion"/>
        <s v="AlterBru – Pour une utilisation de techniques alternatives contre les bruches de la féverole"/>
        <s v="Robotique et numérique, des innovations pour la réduction de l'usage des produits phytopharmaceutiques"/>
        <s v="Agro-écologie et industrie agroalimentaire : retour d'expérience Lu et perspectives pour la filière blé"/>
        <s v="Déploiement du programme &quot;Jardins de Noé&quot; auprès de tous les publics : grand public, collectivités, entreprises, enfants"/>
        <s v="Construire avec les outre-mer une agro-écologie axée sur la réduction de l’utilisation, des risques et des impacts phytopharmaceutiques "/>
        <s v="CRANP – Couvrir les risques liés à l'adoption de nouvelles pratiques"/>
        <s v="Form A Bio – Conception d'un parcours pédagogique sur la conception et l'entretien alternatif des espaces communaux"/>
        <s v="ACCELERE – Conception de nouveaux outils pour accélérer le déploiement des systèmes de production agroécologiques en fruits et légumes"/>
        <s v="XP-BC – Des réseaux d'expérimentation dédiés au biocontrôle pour soutenir le développement, l'utilisation et l'intégration des produits"/>
        <s v="Les APNE, un relais incontournable pour se passer des pesticides"/>
        <s v="12ème Semaine pour les alternatives aux pesticides (SPAP)"/>
        <s v="Accompagner des groupes d'agriculteurs vers une agro-écologie à bas niveau de pesticides"/>
        <s v="ENI-VTH - Effets non intentionnels associés à l’utilisation des variétés de tournesol tolérantes aux herbicides : impact sur les pratiques, la flore adventice et les populations d’ambroisies, proposition de nouveaux outils de surveillance et de gestion"/>
        <s v="Faire connaître et promouvoir le biocontrôle auprès des jardiniers amateurs"/>
        <s v="Amélioration des équipements de travail pour réduire le risque lié à l'utilisation des produits phytopharmaceutiques"/>
        <s v="Animation d'un réseau de jardiniers amateurs référents"/>
        <s v="Epidémiosurveillance dans les JEVI amateurs"/>
        <s v="Carto'EXPO – Construction d'une méthodologie intégrative de caractérisation de l'exposition spatialisée : application aux pyréthrinoïdes"/>
        <s v="PLEVOP – Développement de la pulvérisation localisée en végétation sur oléagineux et protéagineux"/>
        <s v="Maîtrise des risques liés à l'utilisation des produits phytopharmaceutiques dans la filière AOP Pomme du Limousin"/>
        <s v="Guide UNEP des techniques alternatives aux produits phytopharmaceutiques"/>
        <s v="NTSEnvi – Etat des lieux et perspectives de la méthodologie Non-target screening pour la caractérisation des contaminants organiques environnementaux"/>
        <s v="Transferabio"/>
        <s v="LidarEcoDose –Analyse de la variabilité du développement végétatif dans différents vignobles par des mesures de capteur LiDAR et manuelles en vue d’une modification de l’expression des doses de produits phytosanitaires tenant compte du développement végétatif"/>
        <s v="Gé-D-E-P – Guide de gestion durable des espaces publics"/>
        <s v="S@MCHANGE- Accompagner le changement de pratiques en horticulture en incluant de nouvelles tactiques et stratégies PBI avec l'aide deS@M"/>
        <s v="ACCA – Agro-écologie : accompagner les accompagnateurs – Pour un conseil axé sur une approche globale des exploitations agricoles"/>
        <s v="« RESAPHY » Phase 2 – Renforcer la surveillance et l'étude des effets de l'utilisation des pesticides sur la santé humaine et l'environnement"/>
        <s v="« Smart IPM » : Outil d’aide à la décision pour la PIC en horticulture légumière sous serre.  "/>
        <s v="DEPARE : suivi du développement des enfants [EXPL : capacités intellectuelles des enfants dont la mère a été exposée pendant la grossesse à des nuisances agricoles]"/>
      </sharedItems>
    </cacheField>
    <cacheField name="STATUT" numFmtId="0">
      <sharedItems containsBlank="1" count="5">
        <s v="Signée "/>
        <s v="En cours de validation au service juridique "/>
        <m/>
        <s v="En cours de signature chez le partenaire "/>
        <s v="En cours de rédaction chez le partenaire "/>
      </sharedItems>
    </cacheField>
    <cacheField name="Avenant 1 date signature" numFmtId="0">
      <sharedItems containsDate="1" containsBlank="1" containsMixedTypes="1" minDate="2016-08-12T00:00:00" maxDate="2016-12-15T00:00:00"/>
    </cacheField>
    <cacheField name="Objet avenant 1" numFmtId="0">
      <sharedItems containsBlank="1"/>
    </cacheField>
    <cacheField name="Avenant 2 date signature" numFmtId="14">
      <sharedItems containsNonDate="0" containsString="0" containsBlank="1"/>
    </cacheField>
    <cacheField name="Objet avenant 2" numFmtId="0">
      <sharedItems containsNonDate="0" containsString="0" containsBlank="1"/>
    </cacheField>
    <cacheField name="Durée du projet" numFmtId="0">
      <sharedItems containsString="0" containsBlank="1" containsNumber="1" containsInteger="1" minValue="6" maxValue="36"/>
    </cacheField>
    <cacheField name="Durée suppl' pour pièces" numFmtId="0">
      <sharedItems containsSemiMixedTypes="0" containsString="0" containsNumber="1" containsInteger="1" minValue="6" maxValue="6"/>
    </cacheField>
    <cacheField name="Durée totale conv' " numFmtId="0">
      <sharedItems containsMixedTypes="1" containsNumber="1" containsInteger="1" minValue="12" maxValue="42"/>
    </cacheField>
    <cacheField name="Date signature " numFmtId="0">
      <sharedItems containsDate="1" containsBlank="1" containsMixedTypes="1" minDate="2015-06-17T00:00:00" maxDate="2016-11-25T00:00:00"/>
    </cacheField>
    <cacheField name="Début éligibilité dépenses" numFmtId="0">
      <sharedItems containsDate="1" containsBlank="1" containsMixedTypes="1" minDate="2016-01-01T00:00:00" maxDate="2016-11-25T00:00:00"/>
    </cacheField>
    <cacheField name="Fin éligibilité dépenses" numFmtId="14">
      <sharedItems containsDate="1" containsMixedTypes="1" minDate="2016-09-30T00:00:00" maxDate="2019-11-01T00:00:00"/>
    </cacheField>
    <cacheField name="Échéance demande d'avenant" numFmtId="14">
      <sharedItems containsDate="1" containsMixedTypes="1" minDate="2016-03-30T00:00:00" maxDate="2019-05-01T00:00:00"/>
    </cacheField>
    <cacheField name="Échéance remise rapport inter'" numFmtId="14">
      <sharedItems containsDate="1" containsMixedTypes="1" minDate="2016-05-31T00:00:00" maxDate="2018-06-01T00:00:00"/>
    </cacheField>
    <cacheField name="Échéance de la conv' et rapport final" numFmtId="14">
      <sharedItems containsDate="1" containsMixedTypes="1" minDate="2017-09-02T00:00:00" maxDate="2020-05-23T00:00:00"/>
    </cacheField>
    <cacheField name="Version du plan" numFmtId="0">
      <sharedItems/>
    </cacheField>
    <cacheField name="Enveloppe" numFmtId="0">
      <sharedItems containsNonDate="0" containsString="0" containsBlank="1"/>
    </cacheField>
    <cacheField name="Pilote d'axe" numFmtId="0">
      <sharedItems containsBlank="1" longText="1"/>
    </cacheField>
    <cacheField name="Contact Pilote" numFmtId="0">
      <sharedItems containsNonDate="0" containsString="0" containsBlank="1"/>
    </cacheField>
    <cacheField name="Contact Porteur" numFmtId="0">
      <sharedItems containsNonDate="0" containsString="0" containsBlank="1"/>
    </cacheField>
    <cacheField name="Observations" numFmtId="0">
      <sharedItems containsNonDate="0" containsString="0" containsBlank="1"/>
    </cacheField>
    <cacheField name="AVANCE PREVUE" numFmtId="44">
      <sharedItems containsSemiMixedTypes="0" containsString="0" containsNumber="1" minValue="2137.2750000000001" maxValue="5443336" count="163">
        <n v="79668"/>
        <n v="3000"/>
        <n v="45000"/>
        <n v="60599.399999999994"/>
        <n v="12321"/>
        <n v="9000"/>
        <n v="10050"/>
        <n v="17968.5"/>
        <n v="18000"/>
        <n v="98002.5"/>
        <n v="16727.399999999998"/>
        <n v="14889"/>
        <n v="198448"/>
        <n v="70312.5"/>
        <n v="318215.39999999997"/>
        <n v="43015"/>
        <n v="275954"/>
        <n v="262222.5"/>
        <n v="368851.5"/>
        <n v="16200"/>
        <n v="84096.3"/>
        <n v="109413"/>
        <n v="40715"/>
        <n v="30913.8"/>
        <n v="228922.5"/>
        <n v="42089"/>
        <n v="287455"/>
        <n v="38250"/>
        <n v="90000"/>
        <n v="571144.5"/>
        <n v="371339"/>
        <n v="377499.5"/>
        <n v="558939"/>
        <n v="689164"/>
        <n v="300000"/>
        <n v="36439"/>
        <n v="418027.5"/>
        <n v="1533749.4"/>
        <n v="74251.5"/>
        <n v="12000"/>
        <n v="50772.5"/>
        <n v="62648.5"/>
        <n v="66516"/>
        <n v="51045"/>
        <n v="47177.5"/>
        <n v="293148.75"/>
        <n v="196617.715"/>
        <n v="18129.375"/>
        <n v="62193"/>
        <n v="58780.5"/>
        <n v="181197.125"/>
        <n v="71036.25"/>
        <n v="39540"/>
        <n v="412665"/>
        <n v="625261.88"/>
        <n v="178608.75"/>
        <n v="90958.5"/>
        <n v="136900"/>
        <n v="205198.5"/>
        <n v="30000"/>
        <n v="133032"/>
        <n v="260704.125"/>
        <n v="117561"/>
        <n v="105958"/>
        <n v="59889.299999999996"/>
        <n v="389875.78499999997"/>
        <n v="184200"/>
        <n v="168606"/>
        <n v="176342"/>
        <n v="448753.125"/>
        <n v="20145"/>
        <n v="45225"/>
        <n v="500425.005"/>
        <n v="19020"/>
        <n v="180000"/>
        <n v="150000"/>
        <n v="9738.75"/>
        <n v="72090"/>
        <n v="5443336"/>
        <n v="19968"/>
        <n v="1770375"/>
        <n v="56812.5"/>
        <n v="119925"/>
        <n v="38160"/>
        <n v="4500000"/>
        <n v="244200"/>
        <n v="54000"/>
        <n v="59841.599999999999"/>
        <n v="36253.199999999997"/>
        <n v="140578.65"/>
        <n v="146860.65"/>
        <n v="50910.6"/>
        <n v="43633.5"/>
        <n v="58720.853999999999"/>
        <n v="68190"/>
        <n v="36000"/>
        <n v="4500"/>
        <n v="26203.8"/>
        <n v="4478.652"/>
        <n v="35928"/>
        <n v="4521.6360000000004"/>
        <n v="43614.9"/>
        <n v="88650"/>
        <n v="54750"/>
        <n v="74400"/>
        <n v="500000"/>
        <n v="57000"/>
        <n v="201976.19999999998"/>
        <n v="116151"/>
        <n v="40500"/>
        <n v="195000"/>
        <n v="14400"/>
        <n v="74756.099999999991"/>
        <n v="41175"/>
        <n v="27000"/>
        <n v="1269989.5"/>
        <n v="135300"/>
        <n v="164700"/>
        <n v="33652.799999999996"/>
        <n v="38052"/>
        <n v="20250"/>
        <n v="6300"/>
        <n v="5535"/>
        <n v="59838"/>
        <n v="204231.6"/>
        <n v="8849.6999999999989"/>
        <n v="2137.2750000000001"/>
        <n v="28573.59"/>
        <n v="10074"/>
        <n v="11025"/>
        <n v="13275"/>
        <n v="11250"/>
        <n v="15254.699999999999"/>
        <n v="22464.674999999999"/>
        <n v="6865.5"/>
        <n v="8520"/>
        <n v="14467.5"/>
        <n v="8004"/>
        <n v="15900"/>
        <n v="18825"/>
        <n v="330437.39999999997"/>
        <n v="3127.5"/>
        <n v="23303.7"/>
        <n v="9274.5"/>
        <n v="7500"/>
        <n v="51450"/>
        <n v="64151.61"/>
        <n v="18337.5"/>
        <n v="40224"/>
        <n v="31500"/>
        <n v="30487.5"/>
        <n v="18856.555980000001"/>
        <n v="6750"/>
        <n v="2550"/>
        <n v="5625"/>
        <n v="51000"/>
        <n v="29531.171999999999"/>
        <n v="5850"/>
        <n v="37950"/>
        <n v="16280.699999999999"/>
        <n v="56641.5"/>
        <n v="59280"/>
        <n v="44250"/>
      </sharedItems>
    </cacheField>
    <cacheField name="Date de l'avance prévue" numFmtId="14">
      <sharedItems containsDate="1" containsMixedTypes="1" minDate="2015-07-17T00:00:00" maxDate="2016-12-25T00:00:00" count="55">
        <d v="2015-07-17T00:00:00"/>
        <d v="2016-04-03T00:00:00"/>
        <d v="2016-04-29T00:00:00"/>
        <d v="2016-05-04T00:00:00"/>
        <d v="2016-05-08T00:00:00"/>
        <d v="2016-05-15T00:00:00"/>
        <d v="2016-05-19T00:00:00"/>
        <d v="2016-05-20T00:00:00"/>
        <d v="2016-05-25T00:00:00"/>
        <d v="2016-05-26T00:00:00"/>
        <d v="2016-05-27T00:00:00"/>
        <d v="2016-05-05T00:00:00"/>
        <d v="2016-06-02T00:00:00"/>
        <d v="2016-06-04T00:00:00"/>
        <d v="2016-06-12T00:00:00"/>
        <d v="2016-06-20T00:00:00"/>
        <d v="2016-07-25T00:00:00"/>
        <d v="2016-07-06T00:00:00"/>
        <d v="2016-07-13T00:00:00"/>
        <d v="2016-07-21T00:00:00"/>
        <d v="2016-08-11T00:00:00"/>
        <d v="2016-08-12T00:00:00"/>
        <d v="2016-08-19T00:00:00"/>
        <d v="2016-08-20T00:00:00"/>
        <d v="2016-08-21T00:00:00"/>
        <d v="2016-09-10T00:00:00"/>
        <d v="2016-08-27T00:00:00"/>
        <d v="2016-09-04T00:00:00"/>
        <d v="2016-06-05T00:00:00"/>
        <d v="2016-09-05T00:00:00"/>
        <d v="2016-09-09T00:00:00"/>
        <d v="2016-09-25T00:00:00"/>
        <d v="2016-10-02T00:00:00"/>
        <d v="2016-10-07T00:00:00"/>
        <d v="2016-10-14T00:00:00"/>
        <d v="2016-10-21T00:00:00"/>
        <d v="2016-10-30T00:00:00"/>
        <d v="2016-11-17T00:00:00"/>
        <d v="2016-12-09T00:00:00"/>
        <d v="2016-12-10T00:00:00"/>
        <d v="2016-12-16T00:00:00"/>
        <s v=""/>
        <d v="2016-09-30T00:00:00"/>
        <d v="2016-11-10T00:00:00"/>
        <d v="2016-11-14T00:00:00"/>
        <d v="2016-11-26T00:00:00"/>
        <d v="2016-12-03T00:00:00"/>
        <d v="2016-12-15T00:00:00"/>
        <d v="2016-12-17T00:00:00"/>
        <d v="2016-12-18T00:00:00"/>
        <d v="2016-12-22T00:00:00"/>
        <d v="2016-12-21T00:00:00"/>
        <d v="2016-12-23T00:00:00"/>
        <d v="2016-12-24T00:00:00"/>
        <s v="-" u="1"/>
      </sharedItems>
      <fieldGroup par="56"/>
    </cacheField>
    <cacheField name="ACOMPTE PREVU" numFmtId="44">
      <sharedItems containsSemiMixedTypes="0" containsString="0" containsNumber="1" minValue="0" maxValue="2044999.2000000002"/>
    </cacheField>
    <cacheField name="Date de l'acompte prévue" numFmtId="14">
      <sharedItems containsDate="1" containsMixedTypes="1" minDate="2016-06-30T00:00:00" maxDate="2018-06-01T00:00:00" count="21">
        <d v="2016-06-30T00:00:00"/>
        <d v="2016-09-30T00:00:00"/>
        <d v="2017-03-31T00:00:00"/>
        <d v="2017-09-30T00:00:00"/>
        <d v="2016-12-31T00:00:00"/>
        <d v="2016-10-31T00:00:00"/>
        <s v=""/>
        <d v="2017-10-31T00:00:00"/>
        <d v="2017-04-30T00:00:00"/>
        <d v="2017-11-30T00:00:00"/>
        <d v="2017-01-31T00:00:00"/>
        <d v="2018-03-31T00:00:00"/>
        <d v="2018-01-31T00:00:00"/>
        <d v="2018-04-30T00:00:00"/>
        <d v="2017-02-28T00:00:00"/>
        <d v="2018-05-31T00:00:00"/>
        <d v="2017-12-31T00:00:00"/>
        <d v="2017-05-31T00:00:00"/>
        <d v="2017-07-31T00:00:00"/>
        <d v="2017-08-31T00:00:00"/>
        <d v="2017-06-30T00:00:00"/>
      </sharedItems>
    </cacheField>
    <cacheField name="SOLDE PREVU" numFmtId="44">
      <sharedItems containsSemiMixedTypes="0" containsString="0" containsNumber="1" minValue="2137.2750000000001" maxValue="5443336"/>
    </cacheField>
    <cacheField name="Date du solde prévue  " numFmtId="14">
      <sharedItems containsDate="1" containsMixedTypes="1" minDate="2017-03-31T00:00:00" maxDate="2019-12-01T00:00:00" count="24">
        <d v="2017-06-30T00:00:00"/>
        <d v="2017-03-31T00:00:00"/>
        <d v="2018-03-31T00:00:00"/>
        <d v="2019-03-31T00:00:00"/>
        <d v="2017-09-30T00:00:00"/>
        <d v="2017-04-30T00:00:00"/>
        <d v="2019-04-30T00:00:00"/>
        <d v="2018-04-30T00:00:00"/>
        <d v="2017-05-31T00:00:00"/>
        <d v="2019-05-31T00:00:00"/>
        <d v="2017-07-31T00:00:00"/>
        <d v="2017-08-31T00:00:00"/>
        <d v="2019-09-30T00:00:00"/>
        <d v="2017-10-31T00:00:00"/>
        <d v="2017-11-30T00:00:00"/>
        <s v=""/>
        <d v="2019-10-31T00:00:00"/>
        <d v="2019-11-30T00:00:00"/>
        <d v="2019-02-28T00:00:00"/>
        <d v="2018-10-31T00:00:00"/>
        <d v="2019-07-31T00:00:00"/>
        <d v="2018-05-31T00:00:00"/>
        <d v="2018-11-30T00:00:00"/>
        <d v="2018-01-31T00:00:00"/>
      </sharedItems>
    </cacheField>
    <cacheField name="AVANCE VERSEE" numFmtId="44">
      <sharedItems containsSemiMixedTypes="0" containsString="0" containsNumber="1" minValue="0" maxValue="1533749.4"/>
    </cacheField>
    <cacheField name="Date du mandat Avance" numFmtId="0">
      <sharedItems containsDate="1" containsBlank="1" containsMixedTypes="1" minDate="2016-03-22T00:00:00" maxDate="2016-12-01T00:00:00" count="34">
        <d v="2016-05-12T00:00:00"/>
        <d v="2016-03-22T00:00:00"/>
        <d v="2016-03-29T00:00:00"/>
        <d v="2016-04-01T00:00:00"/>
        <d v="2016-04-14T00:00:00"/>
        <d v="2016-05-24T00:00:00"/>
        <d v="2016-04-22T00:00:00"/>
        <d v="2016-06-28T00:00:00"/>
        <d v="2016-05-31T00:00:00"/>
        <d v="2016-06-17T00:00:00"/>
        <d v="2016-07-13T00:00:00"/>
        <d v="2016-07-22T00:00:00"/>
        <d v="2016-07-27T00:00:00"/>
        <d v="2016-07-29T00:00:00"/>
        <d v="2016-08-09T00:00:00"/>
        <d v="2016-08-16T00:00:00"/>
        <d v="2016-08-19T00:00:00"/>
        <d v="2016-08-30T00:00:00"/>
        <d v="2016-09-13T00:00:00"/>
        <d v="2016-09-20T00:00:00"/>
        <d v="2016-09-29T00:00:00"/>
        <d v="2016-10-11T00:00:00"/>
        <d v="2016-10-20T00:00:00"/>
        <s v="oui"/>
        <m/>
        <d v="2016-11-16T00:00:00"/>
        <d v="2016-10-13T00:00:00"/>
        <d v="2016-11-09T00:00:00"/>
        <d v="2016-11-18T00:00:00"/>
        <d v="2016-11-23T00:00:00"/>
        <d v="2016-11-25T00:00:00"/>
        <d v="2016-11-24T00:00:00"/>
        <d v="2016-11-30T00:00:00"/>
        <d v="2016-11-29T00:00:00"/>
      </sharedItems>
    </cacheField>
    <cacheField name="Date de relance RI" numFmtId="0">
      <sharedItems containsBlank="1"/>
    </cacheField>
    <cacheField name="Date de réception RI" numFmtId="14">
      <sharedItems containsNonDate="0" containsString="0" containsBlank="1"/>
    </cacheField>
    <cacheField name="Date envoi ASF Acompte" numFmtId="14">
      <sharedItems containsNonDate="0" containsString="0" containsBlank="1"/>
    </cacheField>
    <cacheField name="ACOMPTE VERSE" numFmtId="44">
      <sharedItems containsSemiMixedTypes="0" containsString="0" containsNumber="1" containsInteger="1" minValue="0" maxValue="0"/>
    </cacheField>
    <cacheField name="Date du mandat Acompte" numFmtId="44">
      <sharedItems containsNonDate="0" containsString="0" containsBlank="1"/>
    </cacheField>
    <cacheField name="Date de relance RF" numFmtId="0">
      <sharedItems containsNonDate="0" containsString="0" containsBlank="1"/>
    </cacheField>
    <cacheField name="Date de réception RF" numFmtId="14">
      <sharedItems containsNonDate="0" containsString="0" containsBlank="1"/>
    </cacheField>
    <cacheField name="Date envoi l'ASF solde " numFmtId="14">
      <sharedItems containsNonDate="0" containsString="0" containsBlank="1"/>
    </cacheField>
    <cacheField name="SOLDE VERSE" numFmtId="44">
      <sharedItems containsNonDate="0" containsString="0" containsBlank="1"/>
    </cacheField>
    <cacheField name="Date mandat Solde" numFmtId="44">
      <sharedItems containsNonDate="0" containsString="0" containsBlank="1"/>
    </cacheField>
    <cacheField name="Commentaires" numFmtId="0">
      <sharedItems containsBlank="1"/>
    </cacheField>
    <cacheField name="Montant du projet" numFmtId="44">
      <sharedItems containsNonDate="0" containsString="0" containsBlank="1"/>
    </cacheField>
    <cacheField name="Montant participation voté au CA" numFmtId="44">
      <sharedItems containsNonDate="0" containsString="0" containsBlank="1"/>
    </cacheField>
    <cacheField name="Montant des crédits non engagés" numFmtId="44">
      <sharedItems containsSemiMixedTypes="0" containsString="0" containsNumber="1" containsInteger="1" minValue="0" maxValue="0"/>
    </cacheField>
    <cacheField name="Montant participation à signature" numFmtId="44">
      <sharedItems containsSemiMixedTypes="0" containsString="0" containsNumber="1" minValue="7124.25" maxValue="10886672"/>
    </cacheField>
    <cacheField name="Total CP payés" numFmtId="44">
      <sharedItems containsSemiMixedTypes="0" containsString="0" containsNumber="1" minValue="0" maxValue="1533749.4"/>
    </cacheField>
    <cacheField name="Restes à payer " numFmtId="44">
      <sharedItems containsSemiMixedTypes="0" containsString="0" containsNumber="1" minValue="4986.9750000000004" maxValue="10886672"/>
    </cacheField>
    <cacheField name="Titre de recette " numFmtId="44">
      <sharedItems containsSemiMixedTypes="0" containsString="0" containsNumber="1" containsInteger="1" minValue="0" maxValue="0"/>
    </cacheField>
    <cacheField name="Réfaction" numFmtId="44">
      <sharedItems containsSemiMixedTypes="0" containsString="0" containsNumber="1" containsInteger="1" minValue="0" maxValue="0"/>
    </cacheField>
    <cacheField name="Dégagement" numFmtId="44">
      <sharedItems containsSemiMixedTypes="0" containsString="0" containsNumber="1" containsInteger="1" minValue="0" maxValue="0"/>
    </cacheField>
    <cacheField name="Date de l'avance prévue2" numFmtId="0" databaseField="0">
      <fieldGroup base="29">
        <discretePr count="55">
          <x v="0"/>
          <x v="3"/>
          <x v="3"/>
          <x v="3"/>
          <x v="3"/>
          <x v="3"/>
          <x v="3"/>
          <x v="3"/>
          <x v="3"/>
          <x v="3"/>
          <x v="3"/>
          <x v="3"/>
          <x v="3"/>
          <x v="3"/>
          <x v="3"/>
          <x v="3"/>
          <x v="3"/>
          <x v="3"/>
          <x v="3"/>
          <x v="3"/>
          <x v="3"/>
          <x v="3"/>
          <x v="3"/>
          <x v="3"/>
          <x v="3"/>
          <x v="3"/>
          <x v="3"/>
          <x v="3"/>
          <x v="3"/>
          <x v="3"/>
          <x v="3"/>
          <x v="3"/>
          <x v="3"/>
          <x v="3"/>
          <x v="3"/>
          <x v="3"/>
          <x v="3"/>
          <x v="3"/>
          <x v="3"/>
          <x v="3"/>
          <x v="3"/>
          <x v="1"/>
          <x v="3"/>
          <x v="3"/>
          <x v="3"/>
          <x v="3"/>
          <x v="3"/>
          <x v="3"/>
          <x v="3"/>
          <x v="3"/>
          <x v="3"/>
          <x v="3"/>
          <x v="3"/>
          <x v="3"/>
          <x v="2"/>
        </discretePr>
        <groupItems count="4">
          <d v="2015-07-17T00:00:00"/>
          <s v=""/>
          <s v="-"/>
          <s v="Groupe1"/>
        </groupItems>
      </fieldGroup>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178">
  <r>
    <n v="1"/>
    <n v="2553"/>
    <x v="0"/>
    <s v="\\dg94stoc.onema.fr\partages_$\dg94_dcuat\ECOPHYTO\ECOPHYTO 2018\CONVENTIONS\ECOPHYTO I\Axe 2\Action 14\APCA\APCA - PLURIANNUELLE 2015 - n°2553"/>
    <x v="0"/>
    <x v="0"/>
    <s v="APCA"/>
    <x v="0"/>
    <x v="0"/>
    <m/>
    <m/>
    <m/>
    <m/>
    <n v="24"/>
    <n v="6"/>
    <n v="30"/>
    <d v="2015-06-17T00:00:00"/>
    <d v="2016-01-01T00:00:00"/>
    <d v="2017-12-31T00:00:00"/>
    <d v="2017-06-30T00:00:00"/>
    <d v="2017-01-31T00:00:00"/>
    <d v="2017-12-16T00:00:00"/>
    <s v="V2"/>
    <m/>
    <m/>
    <m/>
    <m/>
    <m/>
    <x v="0"/>
    <x v="0"/>
    <n v="106224"/>
    <x v="0"/>
    <n v="79668"/>
    <x v="0"/>
    <n v="79668"/>
    <x v="0"/>
    <m/>
    <m/>
    <m/>
    <n v="0"/>
    <m/>
    <m/>
    <m/>
    <m/>
    <m/>
    <m/>
    <m/>
    <m/>
    <m/>
    <n v="0"/>
    <n v="265560"/>
    <n v="79668"/>
    <n v="185892"/>
    <n v="0"/>
    <n v="0"/>
    <n v="0"/>
  </r>
  <r>
    <n v="2"/>
    <n v="2712"/>
    <x v="0"/>
    <s v="\\dg94stoc.onema.fr\partages_$\dg94_dcuat\ECOPHYTO\ECOPHYTO 2018\CONVENTIONS\ECOPHYTO II\AXE 4  JEVI (jardins, espaces végétalisés et infrastructures)\GENERATIONS FUTURES\2016"/>
    <x v="1"/>
    <x v="1"/>
    <s v="Générations futures"/>
    <x v="1"/>
    <x v="0"/>
    <m/>
    <m/>
    <m/>
    <m/>
    <n v="12"/>
    <n v="6"/>
    <n v="18"/>
    <d v="2016-03-03T00:00:00"/>
    <d v="2016-02-01T00:00:00"/>
    <d v="2017-01-31T00:00:00"/>
    <d v="2016-07-31T00:00:00"/>
    <d v="2016-08-31T00:00:00"/>
    <d v="2017-09-02T00:00:00"/>
    <s v="V2"/>
    <m/>
    <s v="POUJEAUX Dominique - DGALN/DEB/GR4 &lt;Dominique.Poujeaux@developpement-durable.gouv.fr&gt;"/>
    <m/>
    <m/>
    <m/>
    <x v="1"/>
    <x v="1"/>
    <n v="4000"/>
    <x v="1"/>
    <n v="3000"/>
    <x v="1"/>
    <n v="3000"/>
    <x v="1"/>
    <m/>
    <m/>
    <m/>
    <n v="0"/>
    <m/>
    <m/>
    <m/>
    <m/>
    <m/>
    <m/>
    <m/>
    <m/>
    <m/>
    <n v="0"/>
    <n v="10000"/>
    <n v="3000"/>
    <n v="7000"/>
    <n v="0"/>
    <n v="0"/>
    <n v="0"/>
  </r>
  <r>
    <n v="3"/>
    <n v="2713"/>
    <x v="0"/>
    <s v="\\dg94stoc.onema.fr\partages_$\dg94_dcuat\ECOPHYTO\ECOPHYTO 2018\CONVENTIONS\ECOPHYTO II\AXE 1 AGIR AUJOURDHUI ET FAIRE EVOLUER LES PRATIQUES\Action 1 Pratiques concourant à la diminution de PP\1.1 CEPP"/>
    <x v="2"/>
    <x v="2"/>
    <s v="INRA"/>
    <x v="2"/>
    <x v="0"/>
    <m/>
    <m/>
    <m/>
    <m/>
    <n v="24"/>
    <n v="6"/>
    <n v="30"/>
    <d v="2016-03-03T00:00:00"/>
    <d v="2016-01-01T00:00:00"/>
    <d v="2017-12-31T00:00:00"/>
    <d v="2017-06-30T00:00:00"/>
    <d v="2017-01-31T00:00:00"/>
    <d v="2018-09-02T00:00:00"/>
    <s v="V2"/>
    <m/>
    <s v="Vincent HEBRAIL &lt;vincent.hebrail@agriculture.gouv.fr&gt;"/>
    <m/>
    <m/>
    <m/>
    <x v="2"/>
    <x v="1"/>
    <n v="60000"/>
    <x v="2"/>
    <n v="45000"/>
    <x v="2"/>
    <n v="45000"/>
    <x v="1"/>
    <m/>
    <m/>
    <m/>
    <n v="0"/>
    <m/>
    <m/>
    <m/>
    <m/>
    <m/>
    <m/>
    <m/>
    <m/>
    <m/>
    <n v="0"/>
    <n v="150000"/>
    <n v="45000"/>
    <n v="105000"/>
    <n v="0"/>
    <n v="0"/>
    <n v="0"/>
  </r>
  <r>
    <n v="4"/>
    <n v="2714"/>
    <x v="0"/>
    <s v="\\dg94stoc.onema.fr\partages_$\dg94_dcuat\ECOPHYTO\ECOPHYTO 2018\CONVENTIONS\ECOPHYTO II\AXE 4  JEVI (jardins, espaces végétalisés et infrastructures)\PLANTE ET CITE\2016"/>
    <x v="1"/>
    <x v="1"/>
    <s v="Plante &amp; Cité"/>
    <x v="3"/>
    <x v="0"/>
    <m/>
    <m/>
    <m/>
    <m/>
    <n v="12"/>
    <n v="6"/>
    <n v="18"/>
    <d v="2016-03-03T00:00:00"/>
    <d v="2016-01-01T00:00:00"/>
    <d v="2016-12-31T00:00:00"/>
    <d v="2016-06-30T00:00:00"/>
    <d v="2016-07-31T00:00:00"/>
    <d v="2017-09-02T00:00:00"/>
    <s v="V2"/>
    <m/>
    <s v="POUJEAUX Dominique - DGALN/DEB/GR4 &lt;Dominique.Poujeaux@developpement-durable.gouv.fr&gt;"/>
    <m/>
    <m/>
    <m/>
    <x v="3"/>
    <x v="1"/>
    <n v="80799.200000000012"/>
    <x v="1"/>
    <n v="60599.399999999994"/>
    <x v="1"/>
    <n v="60599.399999999994"/>
    <x v="2"/>
    <s v=" "/>
    <m/>
    <m/>
    <n v="0"/>
    <m/>
    <m/>
    <m/>
    <m/>
    <m/>
    <m/>
    <m/>
    <m/>
    <m/>
    <n v="0"/>
    <n v="201998"/>
    <n v="60599.399999999994"/>
    <n v="141398.6"/>
    <n v="0"/>
    <n v="0"/>
    <n v="0"/>
  </r>
  <r>
    <n v="5"/>
    <n v="2718"/>
    <x v="0"/>
    <s v="\\dg94stoc.onema.fr\partages_$\dg94_dcuat\ECOPHYTO\ECOPHYTO 2018\CONVENTIONS\ECOPHYTO II\AXE 1 AGIR AUJOURDHUI ET FAIRE EVOLUER LES PRATIQUES\SOLAGRO\2016"/>
    <x v="2"/>
    <x v="2"/>
    <s v="Solagro"/>
    <x v="4"/>
    <x v="0"/>
    <d v="2016-08-12T00:00:00"/>
    <s v="Diminution de la durée de la convention "/>
    <m/>
    <m/>
    <n v="36"/>
    <n v="6"/>
    <n v="42"/>
    <d v="2016-03-03T00:00:00"/>
    <d v="2016-02-01T00:00:00"/>
    <d v="2019-01-31T00:00:00"/>
    <d v="2018-07-31T00:00:00"/>
    <d v="2017-08-31T00:00:00"/>
    <d v="2019-09-02T00:00:00"/>
    <s v="V2"/>
    <m/>
    <s v="Vincent HEBRAIL &lt;vincent.hebrail@agriculture.gouv.fr&gt;"/>
    <m/>
    <m/>
    <m/>
    <x v="4"/>
    <x v="1"/>
    <n v="16428"/>
    <x v="3"/>
    <n v="12321"/>
    <x v="3"/>
    <n v="12321"/>
    <x v="3"/>
    <m/>
    <m/>
    <m/>
    <n v="0"/>
    <m/>
    <m/>
    <m/>
    <m/>
    <m/>
    <m/>
    <m/>
    <m/>
    <m/>
    <n v="0"/>
    <n v="41070"/>
    <n v="12321"/>
    <n v="28749"/>
    <n v="0"/>
    <n v="0"/>
    <n v="0"/>
  </r>
  <r>
    <n v="6"/>
    <n v="2724"/>
    <x v="0"/>
    <s v="\\dg94stoc.onema.fr\partages_$\dg94_dcuat\ECOPHYTO\ECOPHYTO 2018\CONVENTIONS\ECOPHYTO II\AXE 3  EVALUER ET MAITRISER LES RISQUES ET LES IMPACTS\NEGOCE EXPANSION\2016"/>
    <x v="3"/>
    <x v="3"/>
    <s v="Négoce Expansion"/>
    <x v="5"/>
    <x v="0"/>
    <m/>
    <m/>
    <m/>
    <m/>
    <n v="12"/>
    <n v="6"/>
    <n v="18"/>
    <d v="2016-03-29T00:00:00"/>
    <d v="2016-03-29T00:00:00"/>
    <d v="2017-02-28T00:00:00"/>
    <d v="2016-08-28T00:00:00"/>
    <d v="2016-09-30T00:00:00"/>
    <d v="2017-09-28T00:00:00"/>
    <s v="V2"/>
    <m/>
    <m/>
    <m/>
    <m/>
    <m/>
    <x v="5"/>
    <x v="2"/>
    <n v="12000"/>
    <x v="1"/>
    <n v="9000"/>
    <x v="1"/>
    <n v="9000"/>
    <x v="3"/>
    <m/>
    <m/>
    <m/>
    <n v="0"/>
    <m/>
    <m/>
    <m/>
    <m/>
    <m/>
    <m/>
    <m/>
    <m/>
    <m/>
    <n v="0"/>
    <n v="30000"/>
    <n v="9000"/>
    <n v="21000"/>
    <n v="0"/>
    <n v="0"/>
    <n v="0"/>
  </r>
  <r>
    <n v="7"/>
    <n v="2725"/>
    <x v="0"/>
    <s v="\\dg94stoc.onema.fr\partages_$\dg94_dcuat\ECOPHYTO\ECOPHYTO 2018\CONVENTIONS\ECOPHYTO II\AXE 4  JEVI (jardins, espaces végétalisés et infrastructures)\JARDINOT"/>
    <x v="1"/>
    <x v="1"/>
    <s v="Jardinot"/>
    <x v="6"/>
    <x v="0"/>
    <m/>
    <m/>
    <m/>
    <m/>
    <n v="18"/>
    <n v="6"/>
    <n v="24"/>
    <d v="2016-03-29T00:00:00"/>
    <d v="2016-03-29T00:00:00"/>
    <d v="2017-08-31T00:00:00"/>
    <d v="2017-02-28T00:00:00"/>
    <d v="2016-12-31T00:00:00"/>
    <d v="2018-03-28T00:00:00"/>
    <s v="V2"/>
    <m/>
    <s v="POUJEAUX Dominique - DGALN/DEB/GR4 &lt;Dominique.Poujeaux@developpement-durable.gouv.fr&gt;"/>
    <m/>
    <m/>
    <m/>
    <x v="6"/>
    <x v="2"/>
    <n v="13400"/>
    <x v="4"/>
    <n v="10050"/>
    <x v="4"/>
    <n v="10050"/>
    <x v="3"/>
    <m/>
    <m/>
    <m/>
    <n v="0"/>
    <m/>
    <m/>
    <m/>
    <m/>
    <m/>
    <m/>
    <m/>
    <m/>
    <m/>
    <n v="0"/>
    <n v="33500"/>
    <n v="10050"/>
    <n v="23450"/>
    <n v="0"/>
    <n v="0"/>
    <n v="0"/>
  </r>
  <r>
    <n v="8"/>
    <n v="2729"/>
    <x v="0"/>
    <s v="\\dg94stoc.onema.fr\partages_$\dg94_dcuat\ECOPHYTO\ECOPHYTO 2018\CONVENTIONS\ECOPHYTO II\AXE 2  AMELIORER LES CONNAISSANCES ET LES OUTILS POUR DEMAIN ET ENCOURAGER LA RECHERCHE ET L’INNOVATION\APR CASDAR 2016 CA 19 11 2015\DITYLUZ"/>
    <x v="4"/>
    <x v="4"/>
    <s v="GEVES"/>
    <x v="7"/>
    <x v="0"/>
    <m/>
    <m/>
    <m/>
    <m/>
    <n v="24"/>
    <n v="6"/>
    <n v="30"/>
    <d v="2016-03-29T00:00:00"/>
    <d v="2016-03-29T00:00:00"/>
    <d v="2018-02-28T00:00:00"/>
    <d v="2017-08-28T00:00:00"/>
    <d v="2017-03-31T00:00:00"/>
    <d v="2018-09-28T00:00:00"/>
    <s v="V2"/>
    <m/>
    <s v="Gerard GAUTIER-HAMON &lt;gerard.gautier-hamon@agriculture.gouv.fr&gt;; CARPENTIER Anne-Sophie - CGDD/DRI/SR3 &lt;anne-sophie.carpentier@developpement-durable.gouv.fr&gt;"/>
    <m/>
    <m/>
    <m/>
    <x v="7"/>
    <x v="2"/>
    <n v="23958"/>
    <x v="2"/>
    <n v="17968.5"/>
    <x v="2"/>
    <n v="17968.5"/>
    <x v="3"/>
    <m/>
    <m/>
    <m/>
    <n v="0"/>
    <m/>
    <m/>
    <m/>
    <m/>
    <m/>
    <m/>
    <m/>
    <m/>
    <m/>
    <n v="0"/>
    <n v="59895"/>
    <n v="17968.5"/>
    <n v="41926.5"/>
    <n v="0"/>
    <n v="0"/>
    <n v="0"/>
  </r>
  <r>
    <n v="9"/>
    <n v="2732"/>
    <x v="0"/>
    <s v="\\dg94stoc.onema.fr\partages_$\dg94_dcuat\ECOPHYTO\ECOPHYTO 2018\CONVENTIONS\ECOPHYTO II\AXE 4  JEVI (jardins, espaces végétalisés et infrastructures)\INRA\2016"/>
    <x v="4"/>
    <x v="5"/>
    <s v="INRA"/>
    <x v="8"/>
    <x v="0"/>
    <m/>
    <m/>
    <m/>
    <m/>
    <n v="12"/>
    <n v="6"/>
    <n v="18"/>
    <d v="2016-04-04T00:00:00"/>
    <d v="2016-01-01T00:00:00"/>
    <d v="2016-12-31T00:00:00"/>
    <d v="2016-06-30T00:00:00"/>
    <d v="2016-07-31T00:00:00"/>
    <d v="2017-10-03T00:00:00"/>
    <s v="V2"/>
    <m/>
    <s v="nolwenn.bourgon@onema.fr; lucille.gauchet@agriculture.fr"/>
    <m/>
    <m/>
    <m/>
    <x v="8"/>
    <x v="3"/>
    <n v="24000"/>
    <x v="5"/>
    <n v="18000"/>
    <x v="5"/>
    <n v="18000"/>
    <x v="4"/>
    <m/>
    <m/>
    <m/>
    <n v="0"/>
    <m/>
    <m/>
    <m/>
    <m/>
    <m/>
    <m/>
    <m/>
    <m/>
    <m/>
    <n v="0"/>
    <n v="60000"/>
    <n v="18000"/>
    <n v="42000"/>
    <n v="0"/>
    <n v="0"/>
    <n v="0"/>
  </r>
  <r>
    <n v="10"/>
    <n v="2733"/>
    <x v="0"/>
    <s v="\\dg94stoc.onema.fr\partages_$\dg94_dcuat\ECOPHYTO\ECOPHYTO 2018\CONVENTIONS\ECOPHYTO II\AXE 1 AGIR AUJOURDHUI ET FAIRE EVOLUER LES PRATIQUES\CRA DEPHY\2016"/>
    <x v="5"/>
    <x v="6"/>
    <s v="CRA Corse "/>
    <x v="9"/>
    <x v="0"/>
    <m/>
    <m/>
    <m/>
    <m/>
    <n v="12"/>
    <n v="6"/>
    <n v="18"/>
    <d v="2016-04-08T00:00:00"/>
    <d v="2016-01-01T00:00:00"/>
    <d v="2016-12-31T00:00:00"/>
    <d v="2016-06-30T00:00:00"/>
    <d v="2016-07-31T00:00:00"/>
    <d v="2017-10-07T00:00:00"/>
    <s v="V2"/>
    <m/>
    <m/>
    <m/>
    <m/>
    <m/>
    <x v="9"/>
    <x v="4"/>
    <n v="0"/>
    <x v="6"/>
    <n v="98002.5"/>
    <x v="5"/>
    <n v="98002.5"/>
    <x v="5"/>
    <m/>
    <m/>
    <m/>
    <n v="0"/>
    <m/>
    <m/>
    <m/>
    <m/>
    <m/>
    <m/>
    <m/>
    <m/>
    <m/>
    <n v="0"/>
    <n v="196005"/>
    <n v="98002.5"/>
    <n v="98002.5"/>
    <n v="0"/>
    <n v="0"/>
    <n v="0"/>
  </r>
  <r>
    <n v="11"/>
    <n v="2734"/>
    <x v="0"/>
    <s v="\\dg94stoc.onema.fr\partages_$\dg94_dcuat\ECOPHYTO\ECOPHYTO 2018\CONVENTIONS\ECOPHYTO II\AXE 2  AMELIORER LES CONNAISSANCES ET LES OUTILS POUR DEMAIN ET ENCOURAGER LA RECHERCHE ET L’INNOVATION\APR CASDAR 2016 CA 19 11 2015\SEMENCES"/>
    <x v="4"/>
    <x v="4"/>
    <s v="INRA"/>
    <x v="10"/>
    <x v="0"/>
    <m/>
    <m/>
    <m/>
    <m/>
    <n v="36"/>
    <n v="6"/>
    <n v="42"/>
    <d v="2016-04-08T00:00:00"/>
    <d v="2016-03-01T00:00:00"/>
    <d v="2019-02-28T00:00:00"/>
    <d v="2018-08-28T00:00:00"/>
    <d v="2017-09-30T00:00:00"/>
    <d v="2019-10-07T00:00:00"/>
    <s v="V2"/>
    <m/>
    <s v="Gerard GAUTIER-HAMON &lt;gerard.gautier-hamon@agriculture.gouv.fr&gt;; CARPENTIER Anne-Sophie - CGDD/DRI/SR3 &lt;anne-sophie.carpentier@developpement-durable.gouv.fr&gt;"/>
    <m/>
    <m/>
    <m/>
    <x v="10"/>
    <x v="4"/>
    <n v="22303.200000000001"/>
    <x v="7"/>
    <n v="16727.399999999998"/>
    <x v="6"/>
    <n v="16727.399999999998"/>
    <x v="4"/>
    <m/>
    <m/>
    <m/>
    <n v="0"/>
    <m/>
    <m/>
    <m/>
    <m/>
    <m/>
    <m/>
    <m/>
    <m/>
    <m/>
    <n v="0"/>
    <n v="55758"/>
    <n v="16727.399999999998"/>
    <n v="39030.600000000006"/>
    <n v="0"/>
    <n v="0"/>
    <n v="0"/>
  </r>
  <r>
    <n v="12"/>
    <n v="2735"/>
    <x v="0"/>
    <s v="\\dg94stoc.onema.fr\partages_$\dg94_dcuat\ECOPHYTO\ECOPHYTO 2018\CONVENTIONS\ECOPHYTO II\AXE 6  COMMUNIQUER ET GOUVERNANCE SIMPLIFIEE\RAD"/>
    <x v="6"/>
    <x v="7"/>
    <s v=" RAD"/>
    <x v="11"/>
    <x v="0"/>
    <m/>
    <m/>
    <m/>
    <m/>
    <n v="12"/>
    <n v="6"/>
    <n v="18"/>
    <d v="2016-04-08T00:00:00"/>
    <d v="2016-01-01T00:00:00"/>
    <d v="2016-12-31T00:00:00"/>
    <d v="2016-06-30T00:00:00"/>
    <d v="2016-07-31T00:00:00"/>
    <d v="2017-10-07T00:00:00"/>
    <s v="V2"/>
    <m/>
    <s v="Vincent HEBRAIL &lt;vincent.hebrail@agriculture.gouv.fr&gt;"/>
    <m/>
    <m/>
    <m/>
    <x v="11"/>
    <x v="4"/>
    <n v="19852"/>
    <x v="5"/>
    <n v="14889"/>
    <x v="5"/>
    <n v="14889"/>
    <x v="4"/>
    <m/>
    <m/>
    <m/>
    <n v="0"/>
    <m/>
    <m/>
    <m/>
    <m/>
    <m/>
    <m/>
    <m/>
    <m/>
    <m/>
    <n v="0"/>
    <n v="49630"/>
    <n v="14889"/>
    <n v="34741"/>
    <n v="0"/>
    <n v="0"/>
    <n v="0"/>
  </r>
  <r>
    <n v="13"/>
    <n v="2742"/>
    <x v="0"/>
    <s v="\\dg94stoc.onema.fr\partages_$\dg94_dcuat\ECOPHYTO\ECOPHYTO 2018\CONVENTIONS\ECOPHYTO II\AXE 1 AGIR AUJOURDHUI ET FAIRE EVOLUER LES PRATIQUES\CRA DEPHY\2016"/>
    <x v="5"/>
    <x v="6"/>
    <s v="CRA Île-de-France"/>
    <x v="9"/>
    <x v="0"/>
    <m/>
    <m/>
    <m/>
    <m/>
    <n v="12"/>
    <n v="6"/>
    <n v="18"/>
    <d v="2016-04-15T00:00:00"/>
    <d v="2016-01-01T00:00:00"/>
    <d v="2016-12-31T00:00:00"/>
    <d v="2016-06-30T00:00:00"/>
    <d v="2016-07-31T00:00:00"/>
    <d v="2017-10-14T00:00:00"/>
    <s v="V2"/>
    <m/>
    <m/>
    <m/>
    <m/>
    <m/>
    <x v="12"/>
    <x v="5"/>
    <n v="0"/>
    <x v="6"/>
    <n v="198448"/>
    <x v="5"/>
    <n v="198448"/>
    <x v="6"/>
    <m/>
    <m/>
    <m/>
    <n v="0"/>
    <m/>
    <m/>
    <m/>
    <m/>
    <m/>
    <m/>
    <m/>
    <m/>
    <m/>
    <n v="0"/>
    <n v="396896"/>
    <n v="198448"/>
    <n v="198448"/>
    <n v="0"/>
    <n v="0"/>
    <n v="0"/>
  </r>
  <r>
    <n v="14"/>
    <n v="2743"/>
    <x v="0"/>
    <s v="\\dg94stoc.onema.fr\partages_$\dg94_dcuat\ECOPHYTO\ECOPHYTO 2018\CONVENTIONS\ECOPHYTO II\AXE 5  POLITIQUES PUBLIQUES, TERRITOIRES ET FILIERES\ODEADOM\2016\professionnaliser les acteurs et favoriser le transfert de comptences"/>
    <x v="7"/>
    <x v="8"/>
    <s v="ODEADOM"/>
    <x v="12"/>
    <x v="0"/>
    <m/>
    <m/>
    <m/>
    <m/>
    <n v="12"/>
    <n v="6"/>
    <n v="18"/>
    <d v="2016-04-15T00:00:00"/>
    <d v="2016-01-01T00:00:00"/>
    <d v="2016-12-31T00:00:00"/>
    <d v="2016-06-30T00:00:00"/>
    <d v="2016-07-31T00:00:00"/>
    <d v="2017-10-14T00:00:00"/>
    <s v="V2"/>
    <m/>
    <m/>
    <m/>
    <m/>
    <m/>
    <x v="13"/>
    <x v="5"/>
    <n v="93750"/>
    <x v="5"/>
    <n v="70312.5"/>
    <x v="5"/>
    <n v="70312.5"/>
    <x v="6"/>
    <m/>
    <m/>
    <m/>
    <n v="0"/>
    <m/>
    <m/>
    <m/>
    <m/>
    <m/>
    <m/>
    <m/>
    <m/>
    <m/>
    <n v="0"/>
    <n v="234375"/>
    <n v="70312.5"/>
    <n v="164062.5"/>
    <n v="0"/>
    <n v="0"/>
    <n v="0"/>
  </r>
  <r>
    <n v="15"/>
    <n v="2744"/>
    <x v="0"/>
    <s v="\\dg94stoc.onema.fr\partages_$\dg94_dcuat\ECOPHYTO\ECOPHYTO 2018\CONVENTIONS\ECOPHYTO II\AXE 5  POLITIQUES PUBLIQUES, TERRITOIRES ET FILIERES\ODEADOM\2016\Programme expérimentation"/>
    <x v="7"/>
    <x v="8"/>
    <s v="ODEADOM"/>
    <x v="13"/>
    <x v="0"/>
    <m/>
    <m/>
    <m/>
    <m/>
    <n v="12"/>
    <n v="6"/>
    <n v="18"/>
    <d v="2016-04-15T00:00:00"/>
    <d v="2016-01-01T00:00:00"/>
    <d v="2016-12-31T00:00:00"/>
    <d v="2016-06-30T00:00:00"/>
    <d v="2016-07-31T00:00:00"/>
    <d v="2017-10-14T00:00:00"/>
    <s v="V2"/>
    <m/>
    <m/>
    <m/>
    <m/>
    <m/>
    <x v="14"/>
    <x v="5"/>
    <n v="424287.2"/>
    <x v="5"/>
    <n v="318215.39999999997"/>
    <x v="5"/>
    <n v="318215.39999999997"/>
    <x v="6"/>
    <m/>
    <m/>
    <m/>
    <n v="0"/>
    <m/>
    <m/>
    <m/>
    <m/>
    <m/>
    <m/>
    <m/>
    <m/>
    <m/>
    <n v="0"/>
    <n v="1060718"/>
    <n v="318215.39999999997"/>
    <n v="742502.60000000009"/>
    <n v="0"/>
    <n v="0"/>
    <n v="0"/>
  </r>
  <r>
    <n v="16"/>
    <n v="2745"/>
    <x v="0"/>
    <s v="\\dg94stoc.onema.fr\partages_$\dg94_dcuat\ECOPHYTO\ECOPHYTO 2018\CONVENTIONS\ECOPHYTO II\AXE 1 AGIR AUJOURDHUI ET FAIRE EVOLUER LES PRATIQUES\CRA DEPHY\2016"/>
    <x v="5"/>
    <x v="6"/>
    <s v="CRA Guadeloupe "/>
    <x v="9"/>
    <x v="0"/>
    <m/>
    <m/>
    <m/>
    <m/>
    <n v="12"/>
    <n v="6"/>
    <n v="18"/>
    <d v="2016-04-19T00:00:00"/>
    <d v="2016-01-01T00:00:00"/>
    <d v="2016-12-31T00:00:00"/>
    <d v="2016-06-30T00:00:00"/>
    <d v="2016-07-31T00:00:00"/>
    <d v="2017-10-18T00:00:00"/>
    <s v="V2"/>
    <m/>
    <m/>
    <m/>
    <m/>
    <m/>
    <x v="15"/>
    <x v="6"/>
    <n v="0"/>
    <x v="6"/>
    <n v="43015"/>
    <x v="5"/>
    <n v="43015"/>
    <x v="6"/>
    <m/>
    <m/>
    <m/>
    <n v="0"/>
    <m/>
    <m/>
    <m/>
    <m/>
    <m/>
    <m/>
    <m/>
    <m/>
    <m/>
    <n v="0"/>
    <n v="86030"/>
    <n v="43015"/>
    <n v="43015"/>
    <n v="0"/>
    <n v="0"/>
    <n v="0"/>
  </r>
  <r>
    <n v="17"/>
    <n v="2746"/>
    <x v="0"/>
    <s v="\\dg94stoc.onema.fr\partages_$\dg94_dcuat\ECOPHYTO\ECOPHYTO 2018\CONVENTIONS\ECOPHYTO II\AXE 1 AGIR AUJOURDHUI ET FAIRE EVOLUER LES PRATIQUES\CRA DEPHY\2016"/>
    <x v="5"/>
    <x v="6"/>
    <s v="CRA Pays de la Loire"/>
    <x v="9"/>
    <x v="0"/>
    <m/>
    <m/>
    <m/>
    <m/>
    <n v="12"/>
    <n v="6"/>
    <n v="18"/>
    <d v="2016-04-20T00:00:00"/>
    <d v="2016-01-01T00:00:00"/>
    <d v="2016-12-31T00:00:00"/>
    <d v="2016-06-30T00:00:00"/>
    <d v="2016-07-31T00:00:00"/>
    <d v="2017-10-19T00:00:00"/>
    <s v="V2"/>
    <m/>
    <m/>
    <m/>
    <m/>
    <m/>
    <x v="16"/>
    <x v="7"/>
    <n v="0"/>
    <x v="6"/>
    <n v="275954"/>
    <x v="5"/>
    <n v="275954"/>
    <x v="6"/>
    <m/>
    <m/>
    <m/>
    <n v="0"/>
    <m/>
    <m/>
    <m/>
    <m/>
    <m/>
    <m/>
    <m/>
    <m/>
    <m/>
    <n v="0"/>
    <n v="551908"/>
    <n v="275954"/>
    <n v="275954"/>
    <n v="0"/>
    <n v="0"/>
    <n v="0"/>
  </r>
  <r>
    <n v="18"/>
    <n v="2747"/>
    <x v="0"/>
    <s v="\\dg94stoc.onema.fr\partages_$\dg94_dcuat\ECOPHYTO\ECOPHYTO 2018\CONVENTIONS\ECOPHYTO II\AXE 1 AGIR AUJOURDHUI ET FAIRE EVOLUER LES PRATIQUES\CRA DEPHY\2016"/>
    <x v="5"/>
    <x v="6"/>
    <s v="CRA Bretagne"/>
    <x v="9"/>
    <x v="0"/>
    <m/>
    <m/>
    <m/>
    <m/>
    <n v="12"/>
    <n v="6"/>
    <n v="18"/>
    <d v="2016-04-20T00:00:00"/>
    <d v="2016-01-01T00:00:00"/>
    <d v="2016-12-31T00:00:00"/>
    <d v="2016-06-30T00:00:00"/>
    <d v="2016-07-31T00:00:00"/>
    <d v="2017-10-19T00:00:00"/>
    <s v="V2"/>
    <m/>
    <m/>
    <m/>
    <m/>
    <m/>
    <x v="17"/>
    <x v="7"/>
    <n v="0"/>
    <x v="6"/>
    <n v="262222.5"/>
    <x v="5"/>
    <n v="262222.5"/>
    <x v="6"/>
    <m/>
    <m/>
    <m/>
    <n v="0"/>
    <m/>
    <m/>
    <m/>
    <m/>
    <m/>
    <m/>
    <m/>
    <m/>
    <m/>
    <n v="0"/>
    <n v="524445"/>
    <n v="262222.5"/>
    <n v="262222.5"/>
    <n v="0"/>
    <n v="0"/>
    <n v="0"/>
  </r>
  <r>
    <n v="19"/>
    <n v="2748"/>
    <x v="0"/>
    <s v="\\dg94stoc.onema.fr\partages_$\dg94_dcuat\ECOPHYTO\ECOPHYTO 2018\CONVENTIONS\ECOPHYTO II\AXE 1 AGIR AUJOURDHUI ET FAIRE EVOLUER LES PRATIQUES\CRA DEPHY\2016"/>
    <x v="5"/>
    <x v="6"/>
    <s v="CRA Centre (qui prend le nom de Centre-Val de Loire)"/>
    <x v="9"/>
    <x v="0"/>
    <m/>
    <m/>
    <m/>
    <m/>
    <n v="12"/>
    <n v="6"/>
    <n v="18"/>
    <d v="2016-04-20T00:00:00"/>
    <d v="2016-01-01T00:00:00"/>
    <d v="2016-12-31T00:00:00"/>
    <d v="2016-06-30T00:00:00"/>
    <d v="2016-07-31T00:00:00"/>
    <d v="2017-10-19T00:00:00"/>
    <s v="V2"/>
    <m/>
    <m/>
    <m/>
    <m/>
    <m/>
    <x v="18"/>
    <x v="7"/>
    <n v="0"/>
    <x v="6"/>
    <n v="368851.5"/>
    <x v="5"/>
    <n v="368851.5"/>
    <x v="6"/>
    <m/>
    <m/>
    <m/>
    <n v="0"/>
    <m/>
    <m/>
    <m/>
    <m/>
    <m/>
    <m/>
    <m/>
    <m/>
    <m/>
    <n v="0"/>
    <n v="737703"/>
    <n v="368851.5"/>
    <n v="368851.5"/>
    <n v="0"/>
    <n v="0"/>
    <n v="0"/>
  </r>
  <r>
    <n v="20"/>
    <n v="2749"/>
    <x v="0"/>
    <s v="\\dg94stoc.onema.fr\partages_$\dg94_dcuat\ECOPHYTO\ECOPHYTO 2018\CONVENTIONS\ECOPHYTO II\AXE 6  COMMUNIQUER ET GOUVERNANCE SIMPLIFIEE\CTIFL\2016\communication GIS PIClèg"/>
    <x v="6"/>
    <x v="7"/>
    <s v="CTIFL"/>
    <x v="14"/>
    <x v="0"/>
    <m/>
    <m/>
    <m/>
    <m/>
    <n v="12"/>
    <n v="6"/>
    <n v="18"/>
    <d v="2016-04-25T00:00:00"/>
    <d v="2016-01-01T00:00:00"/>
    <d v="2016-12-31T00:00:00"/>
    <d v="2016-06-30T00:00:00"/>
    <d v="2016-07-31T00:00:00"/>
    <d v="2017-10-24T00:00:00"/>
    <s v="V2"/>
    <m/>
    <m/>
    <m/>
    <m/>
    <m/>
    <x v="19"/>
    <x v="8"/>
    <n v="21600"/>
    <x v="5"/>
    <n v="16200"/>
    <x v="5"/>
    <n v="16200"/>
    <x v="0"/>
    <m/>
    <m/>
    <m/>
    <n v="0"/>
    <m/>
    <m/>
    <m/>
    <m/>
    <m/>
    <m/>
    <m/>
    <m/>
    <m/>
    <n v="0"/>
    <n v="54000"/>
    <n v="16200"/>
    <n v="37800"/>
    <n v="0"/>
    <n v="0"/>
    <n v="0"/>
  </r>
  <r>
    <n v="21"/>
    <n v="2750"/>
    <x v="0"/>
    <s v="\\dg94stoc.onema.fr\partages_$\dg94_dcuat\ECOPHYTO\ECOPHYTO 2018\CONVENTIONS\ECOPHYTO II\AXE 1 AGIR AUJOURDHUI ET FAIRE EVOLUER LES PRATIQUES\IFV\2016"/>
    <x v="2"/>
    <x v="2"/>
    <s v="IFV"/>
    <x v="15"/>
    <x v="0"/>
    <m/>
    <m/>
    <m/>
    <m/>
    <n v="24"/>
    <n v="6"/>
    <n v="30"/>
    <d v="2016-04-26T00:00:00"/>
    <d v="2016-04-26T00:00:00"/>
    <d v="2018-03-31T00:00:00"/>
    <d v="2017-09-30T00:00:00"/>
    <d v="2017-04-30T00:00:00"/>
    <d v="2018-10-25T00:00:00"/>
    <s v="V2"/>
    <m/>
    <s v="Vincent HEBRAIL &lt;vincent.hebrail@agriculture.gouv.fr&gt;"/>
    <m/>
    <m/>
    <m/>
    <x v="20"/>
    <x v="9"/>
    <n v="112128.40000000001"/>
    <x v="8"/>
    <n v="84096.3"/>
    <x v="7"/>
    <n v="84096.3"/>
    <x v="0"/>
    <m/>
    <m/>
    <m/>
    <n v="0"/>
    <m/>
    <m/>
    <m/>
    <m/>
    <m/>
    <m/>
    <m/>
    <m/>
    <m/>
    <n v="0"/>
    <n v="280321"/>
    <n v="84096.3"/>
    <n v="196224.7"/>
    <n v="0"/>
    <n v="0"/>
    <n v="0"/>
  </r>
  <r>
    <n v="22"/>
    <n v="2751"/>
    <x v="0"/>
    <s v="\\dg94stoc.onema.fr\partages_$\dg94_dcuat\ECOPHYTO\ECOPHYTO 2018\CONVENTIONS\ECOPHYTO II\AXE 4  JEVI (jardins, espaces végétalisés et infrastructures)\ACTA\2016"/>
    <x v="0"/>
    <x v="0"/>
    <s v="ACTA"/>
    <x v="16"/>
    <x v="0"/>
    <m/>
    <m/>
    <m/>
    <m/>
    <n v="12"/>
    <n v="6"/>
    <n v="18"/>
    <d v="2016-04-26T00:00:00"/>
    <d v="2016-01-01T00:00:00"/>
    <d v="2016-12-31T00:00:00"/>
    <d v="2016-06-30T00:00:00"/>
    <d v="2016-07-31T00:00:00"/>
    <d v="2017-10-25T00:00:00"/>
    <s v="V2"/>
    <m/>
    <s v="vincent.busson@agriculture.gouv.fr; yveline.guegan@agriculture.gouv.fr"/>
    <m/>
    <m/>
    <m/>
    <x v="21"/>
    <x v="9"/>
    <n v="145884"/>
    <x v="5"/>
    <n v="109413"/>
    <x v="5"/>
    <n v="109413"/>
    <x v="0"/>
    <m/>
    <m/>
    <m/>
    <n v="0"/>
    <m/>
    <m/>
    <m/>
    <m/>
    <m/>
    <m/>
    <m/>
    <m/>
    <m/>
    <n v="0"/>
    <n v="364710"/>
    <n v="109413"/>
    <n v="255297"/>
    <n v="0"/>
    <n v="0"/>
    <n v="0"/>
  </r>
  <r>
    <n v="23"/>
    <n v="2754"/>
    <x v="0"/>
    <s v="\\dg94stoc.onema.fr\partages_$\dg94_dcuat\ECOPHYTO\ECOPHYTO 2018\CONVENTIONS\ECOPHYTO II\AXE 1 AGIR AUJOURDHUI ET FAIRE EVOLUER LES PRATIQUES\CRA DEPHY\2016"/>
    <x v="5"/>
    <x v="6"/>
    <s v="CRA Guyane "/>
    <x v="9"/>
    <x v="0"/>
    <m/>
    <m/>
    <m/>
    <m/>
    <n v="12"/>
    <n v="6"/>
    <n v="18"/>
    <d v="2016-04-27T00:00:00"/>
    <d v="2016-01-01T00:00:00"/>
    <d v="2016-12-31T00:00:00"/>
    <d v="2016-06-30T00:00:00"/>
    <d v="2016-07-31T00:00:00"/>
    <d v="2017-10-26T00:00:00"/>
    <s v="V2"/>
    <m/>
    <m/>
    <m/>
    <m/>
    <m/>
    <x v="22"/>
    <x v="10"/>
    <n v="0"/>
    <x v="6"/>
    <n v="40715"/>
    <x v="5"/>
    <n v="40715"/>
    <x v="0"/>
    <m/>
    <m/>
    <m/>
    <n v="0"/>
    <m/>
    <m/>
    <m/>
    <m/>
    <m/>
    <m/>
    <m/>
    <m/>
    <m/>
    <n v="0"/>
    <n v="81430"/>
    <n v="40715"/>
    <n v="40715"/>
    <n v="0"/>
    <n v="0"/>
    <n v="0"/>
  </r>
  <r>
    <n v="24"/>
    <n v="2755"/>
    <x v="0"/>
    <s v="\\dg94stoc.onema.fr\partages_$\dg94_dcuat\ECOPHYTO\ECOPHYTO 2018\CONVENTIONS\ECOPHYTO II\AXE 2  AMELIORER LES CONNAISSANCES ET LES OUTILS POUR DEMAIN ET ENCOURAGER LA RECHERCHE ET L’INNOVATION\APR CASDAR 2016 CA 19 11 2015\IRIGAM"/>
    <x v="4"/>
    <x v="4"/>
    <s v="INRA"/>
    <x v="17"/>
    <x v="0"/>
    <m/>
    <m/>
    <m/>
    <m/>
    <n v="24"/>
    <n v="6"/>
    <n v="30"/>
    <d v="2016-04-05T00:00:00"/>
    <d v="2016-01-01T00:00:00"/>
    <d v="2017-12-31T00:00:00"/>
    <d v="2017-06-30T00:00:00"/>
    <d v="2017-01-31T00:00:00"/>
    <d v="2018-10-04T00:00:00"/>
    <s v="V2"/>
    <m/>
    <s v="Gerard GAUTIER-HAMON &lt;gerard.gautier-hamon@agriculture.gouv.fr&gt;; CARPENTIER Anne-Sophie - CGDD/DRI/SR3 &lt;anne-sophie.carpentier@developpement-durable.gouv.fr&gt;"/>
    <m/>
    <m/>
    <m/>
    <x v="23"/>
    <x v="11"/>
    <n v="41218.400000000001"/>
    <x v="8"/>
    <n v="30913.8"/>
    <x v="7"/>
    <n v="30913.8"/>
    <x v="0"/>
    <m/>
    <m/>
    <m/>
    <n v="0"/>
    <m/>
    <m/>
    <m/>
    <m/>
    <m/>
    <m/>
    <m/>
    <m/>
    <m/>
    <n v="0"/>
    <n v="103046"/>
    <n v="30913.8"/>
    <n v="72132.2"/>
    <n v="0"/>
    <n v="0"/>
    <n v="0"/>
  </r>
  <r>
    <n v="25"/>
    <n v="2758"/>
    <x v="0"/>
    <s v="\\dg94stoc.onema.fr\partages_$\dg94_dcuat\ECOPHYTO\ECOPHYTO 2018\CONVENTIONS\ECOPHYTO II\AXE 1 AGIR AUJOURDHUI ET FAIRE EVOLUER LES PRATIQUES\CRA DEPHY\2016"/>
    <x v="5"/>
    <x v="6"/>
    <s v="CRA Provence-Alpes-Côte d’Azur"/>
    <x v="9"/>
    <x v="0"/>
    <m/>
    <m/>
    <m/>
    <m/>
    <n v="12"/>
    <n v="6"/>
    <n v="18"/>
    <d v="2016-05-02T00:00:00"/>
    <d v="2016-01-01T00:00:00"/>
    <d v="2016-12-31T00:00:00"/>
    <d v="2016-06-30T00:00:00"/>
    <d v="2016-07-31T00:00:00"/>
    <d v="2017-11-01T00:00:00"/>
    <s v="V2"/>
    <m/>
    <m/>
    <m/>
    <m/>
    <m/>
    <x v="24"/>
    <x v="12"/>
    <n v="0"/>
    <x v="6"/>
    <n v="228922.5"/>
    <x v="8"/>
    <n v="228922.5"/>
    <x v="5"/>
    <m/>
    <m/>
    <m/>
    <n v="0"/>
    <m/>
    <m/>
    <m/>
    <m/>
    <m/>
    <m/>
    <m/>
    <m/>
    <m/>
    <n v="0"/>
    <n v="457845"/>
    <n v="228922.5"/>
    <n v="228922.5"/>
    <n v="0"/>
    <n v="0"/>
    <n v="0"/>
  </r>
  <r>
    <n v="26"/>
    <n v="2760"/>
    <x v="0"/>
    <s v="\\dg94stoc.onema.fr\partages_$\dg94_dcuat\ECOPHYTO\ECOPHYTO 2018\CONVENTIONS\ECOPHYTO II\AXE 1 AGIR AUJOURDHUI ET FAIRE EVOLUER LES PRATIQUES\CRA DEPHY\2016"/>
    <x v="5"/>
    <x v="6"/>
    <s v="CRA Réunion "/>
    <x v="9"/>
    <x v="0"/>
    <m/>
    <m/>
    <m/>
    <m/>
    <n v="12"/>
    <n v="6"/>
    <n v="18"/>
    <d v="2016-05-02T00:00:00"/>
    <d v="2016-01-01T00:00:00"/>
    <d v="2016-12-31T00:00:00"/>
    <d v="2016-06-30T00:00:00"/>
    <d v="2016-07-31T00:00:00"/>
    <d v="2017-11-01T00:00:00"/>
    <s v="V2"/>
    <m/>
    <m/>
    <m/>
    <m/>
    <m/>
    <x v="25"/>
    <x v="12"/>
    <n v="0"/>
    <x v="6"/>
    <n v="42089"/>
    <x v="8"/>
    <n v="42089"/>
    <x v="5"/>
    <m/>
    <m/>
    <m/>
    <n v="0"/>
    <m/>
    <m/>
    <m/>
    <m/>
    <m/>
    <m/>
    <m/>
    <m/>
    <m/>
    <n v="0"/>
    <n v="84178"/>
    <n v="42089"/>
    <n v="42089"/>
    <n v="0"/>
    <n v="0"/>
    <n v="0"/>
  </r>
  <r>
    <n v="27"/>
    <n v="2761"/>
    <x v="0"/>
    <s v="\\dg94stoc.onema.fr\partages_$\dg94_dcuat\ECOPHYTO\ECOPHYTO 2018\CONVENTIONS\ECOPHYTO II\AXE 1 AGIR AUJOURDHUI ET FAIRE EVOLUER LES PRATIQUES\CRA DEPHY\2016"/>
    <x v="5"/>
    <x v="6"/>
    <s v="CRA Basse-Normandie et Haute-Normandie"/>
    <x v="9"/>
    <x v="0"/>
    <m/>
    <m/>
    <m/>
    <m/>
    <n v="12"/>
    <n v="6"/>
    <n v="18"/>
    <d v="2016-05-04T00:00:00"/>
    <d v="2016-01-01T00:00:00"/>
    <d v="2016-12-31T00:00:00"/>
    <d v="2016-06-30T00:00:00"/>
    <d v="2016-07-31T00:00:00"/>
    <d v="2017-11-03T00:00:00"/>
    <s v="V2"/>
    <m/>
    <m/>
    <m/>
    <m/>
    <m/>
    <x v="26"/>
    <x v="13"/>
    <n v="0"/>
    <x v="6"/>
    <n v="287455"/>
    <x v="8"/>
    <n v="287455"/>
    <x v="5"/>
    <m/>
    <m/>
    <m/>
    <n v="0"/>
    <m/>
    <m/>
    <m/>
    <m/>
    <m/>
    <m/>
    <m/>
    <m/>
    <m/>
    <n v="0"/>
    <n v="574910"/>
    <n v="287455"/>
    <n v="287455"/>
    <n v="0"/>
    <n v="0"/>
    <n v="0"/>
  </r>
  <r>
    <n v="28"/>
    <n v="2762"/>
    <x v="0"/>
    <s v="\\dg94stoc.onema.fr\partages_$\dg94_dcuat\ECOPHYTO\ECOPHYTO 2018\CONVENTIONS\ECOPHYTO II\AXE 3  EVALUER ET MAITRISER LES RISQUES ET LES IMPACTS\LSTE\2016\Former les conjoints des viticulteurs"/>
    <x v="3"/>
    <x v="9"/>
    <s v="université de bordeaux (LSTE) "/>
    <x v="18"/>
    <x v="0"/>
    <m/>
    <m/>
    <m/>
    <m/>
    <n v="36"/>
    <n v="6"/>
    <n v="42"/>
    <d v="2016-05-12T00:00:00"/>
    <d v="2016-05-12T00:00:00"/>
    <d v="2019-04-30T00:00:00"/>
    <d v="2018-10-30T00:00:00"/>
    <d v="2017-11-30T00:00:00"/>
    <d v="2019-11-11T00:00:00"/>
    <s v="V2"/>
    <m/>
    <m/>
    <m/>
    <m/>
    <m/>
    <x v="27"/>
    <x v="14"/>
    <n v="51000"/>
    <x v="9"/>
    <n v="38250"/>
    <x v="9"/>
    <n v="38250"/>
    <x v="5"/>
    <m/>
    <m/>
    <m/>
    <n v="0"/>
    <m/>
    <m/>
    <m/>
    <m/>
    <m/>
    <m/>
    <m/>
    <m/>
    <m/>
    <n v="0"/>
    <n v="127500"/>
    <n v="38250"/>
    <n v="89250"/>
    <n v="0"/>
    <n v="0"/>
    <n v="0"/>
  </r>
  <r>
    <n v="29"/>
    <n v="2763"/>
    <x v="0"/>
    <s v="\\dg94stoc.onema.fr\partages_$\dg94_dcuat\ECOPHYTO\ECOPHYTO 2018\CONVENTIONS\ECOPHYTO II\AXE 3  EVALUER ET MAITRISER LES RISQUES ET LES IMPACTS\InvS\2016\Matphyto 2"/>
    <x v="3"/>
    <x v="9"/>
    <s v="InVS"/>
    <x v="19"/>
    <x v="0"/>
    <m/>
    <m/>
    <m/>
    <m/>
    <n v="36"/>
    <n v="6"/>
    <n v="42"/>
    <d v="2016-05-12T00:00:00"/>
    <d v="2016-05-12T00:00:00"/>
    <d v="2019-04-30T00:00:00"/>
    <d v="2018-10-30T00:00:00"/>
    <d v="2017-11-30T00:00:00"/>
    <d v="2019-11-11T00:00:00"/>
    <s v="V2"/>
    <m/>
    <s v="Olivier BRIAND &lt;olivier.briand@agriculture.gouv.fr&gt;; Leila MARTIN &lt;leila.martin@agriculture.gouv.fr&gt;;"/>
    <m/>
    <m/>
    <m/>
    <x v="28"/>
    <x v="14"/>
    <n v="120000"/>
    <x v="9"/>
    <n v="90000"/>
    <x v="9"/>
    <n v="90000"/>
    <x v="7"/>
    <m/>
    <m/>
    <m/>
    <n v="0"/>
    <m/>
    <m/>
    <m/>
    <m/>
    <m/>
    <m/>
    <m/>
    <m/>
    <m/>
    <n v="0"/>
    <n v="300000"/>
    <n v="90000"/>
    <n v="210000"/>
    <n v="0"/>
    <n v="0"/>
    <n v="0"/>
  </r>
  <r>
    <n v="30"/>
    <n v="2764"/>
    <x v="0"/>
    <s v="\\dg94stoc.onema.fr\partages_$\dg94_dcuat\ECOPHYTO\ECOPHYTO 2018\CONVENTIONS\ECOPHYTO II\AXE 3  EVALUER ET MAITRISER LES RISQUES ET LES IMPACTS\InvS DST\2016"/>
    <x v="3"/>
    <x v="9"/>
    <s v="InVS"/>
    <x v="20"/>
    <x v="0"/>
    <m/>
    <m/>
    <m/>
    <m/>
    <n v="36"/>
    <n v="6"/>
    <n v="42"/>
    <d v="2016-05-12T00:00:00"/>
    <d v="2016-05-12T00:00:00"/>
    <d v="2019-04-30T00:00:00"/>
    <d v="2018-10-30T00:00:00"/>
    <d v="2017-11-30T00:00:00"/>
    <d v="2019-11-11T00:00:00"/>
    <s v="V2"/>
    <m/>
    <s v="Olivier BRIAND &lt;olivier.briand@agriculture.gouv.fr&gt;; Leila MARTIN &lt;leila.martin@agriculture.gouv.fr&gt;;"/>
    <m/>
    <m/>
    <m/>
    <x v="28"/>
    <x v="14"/>
    <n v="120000"/>
    <x v="9"/>
    <n v="90000"/>
    <x v="9"/>
    <n v="90000"/>
    <x v="7"/>
    <m/>
    <m/>
    <m/>
    <n v="0"/>
    <m/>
    <m/>
    <m/>
    <m/>
    <m/>
    <m/>
    <m/>
    <m/>
    <m/>
    <n v="0"/>
    <n v="300000"/>
    <n v="90000"/>
    <n v="210000"/>
    <n v="0"/>
    <n v="0"/>
    <n v="0"/>
  </r>
  <r>
    <n v="31"/>
    <n v="2765"/>
    <x v="0"/>
    <s v="\\dg94stoc.onema.fr\partages_$\dg94_dcuat\ECOPHYTO\ECOPHYTO 2018\CONVENTIONS\ECOPHYTO II\AXE 1 AGIR AUJOURDHUI ET FAIRE EVOLUER LES PRATIQUES\CRA DEPHY\2016"/>
    <x v="5"/>
    <x v="6"/>
    <s v="CRA Alsace, Champagne-Ardenne et Lorraine"/>
    <x v="9"/>
    <x v="0"/>
    <m/>
    <m/>
    <m/>
    <m/>
    <n v="12"/>
    <n v="6"/>
    <n v="18"/>
    <d v="2016-05-12T00:00:00"/>
    <d v="2016-01-01T00:00:00"/>
    <d v="2016-12-31T00:00:00"/>
    <d v="2016-06-30T00:00:00"/>
    <d v="2016-07-31T00:00:00"/>
    <d v="2017-11-11T00:00:00"/>
    <s v="V2"/>
    <m/>
    <m/>
    <m/>
    <m/>
    <m/>
    <x v="29"/>
    <x v="14"/>
    <n v="0"/>
    <x v="6"/>
    <n v="571144.5"/>
    <x v="8"/>
    <n v="571144.5"/>
    <x v="5"/>
    <m/>
    <m/>
    <m/>
    <n v="0"/>
    <m/>
    <m/>
    <m/>
    <m/>
    <m/>
    <m/>
    <m/>
    <m/>
    <m/>
    <n v="0"/>
    <n v="1142289"/>
    <n v="571144.5"/>
    <n v="571144.5"/>
    <n v="0"/>
    <n v="0"/>
    <n v="0"/>
  </r>
  <r>
    <n v="32"/>
    <n v="2769"/>
    <x v="0"/>
    <s v="\\dg94stoc.onema.fr\partages_$\dg94_dcuat\ECOPHYTO\ECOPHYTO 2018\CONVENTIONS\ECOPHYTO II\AXE 1 AGIR AUJOURDHUI ET FAIRE EVOLUER LES PRATIQUES\CRA DEPHY\2016"/>
    <x v="5"/>
    <x v="6"/>
    <s v="CRA Bourgogne et Franche-Comté"/>
    <x v="9"/>
    <x v="0"/>
    <m/>
    <m/>
    <m/>
    <m/>
    <n v="12"/>
    <n v="6"/>
    <n v="18"/>
    <d v="2016-05-20T00:00:00"/>
    <d v="2016-01-01T00:00:00"/>
    <d v="2016-12-31T00:00:00"/>
    <d v="2016-06-30T00:00:00"/>
    <d v="2016-07-31T00:00:00"/>
    <d v="2017-11-19T00:00:00"/>
    <s v="V2"/>
    <m/>
    <m/>
    <m/>
    <m/>
    <m/>
    <x v="30"/>
    <x v="15"/>
    <n v="0"/>
    <x v="6"/>
    <n v="371339"/>
    <x v="8"/>
    <n v="371339"/>
    <x v="5"/>
    <m/>
    <m/>
    <m/>
    <n v="0"/>
    <m/>
    <m/>
    <m/>
    <m/>
    <m/>
    <m/>
    <m/>
    <m/>
    <m/>
    <n v="0"/>
    <n v="742678"/>
    <n v="371339"/>
    <n v="371339"/>
    <n v="0"/>
    <n v="0"/>
    <n v="0"/>
  </r>
  <r>
    <n v="33"/>
    <n v="2770"/>
    <x v="0"/>
    <s v="\\dg94stoc.onema.fr\partages_$\dg94_dcuat\ECOPHYTO\ECOPHYTO 2018\CONVENTIONS\ECOPHYTO II\AXE 1 AGIR AUJOURDHUI ET FAIRE EVOLUER LES PRATIQUES\CRA DEPHY\2016"/>
    <x v="5"/>
    <x v="6"/>
    <s v="CRA Nord-Pas-de-Calais et Picardie"/>
    <x v="9"/>
    <x v="0"/>
    <m/>
    <m/>
    <m/>
    <m/>
    <n v="12"/>
    <n v="6"/>
    <n v="18"/>
    <d v="2016-05-20T00:00:00"/>
    <d v="2016-01-01T00:00:00"/>
    <d v="2016-12-31T00:00:00"/>
    <d v="2016-06-30T00:00:00"/>
    <d v="2016-07-31T00:00:00"/>
    <d v="2017-11-19T00:00:00"/>
    <s v="V2"/>
    <m/>
    <m/>
    <m/>
    <m/>
    <m/>
    <x v="31"/>
    <x v="15"/>
    <n v="0"/>
    <x v="6"/>
    <n v="377499.5"/>
    <x v="8"/>
    <n v="377499.5"/>
    <x v="5"/>
    <m/>
    <m/>
    <m/>
    <n v="0"/>
    <m/>
    <m/>
    <m/>
    <m/>
    <m/>
    <m/>
    <m/>
    <m/>
    <m/>
    <n v="0"/>
    <n v="754999"/>
    <n v="377499.5"/>
    <n v="377499.5"/>
    <n v="0"/>
    <n v="0"/>
    <n v="0"/>
  </r>
  <r>
    <n v="34"/>
    <n v="2771"/>
    <x v="0"/>
    <s v="\\dg94stoc.onema.fr\partages_$\dg94_dcuat\ECOPHYTO\ECOPHYTO 2018\CONVENTIONS\ECOPHYTO II\AXE 1 AGIR AUJOURDHUI ET FAIRE EVOLUER LES PRATIQUES\CRA DEPHY\2016"/>
    <x v="5"/>
    <x v="6"/>
    <s v="CRA Languedoc-Roussillon et Midi-Pyrénées"/>
    <x v="9"/>
    <x v="0"/>
    <m/>
    <m/>
    <m/>
    <m/>
    <n v="12"/>
    <n v="6"/>
    <n v="18"/>
    <d v="2016-05-20T00:00:00"/>
    <d v="2016-01-01T00:00:00"/>
    <d v="2016-12-31T00:00:00"/>
    <d v="2016-06-30T00:00:00"/>
    <d v="2016-07-31T00:00:00"/>
    <d v="2017-11-19T00:00:00"/>
    <s v="V2"/>
    <m/>
    <m/>
    <m/>
    <m/>
    <m/>
    <x v="32"/>
    <x v="15"/>
    <n v="0"/>
    <x v="6"/>
    <n v="558939"/>
    <x v="8"/>
    <n v="558939"/>
    <x v="5"/>
    <m/>
    <m/>
    <m/>
    <n v="0"/>
    <m/>
    <m/>
    <m/>
    <m/>
    <m/>
    <m/>
    <m/>
    <m/>
    <m/>
    <n v="0"/>
    <n v="1117878"/>
    <n v="558939"/>
    <n v="558939"/>
    <n v="0"/>
    <n v="0"/>
    <n v="0"/>
  </r>
  <r>
    <n v="35"/>
    <n v="2772"/>
    <x v="0"/>
    <s v="\\dg94stoc.onema.fr\partages_$\dg94_dcuat\ECOPHYTO\ECOPHYTO 2018\CONVENTIONS\ECOPHYTO II\AXE 1 AGIR AUJOURDHUI ET FAIRE EVOLUER LES PRATIQUES\CRA DEPHY\2016"/>
    <x v="5"/>
    <x v="6"/>
    <s v="CRA Aquitaine, Limousin et Poitou-Charentes"/>
    <x v="9"/>
    <x v="0"/>
    <m/>
    <m/>
    <m/>
    <m/>
    <n v="12"/>
    <n v="6"/>
    <n v="18"/>
    <d v="2016-05-20T00:00:00"/>
    <d v="2016-01-01T00:00:00"/>
    <d v="2016-12-31T00:00:00"/>
    <d v="2016-06-30T00:00:00"/>
    <d v="2016-07-31T00:00:00"/>
    <d v="2017-11-19T00:00:00"/>
    <s v="V2"/>
    <m/>
    <m/>
    <m/>
    <m/>
    <m/>
    <x v="33"/>
    <x v="15"/>
    <n v="0"/>
    <x v="6"/>
    <n v="689164"/>
    <x v="8"/>
    <n v="689164"/>
    <x v="5"/>
    <m/>
    <m/>
    <m/>
    <n v="0"/>
    <m/>
    <m/>
    <m/>
    <m/>
    <m/>
    <m/>
    <m/>
    <m/>
    <m/>
    <n v="0"/>
    <n v="1378328"/>
    <n v="689164"/>
    <n v="689164"/>
    <n v="0"/>
    <n v="0"/>
    <n v="0"/>
  </r>
  <r>
    <n v="36"/>
    <n v="2773"/>
    <x v="0"/>
    <s v="\\dg94stoc.onema.fr\partages_$\dg94_dcuat\ECOPHYTO\ECOPHYTO 2018\CONVENTIONS\ECOPHYTO II\AXE 6  COMMUNIQUER ET GOUVERNANCE SIMPLIFIEE\FAM"/>
    <x v="6"/>
    <x v="7"/>
    <s v="FAM"/>
    <x v="21"/>
    <x v="0"/>
    <d v="2016-09-23T00:00:00"/>
    <s v="Diminution du montant de la participation Onema et du cout global du projet "/>
    <m/>
    <m/>
    <n v="12"/>
    <n v="6"/>
    <n v="18"/>
    <d v="2016-06-25T00:00:00"/>
    <d v="2016-01-01T00:00:00"/>
    <d v="2016-12-31T00:00:00"/>
    <d v="2016-06-30T00:00:00"/>
    <d v="2016-07-31T00:00:00"/>
    <d v="2017-12-24T00:00:00"/>
    <s v="V2"/>
    <m/>
    <s v="veronique.laborde@agriculture.gouv.fr; xavier.herry@agriculture.gouv.fr; florence.guillaume@agriculture.gouv.fr"/>
    <m/>
    <m/>
    <m/>
    <x v="34"/>
    <x v="16"/>
    <n v="400000"/>
    <x v="4"/>
    <n v="300000"/>
    <x v="0"/>
    <n v="300000"/>
    <x v="8"/>
    <m/>
    <m/>
    <m/>
    <n v="0"/>
    <m/>
    <m/>
    <m/>
    <m/>
    <m/>
    <m/>
    <m/>
    <m/>
    <m/>
    <n v="0"/>
    <n v="1000000"/>
    <n v="300000"/>
    <n v="700000"/>
    <n v="0"/>
    <n v="0"/>
    <n v="0"/>
  </r>
  <r>
    <n v="37"/>
    <n v="2775"/>
    <x v="0"/>
    <s v="\\dg94stoc.onema.fr\partages_$\dg94_dcuat\ECOPHYTO\ECOPHYTO 2018\CONVENTIONS\ECOPHYTO II\AXE 1 AGIR AUJOURDHUI ET FAIRE EVOLUER LES PRATIQUES\CRA DEPHY\2016"/>
    <x v="5"/>
    <x v="6"/>
    <s v="CRA Mayotte"/>
    <x v="9"/>
    <x v="0"/>
    <m/>
    <m/>
    <m/>
    <m/>
    <n v="12"/>
    <n v="6"/>
    <n v="18"/>
    <d v="2016-06-06T00:00:00"/>
    <d v="2016-01-01T00:00:00"/>
    <d v="2016-12-31T00:00:00"/>
    <d v="2016-06-30T00:00:00"/>
    <d v="2016-07-31T00:00:00"/>
    <d v="2017-12-05T00:00:00"/>
    <s v="V2"/>
    <m/>
    <m/>
    <m/>
    <m/>
    <m/>
    <x v="35"/>
    <x v="17"/>
    <n v="0"/>
    <x v="6"/>
    <n v="36439"/>
    <x v="0"/>
    <n v="36439"/>
    <x v="9"/>
    <m/>
    <m/>
    <m/>
    <n v="0"/>
    <m/>
    <m/>
    <m/>
    <m/>
    <m/>
    <m/>
    <m/>
    <m/>
    <m/>
    <n v="0"/>
    <n v="72878"/>
    <n v="36439"/>
    <n v="36439"/>
    <n v="0"/>
    <n v="0"/>
    <n v="0"/>
  </r>
  <r>
    <n v="38"/>
    <n v="2776"/>
    <x v="0"/>
    <s v="\\dg94stoc.onema.fr\partages_$\dg94_dcuat\ECOPHYTO\ECOPHYTO 2018\CONVENTIONS\ECOPHYTO II\AXE 1 AGIR AUJOURDHUI ET FAIRE EVOLUER LES PRATIQUES\CRA DEPHY\2016"/>
    <x v="5"/>
    <x v="6"/>
    <s v="CRA Auvergne et Rhône-Alpes"/>
    <x v="9"/>
    <x v="0"/>
    <m/>
    <m/>
    <m/>
    <m/>
    <n v="12"/>
    <n v="6"/>
    <n v="18"/>
    <d v="2016-06-13T00:00:00"/>
    <d v="2016-01-01T00:00:00"/>
    <d v="2016-12-31T00:00:00"/>
    <d v="2016-06-30T00:00:00"/>
    <d v="2016-07-31T00:00:00"/>
    <d v="2017-12-12T00:00:00"/>
    <s v="V2"/>
    <m/>
    <m/>
    <m/>
    <m/>
    <m/>
    <x v="36"/>
    <x v="18"/>
    <n v="0"/>
    <x v="6"/>
    <n v="418027.5"/>
    <x v="0"/>
    <n v="418027.5"/>
    <x v="9"/>
    <m/>
    <m/>
    <m/>
    <n v="0"/>
    <m/>
    <m/>
    <m/>
    <m/>
    <m/>
    <m/>
    <m/>
    <m/>
    <m/>
    <n v="0"/>
    <n v="836055"/>
    <n v="418027.5"/>
    <n v="418027.5"/>
    <n v="0"/>
    <n v="0"/>
    <n v="0"/>
  </r>
  <r>
    <n v="39"/>
    <n v="2784"/>
    <x v="0"/>
    <s v="\\dg94stoc.onema.fr\partages_$\dg94_dcuat\ECOPHYTO\ECOPHYTO 2018\CONVENTIONS\ECOPHYTO II\AXE 1 AGIR AUJOURDHUI ET FAIRE EVOLUER LES PRATIQUES\APCA ANNUELLE\2016"/>
    <x v="2"/>
    <x v="10"/>
    <s v="APCA"/>
    <x v="22"/>
    <x v="0"/>
    <m/>
    <m/>
    <m/>
    <m/>
    <n v="12"/>
    <n v="6"/>
    <n v="18"/>
    <d v="2016-06-21T00:00:00"/>
    <d v="2016-01-01T00:00:00"/>
    <d v="2016-12-31T00:00:00"/>
    <d v="2016-06-30T00:00:00"/>
    <d v="2016-07-31T00:00:00"/>
    <d v="2017-12-20T00:00:00"/>
    <s v="V2"/>
    <m/>
    <m/>
    <m/>
    <m/>
    <m/>
    <x v="37"/>
    <x v="19"/>
    <n v="2044999.2000000002"/>
    <x v="4"/>
    <n v="1533749.4"/>
    <x v="0"/>
    <n v="1533749.4"/>
    <x v="7"/>
    <m/>
    <m/>
    <m/>
    <n v="0"/>
    <m/>
    <m/>
    <m/>
    <m/>
    <m/>
    <m/>
    <m/>
    <m/>
    <m/>
    <n v="0"/>
    <n v="5112498"/>
    <n v="1533749.4"/>
    <n v="3578748.6"/>
    <n v="0"/>
    <n v="0"/>
    <n v="0"/>
  </r>
  <r>
    <n v="40"/>
    <n v="2789"/>
    <x v="0"/>
    <s v="\\dg94stoc.onema.fr\partages_$\dg94_dcuat\ECOPHYTO\ECOPHYTO 2018\CONVENTIONS\ECOPHYTO II\AXE 6  COMMUNIQUER ET GOUVERNANCE SIMPLIFIEE\CRA ACTIONS REGIONALES DE COMMUNICATION\2016"/>
    <x v="8"/>
    <x v="11"/>
    <s v="CRA Île-de-France"/>
    <x v="23"/>
    <x v="0"/>
    <m/>
    <m/>
    <m/>
    <m/>
    <n v="12"/>
    <n v="6"/>
    <n v="18"/>
    <d v="2016-07-11T00:00:00"/>
    <d v="2016-01-01T00:00:00"/>
    <d v="2016-12-31T00:00:00"/>
    <d v="2016-06-30T00:00:00"/>
    <d v="2016-07-31T00:00:00"/>
    <d v="2018-01-10T00:00:00"/>
    <s v="V2"/>
    <m/>
    <m/>
    <m/>
    <m/>
    <m/>
    <x v="38"/>
    <x v="20"/>
    <n v="0"/>
    <x v="6"/>
    <n v="74251.5"/>
    <x v="10"/>
    <n v="74251.5"/>
    <x v="10"/>
    <m/>
    <m/>
    <m/>
    <n v="0"/>
    <m/>
    <m/>
    <m/>
    <m/>
    <m/>
    <m/>
    <m/>
    <m/>
    <m/>
    <n v="0"/>
    <n v="148503"/>
    <n v="74251.5"/>
    <n v="74251.5"/>
    <n v="0"/>
    <n v="0"/>
    <n v="0"/>
  </r>
  <r>
    <n v="41"/>
    <n v="2791"/>
    <x v="0"/>
    <s v="\\dg94stoc.onema.fr\partages_$\dg94_dcuat\ECOPHYTO\ECOPHYTO 2018\CONVENTIONS\ECOPHYTO II\AXE 4  JEVI (jardins, espaces végétalisés et infrastructures)\SNHF\2016"/>
    <x v="1"/>
    <x v="1"/>
    <s v="SNHF"/>
    <x v="24"/>
    <x v="0"/>
    <m/>
    <m/>
    <m/>
    <m/>
    <n v="12"/>
    <n v="6"/>
    <n v="18"/>
    <d v="2016-07-11T00:00:00"/>
    <d v="2016-07-11T00:00:00"/>
    <d v="2017-06-30T00:00:00"/>
    <d v="2016-12-30T00:00:00"/>
    <d v="2017-01-31T00:00:00"/>
    <d v="2018-01-10T00:00:00"/>
    <s v="V2"/>
    <m/>
    <s v="POUJEAUX Dominique - DGALN/DEB/GR4 &lt;Dominique.Poujeaux@developpement-durable.gouv.fr&gt;"/>
    <m/>
    <m/>
    <m/>
    <x v="39"/>
    <x v="20"/>
    <n v="16000"/>
    <x v="10"/>
    <n v="12000"/>
    <x v="10"/>
    <n v="12000"/>
    <x v="10"/>
    <m/>
    <m/>
    <m/>
    <n v="0"/>
    <m/>
    <m/>
    <m/>
    <m/>
    <m/>
    <m/>
    <m/>
    <m/>
    <m/>
    <n v="0"/>
    <n v="40000"/>
    <n v="12000"/>
    <n v="28000"/>
    <n v="0"/>
    <n v="0"/>
    <n v="0"/>
  </r>
  <r>
    <n v="42"/>
    <n v="2792"/>
    <x v="0"/>
    <s v="\\dg94stoc.onema.fr\partages_$\dg94_dcuat\ECOPHYTO\ECOPHYTO 2018\CONVENTIONS\ECOPHYTO II\AXE 1 AGIR AUJOURDHUI ET FAIRE EVOLUER LES PRATIQUES\CRA DEPHY\2016"/>
    <x v="5"/>
    <x v="6"/>
    <s v="CRA Martinique "/>
    <x v="9"/>
    <x v="0"/>
    <m/>
    <m/>
    <m/>
    <m/>
    <n v="12"/>
    <n v="6"/>
    <n v="18"/>
    <d v="2016-07-11T00:00:00"/>
    <d v="2016-01-01T00:00:00"/>
    <d v="2016-12-31T00:00:00"/>
    <d v="2016-06-30T00:00:00"/>
    <d v="2016-07-31T00:00:00"/>
    <d v="2018-01-10T00:00:00"/>
    <s v="V2"/>
    <m/>
    <m/>
    <m/>
    <m/>
    <m/>
    <x v="40"/>
    <x v="20"/>
    <n v="0"/>
    <x v="6"/>
    <n v="50772.5"/>
    <x v="10"/>
    <n v="50772.5"/>
    <x v="10"/>
    <m/>
    <m/>
    <m/>
    <n v="0"/>
    <m/>
    <m/>
    <m/>
    <m/>
    <m/>
    <m/>
    <m/>
    <m/>
    <m/>
    <n v="0"/>
    <n v="101545"/>
    <n v="50772.5"/>
    <n v="50772.5"/>
    <n v="0"/>
    <n v="0"/>
    <n v="0"/>
  </r>
  <r>
    <n v="43"/>
    <n v="2793"/>
    <x v="0"/>
    <s v="\\dg94stoc.onema.fr\partages_$\dg94_dcuat\ECOPHYTO\ECOPHYTO 2018\CONVENTIONS\ECOPHYTO II\AXE 6  COMMUNIQUER ET GOUVERNANCE SIMPLIFIEE\CRA ACTIONS REGIONALES DE COMMUNICATION\2016"/>
    <x v="8"/>
    <x v="11"/>
    <s v="CRA Pays de la Loire"/>
    <x v="23"/>
    <x v="0"/>
    <m/>
    <m/>
    <m/>
    <m/>
    <n v="12"/>
    <n v="6"/>
    <n v="18"/>
    <d v="2016-07-12T00:00:00"/>
    <d v="2016-01-01T00:00:00"/>
    <d v="2016-12-31T00:00:00"/>
    <d v="2016-06-30T00:00:00"/>
    <d v="2016-07-31T00:00:00"/>
    <d v="2018-01-11T00:00:00"/>
    <s v="V2"/>
    <m/>
    <m/>
    <m/>
    <m/>
    <m/>
    <x v="41"/>
    <x v="21"/>
    <n v="0"/>
    <x v="6"/>
    <n v="62648.5"/>
    <x v="10"/>
    <n v="62648.5"/>
    <x v="10"/>
    <m/>
    <m/>
    <m/>
    <n v="0"/>
    <m/>
    <m/>
    <m/>
    <m/>
    <m/>
    <m/>
    <m/>
    <m/>
    <m/>
    <n v="0"/>
    <n v="125297"/>
    <n v="62648.5"/>
    <n v="62648.5"/>
    <n v="0"/>
    <n v="0"/>
    <n v="0"/>
  </r>
  <r>
    <n v="44"/>
    <n v="2794"/>
    <x v="0"/>
    <s v="\\dg94stoc.onema.fr\partages_$\dg94_dcuat\ECOPHYTO\ECOPHYTO 2018\CONVENTIONS\ECOPHYTO II\AXE 6  COMMUNIQUER ET GOUVERNANCE SIMPLIFIEE\CRA ACTIONS REGIONALES DE COMMUNICATION\2016"/>
    <x v="8"/>
    <x v="11"/>
    <s v="CRA Centre (qui prend le nom de Centre-Val de Loire)"/>
    <x v="23"/>
    <x v="0"/>
    <m/>
    <m/>
    <m/>
    <m/>
    <n v="12"/>
    <n v="6"/>
    <n v="18"/>
    <d v="2016-07-11T00:00:00"/>
    <d v="2016-01-01T00:00:00"/>
    <d v="2016-12-31T00:00:00"/>
    <d v="2016-06-30T00:00:00"/>
    <d v="2016-07-31T00:00:00"/>
    <d v="2018-01-10T00:00:00"/>
    <s v="V2"/>
    <m/>
    <m/>
    <m/>
    <m/>
    <m/>
    <x v="42"/>
    <x v="20"/>
    <n v="0"/>
    <x v="6"/>
    <n v="66516"/>
    <x v="10"/>
    <n v="66516"/>
    <x v="10"/>
    <m/>
    <m/>
    <m/>
    <n v="0"/>
    <m/>
    <m/>
    <m/>
    <m/>
    <m/>
    <m/>
    <m/>
    <m/>
    <m/>
    <n v="0"/>
    <n v="133032"/>
    <n v="66516"/>
    <n v="66516"/>
    <n v="0"/>
    <n v="0"/>
    <n v="0"/>
  </r>
  <r>
    <n v="45"/>
    <n v="2795"/>
    <x v="0"/>
    <s v="\\dg94stoc.onema.fr\partages_$\dg94_dcuat\ECOPHYTO\ECOPHYTO 2018\CONVENTIONS\ECOPHYTO II\AXE 6  COMMUNIQUER ET GOUVERNANCE SIMPLIFIEE\CRA ACTIONS REGIONALES DE COMMUNICATION\2016"/>
    <x v="8"/>
    <x v="11"/>
    <s v="CRA Corse "/>
    <x v="23"/>
    <x v="0"/>
    <m/>
    <m/>
    <m/>
    <m/>
    <n v="12"/>
    <n v="6"/>
    <n v="18"/>
    <d v="2016-07-12T00:00:00"/>
    <d v="2016-01-01T00:00:00"/>
    <d v="2016-12-31T00:00:00"/>
    <d v="2016-06-30T00:00:00"/>
    <d v="2016-07-31T00:00:00"/>
    <d v="2018-01-11T00:00:00"/>
    <s v="V2"/>
    <m/>
    <m/>
    <m/>
    <m/>
    <m/>
    <x v="43"/>
    <x v="21"/>
    <n v="0"/>
    <x v="6"/>
    <n v="51045"/>
    <x v="10"/>
    <n v="51045"/>
    <x v="10"/>
    <m/>
    <m/>
    <m/>
    <n v="0"/>
    <m/>
    <m/>
    <m/>
    <m/>
    <m/>
    <m/>
    <m/>
    <m/>
    <m/>
    <n v="0"/>
    <n v="102090"/>
    <n v="51045"/>
    <n v="51045"/>
    <n v="0"/>
    <n v="0"/>
    <n v="0"/>
  </r>
  <r>
    <n v="46"/>
    <n v="2796"/>
    <x v="0"/>
    <s v="\\dg94stoc.onema.fr\partages_$\dg94_dcuat\ECOPHYTO\ECOPHYTO 2018\CONVENTIONS\ECOPHYTO II\AXE 6  COMMUNIQUER ET GOUVERNANCE SIMPLIFIEE\CRA ACTIONS REGIONALES DE COMMUNICATION\2016"/>
    <x v="8"/>
    <x v="11"/>
    <s v="CRA Réunion "/>
    <x v="23"/>
    <x v="0"/>
    <m/>
    <m/>
    <m/>
    <m/>
    <n v="12"/>
    <n v="6"/>
    <n v="18"/>
    <d v="2016-07-19T00:00:00"/>
    <d v="2016-01-01T00:00:00"/>
    <d v="2016-12-31T00:00:00"/>
    <d v="2016-06-30T00:00:00"/>
    <d v="2016-07-31T00:00:00"/>
    <d v="2018-01-18T00:00:00"/>
    <s v="V2"/>
    <m/>
    <m/>
    <m/>
    <m/>
    <m/>
    <x v="44"/>
    <x v="22"/>
    <n v="0"/>
    <x v="6"/>
    <n v="47177.5"/>
    <x v="10"/>
    <n v="47177.5"/>
    <x v="11"/>
    <m/>
    <m/>
    <m/>
    <n v="0"/>
    <m/>
    <m/>
    <m/>
    <m/>
    <m/>
    <m/>
    <m/>
    <m/>
    <m/>
    <n v="0"/>
    <n v="94355"/>
    <n v="47177.5"/>
    <n v="47177.5"/>
    <n v="0"/>
    <n v="0"/>
    <n v="0"/>
  </r>
  <r>
    <n v="47"/>
    <n v="2797"/>
    <x v="0"/>
    <s v="\\dg94stoc.onema.fr\partages_$\dg94_dcuat\ECOPHYTO\ECOPHYTO 2018\CONVENTIONS\ECOPHYTO II\AXE 6  COMMUNIQUER ET GOUVERNANCE SIMPLIFIEE\CRA ACTIONS REGIONALES DE COMMUNICATION\2016"/>
    <x v="8"/>
    <x v="11"/>
    <s v="CRA Guyane "/>
    <x v="23"/>
    <x v="0"/>
    <m/>
    <m/>
    <m/>
    <m/>
    <n v="12"/>
    <n v="6"/>
    <n v="18"/>
    <d v="2016-07-19T00:00:00"/>
    <d v="2016-01-01T00:00:00"/>
    <d v="2016-12-31T00:00:00"/>
    <d v="2016-06-30T00:00:00"/>
    <d v="2016-07-31T00:00:00"/>
    <d v="2018-01-18T00:00:00"/>
    <s v="V2"/>
    <m/>
    <m/>
    <m/>
    <m/>
    <m/>
    <x v="44"/>
    <x v="22"/>
    <n v="0"/>
    <x v="6"/>
    <n v="47177.5"/>
    <x v="10"/>
    <n v="47177.5"/>
    <x v="11"/>
    <m/>
    <m/>
    <m/>
    <n v="0"/>
    <m/>
    <m/>
    <m/>
    <m/>
    <m/>
    <m/>
    <m/>
    <m/>
    <m/>
    <n v="0"/>
    <n v="94355"/>
    <n v="47177.5"/>
    <n v="47177.5"/>
    <n v="0"/>
    <n v="0"/>
    <n v="0"/>
  </r>
  <r>
    <n v="48"/>
    <n v="2798"/>
    <x v="0"/>
    <s v="\\dg94stoc.onema.fr\partages_$\dg94_dcuat\ECOPHYTO\ECOPHYTO 2018\CONVENTIONS\ECOPHYTO II\AXE 6  COMMUNIQUER ET GOUVERNANCE SIMPLIFIEE\CRA ACTIONS REGIONALES DE COMMUNICATION\2016"/>
    <x v="8"/>
    <x v="11"/>
    <s v="CRA Guadeloupe "/>
    <x v="23"/>
    <x v="0"/>
    <m/>
    <m/>
    <m/>
    <m/>
    <n v="12"/>
    <n v="6"/>
    <n v="18"/>
    <d v="2016-07-19T00:00:00"/>
    <d v="2016-01-01T00:00:00"/>
    <d v="2016-12-31T00:00:00"/>
    <d v="2016-06-30T00:00:00"/>
    <d v="2016-07-31T00:00:00"/>
    <d v="2018-01-18T00:00:00"/>
    <s v="V2"/>
    <m/>
    <m/>
    <m/>
    <m/>
    <m/>
    <x v="44"/>
    <x v="22"/>
    <n v="0"/>
    <x v="6"/>
    <n v="47177.5"/>
    <x v="10"/>
    <n v="47177.5"/>
    <x v="11"/>
    <m/>
    <m/>
    <m/>
    <n v="0"/>
    <m/>
    <m/>
    <m/>
    <m/>
    <m/>
    <m/>
    <m/>
    <m/>
    <m/>
    <n v="0"/>
    <n v="94355"/>
    <n v="47177.5"/>
    <n v="47177.5"/>
    <n v="0"/>
    <n v="0"/>
    <n v="0"/>
  </r>
  <r>
    <n v="49"/>
    <n v="2800"/>
    <x v="0"/>
    <s v="\\dg94stoc.onema.fr\partages_$\dg94_dcuat\ECOPHYTO\ECOPHYTO 2018\CONVENTIONS\ECOPHYTO II\AXE 6  COMMUNIQUER ET GOUVERNANCE SIMPLIFIEE\CRA ACTIONS REGIONALES DE COMMUNICATION\2016"/>
    <x v="8"/>
    <x v="11"/>
    <s v="CRA Martinique "/>
    <x v="23"/>
    <x v="0"/>
    <m/>
    <m/>
    <m/>
    <m/>
    <n v="12"/>
    <n v="6"/>
    <n v="18"/>
    <d v="2016-07-20T00:00:00"/>
    <d v="2016-01-01T00:00:00"/>
    <d v="2016-12-31T00:00:00"/>
    <d v="2016-06-30T00:00:00"/>
    <d v="2016-07-31T00:00:00"/>
    <d v="2018-01-19T00:00:00"/>
    <s v="V2"/>
    <m/>
    <m/>
    <m/>
    <m/>
    <m/>
    <x v="44"/>
    <x v="23"/>
    <n v="0"/>
    <x v="6"/>
    <n v="47177.5"/>
    <x v="10"/>
    <n v="47177.5"/>
    <x v="11"/>
    <m/>
    <m/>
    <m/>
    <n v="0"/>
    <m/>
    <m/>
    <m/>
    <m/>
    <m/>
    <m/>
    <m/>
    <m/>
    <m/>
    <n v="0"/>
    <n v="94355"/>
    <n v="47177.5"/>
    <n v="47177.5"/>
    <n v="0"/>
    <n v="0"/>
    <n v="0"/>
  </r>
  <r>
    <n v="50"/>
    <n v="2801"/>
    <x v="0"/>
    <s v="\\dg94stoc.onema.fr\partages_$\dg94_dcuat\ECOPHYTO\ECOPHYTO 2018\CONVENTIONS\ECOPHYTO II\AXE 6  COMMUNIQUER ET GOUVERNANCE SIMPLIFIEE\CRA ACTIONS REGIONALES DE COMMUNICATION\2016"/>
    <x v="8"/>
    <x v="11"/>
    <s v="CRA Provence-Alpes-Côte d’Azur"/>
    <x v="23"/>
    <x v="0"/>
    <m/>
    <m/>
    <m/>
    <m/>
    <n v="12"/>
    <n v="6"/>
    <n v="18"/>
    <d v="2016-07-21T00:00:00"/>
    <d v="2016-01-01T00:00:00"/>
    <d v="2016-12-31T00:00:00"/>
    <d v="2016-06-30T00:00:00"/>
    <d v="2016-07-31T00:00:00"/>
    <d v="2018-01-20T00:00:00"/>
    <s v="V2"/>
    <m/>
    <m/>
    <m/>
    <m/>
    <m/>
    <x v="42"/>
    <x v="24"/>
    <n v="0"/>
    <x v="6"/>
    <n v="66516"/>
    <x v="10"/>
    <n v="66516"/>
    <x v="11"/>
    <m/>
    <m/>
    <m/>
    <n v="0"/>
    <m/>
    <m/>
    <m/>
    <m/>
    <m/>
    <m/>
    <m/>
    <m/>
    <m/>
    <n v="0"/>
    <n v="133032"/>
    <n v="66516"/>
    <n v="66516"/>
    <n v="0"/>
    <n v="0"/>
    <n v="0"/>
  </r>
  <r>
    <n v="51"/>
    <n v="2809"/>
    <x v="0"/>
    <s v="\\dg94stoc.onema.fr\partages_$\dg94_dcuat\ECOPHYTO\ECOPHYTO 2018\CONVENTIONS\ECOPHYTO II\AXE 1 AGIR AUJOURDHUI ET FAIRE EVOLUER LES PRATIQUES\CRA DEPHY\2016\PROVENCE COTE D'AZUR"/>
    <x v="2"/>
    <x v="12"/>
    <s v="CRA Provence-Alpes-Côte d’Azur"/>
    <x v="25"/>
    <x v="0"/>
    <m/>
    <m/>
    <m/>
    <m/>
    <n v="12"/>
    <n v="6"/>
    <n v="18"/>
    <d v="2016-08-10T00:00:00"/>
    <d v="2016-01-01T00:00:00"/>
    <d v="2016-12-31T00:00:00"/>
    <d v="2016-06-30T00:00:00"/>
    <d v="2016-07-31T00:00:00"/>
    <d v="2018-02-09T00:00:00"/>
    <s v="V2"/>
    <m/>
    <s v="ludovic.bonnard@agriculture.gouv.fr"/>
    <m/>
    <m/>
    <m/>
    <x v="45"/>
    <x v="25"/>
    <n v="0"/>
    <x v="6"/>
    <n v="293148.75"/>
    <x v="11"/>
    <n v="293148.75"/>
    <x v="12"/>
    <m/>
    <m/>
    <m/>
    <n v="0"/>
    <m/>
    <m/>
    <m/>
    <m/>
    <m/>
    <m/>
    <m/>
    <m/>
    <m/>
    <n v="0"/>
    <n v="586297.5"/>
    <n v="293148.75"/>
    <n v="293148.75"/>
    <n v="0"/>
    <n v="0"/>
    <n v="0"/>
  </r>
  <r>
    <n v="52"/>
    <n v="2811"/>
    <x v="0"/>
    <s v="\\dg94stoc.onema.fr\partages_$\dg94_dcuat\ECOPHYTO\ECOPHYTO 2018\CONVENTIONS\ECOPHYTO II\AXE 1 AGIR AUJOURDHUI ET FAIRE EVOLUER LES PRATIQUES\CRA DEPHY\2016\CENTRE VAL DE LOIRE"/>
    <x v="2"/>
    <x v="12"/>
    <s v="CRA Centre-Val de Loire"/>
    <x v="25"/>
    <x v="0"/>
    <m/>
    <m/>
    <m/>
    <m/>
    <n v="12"/>
    <n v="6"/>
    <n v="18"/>
    <d v="2016-07-27T00:00:00"/>
    <d v="2016-01-01T00:00:00"/>
    <d v="2016-12-31T00:00:00"/>
    <d v="2016-06-30T00:00:00"/>
    <d v="2016-07-31T00:00:00"/>
    <d v="2018-01-26T00:00:00"/>
    <s v="V2"/>
    <m/>
    <s v="ludovic.bonnard@agriculture.gouv.fr"/>
    <m/>
    <m/>
    <m/>
    <x v="46"/>
    <x v="26"/>
    <n v="0"/>
    <x v="6"/>
    <n v="196617.715"/>
    <x v="10"/>
    <n v="196617.715"/>
    <x v="13"/>
    <m/>
    <m/>
    <m/>
    <n v="0"/>
    <m/>
    <m/>
    <m/>
    <m/>
    <m/>
    <m/>
    <m/>
    <m/>
    <m/>
    <n v="0"/>
    <n v="393235.43"/>
    <n v="196617.715"/>
    <n v="196617.715"/>
    <n v="0"/>
    <n v="0"/>
    <n v="0"/>
  </r>
  <r>
    <n v="53"/>
    <n v="2812"/>
    <x v="0"/>
    <s v="\\dg94stoc.onema.fr\partages_$\dg94_dcuat\ECOPHYTO\ECOPHYTO 2018\CONVENTIONS\ECOPHYTO II\AXE 1 AGIR AUJOURDHUI ET FAIRE EVOLUER LES PRATIQUES\CRA DEPHY\2016\CORSE"/>
    <x v="2"/>
    <x v="12"/>
    <s v="CRA Corse "/>
    <x v="25"/>
    <x v="0"/>
    <m/>
    <m/>
    <m/>
    <m/>
    <n v="12"/>
    <n v="6"/>
    <n v="18"/>
    <d v="2016-07-27T00:00:00"/>
    <d v="2016-01-01T00:00:00"/>
    <d v="2016-12-31T00:00:00"/>
    <d v="2016-06-30T00:00:00"/>
    <d v="2016-07-31T00:00:00"/>
    <d v="2018-01-26T00:00:00"/>
    <s v="V2"/>
    <m/>
    <s v="ludovic.bonnard@agriculture.gouv.fr"/>
    <m/>
    <m/>
    <m/>
    <x v="47"/>
    <x v="26"/>
    <n v="0"/>
    <x v="6"/>
    <n v="18129.375"/>
    <x v="10"/>
    <n v="18129.375"/>
    <x v="13"/>
    <m/>
    <m/>
    <m/>
    <n v="0"/>
    <m/>
    <m/>
    <m/>
    <m/>
    <m/>
    <m/>
    <m/>
    <m/>
    <m/>
    <n v="0"/>
    <n v="36258.75"/>
    <n v="18129.375"/>
    <n v="18129.375"/>
    <n v="0"/>
    <n v="0"/>
    <n v="0"/>
  </r>
  <r>
    <n v="54"/>
    <n v="2813"/>
    <x v="0"/>
    <s v="\\dg94stoc.onema.fr\partages_$\dg94_dcuat\ECOPHYTO\ECOPHYTO 2018\CONVENTIONS\ECOPHYTO II\AXE 1 AGIR AUJOURDHUI ET FAIRE EVOLUER LES PRATIQUES\CRA DEPHY\2016\ILE DE France"/>
    <x v="2"/>
    <x v="12"/>
    <s v="CRA Île-de-France"/>
    <x v="25"/>
    <x v="0"/>
    <d v="2016-12-14T00:00:00"/>
    <s v="Augmentation de la participation de l'Onema, montant du programme d'action et de la durée du projet "/>
    <m/>
    <m/>
    <n v="12"/>
    <n v="6"/>
    <n v="18"/>
    <d v="2016-07-27T00:00:00"/>
    <d v="2016-01-01T00:00:00"/>
    <d v="2016-12-31T00:00:00"/>
    <d v="2016-06-30T00:00:00"/>
    <d v="2016-07-31T00:00:00"/>
    <d v="2018-01-26T00:00:00"/>
    <s v="V2"/>
    <m/>
    <s v="ludovic.bonnard@agriculture.gouv.fr"/>
    <m/>
    <m/>
    <m/>
    <x v="48"/>
    <x v="26"/>
    <n v="0"/>
    <x v="6"/>
    <n v="62193"/>
    <x v="10"/>
    <n v="62193"/>
    <x v="13"/>
    <m/>
    <m/>
    <m/>
    <n v="0"/>
    <m/>
    <m/>
    <m/>
    <m/>
    <m/>
    <m/>
    <m/>
    <m/>
    <m/>
    <n v="0"/>
    <n v="124386"/>
    <n v="62193"/>
    <n v="62193"/>
    <n v="0"/>
    <n v="0"/>
    <n v="0"/>
  </r>
  <r>
    <n v="55"/>
    <n v="2816"/>
    <x v="0"/>
    <s v="\\dg94stoc.onema.fr\partages_$\dg94_dcuat\ECOPHYTO\ECOPHYTO 2018\CONVENTIONS\ECOPHYTO II\AXE 6  COMMUNIQUER ET GOUVERNANCE SIMPLIFIEE\CRA ACTIONS REGIONALES DE COMMUNICATION\2016"/>
    <x v="8"/>
    <x v="11"/>
    <s v="CRA Bretagne"/>
    <x v="23"/>
    <x v="0"/>
    <m/>
    <m/>
    <m/>
    <m/>
    <n v="12"/>
    <n v="6"/>
    <n v="18"/>
    <d v="2016-08-04T00:00:00"/>
    <d v="2016-01-01T00:00:00"/>
    <d v="2016-12-31T00:00:00"/>
    <d v="2016-06-30T00:00:00"/>
    <d v="2016-07-31T00:00:00"/>
    <d v="2018-02-03T00:00:00"/>
    <s v="V2"/>
    <m/>
    <m/>
    <m/>
    <m/>
    <m/>
    <x v="49"/>
    <x v="27"/>
    <n v="0"/>
    <x v="6"/>
    <n v="58780.5"/>
    <x v="11"/>
    <n v="58780.5"/>
    <x v="14"/>
    <m/>
    <m/>
    <m/>
    <n v="0"/>
    <m/>
    <m/>
    <m/>
    <m/>
    <m/>
    <m/>
    <m/>
    <m/>
    <m/>
    <n v="0"/>
    <n v="117561"/>
    <n v="58780.5"/>
    <n v="58780.5"/>
    <n v="0"/>
    <n v="0"/>
    <n v="0"/>
  </r>
  <r>
    <n v="56"/>
    <n v="2817"/>
    <x v="0"/>
    <s v="\\dg94stoc.onema.fr\partages_$\dg94_dcuat\ECOPHYTO\ECOPHYTO 2018\CONVENTIONS\ECOPHYTO II\AXE 1 AGIR AUJOURDHUI ET FAIRE EVOLUER LES PRATIQUES\CRA DEPHY\2016\BRETAGNE"/>
    <x v="2"/>
    <x v="12"/>
    <s v="CRA Bretagne"/>
    <x v="25"/>
    <x v="0"/>
    <m/>
    <m/>
    <m/>
    <m/>
    <n v="12"/>
    <n v="6"/>
    <n v="18"/>
    <d v="2016-05-05T00:00:00"/>
    <d v="2016-01-01T00:00:00"/>
    <d v="2016-12-31T00:00:00"/>
    <d v="2016-06-30T00:00:00"/>
    <d v="2016-07-31T00:00:00"/>
    <d v="2017-11-04T00:00:00"/>
    <s v="V2"/>
    <m/>
    <s v="ludovic.bonnard@agriculture.gouv.fr"/>
    <m/>
    <m/>
    <m/>
    <x v="50"/>
    <x v="28"/>
    <n v="0"/>
    <x v="6"/>
    <n v="181197.125"/>
    <x v="8"/>
    <n v="181197.125"/>
    <x v="15"/>
    <m/>
    <m/>
    <m/>
    <n v="0"/>
    <m/>
    <m/>
    <m/>
    <m/>
    <m/>
    <m/>
    <m/>
    <m/>
    <m/>
    <n v="0"/>
    <n v="362394.25"/>
    <n v="181197.125"/>
    <n v="181197.125"/>
    <n v="0"/>
    <n v="0"/>
    <n v="0"/>
  </r>
  <r>
    <n v="57"/>
    <n v="2818"/>
    <x v="0"/>
    <s v="\\dg94stoc.onema.fr\partages_$\dg94_dcuat\ECOPHYTO\ECOPHYTO 2018\CONVENTIONS\ECOPHYTO II\AXE 1 AGIR AUJOURDHUI ET FAIRE EVOLUER LES PRATIQUES\CRA DEPHY\2016\MARTINIQUE"/>
    <x v="2"/>
    <x v="12"/>
    <s v="CRA Martinique "/>
    <x v="25"/>
    <x v="0"/>
    <d v="2016-12-14T00:00:00"/>
    <s v="Augmentation de la participation de l'Onema, montant du programme d'action et de la durée du projet "/>
    <m/>
    <m/>
    <n v="12"/>
    <n v="6"/>
    <n v="18"/>
    <d v="2016-08-05T00:00:00"/>
    <d v="2016-01-01T00:00:00"/>
    <d v="2016-12-31T00:00:00"/>
    <d v="2016-06-30T00:00:00"/>
    <d v="2016-07-31T00:00:00"/>
    <d v="2018-02-04T00:00:00"/>
    <s v="V2"/>
    <m/>
    <s v="ludovic.bonnard@agriculture.gouv.fr"/>
    <m/>
    <m/>
    <m/>
    <x v="51"/>
    <x v="29"/>
    <n v="0"/>
    <x v="6"/>
    <n v="71036.25"/>
    <x v="11"/>
    <n v="71036.25"/>
    <x v="15"/>
    <m/>
    <m/>
    <m/>
    <n v="0"/>
    <m/>
    <m/>
    <m/>
    <m/>
    <m/>
    <m/>
    <m/>
    <m/>
    <m/>
    <n v="0"/>
    <n v="142072.5"/>
    <n v="71036.25"/>
    <n v="71036.25"/>
    <n v="0"/>
    <n v="0"/>
    <n v="0"/>
  </r>
  <r>
    <n v="58"/>
    <n v="2824"/>
    <x v="0"/>
    <s v="\\dg94stoc.onema.fr\partages_$\dg94_dcuat\ECOPHYTO\ECOPHYTO 2018\CONVENTIONS\ECOPHYTO II\AXE 1 AGIR AUJOURDHUI ET FAIRE EVOLUER LES PRATIQUES\CRA DEPHY\2016\REUNION"/>
    <x v="2"/>
    <x v="12"/>
    <s v="CRA Réunion "/>
    <x v="25"/>
    <x v="0"/>
    <m/>
    <m/>
    <m/>
    <m/>
    <n v="12"/>
    <n v="6"/>
    <n v="18"/>
    <d v="2016-08-05T00:00:00"/>
    <d v="2016-01-01T00:00:00"/>
    <d v="2016-12-31T00:00:00"/>
    <d v="2016-06-30T00:00:00"/>
    <d v="2016-07-31T00:00:00"/>
    <d v="2018-02-04T00:00:00"/>
    <s v="V2"/>
    <m/>
    <s v="ludovic.bonnard@agriculture.gouv.fr"/>
    <m/>
    <m/>
    <m/>
    <x v="52"/>
    <x v="29"/>
    <n v="0"/>
    <x v="6"/>
    <n v="39540"/>
    <x v="11"/>
    <n v="39540"/>
    <x v="15"/>
    <m/>
    <m/>
    <m/>
    <n v="0"/>
    <m/>
    <m/>
    <m/>
    <m/>
    <m/>
    <m/>
    <m/>
    <m/>
    <m/>
    <n v="0"/>
    <n v="79080"/>
    <n v="39540"/>
    <n v="39540"/>
    <n v="0"/>
    <n v="0"/>
    <n v="0"/>
  </r>
  <r>
    <n v="59"/>
    <n v="2827"/>
    <x v="0"/>
    <s v="\\dg94stoc.onema.fr\partages_$\dg94_dcuat\ECOPHYTO\ECOPHYTO 2018\CONVENTIONS\ECOPHYTO II\AXE 6  COMMUNIQUER ET GOUVERNANCE SIMPLIFIEE\CRA ACTIONS REGIONALES DE COMMUNICATION\2016"/>
    <x v="8"/>
    <x v="11"/>
    <s v="CRA Mayotte"/>
    <x v="23"/>
    <x v="0"/>
    <m/>
    <m/>
    <m/>
    <m/>
    <n v="12"/>
    <n v="6"/>
    <n v="18"/>
    <d v="2016-08-09T00:00:00"/>
    <d v="2016-01-01T00:00:00"/>
    <d v="2016-12-31T00:00:00"/>
    <d v="2016-06-30T00:00:00"/>
    <d v="2016-07-31T00:00:00"/>
    <d v="2018-02-08T00:00:00"/>
    <s v="V2"/>
    <m/>
    <m/>
    <m/>
    <m/>
    <m/>
    <x v="44"/>
    <x v="30"/>
    <n v="0"/>
    <x v="6"/>
    <n v="47177.5"/>
    <x v="11"/>
    <n v="47177.5"/>
    <x v="16"/>
    <m/>
    <m/>
    <m/>
    <n v="0"/>
    <m/>
    <m/>
    <m/>
    <m/>
    <m/>
    <m/>
    <m/>
    <m/>
    <m/>
    <n v="0"/>
    <n v="94355"/>
    <n v="47177.5"/>
    <n v="47177.5"/>
    <n v="0"/>
    <n v="0"/>
    <n v="0"/>
  </r>
  <r>
    <n v="60"/>
    <n v="2830"/>
    <x v="0"/>
    <s v="\\dg94stoc.onema.fr\partages_$\dg94_dcuat\ECOPHYTO\ECOPHYTO 2018\CONVENTIONS\ECOPHYTO II\AXE 1 AGIR AUJOURDHUI ET FAIRE EVOLUER LES PRATIQUES\CRA DEPHY\2016\PAYS DE LA LOIRE 2830"/>
    <x v="2"/>
    <x v="12"/>
    <s v="CRA Pays de la Loire"/>
    <x v="25"/>
    <x v="0"/>
    <m/>
    <m/>
    <m/>
    <m/>
    <n v="12"/>
    <n v="6"/>
    <n v="18"/>
    <d v="2016-08-25T00:00:00"/>
    <d v="2016-01-01T00:00:00"/>
    <d v="2016-12-31T00:00:00"/>
    <d v="2016-06-30T00:00:00"/>
    <d v="2016-07-31T00:00:00"/>
    <d v="2018-02-24T00:00:00"/>
    <s v="V2"/>
    <m/>
    <s v="ludovic.bonnard@agriculture.gouv.fr"/>
    <m/>
    <m/>
    <m/>
    <x v="53"/>
    <x v="31"/>
    <n v="0"/>
    <x v="6"/>
    <n v="412665"/>
    <x v="11"/>
    <n v="412665"/>
    <x v="17"/>
    <m/>
    <m/>
    <m/>
    <n v="0"/>
    <m/>
    <m/>
    <m/>
    <m/>
    <m/>
    <m/>
    <m/>
    <m/>
    <m/>
    <n v="0"/>
    <n v="825330"/>
    <n v="412665"/>
    <n v="412665"/>
    <n v="0"/>
    <n v="0"/>
    <n v="0"/>
  </r>
  <r>
    <n v="61"/>
    <n v="2835"/>
    <x v="0"/>
    <s v="\\dg94stoc.onema.fr\partages_$\dg94_dcuat\ECOPHYTO\ECOPHYTO 2018\CONVENTIONS\ECOPHYTO II\AXE 1 AGIR AUJOURDHUI ET FAIRE EVOLUER LES PRATIQUES\CRA DEPHY\2016\AQUITAINE LIMOUSIN POITOU CHARENTES"/>
    <x v="2"/>
    <x v="12"/>
    <s v="CRA Aquitaine, Limousin et Poitou-Charentes"/>
    <x v="25"/>
    <x v="0"/>
    <d v="2016-12-12T00:00:00"/>
    <s v="Augmentation de la participation de l'Onema, montant du programme d'action et de la durée du projet "/>
    <m/>
    <m/>
    <n v="12"/>
    <n v="6"/>
    <n v="18"/>
    <d v="2016-09-02T00:00:00"/>
    <d v="2016-01-01T00:00:00"/>
    <d v="2016-12-31T00:00:00"/>
    <d v="2016-06-30T00:00:00"/>
    <d v="2016-07-31T00:00:00"/>
    <d v="2018-03-01T00:00:00"/>
    <s v="V2"/>
    <m/>
    <s v="ludovic.bonnard@agriculture.gouv.fr"/>
    <m/>
    <m/>
    <m/>
    <x v="54"/>
    <x v="32"/>
    <n v="0"/>
    <x v="6"/>
    <n v="625261.88"/>
    <x v="4"/>
    <n v="625261.88"/>
    <x v="18"/>
    <m/>
    <m/>
    <m/>
    <n v="0"/>
    <m/>
    <m/>
    <m/>
    <m/>
    <m/>
    <m/>
    <m/>
    <m/>
    <m/>
    <n v="0"/>
    <n v="1250523.76"/>
    <n v="625261.88"/>
    <n v="625261.88"/>
    <n v="0"/>
    <n v="0"/>
    <n v="0"/>
  </r>
  <r>
    <n v="62"/>
    <n v="2836"/>
    <x v="0"/>
    <s v="\\dg94stoc.onema.fr\partages_$\dg94_dcuat\ECOPHYTO\ECOPHYTO 2018\CONVENTIONS\ECOPHYTO II\AXE 1 AGIR AUJOURDHUI ET FAIRE EVOLUER LES PRATIQUES\CRA DEPHY\2016\NORD PAS DE CALAIS PICARDIE"/>
    <x v="2"/>
    <x v="12"/>
    <s v="CRA Nord-Pas-de-Calais et Picardie"/>
    <x v="25"/>
    <x v="0"/>
    <m/>
    <m/>
    <m/>
    <m/>
    <n v="12"/>
    <n v="6"/>
    <n v="18"/>
    <d v="2016-09-07T00:00:00"/>
    <d v="2016-01-01T00:00:00"/>
    <d v="2016-12-31T00:00:00"/>
    <d v="2016-06-30T00:00:00"/>
    <d v="2016-07-31T00:00:00"/>
    <d v="2018-03-06T00:00:00"/>
    <s v="V2"/>
    <m/>
    <s v="ludovic.bonnard@agriculture.gouv.fr"/>
    <m/>
    <m/>
    <m/>
    <x v="55"/>
    <x v="33"/>
    <n v="0"/>
    <x v="6"/>
    <n v="178608.75"/>
    <x v="4"/>
    <n v="178608.75"/>
    <x v="18"/>
    <m/>
    <m/>
    <m/>
    <n v="0"/>
    <m/>
    <m/>
    <m/>
    <m/>
    <m/>
    <m/>
    <m/>
    <m/>
    <m/>
    <n v="0"/>
    <n v="357217.5"/>
    <n v="178608.75"/>
    <n v="178608.75"/>
    <n v="0"/>
    <n v="0"/>
    <n v="0"/>
  </r>
  <r>
    <n v="63"/>
    <n v="2837"/>
    <x v="0"/>
    <s v="\\dg94stoc.onema.fr\partages_$\dg94_dcuat\ECOPHYTO\ECOPHYTO 2018\CONVENTIONS\ECOPHYTO II\AXE 6  COMMUNIQUER ET GOUVERNANCE SIMPLIFIEE\CRA ACTIONS REGIONALES DE COMMUNICATION\2016"/>
    <x v="8"/>
    <x v="11"/>
    <s v="CRA Basse-Normandie et Haute-Normandie"/>
    <x v="23"/>
    <x v="0"/>
    <m/>
    <m/>
    <m/>
    <m/>
    <n v="12"/>
    <n v="6"/>
    <n v="18"/>
    <d v="2016-09-07T00:00:00"/>
    <d v="2016-01-01T00:00:00"/>
    <d v="2016-12-31T00:00:00"/>
    <d v="2016-06-30T00:00:00"/>
    <d v="2016-07-31T00:00:00"/>
    <d v="2018-03-06T00:00:00"/>
    <s v="V2"/>
    <m/>
    <m/>
    <m/>
    <m/>
    <m/>
    <x v="56"/>
    <x v="33"/>
    <n v="0"/>
    <x v="6"/>
    <n v="90958.5"/>
    <x v="4"/>
    <n v="90958.5"/>
    <x v="18"/>
    <m/>
    <m/>
    <m/>
    <n v="0"/>
    <m/>
    <m/>
    <m/>
    <m/>
    <m/>
    <m/>
    <m/>
    <m/>
    <m/>
    <n v="0"/>
    <n v="181917"/>
    <n v="90958.5"/>
    <n v="90958.5"/>
    <n v="0"/>
    <n v="0"/>
    <n v="0"/>
  </r>
  <r>
    <n v="64"/>
    <n v="2838"/>
    <x v="0"/>
    <s v="\\dg94stoc.onema.fr\partages_$\dg94_dcuat\ECOPHYTO\ECOPHYTO 2018\CONVENTIONS\ECOPHYTO II\AXE 6  COMMUNIQUER ET GOUVERNANCE SIMPLIFIEE\CRA ACTIONS REGIONALES DE COMMUNICATION\2016"/>
    <x v="8"/>
    <x v="11"/>
    <s v="CRA Languedoc-Roussillon et Midi-Pyrénées"/>
    <x v="23"/>
    <x v="0"/>
    <m/>
    <m/>
    <m/>
    <m/>
    <n v="12"/>
    <n v="6"/>
    <n v="18"/>
    <d v="2016-09-07T00:00:00"/>
    <d v="2016-01-01T00:00:00"/>
    <d v="2016-12-31T00:00:00"/>
    <d v="2016-06-30T00:00:00"/>
    <d v="2016-07-31T00:00:00"/>
    <d v="2018-03-06T00:00:00"/>
    <s v="V2"/>
    <m/>
    <m/>
    <m/>
    <m/>
    <m/>
    <x v="57"/>
    <x v="33"/>
    <n v="0"/>
    <x v="6"/>
    <n v="136900"/>
    <x v="4"/>
    <n v="136900"/>
    <x v="18"/>
    <m/>
    <m/>
    <m/>
    <n v="0"/>
    <m/>
    <m/>
    <m/>
    <m/>
    <m/>
    <m/>
    <m/>
    <m/>
    <m/>
    <n v="0"/>
    <n v="273800"/>
    <n v="136900"/>
    <n v="136900"/>
    <n v="0"/>
    <n v="0"/>
    <n v="0"/>
  </r>
  <r>
    <n v="65"/>
    <n v="2839"/>
    <x v="0"/>
    <s v="\\dg94stoc.onema.fr\partages_$\dg94_dcuat\ECOPHYTO\ECOPHYTO 2018\CONVENTIONS\ECOPHYTO II\AXE 1 AGIR AUJOURDHUI ET FAIRE EVOLUER LES PRATIQUES\CRA DEPHY\2016\NORMANDIE"/>
    <x v="2"/>
    <x v="12"/>
    <s v="CRA Basse-Normandie et Haute-Normandie"/>
    <x v="25"/>
    <x v="0"/>
    <s v="En cours de signature "/>
    <s v="Augmentation de la participation de l'Onema, montant du programme d'action et de la durée du projet "/>
    <m/>
    <m/>
    <n v="12"/>
    <n v="6"/>
    <n v="18"/>
    <d v="2016-09-07T00:00:00"/>
    <d v="2016-01-01T00:00:00"/>
    <d v="2016-12-31T00:00:00"/>
    <d v="2016-06-30T00:00:00"/>
    <d v="2016-07-31T00:00:00"/>
    <d v="2018-03-06T00:00:00"/>
    <s v="V2"/>
    <m/>
    <s v="ludovic.bonnard@agriculture.gouv.fr"/>
    <m/>
    <m/>
    <m/>
    <x v="58"/>
    <x v="33"/>
    <n v="0"/>
    <x v="6"/>
    <n v="205198.5"/>
    <x v="4"/>
    <n v="205198.5"/>
    <x v="18"/>
    <m/>
    <m/>
    <m/>
    <n v="0"/>
    <m/>
    <m/>
    <m/>
    <m/>
    <m/>
    <m/>
    <m/>
    <m/>
    <m/>
    <n v="0"/>
    <n v="410397"/>
    <n v="205198.5"/>
    <n v="205198.5"/>
    <n v="0"/>
    <n v="0"/>
    <n v="0"/>
  </r>
  <r>
    <n v="66"/>
    <n v="2840"/>
    <x v="0"/>
    <s v="\\dg94stoc.onema.fr\partages_$\dg94_dcuat\ECOPHYTO\ECOPHYTO 2018\CONVENTIONS\ECOPHYTO II\AXE 6  COMMUNIQUER ET GOUVERNANCE SIMPLIFIEE"/>
    <x v="8"/>
    <x v="11"/>
    <s v="APCA "/>
    <x v="26"/>
    <x v="0"/>
    <m/>
    <m/>
    <m/>
    <m/>
    <n v="12"/>
    <n v="6"/>
    <n v="18"/>
    <d v="2016-09-07T00:00:00"/>
    <d v="2016-01-01T00:00:00"/>
    <d v="2016-12-31T00:00:00"/>
    <d v="2016-06-30T00:00:00"/>
    <d v="2016-07-31T00:00:00"/>
    <d v="2018-03-06T00:00:00"/>
    <s v="V2"/>
    <m/>
    <m/>
    <m/>
    <m/>
    <m/>
    <x v="59"/>
    <x v="33"/>
    <n v="0"/>
    <x v="6"/>
    <n v="30000"/>
    <x v="4"/>
    <n v="30000"/>
    <x v="18"/>
    <m/>
    <m/>
    <m/>
    <n v="0"/>
    <m/>
    <m/>
    <m/>
    <m/>
    <m/>
    <m/>
    <m/>
    <m/>
    <m/>
    <n v="0"/>
    <n v="60000"/>
    <n v="30000"/>
    <n v="30000"/>
    <n v="0"/>
    <n v="0"/>
    <n v="0"/>
  </r>
  <r>
    <n v="67"/>
    <n v="2841"/>
    <x v="0"/>
    <s v="\\dg94stoc.onema.fr\partages_$\dg94_dcuat\ECOPHYTO\ECOPHYTO 2018\CONVENTIONS\ECOPHYTO II\AXE 6  COMMUNIQUER ET GOUVERNANCE SIMPLIFIEE\CRA ACTIONS REGIONALES DE COMMUNICATION\2016"/>
    <x v="8"/>
    <x v="11"/>
    <s v="CRA Auvergne et Rhône-Alpes"/>
    <x v="23"/>
    <x v="0"/>
    <m/>
    <m/>
    <m/>
    <m/>
    <n v="12"/>
    <n v="6"/>
    <n v="18"/>
    <d v="2016-09-14T00:00:00"/>
    <d v="2016-01-01T00:00:00"/>
    <d v="2016-12-31T00:00:00"/>
    <d v="2016-06-30T00:00:00"/>
    <d v="2016-07-31T00:00:00"/>
    <d v="2018-03-13T00:00:00"/>
    <s v="V2"/>
    <m/>
    <m/>
    <m/>
    <m/>
    <m/>
    <x v="60"/>
    <x v="34"/>
    <n v="0"/>
    <x v="6"/>
    <n v="133032"/>
    <x v="4"/>
    <n v="133032"/>
    <x v="19"/>
    <m/>
    <m/>
    <m/>
    <n v="0"/>
    <m/>
    <m/>
    <m/>
    <m/>
    <m/>
    <m/>
    <m/>
    <m/>
    <m/>
    <n v="0"/>
    <n v="266064"/>
    <n v="133032"/>
    <n v="133032"/>
    <n v="0"/>
    <n v="0"/>
    <n v="0"/>
  </r>
  <r>
    <n v="68"/>
    <n v="2846"/>
    <x v="0"/>
    <s v="\\dg94stoc.onema.fr\partages_$\dg94_dcuat\ECOPHYTO\ECOPHYTO 2018\CONVENTIONS\ECOPHYTO II\AXE 1 AGIR AUJOURDHUI ET FAIRE EVOLUER LES PRATIQUES\CRA DEPHY\2016\BOURGOGNES FRANCHE COMTE"/>
    <x v="2"/>
    <x v="12"/>
    <s v="CRA Bourgogne et Franche-Comté"/>
    <x v="25"/>
    <x v="0"/>
    <m/>
    <m/>
    <m/>
    <m/>
    <n v="12"/>
    <n v="6"/>
    <n v="18"/>
    <d v="2016-09-21T00:00:00"/>
    <d v="2016-01-01T00:00:00"/>
    <d v="2016-12-31T00:00:00"/>
    <d v="2016-06-30T00:00:00"/>
    <d v="2016-07-31T00:00:00"/>
    <d v="2018-03-20T00:00:00"/>
    <s v="V2"/>
    <m/>
    <s v="ludovic.bonnard@agriculture.gouv.fr"/>
    <m/>
    <m/>
    <m/>
    <x v="61"/>
    <x v="35"/>
    <n v="0"/>
    <x v="6"/>
    <n v="260704.125"/>
    <x v="4"/>
    <n v="260704.125"/>
    <x v="20"/>
    <m/>
    <m/>
    <m/>
    <n v="0"/>
    <m/>
    <m/>
    <m/>
    <m/>
    <m/>
    <m/>
    <m/>
    <m/>
    <m/>
    <n v="0"/>
    <n v="521408.25"/>
    <n v="260704.125"/>
    <n v="260704.125"/>
    <n v="0"/>
    <n v="0"/>
    <n v="0"/>
  </r>
  <r>
    <n v="69"/>
    <n v="2847"/>
    <x v="0"/>
    <s v="\\dg94stoc.onema.fr\partages_$\dg94_dcuat\ECOPHYTO\ECOPHYTO 2018\CONVENTIONS\ECOPHYTO II\AXE 6  COMMUNIQUER ET GOUVERNANCE SIMPLIFIEE\CRA ACTIONS REGIONALES DE COMMUNICATION\2016"/>
    <x v="8"/>
    <x v="11"/>
    <s v="CRA Bourgogne et Franche-Comté"/>
    <x v="23"/>
    <x v="0"/>
    <m/>
    <m/>
    <m/>
    <m/>
    <n v="12"/>
    <n v="6"/>
    <n v="18"/>
    <d v="2016-09-21T00:00:00"/>
    <d v="2016-01-01T00:00:00"/>
    <d v="2016-12-31T00:00:00"/>
    <d v="2016-06-30T00:00:00"/>
    <d v="2016-07-31T00:00:00"/>
    <d v="2018-03-20T00:00:00"/>
    <s v="V2"/>
    <m/>
    <m/>
    <m/>
    <m/>
    <m/>
    <x v="62"/>
    <x v="35"/>
    <n v="0"/>
    <x v="6"/>
    <n v="117561"/>
    <x v="4"/>
    <n v="117561"/>
    <x v="20"/>
    <m/>
    <m/>
    <m/>
    <n v="0"/>
    <m/>
    <m/>
    <m/>
    <m/>
    <m/>
    <m/>
    <m/>
    <m/>
    <m/>
    <n v="0"/>
    <n v="235122"/>
    <n v="117561"/>
    <n v="117561"/>
    <n v="0"/>
    <n v="0"/>
    <n v="0"/>
  </r>
  <r>
    <n v="70"/>
    <n v="2849"/>
    <x v="0"/>
    <s v="\\dg94stoc.onema.fr\partages_$\dg94_dcuat\ECOPHYTO\ECOPHYTO 2018\CONVENTIONS\ECOPHYTO II\AXE 6  COMMUNIQUER ET GOUVERNANCE SIMPLIFIEE\CRA ACTIONS REGIONALES DE COMMUNICATION\2016"/>
    <x v="8"/>
    <x v="11"/>
    <s v="CRA Nord-Pas-de-Calais et Picardie"/>
    <x v="23"/>
    <x v="0"/>
    <m/>
    <m/>
    <m/>
    <m/>
    <n v="12"/>
    <n v="6"/>
    <n v="18"/>
    <d v="2016-09-21T00:00:00"/>
    <d v="2016-01-01T00:00:00"/>
    <d v="2016-12-31T00:00:00"/>
    <d v="2016-06-30T00:00:00"/>
    <d v="2016-07-31T00:00:00"/>
    <d v="2018-03-20T00:00:00"/>
    <s v="V2"/>
    <m/>
    <m/>
    <m/>
    <m/>
    <m/>
    <x v="63"/>
    <x v="35"/>
    <n v="0"/>
    <x v="6"/>
    <n v="105958"/>
    <x v="4"/>
    <n v="105958"/>
    <x v="20"/>
    <m/>
    <m/>
    <m/>
    <n v="0"/>
    <m/>
    <m/>
    <m/>
    <m/>
    <m/>
    <m/>
    <m/>
    <m/>
    <m/>
    <n v="0"/>
    <n v="211916"/>
    <n v="105958"/>
    <n v="105958"/>
    <n v="0"/>
    <n v="0"/>
    <n v="0"/>
  </r>
  <r>
    <n v="71"/>
    <n v="2857"/>
    <x v="0"/>
    <s v="\\dg94stoc.onema.fr\partages_$\dg94_dcuat\ECOPHYTO\ECOPHYTO 2018\CONVENTIONS\ECOPHYTO II\AXE 2  AMELIORER LES CONNAISSANCES ET LES OUTILS POUR DEMAIN ET ENCOURAGER LA RECHERCHE ET L’INNOVATION\APR CASDAR 2016 CA 19 11 2015\ARMEN"/>
    <x v="4"/>
    <x v="4"/>
    <s v="Terres Inovia"/>
    <x v="27"/>
    <x v="0"/>
    <m/>
    <m/>
    <m/>
    <m/>
    <n v="36"/>
    <n v="6"/>
    <n v="42"/>
    <d v="2016-09-30T00:00:00"/>
    <d v="2016-01-01T00:00:00"/>
    <d v="2018-12-31T00:00:00"/>
    <d v="2018-06-30T00:00:00"/>
    <d v="2017-07-31T00:00:00"/>
    <d v="2020-03-29T00:00:00"/>
    <s v="V2"/>
    <m/>
    <s v="Gerard GAUTIER-HAMON &lt;gerard.gautier-hamon@agriculture.gouv.fr&gt;; CARPENTIER Anne-Sophie - CGDD/DRI/SR3 &lt;anne-sophie.carpentier@developpement-durable.gouv.fr&gt;"/>
    <m/>
    <m/>
    <m/>
    <x v="64"/>
    <x v="36"/>
    <n v="79852.400000000009"/>
    <x v="11"/>
    <n v="59889.299999999996"/>
    <x v="12"/>
    <n v="59889.299999999996"/>
    <x v="21"/>
    <m/>
    <m/>
    <m/>
    <n v="0"/>
    <m/>
    <m/>
    <m/>
    <m/>
    <m/>
    <m/>
    <m/>
    <m/>
    <m/>
    <n v="0"/>
    <n v="199631"/>
    <n v="59889.299999999996"/>
    <n v="139741.70000000001"/>
    <n v="0"/>
    <n v="0"/>
    <n v="0"/>
  </r>
  <r>
    <n v="72"/>
    <n v="2867"/>
    <x v="0"/>
    <s v="\\dg94stoc.onema.fr\partages_$\dg94_dcuat\ECOPHYTO\ECOPHYTO 2018\CONVENTIONS\ECOPHYTO II\AXE 1 AGIR AUJOURDHUI ET FAIRE EVOLUER LES PRATIQUES\CRA DEPHY\2016\AUVERGNE RHONE ALPES"/>
    <x v="2"/>
    <x v="12"/>
    <s v="CRA Auvergne et Rhône-Alpes"/>
    <x v="25"/>
    <x v="0"/>
    <m/>
    <m/>
    <m/>
    <m/>
    <n v="12"/>
    <n v="6"/>
    <n v="18"/>
    <d v="2016-10-17T00:00:00"/>
    <d v="2016-01-01T00:00:00"/>
    <d v="2016-12-31T00:00:00"/>
    <d v="2016-06-30T00:00:00"/>
    <d v="2016-07-31T00:00:00"/>
    <d v="2018-04-16T00:00:00"/>
    <s v="V2"/>
    <m/>
    <s v="ludovic.bonnard@agriculture.gouv.fr"/>
    <m/>
    <m/>
    <m/>
    <x v="65"/>
    <x v="37"/>
    <n v="0"/>
    <x v="6"/>
    <n v="389875.78499999997"/>
    <x v="13"/>
    <n v="389875.78499999997"/>
    <x v="22"/>
    <m/>
    <m/>
    <m/>
    <n v="0"/>
    <m/>
    <m/>
    <m/>
    <m/>
    <m/>
    <m/>
    <m/>
    <m/>
    <m/>
    <n v="0"/>
    <n v="779751.57"/>
    <n v="389875.78499999997"/>
    <n v="389875.78499999997"/>
    <n v="0"/>
    <n v="0"/>
    <n v="0"/>
  </r>
  <r>
    <n v="73"/>
    <n v="2871"/>
    <x v="0"/>
    <s v="\\dg94stoc.onema.fr\partages_$\dg94_dcuat\ECOPHYTO\ECOPHYTO 2018\CONVENTIONS\ECOPHYTO II\AXE 1 AGIR AUJOURDHUI ET FAIRE EVOLUER LES PRATIQUES\FAM\2016\CERTIFICAT INDIVIDUEL"/>
    <x v="2"/>
    <x v="13"/>
    <s v="FAM"/>
    <x v="28"/>
    <x v="0"/>
    <m/>
    <m/>
    <m/>
    <m/>
    <n v="12"/>
    <n v="6"/>
    <n v="18"/>
    <d v="2016-07-21T00:00:00"/>
    <d v="2016-07-21T00:00:00"/>
    <d v="2017-06-30T00:00:00"/>
    <d v="2016-12-30T00:00:00"/>
    <d v="2017-01-31T00:00:00"/>
    <d v="2018-01-20T00:00:00"/>
    <s v="V2"/>
    <m/>
    <s v="vincent.busson@agriculture.gouv.fr; yveline.guegan@agriculture.gouv.fr"/>
    <m/>
    <m/>
    <m/>
    <x v="66"/>
    <x v="24"/>
    <n v="245600"/>
    <x v="10"/>
    <n v="184200"/>
    <x v="10"/>
    <n v="184200"/>
    <x v="23"/>
    <m/>
    <m/>
    <m/>
    <n v="0"/>
    <m/>
    <m/>
    <m/>
    <m/>
    <m/>
    <m/>
    <m/>
    <m/>
    <m/>
    <n v="0"/>
    <n v="614000"/>
    <n v="184200"/>
    <n v="429800"/>
    <n v="0"/>
    <n v="0"/>
    <n v="0"/>
  </r>
  <r>
    <n v="74"/>
    <n v="2879"/>
    <x v="0"/>
    <s v="\\dg94stoc.onema.fr\partages_$\dg94_dcuat\ECOPHYTO\ECOPHYTO 2018\CONVENTIONS\ECOPHYTO II\AXE 6  COMMUNIQUER ET GOUVERNANCE SIMPLIFIEE\CRA ACTIONS REGIONALES DE COMMUNICATION\2016\ALSACE CHAMPAGNE ARDENNE LORRAINE"/>
    <x v="8"/>
    <x v="11"/>
    <s v="CRA Alsace, Champagne-Ardenne et Lorraine"/>
    <x v="23"/>
    <x v="0"/>
    <m/>
    <m/>
    <m/>
    <m/>
    <n v="12"/>
    <n v="6"/>
    <n v="18"/>
    <d v="2016-11-09T00:00:00"/>
    <d v="2016-01-01T00:00:00"/>
    <d v="2016-12-31T00:00:00"/>
    <d v="2016-06-30T00:00:00"/>
    <d v="2016-07-31T00:00:00"/>
    <d v="2018-05-08T00:00:00"/>
    <s v="V2"/>
    <m/>
    <m/>
    <m/>
    <m/>
    <m/>
    <x v="67"/>
    <x v="38"/>
    <n v="0"/>
    <x v="6"/>
    <n v="168606"/>
    <x v="14"/>
    <n v="0"/>
    <x v="24"/>
    <m/>
    <m/>
    <m/>
    <n v="0"/>
    <m/>
    <m/>
    <m/>
    <m/>
    <m/>
    <m/>
    <m/>
    <m/>
    <m/>
    <n v="0"/>
    <n v="337212"/>
    <n v="0"/>
    <n v="337212"/>
    <n v="0"/>
    <n v="0"/>
    <n v="0"/>
  </r>
  <r>
    <n v="75"/>
    <n v="2886"/>
    <x v="0"/>
    <s v="\\dg94stoc.onema.fr\partages_$\dg94_dcuat\ECOPHYTO\ECOPHYTO 2018\CONVENTIONS\ECOPHYTO II\AXE 6  COMMUNIQUER ET GOUVERNANCE SIMPLIFIEE\CRA ACTIONS REGIONALES DE COMMUNICATION\2016\AQUITAINE LIMOUSIN POITOU CHARENTES"/>
    <x v="8"/>
    <x v="11"/>
    <s v="CRA Aquitaine, Limousin et Poitou-Charentes"/>
    <x v="23"/>
    <x v="0"/>
    <m/>
    <m/>
    <m/>
    <m/>
    <n v="12"/>
    <n v="6"/>
    <n v="18"/>
    <d v="2016-11-09T00:00:00"/>
    <d v="2016-01-01T00:00:00"/>
    <d v="2016-12-31T00:00:00"/>
    <d v="2016-06-30T00:00:00"/>
    <d v="2016-07-31T00:00:00"/>
    <d v="2018-05-08T00:00:00"/>
    <s v="V2"/>
    <m/>
    <m/>
    <m/>
    <m/>
    <m/>
    <x v="68"/>
    <x v="38"/>
    <n v="0"/>
    <x v="6"/>
    <n v="176342"/>
    <x v="14"/>
    <n v="0"/>
    <x v="24"/>
    <m/>
    <m/>
    <m/>
    <n v="0"/>
    <m/>
    <m/>
    <m/>
    <m/>
    <m/>
    <m/>
    <m/>
    <m/>
    <m/>
    <n v="0"/>
    <n v="352684"/>
    <n v="0"/>
    <n v="352684"/>
    <n v="0"/>
    <n v="0"/>
    <n v="0"/>
  </r>
  <r>
    <n v="76"/>
    <n v="2894"/>
    <x v="0"/>
    <s v="\\dg94stoc.onema.fr\partages_$\dg94_dcuat\ECOPHYTO\ECOPHYTO 2018\CONVENTIONS\ECOPHYTO II\AXE 1 AGIR AUJOURDHUI ET FAIRE EVOLUER LES PRATIQUES\CRA DEPHY\2016\ALSACE CHAMPAGNE ARDENNE ET LORRAINE"/>
    <x v="2"/>
    <x v="12"/>
    <s v="CRA Alsace, Champagne-Ardenne et Lorraine"/>
    <x v="25"/>
    <x v="0"/>
    <s v="En cours de signature "/>
    <s v="Augmentation de la participation de l'Onema, montant du programme d'action et de la durée du projet "/>
    <m/>
    <m/>
    <n v="12"/>
    <n v="6"/>
    <n v="18"/>
    <d v="2016-11-10T00:00:00"/>
    <d v="2016-01-01T00:00:00"/>
    <d v="2016-12-31T00:00:00"/>
    <d v="2016-06-30T00:00:00"/>
    <d v="2016-07-31T00:00:00"/>
    <d v="2018-05-09T00:00:00"/>
    <s v="V2"/>
    <m/>
    <s v="ludovic.bonnard@agriculture.gouv.fr"/>
    <m/>
    <m/>
    <m/>
    <x v="69"/>
    <x v="39"/>
    <n v="0"/>
    <x v="6"/>
    <n v="448753.125"/>
    <x v="14"/>
    <n v="448753.125"/>
    <x v="25"/>
    <m/>
    <m/>
    <m/>
    <n v="0"/>
    <m/>
    <m/>
    <m/>
    <m/>
    <m/>
    <m/>
    <m/>
    <m/>
    <m/>
    <n v="0"/>
    <n v="897506.25"/>
    <n v="448753.125"/>
    <n v="448753.125"/>
    <n v="0"/>
    <n v="0"/>
    <n v="0"/>
  </r>
  <r>
    <n v="77"/>
    <n v="2912"/>
    <x v="0"/>
    <s v="\\dg94stoc.onema.fr\partages_$\dg94_dcuat\ECOPHYTO\ECOPHYTO 2018\CONVENTIONS\ECOPHYTO II\AXE 1 AGIR AUJOURDHUI ET FAIRE EVOLUER LES PRATIQUES\CRA DEPHY\2016\MAYOTTE"/>
    <x v="2"/>
    <x v="12"/>
    <s v="CRA Mayotte"/>
    <x v="25"/>
    <x v="0"/>
    <m/>
    <m/>
    <m/>
    <m/>
    <n v="12"/>
    <n v="6"/>
    <n v="18"/>
    <d v="2016-11-16T00:00:00"/>
    <d v="2016-01-01T00:00:00"/>
    <d v="2016-12-31T00:00:00"/>
    <d v="2016-06-30T00:00:00"/>
    <d v="2016-07-31T00:00:00"/>
    <d v="2018-05-15T00:00:00"/>
    <s v="V2"/>
    <m/>
    <s v="ludovic.bonnard@agriculture.gouv.fr"/>
    <m/>
    <m/>
    <m/>
    <x v="70"/>
    <x v="40"/>
    <n v="0"/>
    <x v="6"/>
    <n v="20145"/>
    <x v="14"/>
    <n v="0"/>
    <x v="24"/>
    <m/>
    <m/>
    <m/>
    <n v="0"/>
    <m/>
    <m/>
    <m/>
    <m/>
    <m/>
    <m/>
    <m/>
    <m/>
    <m/>
    <n v="0"/>
    <n v="40290"/>
    <n v="0"/>
    <n v="40290"/>
    <n v="0"/>
    <n v="0"/>
    <n v="0"/>
  </r>
  <r>
    <n v="78"/>
    <s v="0ECO"/>
    <x v="0"/>
    <s v="\\dg94stoc.onema.fr\partages_$\dg94_dcuat\ECOPHYTO\ECOPHYTO 2018\CONVENTIONS\ECOPHYTO II\AXE 1 AGIR AUJOURDHUI ET FAIRE EVOLUER LES PRATIQUES\ACTA\2016\EcophytoPIC"/>
    <x v="0"/>
    <x v="0"/>
    <s v="ACTA"/>
    <x v="29"/>
    <x v="0"/>
    <m/>
    <m/>
    <m/>
    <m/>
    <n v="12"/>
    <n v="6"/>
    <n v="18"/>
    <d v="2016-04-26T00:00:00"/>
    <d v="2016-01-01T00:00:00"/>
    <d v="2016-12-31T00:00:00"/>
    <d v="2016-06-30T00:00:00"/>
    <d v="2016-07-31T00:00:00"/>
    <d v="2017-10-25T00:00:00"/>
    <s v="V2"/>
    <m/>
    <s v="vincent.busson@agriculture.gouv.fr; yveline.guegan@agriculture.gouv.fr"/>
    <m/>
    <m/>
    <m/>
    <x v="71"/>
    <x v="9"/>
    <n v="60300"/>
    <x v="5"/>
    <n v="45225"/>
    <x v="5"/>
    <n v="45225"/>
    <x v="0"/>
    <m/>
    <m/>
    <m/>
    <n v="0"/>
    <m/>
    <m/>
    <m/>
    <m/>
    <m/>
    <m/>
    <m/>
    <m/>
    <m/>
    <n v="0"/>
    <n v="150750"/>
    <n v="45225"/>
    <n v="105525"/>
    <n v="0"/>
    <n v="0"/>
    <n v="0"/>
  </r>
  <r>
    <n v="79"/>
    <n v="2810"/>
    <x v="0"/>
    <s v="\\dg94stoc.onema.fr\partages_$\dg94_dcuat\ECOPHYTO\ECOPHYTO 2018\CONVENTIONS\ECOPHYTO II\AXE 1 AGIR AUJOURDHUI ET FAIRE EVOLUER LES PRATIQUES\CRA DEPHY\2016\LANGUEDOC ROUSSILLON MIDI PYRENEES"/>
    <x v="2"/>
    <x v="12"/>
    <s v="CRA Languedoc-Roussillon et Midi-Pyrénées"/>
    <x v="25"/>
    <x v="0"/>
    <d v="2016-12-12T00:00:00"/>
    <s v="Augmentation de la participation de l'Onema, montant du programme d'action et de la durée du projet "/>
    <m/>
    <m/>
    <n v="12"/>
    <n v="6"/>
    <n v="18"/>
    <d v="2016-07-27T00:00:00"/>
    <d v="2016-01-01T00:00:00"/>
    <d v="2016-12-31T00:00:00"/>
    <d v="2016-06-30T00:00:00"/>
    <d v="2016-07-31T00:00:00"/>
    <d v="2018-01-26T00:00:00"/>
    <s v="V2"/>
    <m/>
    <s v="ludovic.bonnard@agriculture.gouv.fr"/>
    <m/>
    <m/>
    <m/>
    <x v="72"/>
    <x v="26"/>
    <n v="0"/>
    <x v="6"/>
    <n v="500425.005"/>
    <x v="10"/>
    <n v="500425.005"/>
    <x v="12"/>
    <m/>
    <m/>
    <m/>
    <n v="0"/>
    <m/>
    <m/>
    <m/>
    <m/>
    <m/>
    <m/>
    <m/>
    <m/>
    <m/>
    <n v="0"/>
    <n v="1000850.01"/>
    <n v="500425.005"/>
    <n v="500425.005"/>
    <n v="0"/>
    <n v="0"/>
    <n v="0"/>
  </r>
  <r>
    <n v="80"/>
    <n v="2826"/>
    <x v="0"/>
    <s v="\\dg94stoc.onema.fr\partages_$\dg94_dcuat\ECOPHYTO\ECOPHYTO 2018\CONVENTIONS\ECOPHYTO II\AXE 1 AGIR AUJOURDHUI ET FAIRE EVOLUER LES PRATIQUES\CRA DEPHY\2016\GUADELOUPE"/>
    <x v="2"/>
    <x v="12"/>
    <s v="CRA Guadeloupe "/>
    <x v="25"/>
    <x v="0"/>
    <m/>
    <m/>
    <m/>
    <m/>
    <n v="12"/>
    <n v="6"/>
    <n v="18"/>
    <d v="2016-08-10T00:00:00"/>
    <d v="2016-01-01T00:00:00"/>
    <d v="2016-12-31T00:00:00"/>
    <d v="2016-06-30T00:00:00"/>
    <d v="2016-07-31T00:00:00"/>
    <d v="2018-02-09T00:00:00"/>
    <s v="V2"/>
    <m/>
    <s v="ludovic.bonnard@agriculture.gouv.fr"/>
    <m/>
    <m/>
    <m/>
    <x v="73"/>
    <x v="25"/>
    <n v="0"/>
    <x v="6"/>
    <n v="19020"/>
    <x v="11"/>
    <n v="19020"/>
    <x v="16"/>
    <m/>
    <m/>
    <m/>
    <n v="0"/>
    <m/>
    <m/>
    <m/>
    <m/>
    <m/>
    <m/>
    <m/>
    <m/>
    <m/>
    <n v="0"/>
    <n v="38040"/>
    <n v="19020"/>
    <n v="19020"/>
    <n v="0"/>
    <n v="0"/>
    <n v="0"/>
  </r>
  <r>
    <n v="81"/>
    <s v="Marché "/>
    <x v="0"/>
    <m/>
    <x v="9"/>
    <x v="14"/>
    <s v="Prestataires"/>
    <x v="30"/>
    <x v="1"/>
    <m/>
    <m/>
    <m/>
    <m/>
    <n v="12"/>
    <n v="6"/>
    <n v="18"/>
    <m/>
    <m/>
    <s v=""/>
    <s v=""/>
    <s v=""/>
    <s v=""/>
    <s v="V2"/>
    <m/>
    <m/>
    <m/>
    <m/>
    <m/>
    <x v="74"/>
    <x v="41"/>
    <n v="240000"/>
    <x v="6"/>
    <n v="180000"/>
    <x v="15"/>
    <n v="0"/>
    <x v="24"/>
    <m/>
    <m/>
    <m/>
    <n v="0"/>
    <m/>
    <m/>
    <m/>
    <m/>
    <m/>
    <m/>
    <m/>
    <m/>
    <m/>
    <n v="0"/>
    <n v="600000"/>
    <n v="0"/>
    <n v="600000"/>
    <n v="0"/>
    <n v="0"/>
    <n v="0"/>
  </r>
  <r>
    <n v="82"/>
    <s v="Marché "/>
    <x v="0"/>
    <m/>
    <x v="9"/>
    <x v="14"/>
    <s v="ONEMA"/>
    <x v="31"/>
    <x v="1"/>
    <m/>
    <m/>
    <m/>
    <m/>
    <n v="12"/>
    <n v="6"/>
    <n v="18"/>
    <m/>
    <m/>
    <s v=""/>
    <s v=""/>
    <s v=""/>
    <s v=""/>
    <s v="V2"/>
    <m/>
    <m/>
    <m/>
    <m/>
    <m/>
    <x v="75"/>
    <x v="41"/>
    <n v="200000"/>
    <x v="6"/>
    <n v="150000"/>
    <x v="15"/>
    <n v="0"/>
    <x v="24"/>
    <m/>
    <m/>
    <m/>
    <n v="0"/>
    <m/>
    <m/>
    <m/>
    <m/>
    <m/>
    <m/>
    <m/>
    <m/>
    <m/>
    <n v="0"/>
    <n v="500000"/>
    <n v="0"/>
    <n v="500000"/>
    <n v="0"/>
    <n v="0"/>
    <n v="0"/>
  </r>
  <r>
    <n v="83"/>
    <m/>
    <x v="0"/>
    <s v="\\dg94stoc.onema.fr\partages_$\dg94_dcuat\ECOPHYTO\ECOPHYTO 2018\CONVENTIONS\ECOPHYTO II\AXE 1 AGIR AUJOURDHUI ET FAIRE EVOLUER LES PRATIQUES\CRA DEPHY\2016\GUYANE"/>
    <x v="0"/>
    <x v="0"/>
    <s v="CRA Guyane "/>
    <x v="25"/>
    <x v="2"/>
    <m/>
    <m/>
    <m/>
    <m/>
    <m/>
    <n v="6"/>
    <s v="-"/>
    <m/>
    <m/>
    <s v=""/>
    <s v=""/>
    <s v=""/>
    <s v=""/>
    <s v="V2"/>
    <m/>
    <m/>
    <m/>
    <m/>
    <m/>
    <x v="76"/>
    <x v="41"/>
    <n v="0"/>
    <x v="6"/>
    <n v="9738.75"/>
    <x v="15"/>
    <n v="0"/>
    <x v="24"/>
    <m/>
    <m/>
    <m/>
    <n v="0"/>
    <m/>
    <m/>
    <m/>
    <m/>
    <m/>
    <m/>
    <m/>
    <m/>
    <m/>
    <n v="0"/>
    <n v="19477.5"/>
    <n v="0"/>
    <n v="19477.5"/>
    <n v="0"/>
    <n v="0"/>
    <n v="0"/>
  </r>
  <r>
    <n v="84"/>
    <m/>
    <x v="0"/>
    <s v="\\dg94stoc.onema.fr\partages_$\dg94_dcuat\ECOPHYTO\ECOPHYTO 2018\CONVENTIONS\ECOPHYTO II\AXE 2  AMELIORER LES CONNAISSANCES ET LES OUTILS POUR DEMAIN ET ENCOURAGER LA RECHERCHE ET L’INNOVATION\APR CASDAR 2016 CA 19 11 2015\MIXTRESS"/>
    <x v="4"/>
    <x v="4"/>
    <s v="ANR "/>
    <x v="32"/>
    <x v="3"/>
    <m/>
    <m/>
    <m/>
    <m/>
    <n v="36"/>
    <n v="6"/>
    <n v="42"/>
    <m/>
    <m/>
    <s v=""/>
    <s v=""/>
    <s v=""/>
    <s v=""/>
    <s v="V2"/>
    <m/>
    <s v="Gerard GAUTIER-HAMON &lt;gerard.gautier-hamon@agriculture.gouv.fr&gt;; CARPENTIER Anne-Sophie - CGDD/DRI/SR3 &lt;anne-sophie.carpentier@developpement-durable.gouv.fr&gt;"/>
    <m/>
    <m/>
    <m/>
    <x v="77"/>
    <x v="41"/>
    <n v="96120"/>
    <x v="6"/>
    <n v="72090"/>
    <x v="15"/>
    <n v="0"/>
    <x v="24"/>
    <m/>
    <m/>
    <m/>
    <n v="0"/>
    <m/>
    <m/>
    <m/>
    <m/>
    <m/>
    <m/>
    <s v="Report 2017"/>
    <m/>
    <m/>
    <n v="0"/>
    <n v="240300"/>
    <n v="0"/>
    <n v="240300"/>
    <n v="0"/>
    <n v="0"/>
    <n v="0"/>
  </r>
  <r>
    <n v="85"/>
    <m/>
    <x v="1"/>
    <m/>
    <x v="2"/>
    <x v="12"/>
    <s v="CRA "/>
    <x v="33"/>
    <x v="2"/>
    <m/>
    <m/>
    <m/>
    <m/>
    <n v="12"/>
    <n v="6"/>
    <n v="18"/>
    <m/>
    <m/>
    <s v=""/>
    <s v=""/>
    <s v=""/>
    <s v=""/>
    <s v="V2"/>
    <m/>
    <m/>
    <m/>
    <m/>
    <m/>
    <x v="78"/>
    <x v="41"/>
    <n v="0"/>
    <x v="6"/>
    <n v="5443336"/>
    <x v="15"/>
    <n v="0"/>
    <x v="24"/>
    <m/>
    <m/>
    <m/>
    <n v="0"/>
    <m/>
    <m/>
    <m/>
    <m/>
    <m/>
    <m/>
    <m/>
    <m/>
    <m/>
    <n v="0"/>
    <n v="10886672"/>
    <n v="0"/>
    <n v="10886672"/>
    <n v="0"/>
    <n v="0"/>
    <n v="0"/>
  </r>
  <r>
    <n v="86"/>
    <m/>
    <x v="1"/>
    <m/>
    <x v="2"/>
    <x v="12"/>
    <s v="INRA"/>
    <x v="34"/>
    <x v="2"/>
    <m/>
    <m/>
    <m/>
    <m/>
    <n v="6"/>
    <n v="6"/>
    <n v="12"/>
    <m/>
    <m/>
    <s v=""/>
    <s v=""/>
    <s v=""/>
    <s v=""/>
    <s v="V2"/>
    <m/>
    <m/>
    <m/>
    <m/>
    <m/>
    <x v="79"/>
    <x v="41"/>
    <n v="26624"/>
    <x v="6"/>
    <n v="19968"/>
    <x v="15"/>
    <n v="0"/>
    <x v="24"/>
    <m/>
    <m/>
    <m/>
    <n v="0"/>
    <m/>
    <m/>
    <m/>
    <m/>
    <m/>
    <m/>
    <m/>
    <m/>
    <m/>
    <n v="0"/>
    <n v="66560"/>
    <n v="0"/>
    <n v="66560"/>
    <n v="0"/>
    <n v="0"/>
    <n v="0"/>
  </r>
  <r>
    <n v="87"/>
    <m/>
    <x v="1"/>
    <m/>
    <x v="2"/>
    <x v="15"/>
    <s v="CRA "/>
    <x v="35"/>
    <x v="2"/>
    <m/>
    <m/>
    <m/>
    <m/>
    <n v="12"/>
    <n v="6"/>
    <n v="18"/>
    <m/>
    <m/>
    <s v=""/>
    <s v=""/>
    <s v=""/>
    <s v=""/>
    <s v="V2"/>
    <m/>
    <m/>
    <m/>
    <m/>
    <m/>
    <x v="80"/>
    <x v="41"/>
    <n v="0"/>
    <x v="6"/>
    <n v="1770375"/>
    <x v="15"/>
    <n v="0"/>
    <x v="24"/>
    <m/>
    <m/>
    <m/>
    <n v="0"/>
    <m/>
    <m/>
    <m/>
    <m/>
    <m/>
    <m/>
    <m/>
    <m/>
    <m/>
    <n v="0"/>
    <n v="3540750"/>
    <n v="0"/>
    <n v="3540750"/>
    <n v="0"/>
    <n v="0"/>
    <n v="0"/>
  </r>
  <r>
    <n v="88"/>
    <m/>
    <x v="1"/>
    <m/>
    <x v="2"/>
    <x v="16"/>
    <s v="APCA"/>
    <x v="36"/>
    <x v="2"/>
    <m/>
    <m/>
    <m/>
    <m/>
    <n v="24"/>
    <n v="6"/>
    <n v="30"/>
    <m/>
    <m/>
    <s v=""/>
    <s v=""/>
    <s v=""/>
    <s v=""/>
    <s v="V2"/>
    <m/>
    <m/>
    <m/>
    <m/>
    <m/>
    <x v="81"/>
    <x v="41"/>
    <n v="75750"/>
    <x v="6"/>
    <n v="56812.5"/>
    <x v="15"/>
    <n v="0"/>
    <x v="24"/>
    <m/>
    <m/>
    <m/>
    <n v="0"/>
    <m/>
    <m/>
    <m/>
    <m/>
    <m/>
    <m/>
    <m/>
    <m/>
    <m/>
    <n v="0"/>
    <n v="189375"/>
    <n v="0"/>
    <n v="189375"/>
    <n v="0"/>
    <n v="0"/>
    <n v="0"/>
  </r>
  <r>
    <n v="89"/>
    <m/>
    <x v="1"/>
    <m/>
    <x v="2"/>
    <x v="16"/>
    <s v=" ACTA"/>
    <x v="37"/>
    <x v="2"/>
    <m/>
    <m/>
    <m/>
    <m/>
    <n v="12"/>
    <n v="6"/>
    <n v="18"/>
    <m/>
    <m/>
    <s v=""/>
    <s v=""/>
    <s v=""/>
    <s v=""/>
    <s v="V2"/>
    <m/>
    <m/>
    <m/>
    <m/>
    <m/>
    <x v="82"/>
    <x v="41"/>
    <n v="159900"/>
    <x v="6"/>
    <n v="119925"/>
    <x v="15"/>
    <n v="0"/>
    <x v="24"/>
    <m/>
    <m/>
    <m/>
    <n v="0"/>
    <m/>
    <m/>
    <m/>
    <m/>
    <m/>
    <m/>
    <m/>
    <m/>
    <m/>
    <n v="0"/>
    <n v="399750"/>
    <n v="0"/>
    <n v="399750"/>
    <n v="0"/>
    <n v="0"/>
    <n v="0"/>
  </r>
  <r>
    <n v="90"/>
    <m/>
    <x v="1"/>
    <m/>
    <x v="2"/>
    <x v="16"/>
    <s v="Solagro"/>
    <x v="38"/>
    <x v="2"/>
    <m/>
    <m/>
    <m/>
    <m/>
    <n v="36"/>
    <n v="6"/>
    <n v="42"/>
    <m/>
    <m/>
    <s v=""/>
    <s v=""/>
    <s v=""/>
    <s v=""/>
    <s v="V2"/>
    <m/>
    <m/>
    <m/>
    <m/>
    <m/>
    <x v="83"/>
    <x v="41"/>
    <n v="50880"/>
    <x v="6"/>
    <n v="38160"/>
    <x v="15"/>
    <n v="0"/>
    <x v="24"/>
    <m/>
    <m/>
    <m/>
    <n v="0"/>
    <m/>
    <m/>
    <m/>
    <m/>
    <m/>
    <m/>
    <m/>
    <m/>
    <m/>
    <n v="0"/>
    <n v="127200"/>
    <n v="0"/>
    <n v="127200"/>
    <n v="0"/>
    <n v="0"/>
    <n v="0"/>
  </r>
  <r>
    <n v="91"/>
    <m/>
    <x v="1"/>
    <m/>
    <x v="2"/>
    <x v="17"/>
    <s v="CRA"/>
    <x v="39"/>
    <x v="2"/>
    <m/>
    <m/>
    <m/>
    <m/>
    <n v="12"/>
    <n v="6"/>
    <n v="18"/>
    <m/>
    <m/>
    <s v=""/>
    <s v=""/>
    <s v=""/>
    <s v=""/>
    <s v="V2"/>
    <m/>
    <m/>
    <m/>
    <m/>
    <m/>
    <x v="84"/>
    <x v="41"/>
    <n v="0"/>
    <x v="6"/>
    <n v="4500000"/>
    <x v="15"/>
    <n v="0"/>
    <x v="24"/>
    <m/>
    <m/>
    <m/>
    <n v="0"/>
    <m/>
    <m/>
    <m/>
    <m/>
    <m/>
    <m/>
    <m/>
    <m/>
    <m/>
    <n v="0"/>
    <n v="9000000"/>
    <n v="0"/>
    <n v="9000000"/>
    <n v="0"/>
    <n v="0"/>
    <n v="0"/>
  </r>
  <r>
    <n v="92"/>
    <m/>
    <x v="1"/>
    <m/>
    <x v="2"/>
    <x v="13"/>
    <s v="FAM"/>
    <x v="40"/>
    <x v="2"/>
    <m/>
    <m/>
    <m/>
    <m/>
    <n v="12"/>
    <n v="6"/>
    <n v="18"/>
    <m/>
    <m/>
    <s v=""/>
    <s v=""/>
    <s v=""/>
    <s v=""/>
    <s v="V2"/>
    <m/>
    <m/>
    <m/>
    <m/>
    <m/>
    <x v="85"/>
    <x v="41"/>
    <n v="325600"/>
    <x v="6"/>
    <n v="244200"/>
    <x v="15"/>
    <n v="0"/>
    <x v="24"/>
    <m/>
    <m/>
    <m/>
    <n v="0"/>
    <m/>
    <m/>
    <m/>
    <m/>
    <m/>
    <m/>
    <m/>
    <m/>
    <m/>
    <n v="0"/>
    <n v="814000"/>
    <n v="0"/>
    <n v="814000"/>
    <n v="0"/>
    <n v="0"/>
    <n v="0"/>
  </r>
  <r>
    <n v="93"/>
    <m/>
    <x v="1"/>
    <m/>
    <x v="2"/>
    <x v="18"/>
    <s v="CEZ – Bergerie nationale"/>
    <x v="41"/>
    <x v="2"/>
    <m/>
    <m/>
    <m/>
    <m/>
    <n v="36"/>
    <n v="6"/>
    <n v="42"/>
    <m/>
    <m/>
    <s v=""/>
    <s v=""/>
    <s v=""/>
    <s v=""/>
    <s v="V2"/>
    <m/>
    <m/>
    <m/>
    <m/>
    <m/>
    <x v="86"/>
    <x v="41"/>
    <n v="72000"/>
    <x v="6"/>
    <n v="54000"/>
    <x v="15"/>
    <n v="0"/>
    <x v="24"/>
    <m/>
    <m/>
    <m/>
    <n v="0"/>
    <m/>
    <m/>
    <m/>
    <m/>
    <m/>
    <m/>
    <m/>
    <m/>
    <m/>
    <n v="0"/>
    <n v="180000"/>
    <n v="0"/>
    <n v="180000"/>
    <n v="0"/>
    <n v="0"/>
    <n v="0"/>
  </r>
  <r>
    <n v="97"/>
    <m/>
    <x v="1"/>
    <m/>
    <x v="4"/>
    <x v="19"/>
    <s v=" ACTA"/>
    <x v="42"/>
    <x v="2"/>
    <m/>
    <m/>
    <m/>
    <m/>
    <n v="12"/>
    <n v="6"/>
    <n v="18"/>
    <m/>
    <m/>
    <s v=""/>
    <s v=""/>
    <s v=""/>
    <s v=""/>
    <s v="V2"/>
    <m/>
    <m/>
    <m/>
    <m/>
    <m/>
    <x v="8"/>
    <x v="41"/>
    <n v="24000"/>
    <x v="6"/>
    <n v="18000"/>
    <x v="15"/>
    <n v="0"/>
    <x v="24"/>
    <m/>
    <m/>
    <m/>
    <n v="0"/>
    <m/>
    <m/>
    <m/>
    <m/>
    <m/>
    <m/>
    <m/>
    <m/>
    <m/>
    <n v="0"/>
    <n v="60000"/>
    <n v="0"/>
    <n v="60000"/>
    <n v="0"/>
    <n v="0"/>
    <n v="0"/>
  </r>
  <r>
    <n v="98"/>
    <m/>
    <x v="1"/>
    <m/>
    <x v="4"/>
    <x v="19"/>
    <s v="Ecole Normale Supérieure de Lyon"/>
    <x v="43"/>
    <x v="2"/>
    <m/>
    <m/>
    <m/>
    <m/>
    <n v="12"/>
    <n v="6"/>
    <n v="18"/>
    <m/>
    <m/>
    <s v=""/>
    <s v=""/>
    <s v=""/>
    <s v=""/>
    <s v="V2"/>
    <m/>
    <m/>
    <m/>
    <m/>
    <m/>
    <x v="87"/>
    <x v="41"/>
    <n v="79788.800000000003"/>
    <x v="6"/>
    <n v="59841.599999999999"/>
    <x v="15"/>
    <n v="0"/>
    <x v="24"/>
    <m/>
    <m/>
    <m/>
    <n v="0"/>
    <m/>
    <m/>
    <m/>
    <m/>
    <m/>
    <m/>
    <m/>
    <m/>
    <m/>
    <n v="0"/>
    <n v="199472"/>
    <n v="0"/>
    <n v="199472"/>
    <n v="0"/>
    <n v="0"/>
    <n v="0"/>
  </r>
  <r>
    <n v="99"/>
    <m/>
    <x v="1"/>
    <m/>
    <x v="4"/>
    <x v="19"/>
    <s v="CHU Rennes"/>
    <x v="44"/>
    <x v="2"/>
    <m/>
    <m/>
    <m/>
    <m/>
    <n v="36"/>
    <n v="6"/>
    <n v="42"/>
    <m/>
    <m/>
    <s v=""/>
    <s v=""/>
    <s v=""/>
    <s v=""/>
    <s v="V2"/>
    <m/>
    <m/>
    <m/>
    <m/>
    <m/>
    <x v="88"/>
    <x v="41"/>
    <n v="48337.600000000006"/>
    <x v="6"/>
    <n v="36253.199999999997"/>
    <x v="15"/>
    <n v="0"/>
    <x v="24"/>
    <m/>
    <m/>
    <m/>
    <n v="0"/>
    <m/>
    <m/>
    <m/>
    <m/>
    <m/>
    <m/>
    <m/>
    <m/>
    <m/>
    <n v="0"/>
    <n v="120844"/>
    <n v="0"/>
    <n v="120844"/>
    <n v="0"/>
    <n v="0"/>
    <n v="0"/>
  </r>
  <r>
    <n v="100"/>
    <m/>
    <x v="1"/>
    <m/>
    <x v="4"/>
    <x v="19"/>
    <s v="CTIFL"/>
    <x v="45"/>
    <x v="2"/>
    <m/>
    <m/>
    <m/>
    <m/>
    <n v="10"/>
    <n v="6"/>
    <n v="16"/>
    <m/>
    <m/>
    <s v=""/>
    <s v=""/>
    <s v=""/>
    <s v=""/>
    <s v="V2"/>
    <m/>
    <m/>
    <m/>
    <m/>
    <m/>
    <x v="89"/>
    <x v="41"/>
    <n v="187438.2"/>
    <x v="6"/>
    <n v="140578.65"/>
    <x v="15"/>
    <n v="0"/>
    <x v="24"/>
    <m/>
    <m/>
    <m/>
    <n v="0"/>
    <m/>
    <m/>
    <m/>
    <m/>
    <m/>
    <m/>
    <m/>
    <m/>
    <m/>
    <n v="0"/>
    <n v="468595.5"/>
    <n v="0"/>
    <n v="468595.5"/>
    <n v="0"/>
    <n v="0"/>
    <n v="0"/>
  </r>
  <r>
    <n v="101"/>
    <m/>
    <x v="1"/>
    <m/>
    <x v="4"/>
    <x v="19"/>
    <s v="ASTREDHOR"/>
    <x v="46"/>
    <x v="2"/>
    <m/>
    <m/>
    <m/>
    <m/>
    <n v="36"/>
    <n v="6"/>
    <n v="42"/>
    <m/>
    <m/>
    <s v=""/>
    <s v=""/>
    <s v=""/>
    <s v=""/>
    <s v="V2"/>
    <m/>
    <m/>
    <m/>
    <m/>
    <m/>
    <x v="90"/>
    <x v="41"/>
    <n v="195814.2"/>
    <x v="6"/>
    <n v="146860.65"/>
    <x v="15"/>
    <n v="0"/>
    <x v="24"/>
    <m/>
    <m/>
    <m/>
    <n v="0"/>
    <m/>
    <m/>
    <m/>
    <m/>
    <m/>
    <m/>
    <m/>
    <m/>
    <m/>
    <n v="0"/>
    <n v="489535.5"/>
    <n v="0"/>
    <n v="489535.5"/>
    <n v="0"/>
    <n v="0"/>
    <n v="0"/>
  </r>
  <r>
    <n v="102"/>
    <m/>
    <x v="1"/>
    <m/>
    <x v="4"/>
    <x v="19"/>
    <s v="INRA"/>
    <x v="47"/>
    <x v="2"/>
    <m/>
    <m/>
    <m/>
    <m/>
    <n v="36"/>
    <n v="6"/>
    <n v="42"/>
    <m/>
    <m/>
    <s v=""/>
    <s v=""/>
    <s v=""/>
    <s v=""/>
    <s v="V2"/>
    <m/>
    <m/>
    <m/>
    <m/>
    <m/>
    <x v="91"/>
    <x v="41"/>
    <n v="67880.800000000003"/>
    <x v="6"/>
    <n v="50910.6"/>
    <x v="15"/>
    <n v="0"/>
    <x v="24"/>
    <m/>
    <m/>
    <m/>
    <n v="0"/>
    <m/>
    <m/>
    <m/>
    <m/>
    <m/>
    <m/>
    <m/>
    <m/>
    <m/>
    <n v="0"/>
    <n v="169702"/>
    <n v="0"/>
    <n v="169702"/>
    <n v="0"/>
    <n v="0"/>
    <n v="0"/>
  </r>
  <r>
    <n v="103"/>
    <m/>
    <x v="1"/>
    <m/>
    <x v="4"/>
    <x v="19"/>
    <s v="INRA"/>
    <x v="48"/>
    <x v="2"/>
    <m/>
    <m/>
    <m/>
    <m/>
    <n v="36"/>
    <n v="6"/>
    <n v="42"/>
    <m/>
    <m/>
    <s v=""/>
    <s v=""/>
    <s v=""/>
    <s v=""/>
    <s v="V2"/>
    <m/>
    <m/>
    <m/>
    <m/>
    <m/>
    <x v="92"/>
    <x v="41"/>
    <n v="58178"/>
    <x v="6"/>
    <n v="43633.5"/>
    <x v="15"/>
    <n v="0"/>
    <x v="24"/>
    <m/>
    <m/>
    <m/>
    <n v="0"/>
    <m/>
    <m/>
    <m/>
    <m/>
    <m/>
    <m/>
    <m/>
    <m/>
    <m/>
    <n v="0"/>
    <n v="145445"/>
    <n v="0"/>
    <n v="145445"/>
    <n v="0"/>
    <n v="0"/>
    <n v="0"/>
  </r>
  <r>
    <n v="104"/>
    <m/>
    <x v="1"/>
    <m/>
    <x v="4"/>
    <x v="19"/>
    <s v="Aix-Marseille Université"/>
    <x v="49"/>
    <x v="2"/>
    <m/>
    <m/>
    <m/>
    <m/>
    <n v="36"/>
    <n v="6"/>
    <n v="42"/>
    <m/>
    <m/>
    <s v=""/>
    <s v=""/>
    <s v=""/>
    <s v=""/>
    <s v="V2"/>
    <m/>
    <m/>
    <m/>
    <m/>
    <m/>
    <x v="93"/>
    <x v="41"/>
    <n v="78294.471999999994"/>
    <x v="6"/>
    <n v="58720.853999999999"/>
    <x v="15"/>
    <n v="0"/>
    <x v="24"/>
    <m/>
    <m/>
    <m/>
    <n v="0"/>
    <m/>
    <m/>
    <m/>
    <m/>
    <m/>
    <m/>
    <m/>
    <m/>
    <m/>
    <n v="0"/>
    <n v="195736.18"/>
    <n v="0"/>
    <n v="195736.18"/>
    <n v="0"/>
    <n v="0"/>
    <n v="0"/>
  </r>
  <r>
    <n v="105"/>
    <m/>
    <x v="1"/>
    <m/>
    <x v="4"/>
    <x v="19"/>
    <s v="Institut de Chimie et Procédés pour l’Energie, l’Environnement et la Santé (ICPEES) UMR 7515 CNRS – Université de Strasbourg "/>
    <x v="50"/>
    <x v="2"/>
    <m/>
    <m/>
    <m/>
    <m/>
    <n v="36"/>
    <n v="6"/>
    <n v="42"/>
    <m/>
    <m/>
    <s v=""/>
    <s v=""/>
    <s v=""/>
    <s v=""/>
    <s v="V2"/>
    <m/>
    <m/>
    <m/>
    <m/>
    <m/>
    <x v="94"/>
    <x v="41"/>
    <n v="90920"/>
    <x v="6"/>
    <n v="68190"/>
    <x v="15"/>
    <n v="0"/>
    <x v="24"/>
    <m/>
    <m/>
    <m/>
    <n v="0"/>
    <m/>
    <m/>
    <m/>
    <m/>
    <m/>
    <m/>
    <m/>
    <m/>
    <m/>
    <n v="0"/>
    <n v="227300"/>
    <n v="0"/>
    <n v="227300"/>
    <n v="0"/>
    <n v="0"/>
    <n v="0"/>
  </r>
  <r>
    <n v="106"/>
    <m/>
    <x v="1"/>
    <m/>
    <x v="4"/>
    <x v="19"/>
    <s v="STRATOZ"/>
    <x v="51"/>
    <x v="2"/>
    <m/>
    <m/>
    <m/>
    <m/>
    <n v="36"/>
    <n v="6"/>
    <n v="42"/>
    <m/>
    <m/>
    <s v=""/>
    <s v=""/>
    <s v=""/>
    <s v=""/>
    <s v="V2"/>
    <m/>
    <m/>
    <m/>
    <m/>
    <m/>
    <x v="95"/>
    <x v="41"/>
    <n v="48000"/>
    <x v="6"/>
    <n v="36000"/>
    <x v="15"/>
    <n v="0"/>
    <x v="24"/>
    <m/>
    <m/>
    <m/>
    <n v="0"/>
    <m/>
    <m/>
    <m/>
    <m/>
    <m/>
    <m/>
    <m/>
    <m/>
    <m/>
    <n v="0"/>
    <n v="120000"/>
    <n v="0"/>
    <n v="120000"/>
    <n v="0"/>
    <n v="0"/>
    <n v="0"/>
  </r>
  <r>
    <n v="107"/>
    <m/>
    <x v="1"/>
    <m/>
    <x v="4"/>
    <x v="19"/>
    <s v="INRA"/>
    <x v="52"/>
    <x v="2"/>
    <m/>
    <m/>
    <m/>
    <m/>
    <n v="36"/>
    <n v="6"/>
    <n v="42"/>
    <m/>
    <m/>
    <s v=""/>
    <s v=""/>
    <s v=""/>
    <s v=""/>
    <s v="V2"/>
    <m/>
    <m/>
    <m/>
    <m/>
    <m/>
    <x v="96"/>
    <x v="41"/>
    <n v="6000"/>
    <x v="6"/>
    <n v="4500"/>
    <x v="15"/>
    <n v="0"/>
    <x v="24"/>
    <m/>
    <m/>
    <m/>
    <n v="0"/>
    <m/>
    <m/>
    <m/>
    <m/>
    <m/>
    <m/>
    <m/>
    <m/>
    <m/>
    <n v="0"/>
    <n v="15000"/>
    <n v="0"/>
    <n v="15000"/>
    <n v="0"/>
    <n v="0"/>
    <n v="0"/>
  </r>
  <r>
    <n v="108"/>
    <m/>
    <x v="1"/>
    <m/>
    <x v="4"/>
    <x v="19"/>
    <s v=" l’Université Blaise Pascal"/>
    <x v="53"/>
    <x v="2"/>
    <m/>
    <m/>
    <m/>
    <m/>
    <n v="36"/>
    <n v="6"/>
    <n v="42"/>
    <m/>
    <m/>
    <s v=""/>
    <s v=""/>
    <s v=""/>
    <s v=""/>
    <s v="V2"/>
    <m/>
    <m/>
    <m/>
    <m/>
    <m/>
    <x v="97"/>
    <x v="41"/>
    <n v="34938.400000000001"/>
    <x v="6"/>
    <n v="26203.8"/>
    <x v="15"/>
    <n v="0"/>
    <x v="24"/>
    <m/>
    <m/>
    <m/>
    <n v="0"/>
    <m/>
    <m/>
    <m/>
    <m/>
    <m/>
    <m/>
    <m/>
    <m/>
    <m/>
    <n v="0"/>
    <n v="87346"/>
    <n v="0"/>
    <n v="87346"/>
    <n v="0"/>
    <n v="0"/>
    <n v="0"/>
  </r>
  <r>
    <n v="109"/>
    <m/>
    <x v="1"/>
    <m/>
    <x v="4"/>
    <x v="19"/>
    <s v="INRA"/>
    <x v="54"/>
    <x v="2"/>
    <m/>
    <m/>
    <m/>
    <m/>
    <n v="32"/>
    <n v="6"/>
    <n v="38"/>
    <m/>
    <m/>
    <s v=""/>
    <s v=""/>
    <s v=""/>
    <s v=""/>
    <s v="V2"/>
    <m/>
    <m/>
    <m/>
    <m/>
    <m/>
    <x v="98"/>
    <x v="41"/>
    <n v="5971.5360000000001"/>
    <x v="6"/>
    <n v="4478.652"/>
    <x v="15"/>
    <n v="0"/>
    <x v="24"/>
    <m/>
    <m/>
    <m/>
    <n v="0"/>
    <m/>
    <m/>
    <m/>
    <m/>
    <m/>
    <m/>
    <m/>
    <m/>
    <m/>
    <n v="0"/>
    <n v="14928.84"/>
    <n v="0"/>
    <n v="14928.84"/>
    <n v="0"/>
    <n v="0"/>
    <n v="0"/>
  </r>
  <r>
    <n v="110"/>
    <m/>
    <x v="1"/>
    <m/>
    <x v="4"/>
    <x v="19"/>
    <s v="Université François Rabelais de Tours"/>
    <x v="55"/>
    <x v="2"/>
    <m/>
    <m/>
    <m/>
    <m/>
    <n v="12"/>
    <n v="6"/>
    <n v="18"/>
    <m/>
    <m/>
    <s v=""/>
    <s v=""/>
    <s v=""/>
    <s v=""/>
    <s v="V2"/>
    <m/>
    <m/>
    <m/>
    <m/>
    <m/>
    <x v="99"/>
    <x v="41"/>
    <n v="47904"/>
    <x v="6"/>
    <n v="35928"/>
    <x v="15"/>
    <n v="0"/>
    <x v="24"/>
    <m/>
    <m/>
    <m/>
    <n v="0"/>
    <m/>
    <m/>
    <m/>
    <m/>
    <m/>
    <m/>
    <m/>
    <m/>
    <m/>
    <n v="0"/>
    <n v="119760"/>
    <n v="0"/>
    <n v="119760"/>
    <n v="0"/>
    <n v="0"/>
    <n v="0"/>
  </r>
  <r>
    <n v="111"/>
    <m/>
    <x v="1"/>
    <m/>
    <x v="4"/>
    <x v="19"/>
    <s v="GRANEM"/>
    <x v="56"/>
    <x v="2"/>
    <m/>
    <m/>
    <m/>
    <m/>
    <n v="36"/>
    <n v="6"/>
    <n v="42"/>
    <m/>
    <m/>
    <s v=""/>
    <s v=""/>
    <s v=""/>
    <s v=""/>
    <s v="V2"/>
    <m/>
    <m/>
    <m/>
    <m/>
    <m/>
    <x v="100"/>
    <x v="41"/>
    <n v="6028.8480000000009"/>
    <x v="6"/>
    <n v="4521.6360000000004"/>
    <x v="15"/>
    <n v="0"/>
    <x v="24"/>
    <m/>
    <m/>
    <m/>
    <n v="0"/>
    <m/>
    <m/>
    <m/>
    <m/>
    <m/>
    <m/>
    <m/>
    <m/>
    <m/>
    <n v="0"/>
    <n v="15072.12"/>
    <n v="0"/>
    <n v="15072.12"/>
    <n v="0"/>
    <n v="0"/>
    <n v="0"/>
  </r>
  <r>
    <n v="112"/>
    <m/>
    <x v="1"/>
    <m/>
    <x v="4"/>
    <x v="19"/>
    <s v="AREXHOR Seine-Manche "/>
    <x v="57"/>
    <x v="2"/>
    <m/>
    <m/>
    <m/>
    <m/>
    <n v="12"/>
    <n v="6"/>
    <n v="18"/>
    <m/>
    <m/>
    <s v=""/>
    <s v=""/>
    <s v=""/>
    <s v=""/>
    <s v="V2"/>
    <m/>
    <m/>
    <m/>
    <m/>
    <m/>
    <x v="101"/>
    <x v="41"/>
    <n v="58153.200000000004"/>
    <x v="6"/>
    <n v="43614.9"/>
    <x v="15"/>
    <n v="0"/>
    <x v="24"/>
    <m/>
    <m/>
    <m/>
    <n v="0"/>
    <m/>
    <m/>
    <m/>
    <m/>
    <m/>
    <m/>
    <m/>
    <m/>
    <m/>
    <n v="0"/>
    <n v="145383"/>
    <n v="0"/>
    <n v="145383"/>
    <n v="0"/>
    <n v="0"/>
    <n v="0"/>
  </r>
  <r>
    <n v="113"/>
    <m/>
    <x v="1"/>
    <m/>
    <x v="4"/>
    <x v="19"/>
    <s v="ANR"/>
    <x v="58"/>
    <x v="2"/>
    <m/>
    <m/>
    <m/>
    <m/>
    <n v="36"/>
    <n v="6"/>
    <n v="42"/>
    <m/>
    <m/>
    <s v=""/>
    <s v=""/>
    <s v=""/>
    <s v=""/>
    <s v="V2"/>
    <m/>
    <m/>
    <m/>
    <m/>
    <m/>
    <x v="102"/>
    <x v="41"/>
    <n v="118200"/>
    <x v="6"/>
    <n v="88650"/>
    <x v="15"/>
    <n v="0"/>
    <x v="24"/>
    <m/>
    <m/>
    <m/>
    <n v="0"/>
    <m/>
    <m/>
    <m/>
    <m/>
    <m/>
    <m/>
    <m/>
    <m/>
    <m/>
    <n v="0"/>
    <n v="295500"/>
    <n v="0"/>
    <n v="295500"/>
    <n v="0"/>
    <n v="0"/>
    <n v="0"/>
  </r>
  <r>
    <n v="114"/>
    <m/>
    <x v="1"/>
    <m/>
    <x v="4"/>
    <x v="19"/>
    <s v="ANR"/>
    <x v="59"/>
    <x v="2"/>
    <m/>
    <m/>
    <m/>
    <m/>
    <n v="12"/>
    <n v="6"/>
    <n v="18"/>
    <m/>
    <m/>
    <s v=""/>
    <s v=""/>
    <s v=""/>
    <s v=""/>
    <s v="V2"/>
    <m/>
    <m/>
    <m/>
    <m/>
    <m/>
    <x v="103"/>
    <x v="41"/>
    <n v="73000"/>
    <x v="6"/>
    <n v="54750"/>
    <x v="15"/>
    <n v="0"/>
    <x v="24"/>
    <m/>
    <m/>
    <m/>
    <n v="0"/>
    <m/>
    <m/>
    <m/>
    <m/>
    <m/>
    <m/>
    <m/>
    <m/>
    <m/>
    <n v="0"/>
    <n v="182500"/>
    <n v="0"/>
    <n v="182500"/>
    <n v="0"/>
    <n v="0"/>
    <n v="0"/>
  </r>
  <r>
    <n v="115"/>
    <m/>
    <x v="1"/>
    <m/>
    <x v="4"/>
    <x v="19"/>
    <s v="ANR"/>
    <x v="60"/>
    <x v="2"/>
    <m/>
    <m/>
    <m/>
    <m/>
    <n v="36"/>
    <n v="6"/>
    <n v="42"/>
    <m/>
    <m/>
    <s v=""/>
    <s v=""/>
    <s v=""/>
    <s v=""/>
    <s v="V2"/>
    <m/>
    <m/>
    <m/>
    <m/>
    <m/>
    <x v="104"/>
    <x v="41"/>
    <n v="99200"/>
    <x v="6"/>
    <n v="74400"/>
    <x v="15"/>
    <n v="0"/>
    <x v="24"/>
    <m/>
    <m/>
    <m/>
    <n v="0"/>
    <m/>
    <m/>
    <m/>
    <m/>
    <m/>
    <m/>
    <m/>
    <m/>
    <m/>
    <n v="0"/>
    <n v="248000"/>
    <n v="0"/>
    <n v="248000"/>
    <n v="0"/>
    <n v="0"/>
    <n v="0"/>
  </r>
  <r>
    <n v="116"/>
    <m/>
    <x v="1"/>
    <m/>
    <x v="3"/>
    <x v="20"/>
    <s v="CRA"/>
    <x v="61"/>
    <x v="2"/>
    <m/>
    <m/>
    <m/>
    <m/>
    <n v="36"/>
    <n v="6"/>
    <n v="42"/>
    <m/>
    <m/>
    <s v=""/>
    <s v=""/>
    <s v=""/>
    <s v=""/>
    <s v="V2"/>
    <m/>
    <m/>
    <m/>
    <m/>
    <m/>
    <x v="105"/>
    <x v="41"/>
    <n v="0"/>
    <x v="6"/>
    <n v="500000"/>
    <x v="15"/>
    <n v="0"/>
    <x v="24"/>
    <m/>
    <m/>
    <m/>
    <n v="0"/>
    <m/>
    <m/>
    <m/>
    <m/>
    <m/>
    <m/>
    <m/>
    <m/>
    <m/>
    <n v="0"/>
    <n v="1000000"/>
    <n v="0"/>
    <n v="1000000"/>
    <n v="0"/>
    <n v="0"/>
    <n v="0"/>
  </r>
  <r>
    <n v="117"/>
    <m/>
    <x v="1"/>
    <m/>
    <x v="3"/>
    <x v="21"/>
    <s v="DGPE"/>
    <x v="62"/>
    <x v="2"/>
    <m/>
    <m/>
    <m/>
    <m/>
    <n v="36"/>
    <n v="6"/>
    <n v="42"/>
    <m/>
    <m/>
    <s v=""/>
    <s v=""/>
    <s v=""/>
    <s v=""/>
    <s v="V2"/>
    <m/>
    <m/>
    <m/>
    <m/>
    <m/>
    <x v="106"/>
    <x v="41"/>
    <n v="76000"/>
    <x v="6"/>
    <n v="57000"/>
    <x v="15"/>
    <n v="0"/>
    <x v="24"/>
    <m/>
    <m/>
    <m/>
    <n v="0"/>
    <m/>
    <m/>
    <m/>
    <m/>
    <m/>
    <m/>
    <m/>
    <m/>
    <m/>
    <n v="0"/>
    <n v="190000"/>
    <n v="0"/>
    <n v="190000"/>
    <n v="0"/>
    <n v="0"/>
    <n v="0"/>
  </r>
  <r>
    <n v="118"/>
    <m/>
    <x v="1"/>
    <m/>
    <x v="3"/>
    <x v="21"/>
    <s v="SSP"/>
    <x v="63"/>
    <x v="2"/>
    <m/>
    <m/>
    <m/>
    <m/>
    <n v="36"/>
    <n v="6"/>
    <n v="42"/>
    <m/>
    <m/>
    <s v=""/>
    <s v=""/>
    <s v=""/>
    <s v=""/>
    <s v="V2"/>
    <m/>
    <m/>
    <m/>
    <m/>
    <m/>
    <x v="107"/>
    <x v="41"/>
    <n v="269301.60000000003"/>
    <x v="6"/>
    <n v="201976.19999999998"/>
    <x v="15"/>
    <n v="0"/>
    <x v="24"/>
    <m/>
    <m/>
    <m/>
    <n v="0"/>
    <m/>
    <m/>
    <m/>
    <m/>
    <m/>
    <m/>
    <m/>
    <m/>
    <m/>
    <n v="0"/>
    <n v="673254"/>
    <n v="0"/>
    <n v="673254"/>
    <n v="0"/>
    <n v="0"/>
    <n v="0"/>
  </r>
  <r>
    <n v="119"/>
    <m/>
    <x v="1"/>
    <m/>
    <x v="3"/>
    <x v="21"/>
    <s v="SSP"/>
    <x v="64"/>
    <x v="2"/>
    <m/>
    <m/>
    <m/>
    <m/>
    <n v="12"/>
    <n v="6"/>
    <n v="18"/>
    <m/>
    <m/>
    <s v=""/>
    <s v=""/>
    <s v=""/>
    <s v=""/>
    <s v="V2"/>
    <m/>
    <m/>
    <m/>
    <m/>
    <m/>
    <x v="108"/>
    <x v="41"/>
    <n v="154868"/>
    <x v="6"/>
    <n v="116151"/>
    <x v="15"/>
    <n v="0"/>
    <x v="24"/>
    <m/>
    <m/>
    <m/>
    <n v="0"/>
    <m/>
    <m/>
    <m/>
    <m/>
    <m/>
    <m/>
    <m/>
    <m/>
    <m/>
    <n v="0"/>
    <n v="387170"/>
    <n v="0"/>
    <n v="387170"/>
    <n v="0"/>
    <n v="0"/>
    <n v="0"/>
  </r>
  <r>
    <n v="120"/>
    <m/>
    <x v="1"/>
    <m/>
    <x v="3"/>
    <x v="21"/>
    <s v="INRA"/>
    <x v="65"/>
    <x v="2"/>
    <m/>
    <m/>
    <m/>
    <m/>
    <n v="36"/>
    <n v="6"/>
    <n v="42"/>
    <m/>
    <m/>
    <s v=""/>
    <s v=""/>
    <s v=""/>
    <s v=""/>
    <s v="V2"/>
    <m/>
    <m/>
    <m/>
    <m/>
    <m/>
    <x v="109"/>
    <x v="41"/>
    <n v="54000"/>
    <x v="6"/>
    <n v="40500"/>
    <x v="15"/>
    <n v="0"/>
    <x v="24"/>
    <m/>
    <m/>
    <m/>
    <n v="0"/>
    <m/>
    <m/>
    <m/>
    <m/>
    <m/>
    <m/>
    <m/>
    <m/>
    <m/>
    <n v="0"/>
    <n v="135000"/>
    <n v="0"/>
    <n v="135000"/>
    <n v="0"/>
    <n v="0"/>
    <n v="0"/>
  </r>
  <r>
    <n v="121"/>
    <m/>
    <x v="1"/>
    <m/>
    <x v="3"/>
    <x v="3"/>
    <s v="Négoce Expansion"/>
    <x v="66"/>
    <x v="2"/>
    <m/>
    <m/>
    <m/>
    <m/>
    <n v="24"/>
    <n v="6"/>
    <n v="30"/>
    <m/>
    <m/>
    <s v=""/>
    <s v=""/>
    <s v=""/>
    <s v=""/>
    <s v="V2"/>
    <m/>
    <m/>
    <m/>
    <m/>
    <m/>
    <x v="5"/>
    <x v="41"/>
    <n v="12000"/>
    <x v="6"/>
    <n v="9000"/>
    <x v="15"/>
    <n v="0"/>
    <x v="24"/>
    <m/>
    <m/>
    <m/>
    <n v="0"/>
    <m/>
    <m/>
    <m/>
    <m/>
    <m/>
    <m/>
    <m/>
    <m/>
    <m/>
    <n v="0"/>
    <n v="30000"/>
    <n v="0"/>
    <n v="30000"/>
    <n v="0"/>
    <n v="0"/>
    <n v="0"/>
  </r>
  <r>
    <n v="122"/>
    <m/>
    <x v="1"/>
    <m/>
    <x v="1"/>
    <x v="1"/>
    <s v="ONEMA"/>
    <x v="67"/>
    <x v="2"/>
    <m/>
    <m/>
    <m/>
    <m/>
    <n v="14"/>
    <n v="6"/>
    <n v="20"/>
    <m/>
    <m/>
    <s v=""/>
    <s v=""/>
    <s v=""/>
    <s v=""/>
    <s v="V2"/>
    <m/>
    <m/>
    <m/>
    <m/>
    <m/>
    <x v="110"/>
    <x v="41"/>
    <n v="260000"/>
    <x v="6"/>
    <n v="195000"/>
    <x v="15"/>
    <n v="0"/>
    <x v="24"/>
    <m/>
    <m/>
    <m/>
    <n v="0"/>
    <m/>
    <m/>
    <m/>
    <m/>
    <m/>
    <m/>
    <m/>
    <m/>
    <m/>
    <n v="0"/>
    <n v="650000"/>
    <n v="0"/>
    <n v="650000"/>
    <n v="0"/>
    <n v="0"/>
    <n v="0"/>
  </r>
  <r>
    <n v="123"/>
    <m/>
    <x v="1"/>
    <m/>
    <x v="1"/>
    <x v="1"/>
    <s v="Association Jardinot"/>
    <x v="68"/>
    <x v="2"/>
    <m/>
    <m/>
    <m/>
    <m/>
    <m/>
    <n v="6"/>
    <s v="-"/>
    <m/>
    <m/>
    <s v=""/>
    <s v=""/>
    <s v=""/>
    <s v=""/>
    <s v="V2"/>
    <m/>
    <m/>
    <m/>
    <m/>
    <m/>
    <x v="111"/>
    <x v="41"/>
    <n v="19200"/>
    <x v="6"/>
    <n v="14400"/>
    <x v="15"/>
    <n v="0"/>
    <x v="24"/>
    <m/>
    <m/>
    <m/>
    <n v="0"/>
    <m/>
    <m/>
    <m/>
    <m/>
    <m/>
    <m/>
    <m/>
    <m/>
    <m/>
    <n v="0"/>
    <n v="48000"/>
    <n v="0"/>
    <n v="48000"/>
    <n v="0"/>
    <n v="0"/>
    <n v="0"/>
  </r>
  <r>
    <n v="124"/>
    <m/>
    <x v="1"/>
    <m/>
    <x v="1"/>
    <x v="1"/>
    <s v="Association Plante &amp; Cité"/>
    <x v="69"/>
    <x v="2"/>
    <m/>
    <m/>
    <m/>
    <m/>
    <n v="12"/>
    <n v="6"/>
    <n v="18"/>
    <m/>
    <m/>
    <s v=""/>
    <s v=""/>
    <s v=""/>
    <s v=""/>
    <s v="V2"/>
    <m/>
    <m/>
    <m/>
    <m/>
    <m/>
    <x v="112"/>
    <x v="41"/>
    <n v="99674.8"/>
    <x v="6"/>
    <n v="74756.099999999991"/>
    <x v="15"/>
    <n v="0"/>
    <x v="24"/>
    <m/>
    <m/>
    <m/>
    <n v="0"/>
    <m/>
    <m/>
    <m/>
    <m/>
    <m/>
    <m/>
    <m/>
    <m/>
    <m/>
    <n v="0"/>
    <n v="249187"/>
    <n v="0"/>
    <n v="249187"/>
    <n v="0"/>
    <n v="0"/>
    <n v="0"/>
  </r>
  <r>
    <n v="125"/>
    <m/>
    <x v="1"/>
    <m/>
    <x v="1"/>
    <x v="1"/>
    <s v="SNHF"/>
    <x v="70"/>
    <x v="2"/>
    <m/>
    <m/>
    <m/>
    <m/>
    <n v="12"/>
    <n v="6"/>
    <n v="18"/>
    <m/>
    <m/>
    <s v=""/>
    <s v=""/>
    <s v=""/>
    <s v=""/>
    <s v="V2"/>
    <m/>
    <m/>
    <m/>
    <m/>
    <m/>
    <x v="113"/>
    <x v="41"/>
    <n v="54900"/>
    <x v="6"/>
    <n v="41175"/>
    <x v="15"/>
    <n v="0"/>
    <x v="24"/>
    <m/>
    <m/>
    <m/>
    <n v="0"/>
    <m/>
    <m/>
    <m/>
    <m/>
    <m/>
    <m/>
    <m/>
    <m/>
    <m/>
    <n v="0"/>
    <n v="137250"/>
    <n v="0"/>
    <n v="137250"/>
    <n v="0"/>
    <n v="0"/>
    <n v="0"/>
  </r>
  <r>
    <n v="126"/>
    <m/>
    <x v="1"/>
    <m/>
    <x v="7"/>
    <x v="8"/>
    <s v="ODEADOM"/>
    <x v="71"/>
    <x v="2"/>
    <m/>
    <m/>
    <m/>
    <m/>
    <n v="12"/>
    <n v="6"/>
    <n v="18"/>
    <m/>
    <m/>
    <s v=""/>
    <s v=""/>
    <s v=""/>
    <s v=""/>
    <s v="V2"/>
    <m/>
    <m/>
    <m/>
    <m/>
    <m/>
    <x v="114"/>
    <x v="41"/>
    <n v="36000"/>
    <x v="6"/>
    <n v="27000"/>
    <x v="15"/>
    <n v="0"/>
    <x v="24"/>
    <m/>
    <m/>
    <m/>
    <n v="0"/>
    <m/>
    <m/>
    <m/>
    <m/>
    <m/>
    <m/>
    <m/>
    <m/>
    <m/>
    <n v="0"/>
    <n v="90000"/>
    <n v="0"/>
    <n v="90000"/>
    <n v="0"/>
    <n v="0"/>
    <n v="0"/>
  </r>
  <r>
    <n v="127"/>
    <m/>
    <x v="1"/>
    <m/>
    <x v="6"/>
    <x v="7"/>
    <s v="FAM"/>
    <x v="21"/>
    <x v="2"/>
    <m/>
    <m/>
    <m/>
    <m/>
    <n v="12"/>
    <n v="6"/>
    <n v="18"/>
    <m/>
    <m/>
    <s v=""/>
    <s v=""/>
    <s v=""/>
    <s v=""/>
    <s v="V2"/>
    <m/>
    <m/>
    <m/>
    <m/>
    <m/>
    <x v="34"/>
    <x v="41"/>
    <n v="400000"/>
    <x v="6"/>
    <n v="300000"/>
    <x v="15"/>
    <n v="0"/>
    <x v="24"/>
    <m/>
    <m/>
    <m/>
    <n v="0"/>
    <m/>
    <m/>
    <m/>
    <m/>
    <m/>
    <m/>
    <m/>
    <m/>
    <m/>
    <n v="0"/>
    <n v="1000000"/>
    <n v="0"/>
    <n v="1000000"/>
    <n v="0"/>
    <n v="0"/>
    <n v="0"/>
  </r>
  <r>
    <n v="128"/>
    <m/>
    <x v="1"/>
    <m/>
    <x v="6"/>
    <x v="7"/>
    <s v="CTIFL"/>
    <x v="72"/>
    <x v="2"/>
    <m/>
    <m/>
    <m/>
    <m/>
    <n v="12"/>
    <n v="6"/>
    <n v="18"/>
    <m/>
    <m/>
    <s v=""/>
    <s v=""/>
    <s v=""/>
    <s v=""/>
    <s v="V2"/>
    <m/>
    <m/>
    <m/>
    <m/>
    <m/>
    <x v="19"/>
    <x v="41"/>
    <n v="21600"/>
    <x v="6"/>
    <n v="16200"/>
    <x v="15"/>
    <n v="0"/>
    <x v="24"/>
    <m/>
    <m/>
    <m/>
    <n v="0"/>
    <m/>
    <m/>
    <m/>
    <m/>
    <m/>
    <m/>
    <m/>
    <m/>
    <m/>
    <n v="0"/>
    <n v="54000"/>
    <n v="0"/>
    <n v="54000"/>
    <n v="0"/>
    <n v="0"/>
    <n v="0"/>
  </r>
  <r>
    <n v="129"/>
    <m/>
    <x v="1"/>
    <m/>
    <x v="6"/>
    <x v="22"/>
    <s v="CRA et APCA"/>
    <x v="73"/>
    <x v="2"/>
    <m/>
    <m/>
    <m/>
    <m/>
    <n v="12"/>
    <n v="6"/>
    <n v="18"/>
    <m/>
    <m/>
    <s v=""/>
    <s v=""/>
    <s v=""/>
    <s v=""/>
    <s v="V2"/>
    <m/>
    <m/>
    <m/>
    <m/>
    <m/>
    <x v="115"/>
    <x v="41"/>
    <n v="0"/>
    <x v="6"/>
    <n v="1269989.5"/>
    <x v="15"/>
    <n v="0"/>
    <x v="24"/>
    <m/>
    <m/>
    <m/>
    <n v="0"/>
    <m/>
    <m/>
    <m/>
    <m/>
    <m/>
    <m/>
    <m/>
    <m/>
    <m/>
    <n v="0"/>
    <n v="2539979"/>
    <n v="0"/>
    <n v="2539979"/>
    <n v="0"/>
    <n v="0"/>
    <n v="0"/>
  </r>
  <r>
    <n v="130"/>
    <m/>
    <x v="1"/>
    <m/>
    <x v="6"/>
    <x v="23"/>
    <s v="AEAP"/>
    <x v="74"/>
    <x v="2"/>
    <m/>
    <m/>
    <m/>
    <m/>
    <n v="12"/>
    <n v="6"/>
    <n v="18"/>
    <m/>
    <m/>
    <s v=""/>
    <s v=""/>
    <s v=""/>
    <s v=""/>
    <s v="V2"/>
    <m/>
    <m/>
    <m/>
    <m/>
    <m/>
    <x v="116"/>
    <x v="41"/>
    <n v="180400"/>
    <x v="6"/>
    <n v="135300"/>
    <x v="15"/>
    <n v="0"/>
    <x v="24"/>
    <m/>
    <m/>
    <m/>
    <n v="0"/>
    <m/>
    <m/>
    <m/>
    <m/>
    <m/>
    <m/>
    <m/>
    <m/>
    <m/>
    <n v="0"/>
    <n v="451000"/>
    <n v="0"/>
    <n v="451000"/>
    <n v="0"/>
    <n v="0"/>
    <n v="0"/>
  </r>
  <r>
    <n v="131"/>
    <m/>
    <x v="1"/>
    <m/>
    <x v="6"/>
    <x v="23"/>
    <s v="ONEMA"/>
    <x v="75"/>
    <x v="2"/>
    <m/>
    <m/>
    <m/>
    <m/>
    <n v="12"/>
    <n v="6"/>
    <n v="18"/>
    <m/>
    <m/>
    <s v=""/>
    <s v=""/>
    <s v=""/>
    <s v=""/>
    <s v="V2"/>
    <m/>
    <m/>
    <m/>
    <m/>
    <m/>
    <x v="117"/>
    <x v="41"/>
    <n v="219600"/>
    <x v="6"/>
    <n v="164700"/>
    <x v="15"/>
    <n v="0"/>
    <x v="24"/>
    <m/>
    <m/>
    <m/>
    <n v="0"/>
    <m/>
    <m/>
    <m/>
    <m/>
    <m/>
    <m/>
    <m/>
    <m/>
    <m/>
    <n v="0"/>
    <n v="549000"/>
    <n v="0"/>
    <n v="549000"/>
    <n v="0"/>
    <n v="0"/>
    <n v="0"/>
  </r>
  <r>
    <n v="132"/>
    <n v="2834"/>
    <x v="2"/>
    <s v="\\dg94stoc.onema.fr\partages_$\dg94_dcuat\ECOPHYTO\ECOPHYTO 2018\CONVENTIONS\ECOPHYTO II\AXE 5  POLITIQUES PUBLIQUES, TERRITOIRES ET FILIERES\ODEADOM\2016\2834 complément programme experimentation"/>
    <x v="7"/>
    <x v="8"/>
    <s v="ODEADOM"/>
    <x v="76"/>
    <x v="0"/>
    <m/>
    <m/>
    <m/>
    <m/>
    <n v="9"/>
    <n v="6"/>
    <n v="15"/>
    <d v="2016-08-30T00:00:00"/>
    <d v="2016-01-01T00:00:00"/>
    <d v="2016-09-30T00:00:00"/>
    <d v="2016-03-30T00:00:00"/>
    <d v="2016-05-31T00:00:00"/>
    <d v="2017-11-29T00:00:00"/>
    <s v="V2"/>
    <m/>
    <s v="MOM/DGOM/SDPP"/>
    <m/>
    <m/>
    <m/>
    <x v="118"/>
    <x v="42"/>
    <n v="44870.400000000001"/>
    <x v="4"/>
    <n v="33652.799999999996"/>
    <x v="8"/>
    <n v="33652.799999999996"/>
    <x v="18"/>
    <m/>
    <m/>
    <m/>
    <n v="0"/>
    <m/>
    <m/>
    <m/>
    <m/>
    <m/>
    <m/>
    <m/>
    <m/>
    <m/>
    <n v="0"/>
    <n v="112176"/>
    <n v="33652.799999999996"/>
    <n v="78523.200000000012"/>
    <n v="0"/>
    <n v="0"/>
    <n v="0"/>
  </r>
  <r>
    <n v="133"/>
    <n v="2843"/>
    <x v="2"/>
    <s v="\\dg94stoc.onema.fr\partages_$\dg94_dcuat\ECOPHYTO\ECOPHYTO 2018\CONVENTIONS\ECOPHYTO II\AXE 2  AMELIORER LES CONNAISSANCES ET LES OUTILS POUR DEMAIN ET ENCOURAGER LA RECHERCHE ET L’INNOVATION\AGRO EDI EUROPE"/>
    <x v="4"/>
    <x v="4"/>
    <s v="AGRO EDI EUROPE"/>
    <x v="77"/>
    <x v="0"/>
    <m/>
    <m/>
    <m/>
    <m/>
    <n v="12"/>
    <n v="6"/>
    <n v="18"/>
    <d v="2016-09-14T00:00:00"/>
    <d v="2016-09-14T00:00:00"/>
    <d v="2017-08-31T00:00:00"/>
    <d v="2017-02-28T00:00:00"/>
    <d v="2017-03-31T00:00:00"/>
    <d v="2018-03-13T00:00:00"/>
    <s v="V2"/>
    <m/>
    <m/>
    <m/>
    <m/>
    <m/>
    <x v="119"/>
    <x v="34"/>
    <n v="50736"/>
    <x v="2"/>
    <n v="38052"/>
    <x v="4"/>
    <n v="38052"/>
    <x v="19"/>
    <m/>
    <m/>
    <m/>
    <n v="0"/>
    <m/>
    <m/>
    <m/>
    <m/>
    <m/>
    <m/>
    <m/>
    <m/>
    <m/>
    <n v="0"/>
    <n v="126840"/>
    <n v="38052"/>
    <n v="88788"/>
    <n v="0"/>
    <n v="0"/>
    <n v="0"/>
  </r>
  <r>
    <n v="134"/>
    <n v="2845"/>
    <x v="2"/>
    <s v="\\dg94stoc.onema.fr\partages_$\dg94_dcuat\ECOPHYTO\ECOPHYTO 2018\CONVENTIONS\ECOPHYTO II\AXE 2  AMELIORER LES CONNAISSANCES ET LES OUTILS POUR DEMAIN ET ENCOURAGER LA RECHERCHE ET L’INNOVATION\ACTA\2016\Appui à l'animation"/>
    <x v="4"/>
    <x v="4"/>
    <s v="ACTA "/>
    <x v="78"/>
    <x v="0"/>
    <m/>
    <m/>
    <m/>
    <m/>
    <n v="12"/>
    <n v="6"/>
    <n v="18"/>
    <d v="2016-09-21T00:00:00"/>
    <d v="2016-06-17T00:00:00"/>
    <d v="2017-05-31T00:00:00"/>
    <d v="2016-11-30T00:00:00"/>
    <d v="2016-12-31T00:00:00"/>
    <d v="2018-03-20T00:00:00"/>
    <s v="V2"/>
    <m/>
    <s v="vincent.busson@agriculture.gouv.fr; yveline.guegan@agriculture.gouv.fr"/>
    <m/>
    <m/>
    <m/>
    <x v="120"/>
    <x v="35"/>
    <n v="27000"/>
    <x v="2"/>
    <n v="20250"/>
    <x v="4"/>
    <n v="20250"/>
    <x v="20"/>
    <m/>
    <m/>
    <m/>
    <n v="0"/>
    <m/>
    <m/>
    <m/>
    <m/>
    <m/>
    <m/>
    <m/>
    <m/>
    <m/>
    <n v="0"/>
    <n v="67500"/>
    <n v="20250"/>
    <n v="47250"/>
    <n v="0"/>
    <n v="0"/>
    <n v="0"/>
  </r>
  <r>
    <n v="135"/>
    <n v="2848"/>
    <x v="2"/>
    <s v="\\dg94stoc.onema.fr\partages_$\dg94_dcuat\ECOPHYTO\ECOPHYTO 2018\CONVENTIONS\ECOPHYTO II\AXE 1 AGIR AUJOURDHUI ET FAIRE EVOLUER LES PRATIQUES\FAM\2016\CERTIFICAT INDIVIDUEL Mayotte"/>
    <x v="2"/>
    <x v="24"/>
    <s v="FAM "/>
    <x v="79"/>
    <x v="0"/>
    <m/>
    <m/>
    <m/>
    <m/>
    <n v="12"/>
    <n v="6"/>
    <n v="18"/>
    <d v="2016-09-21T00:00:00"/>
    <d v="2016-09-21T00:00:00"/>
    <d v="2017-08-31T00:00:00"/>
    <d v="2017-02-28T00:00:00"/>
    <d v="2017-03-31T00:00:00"/>
    <d v="2018-03-20T00:00:00"/>
    <s v="V2"/>
    <m/>
    <s v="MAAF/DGER/SDPOFE"/>
    <m/>
    <m/>
    <m/>
    <x v="121"/>
    <x v="35"/>
    <n v="8400"/>
    <x v="2"/>
    <n v="6300"/>
    <x v="4"/>
    <n v="6300"/>
    <x v="20"/>
    <m/>
    <m/>
    <m/>
    <n v="0"/>
    <m/>
    <m/>
    <m/>
    <m/>
    <m/>
    <m/>
    <m/>
    <m/>
    <m/>
    <n v="0"/>
    <n v="21000"/>
    <n v="6300"/>
    <n v="14700"/>
    <n v="0"/>
    <n v="0"/>
    <n v="0"/>
  </r>
  <r>
    <n v="136"/>
    <n v="2855"/>
    <x v="2"/>
    <s v="\\dg94stoc.onema.fr\partages_$\dg94_dcuat\ECOPHYTO\ECOPHYTO 2018\CONVENTIONS\ECOPHYTO II\AXE 2  AMELIORER LES CONNAISSANCES ET LES OUTILS POUR DEMAIN ET ENCOURAGER LA RECHERCHE ET L’INNOVATION\FRB\2016"/>
    <x v="4"/>
    <x v="4"/>
    <s v="FRB"/>
    <x v="78"/>
    <x v="0"/>
    <m/>
    <m/>
    <m/>
    <m/>
    <n v="12"/>
    <n v="6"/>
    <n v="18"/>
    <d v="2016-09-30T00:00:00"/>
    <d v="2016-06-17T00:00:00"/>
    <d v="2017-05-31T00:00:00"/>
    <d v="2016-11-30T00:00:00"/>
    <d v="2016-12-31T00:00:00"/>
    <d v="2018-03-29T00:00:00"/>
    <s v="V2"/>
    <m/>
    <s v="MAAF/DGER et MEDDE/ DRI "/>
    <m/>
    <m/>
    <m/>
    <x v="120"/>
    <x v="36"/>
    <n v="27000"/>
    <x v="2"/>
    <n v="20250"/>
    <x v="4"/>
    <n v="20250"/>
    <x v="22"/>
    <m/>
    <m/>
    <m/>
    <n v="0"/>
    <m/>
    <m/>
    <m/>
    <m/>
    <m/>
    <m/>
    <m/>
    <m/>
    <m/>
    <n v="0"/>
    <n v="67500"/>
    <n v="20250"/>
    <n v="47250"/>
    <n v="0"/>
    <n v="0"/>
    <n v="0"/>
  </r>
  <r>
    <n v="137"/>
    <n v="2862"/>
    <x v="2"/>
    <s v="\\dg94stoc.onema.fr\partages_$\dg94_dcuat\ECOPHYTO\ECOPHYTO 2018\CONVENTIONS\ECOPHYTO II\AXE 2  AMELIORER LES CONNAISSANCES ET LES OUTILS POUR DEMAIN ET ENCOURAGER LA RECHERCHE ET L’INNOVATION\VEGENOV"/>
    <x v="4"/>
    <x v="4"/>
    <s v="Vegenov"/>
    <x v="80"/>
    <x v="0"/>
    <m/>
    <m/>
    <m/>
    <m/>
    <n v="30"/>
    <n v="6"/>
    <n v="36"/>
    <d v="2016-10-10T00:00:00"/>
    <d v="2016-10-10T00:00:00"/>
    <d v="2019-03-31T00:00:00"/>
    <d v="2018-09-30T00:00:00"/>
    <d v="2018-01-31T00:00:00"/>
    <d v="2019-10-09T00:00:00"/>
    <s v="V2"/>
    <m/>
    <m/>
    <m/>
    <m/>
    <m/>
    <x v="122"/>
    <x v="43"/>
    <n v="7380"/>
    <x v="12"/>
    <n v="5535"/>
    <x v="6"/>
    <n v="5535"/>
    <x v="26"/>
    <m/>
    <m/>
    <m/>
    <n v="0"/>
    <m/>
    <m/>
    <m/>
    <m/>
    <m/>
    <m/>
    <m/>
    <m/>
    <m/>
    <n v="0"/>
    <n v="18450"/>
    <n v="5535"/>
    <n v="12915"/>
    <n v="0"/>
    <n v="0"/>
    <n v="0"/>
  </r>
  <r>
    <n v="138"/>
    <n v="2865"/>
    <x v="2"/>
    <s v="\\dg94stoc.onema.fr\partages_$\dg94_dcuat\ECOPHYTO\ECOPHYTO 2018\CONVENTIONS\ECOPHYTO II\AXE 2  AMELIORER LES CONNAISSANCES ET LES OUTILS POUR DEMAIN ET ENCOURAGER LA RECHERCHE ET L’INNOVATION\INRA\2016\2865 IPMBlight"/>
    <x v="4"/>
    <x v="4"/>
    <s v="INRA "/>
    <x v="81"/>
    <x v="0"/>
    <m/>
    <m/>
    <m/>
    <m/>
    <n v="36"/>
    <n v="6"/>
    <n v="42"/>
    <d v="2016-10-14T00:00:00"/>
    <d v="2016-10-14T00:00:00"/>
    <d v="2019-09-30T00:00:00"/>
    <d v="2019-03-30T00:00:00"/>
    <d v="2018-04-30T00:00:00"/>
    <d v="2020-04-13T00:00:00"/>
    <s v="V2"/>
    <m/>
    <s v="Gerard GAUTIER-HAMON &lt;gerard.gautier-hamon@agriculture.gouv.fr&gt;"/>
    <m/>
    <m/>
    <m/>
    <x v="123"/>
    <x v="44"/>
    <n v="79784"/>
    <x v="13"/>
    <n v="59838"/>
    <x v="16"/>
    <n v="59838"/>
    <x v="22"/>
    <m/>
    <m/>
    <m/>
    <n v="0"/>
    <m/>
    <m/>
    <m/>
    <m/>
    <m/>
    <m/>
    <m/>
    <m/>
    <m/>
    <n v="0"/>
    <n v="199460"/>
    <n v="59838"/>
    <n v="139622"/>
    <n v="0"/>
    <n v="0"/>
    <n v="0"/>
  </r>
  <r>
    <n v="139"/>
    <n v="2866"/>
    <x v="2"/>
    <s v="\\dg94stoc.onema.fr\partages_$\dg94_dcuat\ECOPHYTO\ECOPHYTO 2018\CONVENTIONS\ECOPHYTO I\Axe 9\2016\Irstea IMPACT-CE"/>
    <x v="10"/>
    <x v="25"/>
    <s v="IRSTEA"/>
    <x v="82"/>
    <x v="0"/>
    <m/>
    <m/>
    <m/>
    <m/>
    <n v="36"/>
    <n v="6"/>
    <n v="42"/>
    <d v="2016-10-17T00:00:00"/>
    <d v="2016-10-17T00:00:00"/>
    <d v="2019-09-30T00:00:00"/>
    <d v="2019-03-30T00:00:00"/>
    <d v="2018-04-30T00:00:00"/>
    <d v="2020-04-16T00:00:00"/>
    <s v="V2"/>
    <m/>
    <s v="L’action sera suivie par un comité composé de correspondants de l’Onema (Claire Billy, Olivier Perceval, Nolwenn Bougon), du Ministère de l’Agriculture (DGAL), du Ministère du développement durable (DEB/GR – CGDD/DRI), des Agences de l’Eau, de l’ANSES, d’experts scientifiques (Thierry Caquet, INRA), …"/>
    <m/>
    <m/>
    <m/>
    <x v="124"/>
    <x v="37"/>
    <n v="272308.8"/>
    <x v="13"/>
    <n v="204231.6"/>
    <x v="16"/>
    <n v="204231.6"/>
    <x v="22"/>
    <m/>
    <m/>
    <m/>
    <n v="0"/>
    <m/>
    <m/>
    <m/>
    <m/>
    <m/>
    <m/>
    <m/>
    <m/>
    <m/>
    <n v="0"/>
    <n v="680772"/>
    <n v="204231.6"/>
    <n v="476540.4"/>
    <n v="0"/>
    <n v="0"/>
    <n v="0"/>
  </r>
  <r>
    <n v="140"/>
    <n v="2872"/>
    <x v="3"/>
    <s v="\\dg94stoc.onema.fr\partages_$\dg94_dcuat\ECOPHYTO\ECOPHYTO 2018\CONVENTIONS\ECOPHYTO II\AXE 5  POLITIQUES PUBLIQUES, TERRITOIRES ET FILIERES\IFVV\2016\2872 AGRO ECO VITI"/>
    <x v="7"/>
    <x v="26"/>
    <s v="IFVV"/>
    <x v="83"/>
    <x v="0"/>
    <m/>
    <m/>
    <m/>
    <m/>
    <n v="8"/>
    <n v="6"/>
    <n v="14"/>
    <d v="2016-10-26T00:00:00"/>
    <d v="2016-11-02T00:00:00"/>
    <d v="2017-06-30T00:00:00"/>
    <d v="2016-12-30T00:00:00"/>
    <d v="2017-03-31T00:00:00"/>
    <d v="2017-12-25T00:00:00"/>
    <s v="V2"/>
    <m/>
    <s v="Vincent HEBRAIL &lt;vincent.hebrail@agriculture.gouv.fr&gt;"/>
    <m/>
    <m/>
    <m/>
    <x v="125"/>
    <x v="45"/>
    <n v="11799.6"/>
    <x v="14"/>
    <n v="8849.6999999999989"/>
    <x v="0"/>
    <n v="8849.6999999999989"/>
    <x v="27"/>
    <m/>
    <m/>
    <m/>
    <n v="0"/>
    <m/>
    <m/>
    <m/>
    <m/>
    <m/>
    <m/>
    <m/>
    <m/>
    <m/>
    <n v="0"/>
    <n v="29499"/>
    <n v="8849.6999999999989"/>
    <n v="20649.300000000003"/>
    <n v="0"/>
    <n v="0"/>
    <n v="0"/>
  </r>
  <r>
    <n v="141"/>
    <n v="2873"/>
    <x v="3"/>
    <s v="\\dg94stoc.onema.fr\partages_$\dg94_dcuat\ECOPHYTO\ECOPHYTO 2018\CONVENTIONS\ECOPHYTO II\AXE 4  JEVI (jardins, espaces végétalisés et infrastructures)\GRAINE Centre Val de Loire\2016\2873"/>
    <x v="1"/>
    <x v="1"/>
    <s v="GRAINE Centre Val de Loire"/>
    <x v="84"/>
    <x v="0"/>
    <m/>
    <m/>
    <m/>
    <m/>
    <n v="10"/>
    <n v="6"/>
    <n v="16"/>
    <d v="2016-11-03T00:00:00"/>
    <d v="2016-11-03T00:00:00"/>
    <d v="2017-08-31T00:00:00"/>
    <d v="2017-02-28T00:00:00"/>
    <d v="2017-04-30T00:00:00"/>
    <d v="2018-03-02T00:00:00"/>
    <s v="V2"/>
    <m/>
    <m/>
    <m/>
    <m/>
    <m/>
    <x v="126"/>
    <x v="46"/>
    <n v="2849.7000000000003"/>
    <x v="8"/>
    <n v="2137.2750000000001"/>
    <x v="4"/>
    <n v="2137.2750000000001"/>
    <x v="27"/>
    <m/>
    <m/>
    <m/>
    <n v="0"/>
    <m/>
    <m/>
    <m/>
    <m/>
    <m/>
    <m/>
    <m/>
    <m/>
    <m/>
    <n v="0"/>
    <n v="7124.25"/>
    <n v="2137.2750000000001"/>
    <n v="4986.9750000000004"/>
    <n v="0"/>
    <n v="0"/>
    <n v="0"/>
  </r>
  <r>
    <n v="142"/>
    <n v="2880"/>
    <x v="3"/>
    <s v="\\dg94stoc.onema.fr\partages_$\dg94_dcuat\ECOPHYTO\ECOPHYTO 2018\CONVENTIONS\ECOPHYTO II\AXE 1 AGIR AUJOURDHUI ET FAIRE EVOLUER LES PRATIQUES\STATION D'EXPERIMENTATION ARBORICOLE LA PUGERE\2016\2880 ECOPHYTO'EAU CHAUDE"/>
    <x v="2"/>
    <x v="2"/>
    <s v="Station d'expérimentation arboricole La Pugère"/>
    <x v="85"/>
    <x v="0"/>
    <m/>
    <m/>
    <m/>
    <m/>
    <n v="36"/>
    <n v="6"/>
    <n v="42"/>
    <d v="2016-11-09T00:00:00"/>
    <d v="2016-11-09T00:00:00"/>
    <d v="2019-10-31T00:00:00"/>
    <d v="2019-04-30T00:00:00"/>
    <d v="2018-05-31T00:00:00"/>
    <d v="2020-05-08T00:00:00"/>
    <s v="V2"/>
    <m/>
    <s v="ludovic.bonnard@agriculture.gouv.fr"/>
    <m/>
    <m/>
    <m/>
    <x v="127"/>
    <x v="38"/>
    <n v="38098.120000000003"/>
    <x v="15"/>
    <n v="28573.59"/>
    <x v="17"/>
    <n v="28573.59"/>
    <x v="25"/>
    <m/>
    <m/>
    <m/>
    <n v="0"/>
    <m/>
    <m/>
    <m/>
    <m/>
    <m/>
    <m/>
    <m/>
    <m/>
    <m/>
    <n v="0"/>
    <n v="95245.3"/>
    <n v="28573.59"/>
    <n v="66671.710000000006"/>
    <n v="0"/>
    <n v="0"/>
    <n v="0"/>
  </r>
  <r>
    <n v="143"/>
    <n v="2881"/>
    <x v="3"/>
    <s v="\\dg94stoc.onema.fr\partages_$\dg94_dcuat\ECOPHYTO\ECOPHYTO 2018\CONVENTIONS\ECOPHYTO II\AXE 5  POLITIQUES PUBLIQUES, TERRITOIRES ET FILIERES\ASSOCIATION DEMAIN LA TERRE\2016\2881 FRUITS ET LEGUMES RESPONSABLES"/>
    <x v="7"/>
    <x v="26"/>
    <s v="Association Demain la Terre"/>
    <x v="86"/>
    <x v="0"/>
    <m/>
    <m/>
    <m/>
    <m/>
    <n v="36"/>
    <n v="6"/>
    <n v="42"/>
    <d v="2016-11-09T00:00:00"/>
    <d v="2016-11-09T00:00:00"/>
    <d v="2019-10-31T00:00:00"/>
    <d v="2019-04-30T00:00:00"/>
    <d v="2018-05-31T00:00:00"/>
    <d v="2020-05-08T00:00:00"/>
    <s v="V2"/>
    <m/>
    <s v="ludovic.bonnard@agriculture.gouv.fr"/>
    <m/>
    <m/>
    <m/>
    <x v="2"/>
    <x v="38"/>
    <n v="60000"/>
    <x v="15"/>
    <n v="45000"/>
    <x v="17"/>
    <n v="45000"/>
    <x v="28"/>
    <m/>
    <m/>
    <m/>
    <n v="0"/>
    <m/>
    <m/>
    <m/>
    <m/>
    <m/>
    <m/>
    <m/>
    <m/>
    <m/>
    <n v="0"/>
    <n v="150000"/>
    <n v="45000"/>
    <n v="105000"/>
    <n v="0"/>
    <n v="0"/>
    <n v="0"/>
  </r>
  <r>
    <n v="144"/>
    <n v="2882"/>
    <x v="3"/>
    <s v="\\dg94stoc.onema.fr\partages_$\dg94_dcuat\ECOPHYTO\ECOPHYTO 2018\CONVENTIONS\ECOPHYTO II\AXE 1 AGIR AUJOURDHUI ET FAIRE EVOLUER LES PRATIQUES\SAS PROMETE\2882 OPTI CROPS LOW FONGI National"/>
    <x v="2"/>
    <x v="2"/>
    <s v="SAS PROMETE"/>
    <x v="87"/>
    <x v="0"/>
    <m/>
    <m/>
    <m/>
    <m/>
    <n v="27"/>
    <n v="6"/>
    <n v="33"/>
    <d v="2016-11-09T00:00:00"/>
    <d v="2016-11-09T00:00:00"/>
    <d v="2019-01-31T00:00:00"/>
    <d v="2018-07-31T00:00:00"/>
    <d v="2017-12-31T00:00:00"/>
    <d v="2019-08-08T00:00:00"/>
    <s v="V2"/>
    <m/>
    <s v="ludovic.bonnard@agriculture.gouv.fr"/>
    <m/>
    <m/>
    <m/>
    <x v="128"/>
    <x v="38"/>
    <n v="13432"/>
    <x v="16"/>
    <n v="10074"/>
    <x v="18"/>
    <n v="10074"/>
    <x v="28"/>
    <m/>
    <m/>
    <m/>
    <n v="0"/>
    <m/>
    <m/>
    <m/>
    <m/>
    <m/>
    <m/>
    <m/>
    <m/>
    <m/>
    <n v="0"/>
    <n v="33580"/>
    <n v="10074"/>
    <n v="23506"/>
    <n v="0"/>
    <n v="0"/>
    <n v="0"/>
  </r>
  <r>
    <n v="145"/>
    <n v="2883"/>
    <x v="3"/>
    <s v="\\dg94stoc.onema.fr\partages_$\dg94_dcuat\ECOPHYTO\ECOPHYTO 2018\CONVENTIONS\ECOPHYTO II\AXE 3  EVALUER ET MAITRISER LES RISQUES ET LES IMPACTS\UNILET\2016\2883 MAITRISE DES RESIDUS"/>
    <x v="3"/>
    <x v="27"/>
    <s v="UNILET"/>
    <x v="88"/>
    <x v="0"/>
    <m/>
    <m/>
    <m/>
    <m/>
    <n v="36"/>
    <n v="6"/>
    <n v="42"/>
    <d v="2016-11-09T00:00:00"/>
    <d v="2016-11-09T00:00:00"/>
    <d v="2019-10-31T00:00:00"/>
    <d v="2019-04-30T00:00:00"/>
    <d v="2018-05-31T00:00:00"/>
    <d v="2020-05-08T00:00:00"/>
    <s v="V2"/>
    <m/>
    <s v="vincent.hebrail@agriculture.gouv.fr"/>
    <m/>
    <m/>
    <m/>
    <x v="129"/>
    <x v="38"/>
    <n v="14700"/>
    <x v="15"/>
    <n v="11025"/>
    <x v="17"/>
    <n v="11025"/>
    <x v="28"/>
    <m/>
    <m/>
    <m/>
    <n v="0"/>
    <m/>
    <m/>
    <m/>
    <m/>
    <m/>
    <m/>
    <m/>
    <m/>
    <m/>
    <n v="0"/>
    <n v="36750"/>
    <n v="11025"/>
    <n v="25725"/>
    <n v="0"/>
    <n v="0"/>
    <n v="0"/>
  </r>
  <r>
    <n v="146"/>
    <n v="2884"/>
    <x v="3"/>
    <s v="\\dg94stoc.onema.fr\partages_$\dg94_dcuat\ECOPHYTO\ECOPHYTO 2018\CONVENTIONS\ECOPHYTO II\AXE 4  JEVI (jardins, espaces végétalisés et infrastructures)\HPF\2016\youtube"/>
    <x v="1"/>
    <x v="1"/>
    <s v="Horticulteurs et pépiniéristes de France"/>
    <x v="89"/>
    <x v="0"/>
    <m/>
    <m/>
    <m/>
    <m/>
    <n v="36"/>
    <n v="6"/>
    <n v="42"/>
    <d v="2016-11-09T00:00:00"/>
    <d v="2016-11-09T00:00:00"/>
    <d v="2019-10-31T00:00:00"/>
    <d v="2019-04-30T00:00:00"/>
    <d v="2018-05-31T00:00:00"/>
    <d v="2020-05-08T00:00:00"/>
    <s v="V2"/>
    <m/>
    <s v="GAUCHET Lucile - DGALN/DEB/GR4 &lt;Lucile.Gauchet@developpement-durable.gouv.fr&gt;"/>
    <m/>
    <m/>
    <m/>
    <x v="130"/>
    <x v="38"/>
    <n v="17700"/>
    <x v="15"/>
    <n v="13275"/>
    <x v="17"/>
    <n v="13275"/>
    <x v="28"/>
    <m/>
    <m/>
    <m/>
    <n v="0"/>
    <m/>
    <m/>
    <m/>
    <m/>
    <m/>
    <m/>
    <m/>
    <m/>
    <m/>
    <n v="0"/>
    <n v="44250"/>
    <n v="13275"/>
    <n v="30975"/>
    <n v="0"/>
    <n v="0"/>
    <n v="0"/>
  </r>
  <r>
    <n v="147"/>
    <n v="2885"/>
    <x v="3"/>
    <s v="\\dg94stoc.onema.fr\partages_$\dg94_dcuat\ECOPHYTO\ECOPHYTO 2018\CONVENTIONS\ECOPHYTO II\AXE 1 AGIR AUJOURDHUI ET FAIRE EVOLUER LES PRATIQUES\CA SOMME\2016"/>
    <x v="2"/>
    <x v="28"/>
    <s v="CA Somme"/>
    <x v="90"/>
    <x v="0"/>
    <m/>
    <m/>
    <m/>
    <m/>
    <n v="27"/>
    <n v="6"/>
    <n v="33"/>
    <d v="2016-11-09T00:00:00"/>
    <d v="2016-11-09T00:00:00"/>
    <d v="2019-01-31T00:00:00"/>
    <d v="2018-07-31T00:00:00"/>
    <d v="2017-12-31T00:00:00"/>
    <d v="2019-08-08T00:00:00"/>
    <s v="V2"/>
    <m/>
    <s v="Lucile.Gauchet@developpement-durable.gouv.fr; vincent.hebrail@agriculture.gouv.fr"/>
    <m/>
    <m/>
    <m/>
    <x v="131"/>
    <x v="38"/>
    <n v="15000"/>
    <x v="16"/>
    <n v="11250"/>
    <x v="18"/>
    <n v="11250"/>
    <x v="28"/>
    <m/>
    <m/>
    <m/>
    <n v="0"/>
    <m/>
    <m/>
    <m/>
    <m/>
    <m/>
    <m/>
    <m/>
    <m/>
    <m/>
    <n v="0"/>
    <n v="37500"/>
    <n v="11250"/>
    <n v="26250"/>
    <n v="0"/>
    <n v="0"/>
    <n v="0"/>
  </r>
  <r>
    <n v="148"/>
    <n v="2891"/>
    <x v="3"/>
    <s v="\\dg94stoc.onema.fr\partages_$\dg94_dcuat\ECOPHYTO\ECOPHYTO 2018\CONVENTIONS\ECOPHYTO II\AXE 4  JEVI (jardins, espaces végétalisés et infrastructures)\LPO\2016\CAMPAGNE DE MOBILISATION"/>
    <x v="1"/>
    <x v="1"/>
    <s v="LPO"/>
    <x v="91"/>
    <x v="0"/>
    <m/>
    <m/>
    <m/>
    <m/>
    <n v="36"/>
    <n v="6"/>
    <n v="42"/>
    <d v="2016-11-09T00:00:00"/>
    <e v="#REF!"/>
    <e v="#REF!"/>
    <e v="#REF!"/>
    <e v="#REF!"/>
    <d v="2020-05-08T00:00:00"/>
    <s v="V2"/>
    <m/>
    <m/>
    <m/>
    <m/>
    <m/>
    <x v="132"/>
    <x v="38"/>
    <n v="20339.600000000002"/>
    <x v="15"/>
    <n v="15254.699999999999"/>
    <x v="17"/>
    <n v="15254.699999999999"/>
    <x v="25"/>
    <m/>
    <m/>
    <m/>
    <n v="0"/>
    <m/>
    <m/>
    <m/>
    <m/>
    <m/>
    <m/>
    <m/>
    <m/>
    <m/>
    <n v="0"/>
    <n v="50849"/>
    <n v="15254.699999999999"/>
    <n v="35594.300000000003"/>
    <n v="0"/>
    <n v="0"/>
    <n v="0"/>
  </r>
  <r>
    <n v="149"/>
    <n v="2892"/>
    <x v="3"/>
    <s v="\\dg94stoc.onema.fr\partages_$\dg94_dcuat\ECOPHYTO\ECOPHYTO 2018\CONVENTIONS\ECOPHYTO II\AXE 5  POLITIQUES PUBLIQUES, TERRITOIRES ET FILIERES\FREDON FRANCHE COMTE\2016\ZERRAC"/>
    <x v="7"/>
    <x v="29"/>
    <s v="FREDON Franche-Comté"/>
    <x v="92"/>
    <x v="0"/>
    <m/>
    <m/>
    <m/>
    <m/>
    <n v="36"/>
    <n v="6"/>
    <n v="42"/>
    <d v="2016-11-09T00:00:00"/>
    <d v="2016-11-09T00:00:00"/>
    <d v="2019-10-31T00:00:00"/>
    <d v="2019-04-30T00:00:00"/>
    <d v="2018-05-31T00:00:00"/>
    <d v="2020-05-08T00:00:00"/>
    <s v="V2"/>
    <m/>
    <m/>
    <m/>
    <m/>
    <m/>
    <x v="133"/>
    <x v="38"/>
    <n v="29952.9"/>
    <x v="15"/>
    <n v="22464.674999999999"/>
    <x v="17"/>
    <n v="22464.674999999999"/>
    <x v="25"/>
    <m/>
    <m/>
    <m/>
    <n v="0"/>
    <m/>
    <m/>
    <m/>
    <m/>
    <m/>
    <m/>
    <m/>
    <m/>
    <m/>
    <n v="0"/>
    <n v="74882.25"/>
    <n v="22464.674999999999"/>
    <n v="52417.574999999997"/>
    <n v="0"/>
    <n v="0"/>
    <n v="0"/>
  </r>
  <r>
    <n v="150"/>
    <n v="2897"/>
    <x v="3"/>
    <s v="\\dg94stoc.onema.fr\partages_$\dg94_dcuat\ECOPHYTO\ECOPHYTO 2018\CONVENTIONS\ECOPHYTO II\AXE 1 AGIR AUJOURDHUI ET FAIRE EVOLUER LES PRATIQUES\CEZ Bergerie Nationale"/>
    <x v="2"/>
    <x v="16"/>
    <s v="CEZ – Bergerie nationale"/>
    <x v="93"/>
    <x v="0"/>
    <m/>
    <m/>
    <m/>
    <m/>
    <n v="23"/>
    <n v="6"/>
    <n v="29"/>
    <d v="2016-11-15T00:00:00"/>
    <d v="2016-11-15T00:00:00"/>
    <d v="2018-09-30T00:00:00"/>
    <d v="2018-03-30T00:00:00"/>
    <d v="2017-10-31T00:00:00"/>
    <d v="2019-04-14T00:00:00"/>
    <s v="V2"/>
    <m/>
    <m/>
    <m/>
    <m/>
    <m/>
    <x v="134"/>
    <x v="47"/>
    <n v="9154"/>
    <x v="7"/>
    <n v="6865.5"/>
    <x v="19"/>
    <n v="6865.5"/>
    <x v="28"/>
    <m/>
    <m/>
    <m/>
    <n v="0"/>
    <m/>
    <m/>
    <m/>
    <m/>
    <m/>
    <m/>
    <m/>
    <m/>
    <m/>
    <n v="0"/>
    <n v="22885"/>
    <n v="6865.5"/>
    <n v="16019.5"/>
    <n v="0"/>
    <n v="0"/>
    <n v="0"/>
  </r>
  <r>
    <n v="151"/>
    <n v="2898"/>
    <x v="3"/>
    <s v="\\dg94stoc.onema.fr\partages_$\dg94_dcuat\ECOPHYTO\ECOPHYTO 2018\CONVENTIONS\ECOPHYTO II\AXE 3  EVALUER ET MAITRISER LES RISQUES ET LES IMPACTS\INSTITUT NATIONAL DE MEDECINE AGRICOLE"/>
    <x v="3"/>
    <x v="30"/>
    <s v="Institut national de médecine agricole"/>
    <x v="94"/>
    <x v="0"/>
    <m/>
    <m/>
    <m/>
    <m/>
    <n v="12"/>
    <n v="6"/>
    <n v="18"/>
    <d v="2016-11-15T00:00:00"/>
    <d v="2016-11-15T00:00:00"/>
    <d v="2017-10-31T00:00:00"/>
    <d v="2017-04-30T00:00:00"/>
    <d v="2017-05-31T00:00:00"/>
    <d v="2018-05-14T00:00:00"/>
    <s v="V2"/>
    <m/>
    <m/>
    <m/>
    <m/>
    <m/>
    <x v="135"/>
    <x v="47"/>
    <n v="11360"/>
    <x v="17"/>
    <n v="8520"/>
    <x v="14"/>
    <n v="8520"/>
    <x v="28"/>
    <m/>
    <m/>
    <m/>
    <n v="0"/>
    <m/>
    <m/>
    <m/>
    <m/>
    <m/>
    <m/>
    <m/>
    <m/>
    <m/>
    <n v="0"/>
    <n v="28400"/>
    <n v="8520"/>
    <n v="19880"/>
    <n v="0"/>
    <n v="0"/>
    <n v="0"/>
  </r>
  <r>
    <n v="152"/>
    <n v="2902"/>
    <x v="3"/>
    <s v="\\dg94stoc.onema.fr\partages_$\dg94_dcuat\ECOPHYTO\ECOPHYTO 2018\CONVENTIONS\ECOPHYTO II\AXE 1 AGIR AUJOURDHUI ET FAIRE EVOLUER LES PRATIQUES\CERFRANCE Normandie Maine\2016\ALTERBRU"/>
    <x v="2"/>
    <x v="28"/>
    <s v="Cerfrance Normandie Maine"/>
    <x v="95"/>
    <x v="0"/>
    <m/>
    <m/>
    <m/>
    <m/>
    <n v="16"/>
    <n v="6"/>
    <n v="22"/>
    <d v="2016-11-15T00:00:00"/>
    <d v="2016-11-15T00:00:00"/>
    <d v="2018-02-28T00:00:00"/>
    <d v="2017-08-28T00:00:00"/>
    <d v="2017-07-31T00:00:00"/>
    <d v="2018-09-14T00:00:00"/>
    <s v="V2"/>
    <m/>
    <m/>
    <m/>
    <m/>
    <m/>
    <x v="136"/>
    <x v="47"/>
    <n v="19290"/>
    <x v="18"/>
    <n v="14467.5"/>
    <x v="2"/>
    <n v="14467.5"/>
    <x v="29"/>
    <m/>
    <m/>
    <m/>
    <n v="0"/>
    <m/>
    <m/>
    <m/>
    <m/>
    <m/>
    <m/>
    <m/>
    <m/>
    <m/>
    <n v="0"/>
    <n v="48225"/>
    <n v="14467.5"/>
    <n v="33757.5"/>
    <n v="0"/>
    <n v="0"/>
    <n v="0"/>
  </r>
  <r>
    <n v="153"/>
    <n v="2904"/>
    <x v="3"/>
    <s v="\\dg94stoc.onema.fr\partages_$\dg94_dcuat\ECOPHYTO\ECOPHYTO 2018\CONVENTIONS\ECOPHYTO II\AXE 1 AGIR AUJOURDHUI ET FAIRE EVOLUER LES PRATIQUES\EPLEFPA Vésoul"/>
    <x v="2"/>
    <x v="2"/>
    <s v="EPLEFPA Vesoul"/>
    <x v="96"/>
    <x v="0"/>
    <m/>
    <m/>
    <m/>
    <m/>
    <n v="32"/>
    <n v="6"/>
    <n v="38"/>
    <d v="2016-11-15T00:00:00"/>
    <d v="2016-11-15T00:00:00"/>
    <d v="2019-06-30T00:00:00"/>
    <d v="2018-12-30T00:00:00"/>
    <d v="2018-03-31T00:00:00"/>
    <d v="2020-01-14T00:00:00"/>
    <s v="V2"/>
    <m/>
    <m/>
    <m/>
    <m/>
    <m/>
    <x v="137"/>
    <x v="47"/>
    <n v="10672"/>
    <x v="11"/>
    <n v="8004"/>
    <x v="20"/>
    <n v="8004"/>
    <x v="29"/>
    <m/>
    <m/>
    <m/>
    <n v="0"/>
    <m/>
    <m/>
    <m/>
    <m/>
    <m/>
    <m/>
    <m/>
    <m/>
    <m/>
    <n v="0"/>
    <n v="26680"/>
    <n v="8004"/>
    <n v="18676"/>
    <n v="0"/>
    <n v="0"/>
    <n v="0"/>
  </r>
  <r>
    <n v="154"/>
    <n v="2905"/>
    <x v="3"/>
    <s v="\\dg94stoc.onema.fr\partages_$\dg94_dcuat\ECOPHYTO\ECOPHYTO 2018\CONVENTIONS\ECOPHYTO II\AXE 5  POLITIQUES PUBLIQUES, TERRITOIRES ET FILIERES\NOE CONSERVATION\2016\EXPERIENCE LU"/>
    <x v="7"/>
    <x v="26"/>
    <s v="Noé Conservation"/>
    <x v="97"/>
    <x v="0"/>
    <m/>
    <m/>
    <m/>
    <m/>
    <n v="17"/>
    <n v="6"/>
    <n v="23"/>
    <d v="2016-11-09T00:00:00"/>
    <d v="2016-11-15T00:00:00"/>
    <d v="2018-03-31T00:00:00"/>
    <d v="2017-09-30T00:00:00"/>
    <d v="2017-07-31T00:00:00"/>
    <d v="2018-10-08T00:00:00"/>
    <s v="V2"/>
    <m/>
    <m/>
    <m/>
    <m/>
    <m/>
    <x v="138"/>
    <x v="38"/>
    <n v="21200"/>
    <x v="18"/>
    <n v="15900"/>
    <x v="7"/>
    <n v="15900"/>
    <x v="29"/>
    <m/>
    <m/>
    <m/>
    <n v="0"/>
    <m/>
    <m/>
    <m/>
    <m/>
    <m/>
    <m/>
    <m/>
    <m/>
    <m/>
    <n v="0"/>
    <n v="53000"/>
    <n v="15900"/>
    <n v="37100"/>
    <n v="0"/>
    <n v="0"/>
    <n v="0"/>
  </r>
  <r>
    <n v="155"/>
    <n v="2906"/>
    <x v="3"/>
    <s v="\\dg94stoc.onema.fr\partages_$\dg94_dcuat\ECOPHYTO\ECOPHYTO 2018\CONVENTIONS\ECOPHYTO II\AXE 4  JEVI (jardins, espaces végétalisés et infrastructures)\NOE CONSERVATION\2016\JARDINS DE NOE"/>
    <x v="1"/>
    <x v="1"/>
    <s v="Noé Conservation"/>
    <x v="98"/>
    <x v="0"/>
    <m/>
    <m/>
    <m/>
    <m/>
    <n v="17"/>
    <n v="6"/>
    <n v="23"/>
    <d v="2016-11-09T00:00:00"/>
    <d v="2016-11-09T00:00:00"/>
    <d v="2018-03-31T00:00:00"/>
    <d v="2017-09-30T00:00:00"/>
    <d v="2017-07-31T00:00:00"/>
    <d v="2018-10-08T00:00:00"/>
    <s v="V2"/>
    <m/>
    <m/>
    <m/>
    <m/>
    <m/>
    <x v="139"/>
    <x v="38"/>
    <n v="25100"/>
    <x v="18"/>
    <n v="18825"/>
    <x v="7"/>
    <n v="18825"/>
    <x v="29"/>
    <m/>
    <m/>
    <m/>
    <n v="0"/>
    <m/>
    <m/>
    <m/>
    <m/>
    <m/>
    <m/>
    <m/>
    <m/>
    <m/>
    <n v="0"/>
    <n v="62750"/>
    <n v="18825"/>
    <n v="43925"/>
    <n v="0"/>
    <n v="0"/>
    <n v="0"/>
  </r>
  <r>
    <n v="156"/>
    <n v="2907"/>
    <x v="3"/>
    <s v="\\dg94stoc.onema.fr\partages_$\dg94_dcuat\ECOPHYTO\ECOPHYTO 2018\CONVENTIONS\ECOPHYTO II\AXE 5  POLITIQUES PUBLIQUES, TERRITOIRES ET FILIERES\ODEADOM\2016\2907 construire avec les"/>
    <x v="7"/>
    <x v="8"/>
    <s v="Odeadom "/>
    <x v="99"/>
    <x v="0"/>
    <m/>
    <m/>
    <m/>
    <m/>
    <n v="12"/>
    <n v="6"/>
    <n v="18"/>
    <d v="2016-11-17T00:00:00"/>
    <d v="2016-11-17T00:00:00"/>
    <d v="2017-10-31T00:00:00"/>
    <d v="2017-04-30T00:00:00"/>
    <d v="2017-05-31T00:00:00"/>
    <d v="2018-05-16T00:00:00"/>
    <s v="V2"/>
    <m/>
    <m/>
    <m/>
    <m/>
    <m/>
    <x v="140"/>
    <x v="48"/>
    <n v="440583.2"/>
    <x v="17"/>
    <n v="330437.39999999997"/>
    <x v="14"/>
    <n v="330437.39999999997"/>
    <x v="30"/>
    <m/>
    <m/>
    <m/>
    <n v="0"/>
    <m/>
    <m/>
    <m/>
    <m/>
    <m/>
    <m/>
    <m/>
    <m/>
    <m/>
    <n v="0"/>
    <n v="1101458"/>
    <n v="330437.39999999997"/>
    <n v="771020.60000000009"/>
    <n v="0"/>
    <n v="0"/>
    <n v="0"/>
  </r>
  <r>
    <n v="157"/>
    <n v="2908"/>
    <x v="3"/>
    <s v="\\dg94stoc.onema.fr\partages_$\dg94_dcuat\ECOPHYTO\ECOPHYTO 2018\CONVENTIONS\ECOPHYTO II\AXE 5  POLITIQUES PUBLIQUES, TERRITOIRES ET FILIERES\CA 44\2016\CRANP"/>
    <x v="7"/>
    <x v="31"/>
    <s v="CA 44"/>
    <x v="100"/>
    <x v="0"/>
    <m/>
    <m/>
    <m/>
    <m/>
    <n v="12"/>
    <n v="6"/>
    <n v="18"/>
    <d v="2016-11-16T00:00:00"/>
    <d v="2016-11-16T00:00:00"/>
    <d v="2017-10-31T00:00:00"/>
    <d v="2017-04-30T00:00:00"/>
    <d v="2017-05-31T00:00:00"/>
    <d v="2018-05-15T00:00:00"/>
    <s v="V2"/>
    <m/>
    <m/>
    <m/>
    <m/>
    <m/>
    <x v="1"/>
    <x v="40"/>
    <n v="4000"/>
    <x v="17"/>
    <n v="3000"/>
    <x v="14"/>
    <n v="3000"/>
    <x v="30"/>
    <m/>
    <m/>
    <m/>
    <n v="0"/>
    <m/>
    <m/>
    <m/>
    <m/>
    <m/>
    <m/>
    <m/>
    <m/>
    <m/>
    <n v="0"/>
    <n v="10000"/>
    <n v="3000"/>
    <n v="7000"/>
    <n v="0"/>
    <n v="0"/>
    <n v="0"/>
  </r>
  <r>
    <n v="158"/>
    <n v="2909"/>
    <x v="3"/>
    <s v="\\dg94stoc.onema.fr\partages_$\dg94_dcuat\ECOPHYTO\ECOPHYTO 2018\CONVENTIONS\ECOPHYTO II\AXE 4  JEVI (jardins, espaces végétalisés et infrastructures)\FREDON BRETAGNE\2016\FORM A BIO"/>
    <x v="1"/>
    <x v="1"/>
    <s v="FREDON Bretagne"/>
    <x v="101"/>
    <x v="0"/>
    <m/>
    <m/>
    <m/>
    <m/>
    <n v="36"/>
    <n v="6"/>
    <n v="42"/>
    <d v="2016-11-16T00:00:00"/>
    <d v="2016-11-16T00:00:00"/>
    <d v="2019-10-31T00:00:00"/>
    <d v="2019-04-30T00:00:00"/>
    <d v="2018-05-31T00:00:00"/>
    <d v="2020-05-15T00:00:00"/>
    <s v="V2"/>
    <m/>
    <m/>
    <m/>
    <m/>
    <m/>
    <x v="141"/>
    <x v="40"/>
    <n v="4170"/>
    <x v="15"/>
    <n v="3127.5"/>
    <x v="17"/>
    <n v="3127.5"/>
    <x v="30"/>
    <m/>
    <m/>
    <m/>
    <n v="0"/>
    <m/>
    <m/>
    <m/>
    <m/>
    <m/>
    <m/>
    <m/>
    <m/>
    <m/>
    <n v="0"/>
    <n v="10425"/>
    <n v="3127.5"/>
    <n v="7297.5"/>
    <n v="0"/>
    <n v="0"/>
    <n v="0"/>
  </r>
  <r>
    <n v="159"/>
    <n v="2910"/>
    <x v="3"/>
    <s v="\\dg94stoc.onema.fr\partages_$\dg94_dcuat\ECOPHYTO\ECOPHYTO 2018\CONVENTIONS\ECOPHYTO II\AXE 1 AGIR AUJOURDHUI ET FAIRE EVOLUER LES PRATIQUES\INRA\2016\ACCELERE"/>
    <x v="2"/>
    <x v="16"/>
    <s v="INRA"/>
    <x v="102"/>
    <x v="0"/>
    <m/>
    <m/>
    <m/>
    <m/>
    <n v="18"/>
    <n v="6"/>
    <n v="24"/>
    <d v="2016-11-15T00:00:00"/>
    <d v="2016-11-15T00:00:00"/>
    <d v="2018-04-30T00:00:00"/>
    <d v="2017-10-30T00:00:00"/>
    <d v="2017-08-31T00:00:00"/>
    <d v="2018-11-14T00:00:00"/>
    <s v="V2"/>
    <m/>
    <m/>
    <m/>
    <m/>
    <m/>
    <x v="142"/>
    <x v="47"/>
    <n v="31071.600000000002"/>
    <x v="19"/>
    <n v="23303.7"/>
    <x v="21"/>
    <n v="23303.7"/>
    <x v="29"/>
    <m/>
    <m/>
    <m/>
    <n v="0"/>
    <m/>
    <m/>
    <m/>
    <m/>
    <m/>
    <m/>
    <m/>
    <m/>
    <m/>
    <n v="0"/>
    <n v="77679"/>
    <n v="23303.7"/>
    <n v="54375.3"/>
    <n v="0"/>
    <n v="0"/>
    <n v="0"/>
  </r>
  <r>
    <n v="160"/>
    <n v="2911"/>
    <x v="3"/>
    <s v="\\dg94stoc.onema.fr\partages_$\dg94_dcuat\ECOPHYTO\ECOPHYTO 2018\CONVENTIONS\ECOPHYTO II\AXE 1 AGIR AUJOURDHUI ET FAIRE EVOLUER LES PRATIQUES\ACTA\2016\XP-BC"/>
    <x v="2"/>
    <x v="28"/>
    <s v="ACTA"/>
    <x v="103"/>
    <x v="0"/>
    <m/>
    <m/>
    <m/>
    <m/>
    <n v="36"/>
    <n v="6"/>
    <n v="42"/>
    <d v="2016-11-16T00:00:00"/>
    <d v="2016-11-16T00:00:00"/>
    <d v="2019-10-31T00:00:00"/>
    <d v="2019-04-30T00:00:00"/>
    <d v="2018-05-31T00:00:00"/>
    <d v="2020-05-15T00:00:00"/>
    <s v="V2"/>
    <m/>
    <m/>
    <m/>
    <m/>
    <m/>
    <x v="28"/>
    <x v="40"/>
    <n v="120000"/>
    <x v="15"/>
    <n v="90000"/>
    <x v="17"/>
    <n v="90000"/>
    <x v="29"/>
    <m/>
    <m/>
    <m/>
    <n v="0"/>
    <m/>
    <m/>
    <m/>
    <m/>
    <m/>
    <m/>
    <m/>
    <m/>
    <m/>
    <n v="0"/>
    <n v="300000"/>
    <n v="90000"/>
    <n v="210000"/>
    <n v="0"/>
    <n v="0"/>
    <n v="0"/>
  </r>
  <r>
    <n v="161"/>
    <n v="2919"/>
    <x v="3"/>
    <s v="\\dg94stoc.onema.fr\partages_$\dg94_dcuat\ECOPHYTO\ECOPHYTO 2018\CONVENTIONS\ECOPHYTO II\AXE 4  JEVI (jardins, espaces végétalisés et infrastructures)\FNE\2016\APNE"/>
    <x v="1"/>
    <x v="1"/>
    <s v="FNE"/>
    <x v="104"/>
    <x v="0"/>
    <m/>
    <m/>
    <m/>
    <m/>
    <n v="18"/>
    <n v="6"/>
    <n v="24"/>
    <d v="2016-11-18T00:00:00"/>
    <d v="2016-11-18T00:00:00"/>
    <d v="2018-04-30T00:00:00"/>
    <d v="2017-10-30T00:00:00"/>
    <d v="2017-08-31T00:00:00"/>
    <d v="2018-11-17T00:00:00"/>
    <s v="V2"/>
    <m/>
    <m/>
    <m/>
    <m/>
    <m/>
    <x v="143"/>
    <x v="49"/>
    <n v="12366"/>
    <x v="19"/>
    <n v="9274.5"/>
    <x v="21"/>
    <n v="9274.5"/>
    <x v="31"/>
    <m/>
    <m/>
    <m/>
    <n v="0"/>
    <m/>
    <m/>
    <m/>
    <m/>
    <m/>
    <m/>
    <m/>
    <m/>
    <m/>
    <n v="0"/>
    <n v="30915"/>
    <n v="9274.5"/>
    <n v="21640.5"/>
    <n v="0"/>
    <n v="0"/>
    <n v="0"/>
  </r>
  <r>
    <n v="162"/>
    <n v="2920"/>
    <x v="3"/>
    <s v="\\dg94stoc.onema.fr\partages_$\dg94_dcuat\ECOPHYTO\ECOPHYTO 2018\CONVENTIONS\ECOPHYTO II\AXE 4  JEVI (jardins, espaces végétalisés et infrastructures)\GENERATIONS FUTURES\2016\2920"/>
    <x v="1"/>
    <x v="1"/>
    <s v="Générations futures"/>
    <x v="105"/>
    <x v="0"/>
    <m/>
    <m/>
    <m/>
    <m/>
    <n v="8"/>
    <n v="6"/>
    <n v="14"/>
    <d v="2016-11-18T00:00:00"/>
    <d v="2016-11-22T00:00:00"/>
    <d v="2017-06-30T00:00:00"/>
    <d v="2016-12-30T00:00:00"/>
    <d v="2017-03-31T00:00:00"/>
    <d v="2018-01-17T00:00:00"/>
    <s v="V2"/>
    <m/>
    <m/>
    <m/>
    <m/>
    <m/>
    <x v="144"/>
    <x v="49"/>
    <n v="10000"/>
    <x v="2"/>
    <n v="7500"/>
    <x v="10"/>
    <n v="7500"/>
    <x v="31"/>
    <m/>
    <m/>
    <m/>
    <n v="0"/>
    <m/>
    <m/>
    <m/>
    <m/>
    <m/>
    <m/>
    <m/>
    <m/>
    <m/>
    <n v="0"/>
    <n v="25000"/>
    <n v="7500"/>
    <n v="17500"/>
    <n v="0"/>
    <n v="0"/>
    <n v="0"/>
  </r>
  <r>
    <n v="163"/>
    <n v="2921"/>
    <x v="3"/>
    <s v="\\dg94stoc.onema.fr\partages_$\dg94_dcuat\ECOPHYTO\ECOPHYTO 2018\CONVENTIONS\ECOPHYTO II\AXE 1 AGIR AUJOURDHUI ET FAIRE EVOLUER LES PRATIQUES\FNCIVAM\2016\ACCOMPAGNER LES AGRICULTEURS"/>
    <x v="2"/>
    <x v="16"/>
    <s v="FNCIVAM"/>
    <x v="106"/>
    <x v="0"/>
    <m/>
    <m/>
    <m/>
    <m/>
    <n v="18"/>
    <n v="6"/>
    <n v="24"/>
    <d v="2016-11-22T00:00:00"/>
    <d v="2016-11-22T00:00:00"/>
    <d v="2018-04-30T00:00:00"/>
    <d v="2017-10-30T00:00:00"/>
    <d v="2017-08-31T00:00:00"/>
    <d v="2018-11-21T00:00:00"/>
    <s v="V2"/>
    <m/>
    <m/>
    <m/>
    <m/>
    <m/>
    <x v="145"/>
    <x v="50"/>
    <n v="68600"/>
    <x v="19"/>
    <n v="51450"/>
    <x v="21"/>
    <n v="51450"/>
    <x v="31"/>
    <m/>
    <m/>
    <m/>
    <n v="0"/>
    <m/>
    <m/>
    <m/>
    <m/>
    <m/>
    <m/>
    <m/>
    <m/>
    <m/>
    <n v="0"/>
    <n v="171500"/>
    <n v="51450"/>
    <n v="120050"/>
    <n v="0"/>
    <n v="0"/>
    <n v="0"/>
  </r>
  <r>
    <n v="164"/>
    <n v="2922"/>
    <x v="3"/>
    <s v="\\dg94stoc.onema.fr\partages_$\dg94_dcuat\ECOPHYTO\ECOPHYTO 2018\CONVENTIONS\ECOPHYTO II\AXE 3  EVALUER ET MAITRISER LES RISQUES ET LES IMPACTS\INRA\2016\ENIVTH"/>
    <x v="3"/>
    <x v="20"/>
    <s v="INRA Dijon"/>
    <x v="107"/>
    <x v="0"/>
    <m/>
    <m/>
    <m/>
    <m/>
    <n v="36"/>
    <n v="6"/>
    <n v="42"/>
    <d v="2016-11-22T00:00:00"/>
    <d v="2016-11-21T00:00:00"/>
    <d v="2019-10-31T00:00:00"/>
    <d v="2019-04-30T00:00:00"/>
    <d v="2018-05-31T00:00:00"/>
    <d v="2020-05-21T00:00:00"/>
    <s v="V2"/>
    <m/>
    <m/>
    <m/>
    <m/>
    <m/>
    <x v="146"/>
    <x v="50"/>
    <n v="85535.48000000001"/>
    <x v="15"/>
    <n v="64151.61"/>
    <x v="17"/>
    <n v="64151.61"/>
    <x v="32"/>
    <m/>
    <m/>
    <m/>
    <n v="0"/>
    <m/>
    <m/>
    <m/>
    <m/>
    <m/>
    <m/>
    <m/>
    <m/>
    <m/>
    <n v="0"/>
    <n v="213838.7"/>
    <n v="64151.61"/>
    <n v="149687.09000000003"/>
    <n v="0"/>
    <n v="0"/>
    <n v="0"/>
  </r>
  <r>
    <n v="165"/>
    <n v="2923"/>
    <x v="3"/>
    <s v="\\dg94stoc.onema.fr\partages_$\dg94_dcuat\ECOPHYTO\ECOPHYTO 2018\CONVENTIONS\ECOPHYTO II\AXE 4  JEVI (jardins, espaces végétalisés et infrastructures)\SNHF\2016\2923"/>
    <x v="1"/>
    <x v="1"/>
    <s v="SNHF"/>
    <x v="108"/>
    <x v="0"/>
    <m/>
    <m/>
    <m/>
    <m/>
    <n v="12"/>
    <n v="6"/>
    <n v="18"/>
    <d v="2016-11-21T00:00:00"/>
    <d v="2016-11-21T00:00:00"/>
    <d v="2017-10-31T00:00:00"/>
    <d v="2017-04-30T00:00:00"/>
    <d v="2017-05-31T00:00:00"/>
    <d v="2018-05-20T00:00:00"/>
    <s v="V2"/>
    <m/>
    <m/>
    <m/>
    <m/>
    <m/>
    <x v="147"/>
    <x v="51"/>
    <n v="24450"/>
    <x v="17"/>
    <n v="18337.5"/>
    <x v="14"/>
    <n v="18337.5"/>
    <x v="23"/>
    <m/>
    <m/>
    <m/>
    <n v="0"/>
    <m/>
    <m/>
    <m/>
    <m/>
    <m/>
    <m/>
    <m/>
    <m/>
    <m/>
    <n v="0"/>
    <n v="61125"/>
    <n v="18337.5"/>
    <n v="42787.5"/>
    <n v="0"/>
    <n v="0"/>
    <n v="0"/>
  </r>
  <r>
    <n v="166"/>
    <n v="2924"/>
    <x v="3"/>
    <s v="\\dg94stoc.onema.fr\partages_$\dg94_dcuat\ECOPHYTO\ECOPHYTO 2018\CONVENTIONS\ECOPHYTO II\AXE 3  EVALUER ET MAITRISER LES RISQUES ET LES IMPACTS\AFNOR\2016\2924 améliorer des équipements"/>
    <x v="3"/>
    <x v="30"/>
    <s v="AFNOR"/>
    <x v="109"/>
    <x v="0"/>
    <m/>
    <m/>
    <m/>
    <m/>
    <n v="36"/>
    <n v="6"/>
    <n v="42"/>
    <d v="2016-11-22T00:00:00"/>
    <d v="2016-11-22T00:00:00"/>
    <d v="2019-10-31T00:00:00"/>
    <d v="2019-04-30T00:00:00"/>
    <d v="2018-05-31T00:00:00"/>
    <d v="2020-05-21T00:00:00"/>
    <s v="V2"/>
    <m/>
    <m/>
    <m/>
    <m/>
    <m/>
    <x v="148"/>
    <x v="50"/>
    <n v="53632"/>
    <x v="15"/>
    <n v="40224"/>
    <x v="17"/>
    <n v="40224"/>
    <x v="32"/>
    <m/>
    <m/>
    <m/>
    <n v="0"/>
    <m/>
    <m/>
    <m/>
    <m/>
    <m/>
    <m/>
    <m/>
    <m/>
    <m/>
    <n v="0"/>
    <n v="134080"/>
    <n v="40224"/>
    <n v="93856"/>
    <n v="0"/>
    <n v="0"/>
    <n v="0"/>
  </r>
  <r>
    <n v="167"/>
    <n v="2925"/>
    <x v="3"/>
    <s v="\\dg94stoc.onema.fr\partages_$\dg94_dcuat\ECOPHYTO\ECOPHYTO 2018\CONVENTIONS\ECOPHYTO II\AXE 4  JEVI (jardins, espaces végétalisés et infrastructures)\CNJCF\2016\FAIRE CONNAITRE ET PROMOUVOIR"/>
    <x v="1"/>
    <x v="1"/>
    <s v="CNJCF"/>
    <x v="110"/>
    <x v="0"/>
    <m/>
    <m/>
    <m/>
    <m/>
    <n v="36"/>
    <n v="6"/>
    <n v="42"/>
    <d v="2016-11-22T00:00:00"/>
    <d v="2016-11-22T00:00:00"/>
    <d v="2019-10-31T00:00:00"/>
    <d v="2019-04-30T00:00:00"/>
    <d v="2018-05-31T00:00:00"/>
    <d v="2020-05-21T00:00:00"/>
    <s v="V2"/>
    <m/>
    <m/>
    <m/>
    <m/>
    <m/>
    <x v="149"/>
    <x v="50"/>
    <n v="42000"/>
    <x v="15"/>
    <n v="31500"/>
    <x v="17"/>
    <n v="0"/>
    <x v="24"/>
    <m/>
    <m/>
    <m/>
    <n v="0"/>
    <m/>
    <m/>
    <m/>
    <m/>
    <m/>
    <m/>
    <m/>
    <m/>
    <m/>
    <n v="0"/>
    <n v="105000"/>
    <n v="0"/>
    <n v="105000"/>
    <n v="0"/>
    <n v="0"/>
    <n v="0"/>
  </r>
  <r>
    <n v="168"/>
    <n v="2926"/>
    <x v="3"/>
    <s v="\\dg94stoc.onema.fr\partages_$\dg94_dcuat\ECOPHYTO\ECOPHYTO 2018\CONVENTIONS\ECOPHYTO II\AXE 4  JEVI (jardins, espaces végétalisés et infrastructures)\SNHF\2016\2926"/>
    <x v="1"/>
    <x v="1"/>
    <s v="SNHF"/>
    <x v="111"/>
    <x v="0"/>
    <m/>
    <m/>
    <m/>
    <m/>
    <n v="12"/>
    <n v="6"/>
    <n v="18"/>
    <d v="2016-11-21T00:00:00"/>
    <d v="2016-11-18T00:00:00"/>
    <d v="2017-10-31T00:00:00"/>
    <d v="2017-04-30T00:00:00"/>
    <d v="2017-05-31T00:00:00"/>
    <d v="2018-05-20T00:00:00"/>
    <s v="V2"/>
    <m/>
    <m/>
    <m/>
    <m/>
    <m/>
    <x v="150"/>
    <x v="51"/>
    <n v="40650"/>
    <x v="17"/>
    <n v="30487.5"/>
    <x v="14"/>
    <n v="30487.5"/>
    <x v="33"/>
    <m/>
    <m/>
    <m/>
    <n v="0"/>
    <m/>
    <m/>
    <m/>
    <m/>
    <m/>
    <m/>
    <m/>
    <m/>
    <m/>
    <n v="0"/>
    <n v="101625"/>
    <n v="30487.5"/>
    <n v="71137.5"/>
    <n v="0"/>
    <n v="0"/>
    <n v="0"/>
  </r>
  <r>
    <n v="169"/>
    <n v="2927"/>
    <x v="3"/>
    <s v="\\dg94stoc.onema.fr\partages_$\dg94_dcuat\ECOPHYTO\ECOPHYTO 2018\CONVENTIONS\ECOPHYTO II\AXE 3  EVALUER ET MAITRISER LES RISQUES ET LES IMPACTS\INERIS\2016\2927 CARTO'EXPO"/>
    <x v="3"/>
    <x v="27"/>
    <s v="INERIS"/>
    <x v="112"/>
    <x v="0"/>
    <m/>
    <m/>
    <m/>
    <m/>
    <n v="24"/>
    <n v="6"/>
    <n v="30"/>
    <d v="2016-11-22T00:00:00"/>
    <d v="2016-11-22T00:00:00"/>
    <d v="2018-10-31T00:00:00"/>
    <d v="2018-04-30T00:00:00"/>
    <d v="2017-11-30T00:00:00"/>
    <d v="2019-05-21T00:00:00"/>
    <s v="V2"/>
    <m/>
    <m/>
    <m/>
    <m/>
    <m/>
    <x v="59"/>
    <x v="50"/>
    <n v="40000"/>
    <x v="9"/>
    <n v="30000"/>
    <x v="22"/>
    <n v="30000"/>
    <x v="32"/>
    <m/>
    <m/>
    <m/>
    <n v="0"/>
    <m/>
    <m/>
    <m/>
    <m/>
    <m/>
    <m/>
    <m/>
    <m/>
    <m/>
    <n v="0"/>
    <n v="100000"/>
    <n v="30000"/>
    <n v="70000"/>
    <n v="0"/>
    <n v="0"/>
    <n v="0"/>
  </r>
  <r>
    <n v="170"/>
    <n v="2928"/>
    <x v="3"/>
    <s v="\\dg94stoc.onema.fr\partages_$\dg94_dcuat\ECOPHYTO\ECOPHYTO 2018\CONVENTIONS\ECOPHYTO II\AXE 1 AGIR AUJOURDHUI ET FAIRE EVOLUER LES PRATIQUES\TERRES INOVIA\2016\PLEVOP"/>
    <x v="2"/>
    <x v="2"/>
    <s v="Terres Inovia"/>
    <x v="113"/>
    <x v="0"/>
    <m/>
    <m/>
    <m/>
    <m/>
    <n v="36"/>
    <n v="6"/>
    <n v="42"/>
    <d v="2016-11-22T00:00:00"/>
    <d v="2016-11-22T00:00:00"/>
    <d v="2019-10-31T00:00:00"/>
    <d v="2019-04-30T00:00:00"/>
    <d v="2018-05-31T00:00:00"/>
    <d v="2020-05-21T00:00:00"/>
    <s v="V2"/>
    <m/>
    <m/>
    <m/>
    <m/>
    <m/>
    <x v="151"/>
    <x v="50"/>
    <n v="25142.074640000003"/>
    <x v="15"/>
    <n v="18856.555980000001"/>
    <x v="17"/>
    <n v="18856.555980000001"/>
    <x v="33"/>
    <m/>
    <m/>
    <m/>
    <n v="0"/>
    <m/>
    <m/>
    <m/>
    <m/>
    <m/>
    <m/>
    <m/>
    <m/>
    <m/>
    <n v="0"/>
    <n v="62855.186600000001"/>
    <n v="18856.555980000001"/>
    <n v="43998.630619999996"/>
    <n v="0"/>
    <n v="0"/>
    <n v="0"/>
  </r>
  <r>
    <n v="171"/>
    <n v="2929"/>
    <x v="3"/>
    <s v="\\dg94stoc.onema.fr\partages_$\dg94_dcuat\ECOPHYTO\ECOPHYTO 2018\CONVENTIONS\ECOPHYTO II\AXE 5  POLITIQUES PUBLIQUES, TERRITOIRES ET FILIERES\SYNDICAT DE DEFENSE DE L'AOP POMME DU LIMOUSIN\2016\2929"/>
    <x v="7"/>
    <x v="26"/>
    <s v="Syndicat de défense de l'AOP Pomme du Limousin"/>
    <x v="114"/>
    <x v="0"/>
    <m/>
    <m/>
    <m/>
    <m/>
    <n v="8"/>
    <n v="6"/>
    <n v="14"/>
    <d v="2016-11-22T00:00:00"/>
    <d v="2016-11-22T00:00:00"/>
    <d v="2017-06-30T00:00:00"/>
    <d v="2016-12-30T00:00:00"/>
    <d v="2017-03-31T00:00:00"/>
    <d v="2018-01-21T00:00:00"/>
    <s v="V2"/>
    <m/>
    <m/>
    <m/>
    <m/>
    <m/>
    <x v="152"/>
    <x v="50"/>
    <n v="9000"/>
    <x v="2"/>
    <n v="6750"/>
    <x v="10"/>
    <n v="6750"/>
    <x v="32"/>
    <m/>
    <m/>
    <m/>
    <n v="0"/>
    <m/>
    <m/>
    <m/>
    <m/>
    <m/>
    <m/>
    <m/>
    <m/>
    <m/>
    <n v="0"/>
    <n v="22500"/>
    <n v="6750"/>
    <n v="15750"/>
    <n v="0"/>
    <n v="0"/>
    <n v="0"/>
  </r>
  <r>
    <n v="172"/>
    <n v="2930"/>
    <x v="3"/>
    <s v="\\dg94stoc.onema.fr\partages_$\dg94_dcuat\ECOPHYTO\ECOPHYTO 2018\CONVENTIONS\ECOPHYTO II\AXE 4  JEVI (jardins, espaces végétalisés et infrastructures)\UNEP\2016\2930"/>
    <x v="1"/>
    <x v="1"/>
    <s v="UNEP"/>
    <x v="115"/>
    <x v="0"/>
    <m/>
    <m/>
    <m/>
    <m/>
    <n v="14"/>
    <n v="6"/>
    <n v="20"/>
    <d v="2016-11-22T00:00:00"/>
    <d v="2016-11-22T00:00:00"/>
    <d v="2017-12-31T00:00:00"/>
    <d v="2017-06-30T00:00:00"/>
    <d v="2017-06-30T00:00:00"/>
    <d v="2018-07-21T00:00:00"/>
    <s v="V2"/>
    <m/>
    <m/>
    <m/>
    <m/>
    <m/>
    <x v="153"/>
    <x v="50"/>
    <n v="3400"/>
    <x v="20"/>
    <n v="2550"/>
    <x v="23"/>
    <n v="2550"/>
    <x v="32"/>
    <m/>
    <m/>
    <m/>
    <n v="0"/>
    <m/>
    <m/>
    <m/>
    <m/>
    <m/>
    <m/>
    <m/>
    <m/>
    <m/>
    <n v="0"/>
    <n v="8500"/>
    <n v="2550"/>
    <n v="5950"/>
    <n v="0"/>
    <n v="0"/>
    <n v="0"/>
  </r>
  <r>
    <n v="173"/>
    <n v="2935"/>
    <x v="3"/>
    <s v="\\dg94stoc.onema.fr\partages_$\dg94_dcuat\ECOPHYTO\ECOPHYTO 2018\CONVENTIONS\ECOPHYTO II\AXE 3  EVALUER ET MAITRISER LES RISQUES ET LES IMPACTS\INERIS\2016\2935 NTSEnvi"/>
    <x v="3"/>
    <x v="27"/>
    <s v="INERIS"/>
    <x v="116"/>
    <x v="0"/>
    <m/>
    <m/>
    <m/>
    <m/>
    <n v="36"/>
    <n v="6"/>
    <n v="42"/>
    <d v="2016-11-23T00:00:00"/>
    <d v="2016-11-22T00:00:00"/>
    <d v="2019-10-31T00:00:00"/>
    <d v="2019-04-30T00:00:00"/>
    <d v="2018-05-31T00:00:00"/>
    <d v="2020-05-22T00:00:00"/>
    <s v="V2"/>
    <m/>
    <m/>
    <m/>
    <m/>
    <m/>
    <x v="154"/>
    <x v="52"/>
    <n v="7500"/>
    <x v="15"/>
    <n v="5625"/>
    <x v="17"/>
    <n v="5625"/>
    <x v="23"/>
    <m/>
    <m/>
    <m/>
    <n v="0"/>
    <m/>
    <m/>
    <m/>
    <m/>
    <m/>
    <m/>
    <m/>
    <m/>
    <m/>
    <n v="0"/>
    <n v="18750"/>
    <n v="5625"/>
    <n v="13125"/>
    <n v="0"/>
    <n v="0"/>
    <n v="0"/>
  </r>
  <r>
    <n v="174"/>
    <n v="2936"/>
    <x v="3"/>
    <s v="\\dg94stoc.onema.fr\partages_$\dg94_dcuat\ECOPHYTO\ECOPHYTO 2018\CONVENTIONS\ECOPHYTO II\AXE 1 AGIR AUJOURDHUI ET FAIRE EVOLUER LES PRATIQUES\FNAB\2016\Transferabio"/>
    <x v="2"/>
    <x v="16"/>
    <s v="FNAB"/>
    <x v="117"/>
    <x v="0"/>
    <m/>
    <m/>
    <m/>
    <m/>
    <n v="24"/>
    <n v="6"/>
    <n v="30"/>
    <d v="2016-11-24T00:00:00"/>
    <d v="2016-11-24T00:00:00"/>
    <d v="2018-10-31T00:00:00"/>
    <d v="2018-04-30T00:00:00"/>
    <d v="2017-11-30T00:00:00"/>
    <d v="2019-05-23T00:00:00"/>
    <s v="V2"/>
    <m/>
    <m/>
    <m/>
    <m/>
    <m/>
    <x v="155"/>
    <x v="53"/>
    <n v="68000"/>
    <x v="9"/>
    <n v="51000"/>
    <x v="22"/>
    <n v="0"/>
    <x v="24"/>
    <m/>
    <m/>
    <m/>
    <n v="0"/>
    <m/>
    <m/>
    <m/>
    <m/>
    <m/>
    <m/>
    <m/>
    <m/>
    <m/>
    <n v="0"/>
    <n v="170000"/>
    <n v="0"/>
    <n v="170000"/>
    <n v="0"/>
    <n v="0"/>
    <n v="0"/>
  </r>
  <r>
    <n v="175"/>
    <n v="2937"/>
    <x v="3"/>
    <s v="\\dg94stoc.onema.fr\partages_$\dg94_dcuat\ECOPHYTO\ECOPHYTO 2018\CONVENTIONS\ECOPHYTO II\AXE 1 AGIR AUJOURDHUI ET FAIRE EVOLUER LES PRATIQUES\IRSTEA\2016\2016"/>
    <x v="2"/>
    <x v="2"/>
    <s v="IRSTEA"/>
    <x v="118"/>
    <x v="0"/>
    <m/>
    <m/>
    <m/>
    <m/>
    <n v="24"/>
    <n v="6"/>
    <n v="30"/>
    <d v="2016-11-24T00:00:00"/>
    <d v="2016-11-24T00:00:00"/>
    <d v="2018-10-31T00:00:00"/>
    <d v="2018-04-30T00:00:00"/>
    <d v="2017-11-30T00:00:00"/>
    <d v="2019-05-23T00:00:00"/>
    <s v="V2"/>
    <m/>
    <s v="ludovic.bonnard@agriculture.gouv.fr"/>
    <m/>
    <m/>
    <m/>
    <x v="156"/>
    <x v="53"/>
    <n v="39374.896000000008"/>
    <x v="9"/>
    <n v="29531.171999999999"/>
    <x v="22"/>
    <n v="29531.171999999999"/>
    <x v="23"/>
    <m/>
    <m/>
    <m/>
    <n v="0"/>
    <m/>
    <m/>
    <m/>
    <m/>
    <m/>
    <m/>
    <m/>
    <m/>
    <m/>
    <n v="0"/>
    <n v="98437.24"/>
    <n v="29531.171999999999"/>
    <n v="68906.067999999999"/>
    <n v="0"/>
    <n v="0"/>
    <n v="0"/>
  </r>
  <r>
    <n v="176"/>
    <n v="2938"/>
    <x v="3"/>
    <s v="\\dg94stoc.onema.fr\partages_$\dg94_dcuat\ECOPHYTO\ECOPHYTO 2018\CONVENTIONS\ECOPHYTO II\AXE 4  JEVI (jardins, espaces végétalisés et infrastructures)\FREDON BRETAGNE\2016\GEPED"/>
    <x v="1"/>
    <x v="1"/>
    <s v="FREDON Bretagne"/>
    <x v="119"/>
    <x v="0"/>
    <m/>
    <m/>
    <m/>
    <m/>
    <n v="12"/>
    <n v="6"/>
    <n v="18"/>
    <d v="2016-11-24T00:00:00"/>
    <d v="2016-11-24T00:00:00"/>
    <d v="2017-10-31T00:00:00"/>
    <d v="2017-04-30T00:00:00"/>
    <d v="2017-05-31T00:00:00"/>
    <d v="2018-05-23T00:00:00"/>
    <s v="V2"/>
    <m/>
    <m/>
    <m/>
    <m/>
    <m/>
    <x v="157"/>
    <x v="53"/>
    <n v="7800"/>
    <x v="17"/>
    <n v="5850"/>
    <x v="14"/>
    <n v="0"/>
    <x v="24"/>
    <m/>
    <m/>
    <m/>
    <n v="0"/>
    <m/>
    <m/>
    <m/>
    <m/>
    <m/>
    <m/>
    <m/>
    <m/>
    <m/>
    <n v="0"/>
    <n v="19500"/>
    <n v="0"/>
    <n v="19500"/>
    <n v="0"/>
    <n v="0"/>
    <n v="0"/>
  </r>
  <r>
    <n v="177"/>
    <n v="2939"/>
    <x v="3"/>
    <s v="\\dg94stoc.onema.fr\partages_$\dg94_dcuat\ECOPHYTO\ECOPHYTO 2018\CONVENTIONS\ECOPHYTO II\AXE 1 AGIR AUJOURDHUI ET FAIRE EVOLUER LES PRATIQUES\ASTREDHOR\2016\S@MCHANGE"/>
    <x v="2"/>
    <x v="2"/>
    <s v="ASTREDHOR"/>
    <x v="120"/>
    <x v="0"/>
    <m/>
    <m/>
    <m/>
    <m/>
    <n v="36"/>
    <n v="6"/>
    <n v="42"/>
    <d v="2016-11-16T00:00:00"/>
    <d v="2016-11-16T00:00:00"/>
    <d v="2019-10-31T00:00:00"/>
    <d v="2019-04-30T00:00:00"/>
    <d v="2018-05-31T00:00:00"/>
    <d v="2020-05-15T00:00:00"/>
    <s v="V2"/>
    <m/>
    <m/>
    <m/>
    <m/>
    <m/>
    <x v="158"/>
    <x v="40"/>
    <n v="50600"/>
    <x v="15"/>
    <n v="37950"/>
    <x v="17"/>
    <n v="37950"/>
    <x v="23"/>
    <m/>
    <m/>
    <m/>
    <n v="0"/>
    <m/>
    <m/>
    <m/>
    <m/>
    <m/>
    <m/>
    <m/>
    <m/>
    <m/>
    <n v="0"/>
    <n v="126500"/>
    <n v="37950"/>
    <n v="88550"/>
    <n v="0"/>
    <n v="0"/>
    <n v="0"/>
  </r>
  <r>
    <n v="178"/>
    <n v="2940"/>
    <x v="3"/>
    <s v="\\dg94stoc.onema.fr\partages_$\dg94_dcuat\ECOPHYTO\ECOPHYTO 2018\CONVENTIONS\ECOPHYTO II\AXE 1 AGIR AUJOURDHUI ET FAIRE EVOLUER LES PRATIQUES\APCA ANNUELLE\2016\ACCA"/>
    <x v="2"/>
    <x v="16"/>
    <s v="APCA"/>
    <x v="121"/>
    <x v="0"/>
    <m/>
    <m/>
    <m/>
    <m/>
    <n v="12"/>
    <n v="6"/>
    <n v="18"/>
    <d v="2016-11-22T00:00:00"/>
    <d v="2016-11-22T00:00:00"/>
    <d v="2017-10-31T00:00:00"/>
    <d v="2017-04-30T00:00:00"/>
    <d v="2017-05-31T00:00:00"/>
    <d v="2018-05-21T00:00:00"/>
    <s v="V2"/>
    <m/>
    <m/>
    <m/>
    <m/>
    <m/>
    <x v="159"/>
    <x v="50"/>
    <n v="21707.600000000002"/>
    <x v="17"/>
    <n v="16280.699999999999"/>
    <x v="14"/>
    <n v="0"/>
    <x v="24"/>
    <m/>
    <m/>
    <m/>
    <n v="0"/>
    <m/>
    <m/>
    <m/>
    <m/>
    <m/>
    <m/>
    <m/>
    <m/>
    <m/>
    <n v="0"/>
    <n v="54269"/>
    <n v="0"/>
    <n v="54269"/>
    <n v="0"/>
    <n v="0"/>
    <n v="0"/>
  </r>
  <r>
    <n v="179"/>
    <n v="2799"/>
    <x v="2"/>
    <s v="\\dg94stoc.onema.fr\partages_$\dg94_dcuat\ECOPHYTO\ECOPHYTO 2018\CONVENTIONS\ECOPHYTO I\Axe 9\2016\Irstea RESAPHY 2"/>
    <x v="10"/>
    <x v="25"/>
    <s v="IRSTEA "/>
    <x v="122"/>
    <x v="0"/>
    <m/>
    <m/>
    <m/>
    <m/>
    <n v="18"/>
    <n v="6"/>
    <n v="24"/>
    <d v="2016-07-21T00:00:00"/>
    <d v="2016-07-21T00:00:00"/>
    <d v="2017-12-31T00:00:00"/>
    <d v="2017-06-30T00:00:00"/>
    <d v="2017-04-30T00:00:00"/>
    <d v="2018-07-20T00:00:00"/>
    <s v="V2"/>
    <m/>
    <s v="MAAF/SG/SAFSL/SDTPS/BSST"/>
    <m/>
    <m/>
    <m/>
    <x v="160"/>
    <x v="24"/>
    <n v="75522"/>
    <x v="8"/>
    <n v="56641.5"/>
    <x v="23"/>
    <n v="56641.5"/>
    <x v="11"/>
    <m/>
    <m/>
    <m/>
    <n v="0"/>
    <m/>
    <m/>
    <m/>
    <m/>
    <m/>
    <m/>
    <m/>
    <m/>
    <m/>
    <n v="0"/>
    <n v="188805"/>
    <n v="56641.5"/>
    <n v="132163.5"/>
    <n v="0"/>
    <n v="0"/>
    <n v="0"/>
  </r>
  <r>
    <n v="180"/>
    <n v="2856"/>
    <x v="2"/>
    <s v="\\dg94stoc.onema.fr\partages_$\dg94_dcuat\ECOPHYTO\ECOPHYTO 2018\CONVENTIONS\ECOPHYTO II\AXE 2  AMELIORER LES CONNAISSANCES ET LES OUTILS POUR DEMAIN ET ENCOURAGER LA RECHERCHE ET L’INNOVATION\INRA\2016\SMART IPM"/>
    <x v="4"/>
    <x v="4"/>
    <s v="INRA"/>
    <x v="123"/>
    <x v="0"/>
    <m/>
    <m/>
    <m/>
    <m/>
    <n v="36"/>
    <n v="6"/>
    <n v="42"/>
    <s v="30/09/2016"/>
    <s v="17/06/2016"/>
    <d v="2019-05-31T00:00:00"/>
    <d v="2018-11-30T00:00:00"/>
    <d v="2017-12-31T00:00:00"/>
    <d v="2020-03-29T00:00:00"/>
    <s v="V2"/>
    <m/>
    <s v="Gerard GAUTIER-HAMON &lt;gerard.gautier-hamon@agriculture.gouv.fr&gt;"/>
    <m/>
    <m/>
    <m/>
    <x v="161"/>
    <x v="36"/>
    <n v="79040"/>
    <x v="11"/>
    <n v="59280"/>
    <x v="12"/>
    <n v="59280"/>
    <x v="21"/>
    <m/>
    <m/>
    <m/>
    <n v="0"/>
    <m/>
    <m/>
    <m/>
    <m/>
    <m/>
    <m/>
    <m/>
    <m/>
    <m/>
    <n v="0"/>
    <n v="197600"/>
    <n v="59280"/>
    <n v="138320"/>
    <n v="0"/>
    <n v="0"/>
    <n v="0"/>
  </r>
  <r>
    <n v="181"/>
    <m/>
    <x v="3"/>
    <m/>
    <x v="3"/>
    <x v="30"/>
    <s v="Centre régional de lutte contre le cancer François Baclesse"/>
    <x v="124"/>
    <x v="4"/>
    <m/>
    <m/>
    <m/>
    <m/>
    <n v="18"/>
    <n v="6"/>
    <n v="24"/>
    <m/>
    <m/>
    <s v=""/>
    <s v=""/>
    <s v=""/>
    <s v=""/>
    <s v="V2"/>
    <m/>
    <m/>
    <m/>
    <m/>
    <m/>
    <x v="162"/>
    <x v="41"/>
    <n v="59000"/>
    <x v="6"/>
    <n v="44250"/>
    <x v="15"/>
    <n v="0"/>
    <x v="24"/>
    <m/>
    <m/>
    <m/>
    <n v="0"/>
    <m/>
    <m/>
    <m/>
    <m/>
    <m/>
    <m/>
    <m/>
    <m/>
    <m/>
    <n v="0"/>
    <n v="147500"/>
    <n v="0"/>
    <n v="147500"/>
    <n 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rowHeaderCaption="Statuts">
  <location ref="A1:F6" firstHeaderRow="0" firstDataRow="1" firstDataCol="1"/>
  <pivotFields count="57">
    <pivotField showAll="0"/>
    <pivotField showAll="0"/>
    <pivotField multipleItemSelectionAllowed="1" showAll="0">
      <items count="5">
        <item h="1" x="3"/>
        <item h="1" x="2"/>
        <item x="0"/>
        <item h="1" x="1"/>
        <item t="default"/>
      </items>
    </pivotField>
    <pivotField showAll="0"/>
    <pivotField axis="axisRow" showAll="0">
      <items count="12">
        <item sd="0" x="2"/>
        <item sd="0" x="4"/>
        <item sd="0" x="3"/>
        <item sd="0" x="1"/>
        <item sd="0" x="7"/>
        <item sd="0" x="6"/>
        <item sd="0" x="5"/>
        <item sd="0" x="8"/>
        <item sd="0" x="9"/>
        <item sd="0" x="10"/>
        <item sd="0" x="0"/>
        <item t="default"/>
      </items>
    </pivotField>
    <pivotField axis="axisRow" showAll="0">
      <items count="33">
        <item sd="0" x="12"/>
        <item x="15"/>
        <item sd="0" x="16"/>
        <item x="17"/>
        <item x="27"/>
        <item x="20"/>
        <item x="30"/>
        <item x="21"/>
        <item x="3"/>
        <item sd="0" x="29"/>
        <item x="5"/>
        <item sd="0" x="26"/>
        <item sd="0" x="31"/>
        <item sd="0" x="8"/>
        <item sd="0" x="7"/>
        <item sd="0" x="24"/>
        <item sd="0" x="2"/>
        <item sd="0" x="28"/>
        <item x="9"/>
        <item sd="0" x="1"/>
        <item sd="0" x="11"/>
        <item sd="0" x="10"/>
        <item x="22"/>
        <item x="23"/>
        <item sd="0" x="6"/>
        <item sd="0" x="13"/>
        <item x="18"/>
        <item x="19"/>
        <item x="4"/>
        <item sd="0" x="14"/>
        <item sd="0" x="25"/>
        <item x="0"/>
        <item t="default"/>
      </items>
    </pivotField>
    <pivotField showAll="0"/>
    <pivotField axis="axisRow" dataField="1" showAll="0">
      <items count="126">
        <item x="54"/>
        <item x="49"/>
        <item x="45"/>
        <item x="46"/>
        <item x="43"/>
        <item x="76"/>
        <item x="52"/>
        <item x="82"/>
        <item x="122"/>
        <item x="123"/>
        <item x="105"/>
        <item x="121"/>
        <item x="102"/>
        <item x="56"/>
        <item x="106"/>
        <item x="97"/>
        <item x="83"/>
        <item x="57"/>
        <item x="95"/>
        <item x="55"/>
        <item x="109"/>
        <item x="26"/>
        <item x="110"/>
        <item x="62"/>
        <item x="73"/>
        <item x="23"/>
        <item x="78"/>
        <item x="47"/>
        <item x="91"/>
        <item x="112"/>
        <item x="36"/>
        <item x="2"/>
        <item x="29"/>
        <item x="28"/>
        <item x="79"/>
        <item x="40"/>
        <item x="15"/>
        <item x="42"/>
        <item x="72"/>
        <item x="14"/>
        <item x="67"/>
        <item x="30"/>
        <item x="21"/>
        <item x="68"/>
        <item x="99"/>
        <item x="100"/>
        <item x="80"/>
        <item x="86"/>
        <item x="58"/>
        <item x="124"/>
        <item x="22"/>
        <item x="0"/>
        <item x="25"/>
        <item x="35"/>
        <item x="33"/>
        <item x="98"/>
        <item x="53"/>
        <item x="85"/>
        <item x="16"/>
        <item x="41"/>
        <item x="107"/>
        <item x="63"/>
        <item x="64"/>
        <item x="111"/>
        <item x="12"/>
        <item x="93"/>
        <item x="11"/>
        <item x="108"/>
        <item x="101"/>
        <item x="94"/>
        <item x="18"/>
        <item x="119"/>
        <item x="31"/>
        <item x="74"/>
        <item x="75"/>
        <item x="115"/>
        <item x="38"/>
        <item x="59"/>
        <item x="81"/>
        <item x="6"/>
        <item x="104"/>
        <item x="89"/>
        <item x="118"/>
        <item x="90"/>
        <item x="66"/>
        <item x="5"/>
        <item x="88"/>
        <item x="114"/>
        <item x="19"/>
        <item x="20"/>
        <item x="44"/>
        <item x="8"/>
        <item x="116"/>
        <item x="87"/>
        <item x="4"/>
        <item x="34"/>
        <item x="51"/>
        <item x="3"/>
        <item x="70"/>
        <item x="69"/>
        <item x="113"/>
        <item x="37"/>
        <item x="48"/>
        <item x="13"/>
        <item x="24"/>
        <item x="96"/>
        <item x="120"/>
        <item x="77"/>
        <item x="1"/>
        <item x="71"/>
        <item x="7"/>
        <item x="27"/>
        <item x="17"/>
        <item x="10"/>
        <item x="32"/>
        <item x="65"/>
        <item x="9"/>
        <item x="39"/>
        <item x="61"/>
        <item x="117"/>
        <item x="84"/>
        <item x="50"/>
        <item x="60"/>
        <item x="103"/>
        <item x="92"/>
        <item t="default"/>
      </items>
    </pivotField>
    <pivotField axis="axisRow" multipleItemSelectionAllowed="1" showAll="0">
      <items count="6">
        <item sd="0" x="4"/>
        <item sd="0" x="3"/>
        <item sd="0" x="1"/>
        <item sd="0" x="0"/>
        <item sd="0"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numFmtId="44" showAll="0"/>
    <pivotField showAll="0">
      <items count="56">
        <item x="41"/>
        <item m="1" x="54"/>
        <item x="0"/>
        <item x="1"/>
        <item x="2"/>
        <item x="3"/>
        <item x="11"/>
        <item x="4"/>
        <item x="5"/>
        <item x="6"/>
        <item x="7"/>
        <item x="8"/>
        <item x="9"/>
        <item x="10"/>
        <item x="12"/>
        <item x="13"/>
        <item x="28"/>
        <item x="14"/>
        <item x="15"/>
        <item x="17"/>
        <item x="18"/>
        <item x="19"/>
        <item x="16"/>
        <item x="20"/>
        <item x="21"/>
        <item x="22"/>
        <item x="23"/>
        <item x="24"/>
        <item x="26"/>
        <item x="27"/>
        <item x="29"/>
        <item x="30"/>
        <item x="25"/>
        <item x="31"/>
        <item x="42"/>
        <item x="32"/>
        <item x="33"/>
        <item x="34"/>
        <item x="35"/>
        <item x="36"/>
        <item x="43"/>
        <item x="44"/>
        <item x="37"/>
        <item x="45"/>
        <item x="46"/>
        <item x="38"/>
        <item x="39"/>
        <item x="47"/>
        <item x="40"/>
        <item x="48"/>
        <item x="49"/>
        <item x="51"/>
        <item x="50"/>
        <item x="52"/>
        <item x="53"/>
        <item t="default"/>
      </items>
    </pivotField>
    <pivotField dataField="1" numFmtId="44" showAll="0"/>
    <pivotField showAll="0"/>
    <pivotField dataField="1" numFmtId="44" showAll="0"/>
    <pivotField showAll="0"/>
    <pivotField numFmtId="44" showAll="0"/>
    <pivotField showAll="0"/>
    <pivotField showAll="0"/>
    <pivotField showAll="0"/>
    <pivotField showAll="0"/>
    <pivotField numFmtId="44" showAll="0"/>
    <pivotField showAll="0"/>
    <pivotField showAll="0"/>
    <pivotField showAll="0"/>
    <pivotField showAll="0"/>
    <pivotField showAll="0"/>
    <pivotField showAll="0"/>
    <pivotField showAll="0"/>
    <pivotField showAll="0"/>
    <pivotField showAll="0"/>
    <pivotField numFmtId="44" showAll="0"/>
    <pivotField dataField="1" numFmtId="44" showAll="0"/>
    <pivotField numFmtId="44" showAll="0"/>
    <pivotField numFmtId="44" showAll="0"/>
    <pivotField numFmtId="44" showAll="0"/>
    <pivotField numFmtId="44" showAll="0"/>
    <pivotField numFmtId="44" showAll="0"/>
    <pivotField showAll="0" defaultSubtotal="0">
      <items count="4">
        <item x="1"/>
        <item x="2"/>
        <item x="0"/>
        <item x="3"/>
      </items>
    </pivotField>
  </pivotFields>
  <rowFields count="4">
    <field x="8"/>
    <field x="4"/>
    <field x="5"/>
    <field x="7"/>
  </rowFields>
  <rowItems count="5">
    <i>
      <x v="1"/>
    </i>
    <i>
      <x v="2"/>
    </i>
    <i>
      <x v="3"/>
    </i>
    <i>
      <x v="4"/>
    </i>
    <i t="grand">
      <x/>
    </i>
  </rowItems>
  <colFields count="1">
    <field x="-2"/>
  </colFields>
  <colItems count="5">
    <i>
      <x/>
    </i>
    <i i="1">
      <x v="1"/>
    </i>
    <i i="2">
      <x v="2"/>
    </i>
    <i i="3">
      <x v="3"/>
    </i>
    <i i="4">
      <x v="4"/>
    </i>
  </colItems>
  <dataFields count="5">
    <dataField name="Nombre de conventions" fld="7" subtotal="count" baseField="8" baseItem="0"/>
    <dataField name="Montant subvention accordée" fld="50" baseField="8" baseItem="1" numFmtId="44"/>
    <dataField name="Avance" fld="28" baseField="8" baseItem="2" numFmtId="44"/>
    <dataField name="Acompte" fld="30" baseField="8" baseItem="2" numFmtId="44"/>
    <dataField name="Solde" fld="32" baseField="8" baseItem="2" numFmtId="44"/>
  </dataFields>
  <formats count="9">
    <format dxfId="13">
      <pivotArea field="8" type="button" dataOnly="0" labelOnly="1" outline="0" axis="axisRow" fieldPosition="0"/>
    </format>
    <format dxfId="12">
      <pivotArea dataOnly="0" labelOnly="1" outline="0" fieldPosition="0">
        <references count="1">
          <reference field="4294967294" count="5">
            <x v="0"/>
            <x v="1"/>
            <x v="2"/>
            <x v="3"/>
            <x v="4"/>
          </reference>
        </references>
      </pivotArea>
    </format>
    <format dxfId="11">
      <pivotArea field="8" type="button" dataOnly="0" labelOnly="1" outline="0" axis="axisRow" fieldPosition="0"/>
    </format>
    <format dxfId="10">
      <pivotArea dataOnly="0" labelOnly="1" outline="0" fieldPosition="0">
        <references count="1">
          <reference field="4294967294" count="5">
            <x v="0"/>
            <x v="1"/>
            <x v="2"/>
            <x v="3"/>
            <x v="4"/>
          </reference>
        </references>
      </pivotArea>
    </format>
    <format dxfId="9">
      <pivotArea field="8" type="button" dataOnly="0" labelOnly="1" outline="0" axis="axisRow" fieldPosition="0"/>
    </format>
    <format dxfId="8">
      <pivotArea dataOnly="0" labelOnly="1" outline="0" fieldPosition="0">
        <references count="1">
          <reference field="4294967294" count="5">
            <x v="0"/>
            <x v="1"/>
            <x v="2"/>
            <x v="3"/>
            <x v="4"/>
          </reference>
        </references>
      </pivotArea>
    </format>
    <format dxfId="7">
      <pivotArea outline="0" fieldPosition="0">
        <references count="1">
          <reference field="4294967294" count="1">
            <x v="2"/>
          </reference>
        </references>
      </pivotArea>
    </format>
    <format dxfId="6">
      <pivotArea outline="0" fieldPosition="0">
        <references count="1">
          <reference field="4294967294" count="1">
            <x v="3"/>
          </reference>
        </references>
      </pivotArea>
    </format>
    <format dxfId="5">
      <pivotArea outline="0" fieldPosition="0">
        <references count="1">
          <reference field="4294967294" count="1">
            <x v="4"/>
          </reference>
        </references>
      </pivotArea>
    </format>
  </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DATE_CA" sourceName="DATE CA">
  <pivotTables>
    <pivotTable tabId="9" name="Tableau croisé dynamique1"/>
  </pivotTables>
  <data>
    <tabular pivotCacheId="1">
      <items count="4">
        <i x="3"/>
        <i x="2"/>
        <i x="0" s="1"/>
        <i x="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DATE CA" cache="Segment_DATE_CA" caption="DATE CA" rowHeight="241300"/>
</slicers>
</file>

<file path=xl/tables/table1.xml><?xml version="1.0" encoding="utf-8"?>
<table xmlns="http://schemas.openxmlformats.org/spreadsheetml/2006/main" id="1" name="Tableau2" displayName="Tableau2" ref="A1:BD179" totalsRowShown="0" headerRowDxfId="72" dataDxfId="71" tableBorderDxfId="70">
  <autoFilter ref="A1:BD179"/>
  <tableColumns count="56">
    <tableColumn id="61" name="Clé_x000a_primaire" dataDxfId="69"/>
    <tableColumn id="1" name="N°SIREPA" dataDxfId="68"/>
    <tableColumn id="2" name="DATE CA" dataDxfId="67"/>
    <tableColumn id="46" name="R_x000a_E_x000a_S_x000a_E_x000a_A_x000a_U_x000a_" dataDxfId="66" dataCellStyle="Lien hypertexte"/>
    <tableColumn id="12" name="A_x000a_X_x000a_E_x000a_" dataDxfId="65"/>
    <tableColumn id="11" name="A_x000a_C_x000a_T_x000a_I_x000a_O_x000a_N" dataDxfId="64"/>
    <tableColumn id="10" name="PORTEUR_x000a_DE_x000a_PROJET" dataDxfId="63"/>
    <tableColumn id="4" name="LIBELE_x000a_PROJET" dataDxfId="62"/>
    <tableColumn id="5" name="STATUT" dataDxfId="61"/>
    <tableColumn id="43" name="Avenant 1 date signature" dataDxfId="60"/>
    <tableColumn id="35" name="Objet avenant 1" dataDxfId="59"/>
    <tableColumn id="33" name="Avenant 2 date signature" dataDxfId="58"/>
    <tableColumn id="14" name="Objet avenant 2" dataDxfId="57"/>
    <tableColumn id="16" name="Durée du projet" dataDxfId="56"/>
    <tableColumn id="42" name="Durée suppl' pour pièces" dataDxfId="55"/>
    <tableColumn id="13" name="Durée totale conv' " dataDxfId="54">
      <calculatedColumnFormula>IF(Tableau2[[#This Row],[Durée du projet]]="","-",Tableau2[[#This Row],[Durée du projet]]+Tableau2[[#This Row],[Durée suppl'' pour pièces]])</calculatedColumnFormula>
    </tableColumn>
    <tableColumn id="9" name="Date signature " dataDxfId="53" dataCellStyle="Monétaire"/>
    <tableColumn id="15" name="Début éligibilité dépenses" dataDxfId="52"/>
    <tableColumn id="17" name="Fin éligibilité dépenses" dataDxfId="51">
      <calculatedColumnFormula>IF(Tableau2[[#This Row],[Date signature ]]="","",EOMONTH((EDATE(Tableau2[[#This Row],[Début éligibilité dépenses]],Tableau2[[#This Row],[Durée du projet]])),-1))</calculatedColumnFormula>
    </tableColumn>
    <tableColumn id="21" name="Échéance demande d'avenant" dataDxfId="50">
      <calculatedColumnFormula>IF(Tableau2[[#This Row],[Fin éligibilité dépenses]]="","",EDATE(Tableau2[[#This Row],[Fin éligibilité dépenses]],-6))</calculatedColumnFormula>
    </tableColumn>
    <tableColumn id="19" name="Échéance remise rapport inter'" dataDxfId="49">
      <calculatedColumnFormula>IF(Tableau2[[#This Row],[Début éligibilité dépenses]]="","",EOMONTH(EDATE(Tableau2[[#This Row],[Début éligibilité dépenses]],Tableau2[[#This Row],[Durée du projet]]/2),0))</calculatedColumnFormula>
    </tableColumn>
    <tableColumn id="18" name="Échéance de la conv' et rapport final" dataDxfId="48">
      <calculatedColumnFormula>IF(Tableau2[[#This Row],[Date signature ]]="","",EDATE(Tableau2[[#This Row],[Date signature ]],Tableau2[[#This Row],[Durée totale conv'' ]])-1)</calculatedColumnFormula>
    </tableColumn>
    <tableColumn id="37" name="Version du plan" dataDxfId="47"/>
    <tableColumn id="47" name="Enveloppe" dataDxfId="46"/>
    <tableColumn id="3" name="Pilote d'axe" dataDxfId="45"/>
    <tableColumn id="59" name="Contact Pilote" dataDxfId="44"/>
    <tableColumn id="60" name="Contact Porteur" dataDxfId="43"/>
    <tableColumn id="58" name="Observations" dataDxfId="42"/>
    <tableColumn id="24" name="AVANCE PREVUE" dataDxfId="41" dataCellStyle="Monétaire">
      <calculatedColumnFormula>IF(Tableau2[[#This Row],[PORTEUR
DE
PROJET]]="",0,IF(COUNTIF(Tableau2[[#This Row],[PORTEUR
DE
PROJET]],"CRA*")=1,Tableau2[[#This Row],[Montant participation à signature]]/2,Tableau2[[#This Row],[Montant participation à signature]]*0.3))</calculatedColumnFormula>
    </tableColumn>
    <tableColumn id="25" name="Date de l'avance prévue" dataDxfId="40">
      <calculatedColumnFormula>IF(Tableau2[[#This Row],[Date signature ]]="","",EDATE(Tableau2[[#This Row],[Date signature ]],1))</calculatedColumnFormula>
    </tableColumn>
    <tableColumn id="26" name="ACOMPTE PREVU" dataDxfId="39" dataCellStyle="Monétaire">
      <calculatedColumnFormula>IF(Tableau2[[#This Row],[PORTEUR
DE
PROJET]]="",0,IF(COUNTIF(Tableau2[[#This Row],[PORTEUR
DE
PROJET]],"CRA*")=1,,Tableau2[[#This Row],[Montant participation à signature]]*0.4))</calculatedColumnFormula>
    </tableColumn>
    <tableColumn id="28" name="Date de l'acompte prévue" dataDxfId="38">
      <calculatedColumnFormula>IF(Tableau2[[#This Row],[Date signature ]]="","",IF(Tableau2[[#This Row],[ACOMPTE PREVU]]=0,"",EOMONTH(EDATE(Tableau2[[#This Row],[Date signature ]],Tableau2[[#This Row],[Durée du projet]]/2),0)))</calculatedColumnFormula>
    </tableColumn>
    <tableColumn id="34" name="SOLDE PREVU" dataDxfId="37" dataCellStyle="Monétaire">
      <calculatedColumnFormula>IF(Tableau2[[#This Row],[PORTEUR
DE
PROJET]]="",0,IF(COUNTIF(Tableau2[[#This Row],[PORTEUR
DE
PROJET]],"CRA*")=1,Tableau2[[#This Row],[Montant participation à signature]]/2,Tableau2[[#This Row],[Montant participation à signature]]*0.3))</calculatedColumnFormula>
    </tableColumn>
    <tableColumn id="36" name="Date du solde prévue  " dataDxfId="36">
      <calculatedColumnFormula>IF(Tableau2[[#This Row],[Date signature ]]="","",EOMONTH(EDATE(Tableau2[[#This Row],[Date signature ]],Tableau2[[#This Row],[Durée du projet]]),0))</calculatedColumnFormula>
    </tableColumn>
    <tableColumn id="38" name="AVANCE VERSEE" dataDxfId="35" dataCellStyle="Monétaire">
      <calculatedColumnFormula>IF(COUNTBLANK(Tableau2[[#This Row],[Date du mandat Avance]])=1,,Tableau2[[#This Row],[AVANCE PREVUE]])</calculatedColumnFormula>
    </tableColumn>
    <tableColumn id="39" name="Date du mandat Avance" dataDxfId="34"/>
    <tableColumn id="50" name="Date de relance RI" dataDxfId="33" dataCellStyle="Monétaire"/>
    <tableColumn id="27" name="Date de réception RI" dataDxfId="32"/>
    <tableColumn id="41" name="Date envoi ASF Acompte" dataDxfId="31"/>
    <tableColumn id="40" name="ACOMPTE VERSE" dataDxfId="30" dataCellStyle="Monétaire">
      <calculatedColumnFormula>IF(COUNTBLANK(Tableau2[[#This Row],[Date envoi ASF Acompte]])=1,,Tableau2[[#This Row],[ACOMPTE PREVU]])</calculatedColumnFormula>
    </tableColumn>
    <tableColumn id="62" name="Date du mandat Acompte" dataDxfId="29" dataCellStyle="Monétaire"/>
    <tableColumn id="57" name="Date de relance RF" dataDxfId="28" dataCellStyle="Monétaire"/>
    <tableColumn id="31" name="Date de réception RF" dataDxfId="27"/>
    <tableColumn id="49" name="Date envoi l'ASF solde " dataDxfId="26"/>
    <tableColumn id="48" name="SOLDE VERSE" dataDxfId="25" dataCellStyle="Monétaire"/>
    <tableColumn id="63" name="Date mandat Solde" dataDxfId="24" dataCellStyle="Monétaire"/>
    <tableColumn id="52" name="Commentaires" dataDxfId="23"/>
    <tableColumn id="7" name="Montant du projet" dataDxfId="22" dataCellStyle="Monétaire"/>
    <tableColumn id="8" name="Montant participation voté au CA" dataDxfId="21" dataCellStyle="Monétaire"/>
    <tableColumn id="23" name="Montant des crédits non engagés" dataDxfId="20" dataCellStyle="Monétaire">
      <calculatedColumnFormula>IF(Tableau2[[#This Row],[Montant participation voté au CA]]="",0,Tableau2[[#This Row],[Montant participation voté au CA]]-Tableau2[[#This Row],[Montant participation à signature]])</calculatedColumnFormula>
    </tableColumn>
    <tableColumn id="22" name="Montant participation à signature" dataDxfId="19" dataCellStyle="Monétaire"/>
    <tableColumn id="53" name="Total CP payés" dataDxfId="18" dataCellStyle="Monétaire">
      <calculatedColumnFormula>Tableau2[[#This Row],[AVANCE VERSEE]]+Tableau2[[#This Row],[ACOMPTE VERSE]]+Tableau2[[#This Row],[SOLDE VERSE]]</calculatedColumnFormula>
    </tableColumn>
    <tableColumn id="54" name="Restes à payer " dataDxfId="17" dataCellStyle="Monétaire">
      <calculatedColumnFormula>IF(Tableau2[[#This Row],[STATUT]]="Soldée",0,Tableau2[[#This Row],[Montant participation à signature]]-Tableau2[[#This Row],[Total CP payés]])</calculatedColumnFormula>
    </tableColumn>
    <tableColumn id="55" name="Titre de recette " dataDxfId="16" dataCellStyle="Monétaire">
      <calculatedColumnFormula>IF(Tableau2[[#This Row],[SOLDE VERSE]]&lt;0,-Tableau2[[#This Row],[SOLDE VERSE]],0)</calculatedColumnFormula>
    </tableColumn>
    <tableColumn id="56" name="Réfaction" dataDxfId="15" dataCellStyle="Monétaire">
      <calculatedColumnFormula>IF(Tableau2[[#This Row],[STATUT]]="Soldée",Tableau2[[#This Row],[Montant participation à signature]]-Tableau2[[#This Row],[Total CP payés]],0)</calculatedColumnFormula>
    </tableColumn>
    <tableColumn id="6" name="Dégagement" dataDxfId="14" dataCellStyle="Monétaire">
      <calculatedColumnFormula>IF(Tableau2[[#This Row],[Montant participation voté au CA]]="",0,Tableau2[[#This Row],[Réfaction]]+Tableau2[[#This Row],[Montant des crédits non engagés]])</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2" name="Tableau1" displayName="Tableau1" ref="A1:F5" totalsRowShown="0">
  <autoFilter ref="A1:F5"/>
  <tableColumns count="6">
    <tableColumn id="1" name="Porteur de projet"/>
    <tableColumn id="2" name="Nature juridique" dataDxfId="4"/>
    <tableColumn id="3" name="Secteur" dataDxfId="3"/>
    <tableColumn id="4" name="Nom du contact " dataDxfId="2"/>
    <tableColumn id="5" name="Mail" dataDxfId="1"/>
    <tableColumn id="6" name="Téléphon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CONVENTIONS\ECOPHYTO%20II\AXE%202%20%20AMELIORER%20LES%20CONNAISSANCES%20ET%20LES%20OUTILS%20POUR%20DEMAIN%20ET%20ENCOURAGER%20LA%20RECHERCHE%20ET%20L&#8217;INNOVATION\APR%20CASDAR%202016%20CA%2019%2011%202015\DITYLUZ" TargetMode="External"/><Relationship Id="rId13" Type="http://schemas.openxmlformats.org/officeDocument/2006/relationships/hyperlink" Target="../../../CONVENTIONS/ECOPHYTO%20II/AXE%205%20%20POLITIQUES%20PUBLIQUES,%20TERRITOIRES%20ET%20FILIERES/ODEADOM/2016/Programme%20exp&#233;rimentation" TargetMode="External"/><Relationship Id="rId18" Type="http://schemas.openxmlformats.org/officeDocument/2006/relationships/hyperlink" Target="..\..\..\CONVENTIONS\ECOPHYTO%20II\AXE%203%20%20EVALUER%20ET%20MAITRISER%20LES%20RISQUES%20ET%20LES%20IMPACTS\NEGOCE%20EXPANSION\2016" TargetMode="External"/><Relationship Id="rId26" Type="http://schemas.openxmlformats.org/officeDocument/2006/relationships/hyperlink" Target="../../../CONVENTIONS/ECOPHYTO%20II/AXE%203%20%20EVALUER%20ET%20MAITRISER%20LES%20RISQUES%20ET%20LES%20IMPACTS/InvS%20DST/2016" TargetMode="External"/><Relationship Id="rId39" Type="http://schemas.openxmlformats.org/officeDocument/2006/relationships/hyperlink" Target="..\..\..\CONVENTIONS\ECOPHYTO%20II\AXE%206%20%20COMMUNIQUER%20ET%20GOUVERNANCE%20SIMPLIFIEE\FAM" TargetMode="External"/><Relationship Id="rId3" Type="http://schemas.openxmlformats.org/officeDocument/2006/relationships/hyperlink" Target="../../../CONVENTIONS/ECOPHYTO%20II/AXE%204%20%20JEVI%20(jardins,%20espaces%20v&#233;g&#233;talis&#233;s%20et%20infrastructures)/INRA/2016" TargetMode="External"/><Relationship Id="rId21" Type="http://schemas.openxmlformats.org/officeDocument/2006/relationships/hyperlink" Target="../../../CONVENTIONS/ECOPHYTO%20II/AXE%203%20%20EVALUER%20ET%20MAITRISER%20LES%20RISQUES%20ET%20LES%20IMPACTS/LSTE/2016/Former%20les%20conjoints%20des%20viticulteurs" TargetMode="External"/><Relationship Id="rId34" Type="http://schemas.openxmlformats.org/officeDocument/2006/relationships/hyperlink" Target="..\..\..\CONVENTIONS\ECOPHYTO%20II\AXE%206%20%20COMMUNIQUER%20ET%20GOUVERNANCE%20SIMPLIFIEE\FAM" TargetMode="External"/><Relationship Id="rId42" Type="http://schemas.openxmlformats.org/officeDocument/2006/relationships/hyperlink" Target="..\..\..\CONVENTIONS\ECOPHYTO%20II\AXE%206%20%20COMMUNIQUER%20ET%20GOUVERNANCE%20SIMPLIFIEE\FAM" TargetMode="External"/><Relationship Id="rId7" Type="http://schemas.openxmlformats.org/officeDocument/2006/relationships/hyperlink" Target="..\..\..\CONVENTIONS\ECOPHYTO%20I\Axe%202\Action%2014\APCA\APCA%20-%20PLURIANNUELLE%202015%20-%20n&#176;2553" TargetMode="External"/><Relationship Id="rId12" Type="http://schemas.openxmlformats.org/officeDocument/2006/relationships/hyperlink" Target="..\..\..\CONVENTIONS\ECOPHYTO%20II\AXE%201%20AGIR%20AUJOURDHUI%20ET%20FAIRE%20EVOLUER%20LES%20PRATIQUES\CRA%20DEPHY\2016" TargetMode="External"/><Relationship Id="rId17" Type="http://schemas.openxmlformats.org/officeDocument/2006/relationships/hyperlink" Target="..\..\..\CONVENTIONS\ECOPHYTO%20II\AXE%204%20%20JEVI%20(jardins,%20espaces%20v&#233;g&#233;talis&#233;s%20et%20infrastructures)\PLANTE%20ET%20CITE\2016" TargetMode="External"/><Relationship Id="rId25" Type="http://schemas.openxmlformats.org/officeDocument/2006/relationships/hyperlink" Target="../../../CONVENTIONS/ECOPHYTO%20II/AXE%203%20%20EVALUER%20ET%20MAITRISER%20LES%20RISQUES%20ET%20LES%20IMPACTS/InvS/2016/Matphyto%202" TargetMode="External"/><Relationship Id="rId33" Type="http://schemas.openxmlformats.org/officeDocument/2006/relationships/hyperlink" Target="..\..\..\CONVENTIONS\ECOPHYTO%20II\AXE%206%20%20COMMUNIQUER%20ET%20GOUVERNANCE%20SIMPLIFIEE\FAM" TargetMode="External"/><Relationship Id="rId38" Type="http://schemas.openxmlformats.org/officeDocument/2006/relationships/hyperlink" Target="..\..\..\CONVENTIONS\ECOPHYTO%20II\AXE%206%20%20COMMUNIQUER%20ET%20GOUVERNANCE%20SIMPLIFIEE\FAM" TargetMode="External"/><Relationship Id="rId2" Type="http://schemas.openxmlformats.org/officeDocument/2006/relationships/hyperlink" Target="../../../CONVENTIONS/ECOPHYTO%20II/AXE%201%20AGIR%20AUJOURDHUI%20ET%20FAIRE%20EVOLUER%20LES%20PRATIQUES/IFV/2016" TargetMode="External"/><Relationship Id="rId16" Type="http://schemas.openxmlformats.org/officeDocument/2006/relationships/hyperlink" Target="../../../CONVENTIONS/ECOPHYTO%20II/AXE%204%20%20JEVI%20(jardins,%20espaces%20v&#233;g&#233;talis&#233;s%20et%20infrastructures)/GENERATIONS%20FUTURES/2016" TargetMode="External"/><Relationship Id="rId20" Type="http://schemas.openxmlformats.org/officeDocument/2006/relationships/hyperlink" Target="../../../CONVENTIONS/ECOPHYTO%20II/AXE%206%20%20COMMUNIQUER%20ET%20GOUVERNANCE%20SIMPLIFIEE/CTIFL/2016/communication%20GIS%20PICl&#232;g" TargetMode="External"/><Relationship Id="rId29" Type="http://schemas.openxmlformats.org/officeDocument/2006/relationships/hyperlink" Target="../../../CONVENTIONS/ECOPHYTO%20II/AXE%201%20AGIR%20AUJOURDHUI%20ET%20FAIRE%20EVOLUER%20LES%20PRATIQUES/CRA%20DEPHY/2016" TargetMode="External"/><Relationship Id="rId41" Type="http://schemas.openxmlformats.org/officeDocument/2006/relationships/hyperlink" Target="..\..\..\CONVENTIONS\ECOPHYTO%20II\AXE%206%20%20COMMUNIQUER%20ET%20GOUVERNANCE%20SIMPLIFIEE\FAM" TargetMode="External"/><Relationship Id="rId1" Type="http://schemas.openxmlformats.org/officeDocument/2006/relationships/hyperlink" Target="..\..\..\CONVENTIONS\ECOPHYTO%20II\AXE%201%20AGIR%20AUJOURDHUI%20ET%20FAIRE%20EVOLUER%20LES%20PRATIQUES\Action%201%20Pratiques%20concourant%20&#224;%20la%20diminution%20de%20PP\1.1%20CEPP" TargetMode="External"/><Relationship Id="rId6" Type="http://schemas.openxmlformats.org/officeDocument/2006/relationships/hyperlink" Target="../../../CONVENTIONS/ECOPHYTO%20II/AXE%204%20%20JEVI%20(jardins,%20espaces%20v&#233;g&#233;talis&#233;s%20et%20infrastructures)/ACTA/2016" TargetMode="External"/><Relationship Id="rId11" Type="http://schemas.openxmlformats.org/officeDocument/2006/relationships/hyperlink" Target="..\..\..\CONVENTIONS\ECOPHYTO%20II\AXE%201%20AGIR%20AUJOURDHUI%20ET%20FAIRE%20EVOLUER%20LES%20PRATIQUES\CRA%20DEPHY\2016" TargetMode="External"/><Relationship Id="rId24" Type="http://schemas.openxmlformats.org/officeDocument/2006/relationships/hyperlink" Target="../../../CONVENTIONS/ECOPHYTO%20II/AXE%201%20AGIR%20AUJOURDHUI%20ET%20FAIRE%20EVOLUER%20LES%20PRATIQUES/CRA%20DEPHY/2016" TargetMode="External"/><Relationship Id="rId32" Type="http://schemas.openxmlformats.org/officeDocument/2006/relationships/hyperlink" Target="..\..\..\CONVENTIONS\ECOPHYTO%20II\AXE%206%20%20COMMUNIQUER%20ET%20GOUVERNANCE%20SIMPLIFIEE\FAM" TargetMode="External"/><Relationship Id="rId37" Type="http://schemas.openxmlformats.org/officeDocument/2006/relationships/hyperlink" Target="..\..\..\CONVENTIONS\ECOPHYTO%20II\AXE%206%20%20COMMUNIQUER%20ET%20GOUVERNANCE%20SIMPLIFIEE\FAM" TargetMode="External"/><Relationship Id="rId40" Type="http://schemas.openxmlformats.org/officeDocument/2006/relationships/hyperlink" Target="..\..\..\CONVENTIONS\ECOPHYTO%20II\AXE%206%20%20COMMUNIQUER%20ET%20GOUVERNANCE%20SIMPLIFIEE\FAM" TargetMode="External"/><Relationship Id="rId45" Type="http://schemas.openxmlformats.org/officeDocument/2006/relationships/table" Target="../tables/table1.xml"/><Relationship Id="rId5" Type="http://schemas.openxmlformats.org/officeDocument/2006/relationships/hyperlink" Target="..\..\..\CONVENTIONS\ECOPHYTO%20II\AXE%206%20%20COMMUNIQUER%20ET%20GOUVERNANCE%20SIMPLIFIEE\RAD" TargetMode="External"/><Relationship Id="rId15" Type="http://schemas.openxmlformats.org/officeDocument/2006/relationships/hyperlink" Target="../../../CONVENTIONS/ECOPHYTO%20II/AXE%204%20%20JEVI%20(jardins,%20espaces%20v&#233;g&#233;talis&#233;s%20et%20infrastructures)/JARDINOT" TargetMode="External"/><Relationship Id="rId23" Type="http://schemas.openxmlformats.org/officeDocument/2006/relationships/hyperlink" Target="../../../CONVENTIONS/ECOPHYTO%20II/AXE%201%20AGIR%20AUJOURDHUI%20ET%20FAIRE%20EVOLUER%20LES%20PRATIQUES/CRA%20DEPHY/2016" TargetMode="External"/><Relationship Id="rId28" Type="http://schemas.openxmlformats.org/officeDocument/2006/relationships/hyperlink" Target="../../../CONVENTIONS/ECOPHYTO%20II/AXE%201%20AGIR%20AUJOURDHUI%20ET%20FAIRE%20EVOLUER%20LES%20PRATIQUES/CRA%20DEPHY/2016" TargetMode="External"/><Relationship Id="rId36" Type="http://schemas.openxmlformats.org/officeDocument/2006/relationships/hyperlink" Target="..\..\..\CONVENTIONS\ECOPHYTO%20II\AXE%206%20%20COMMUNIQUER%20ET%20GOUVERNANCE%20SIMPLIFIEE\FAM" TargetMode="External"/><Relationship Id="rId10" Type="http://schemas.openxmlformats.org/officeDocument/2006/relationships/hyperlink" Target="../../../CONVENTIONS/ECOPHYTO%20II/AXE%202%20%20AMELIORER%20LES%20CONNAISSANCES%20ET%20LES%20OUTILS%20POUR%20DEMAIN%20ET%20ENCOURAGER%20LA%20RECHERCHE%20ET%20L&#8217;INNOVATION/APR%20CASDAR%202016%20CA%2019%2011%202015/IRIGAM" TargetMode="External"/><Relationship Id="rId19" Type="http://schemas.openxmlformats.org/officeDocument/2006/relationships/hyperlink" Target="..\..\..\CONVENTIONS\ECOPHYTO%20II\AXE%206%20%20COMMUNIQUER%20ET%20GOUVERNANCE%20SIMPLIFIEE\FAM" TargetMode="External"/><Relationship Id="rId31" Type="http://schemas.openxmlformats.org/officeDocument/2006/relationships/hyperlink" Target="..\..\..\CONVENTIONS\ECOPHYTO%20II\AXE%206%20%20COMMUNIQUER%20ET%20GOUVERNANCE%20SIMPLIFIEE\FAM" TargetMode="External"/><Relationship Id="rId44" Type="http://schemas.openxmlformats.org/officeDocument/2006/relationships/drawing" Target="../drawings/drawing1.xml"/><Relationship Id="rId4" Type="http://schemas.openxmlformats.org/officeDocument/2006/relationships/hyperlink" Target="../../../CONVENTIONS/ECOPHYTO%20II/AXE%201%20AGIR%20AUJOURDHUI%20ET%20FAIRE%20EVOLUER%20LES%20PRATIQUES/SOLAGRO/2016" TargetMode="External"/><Relationship Id="rId9" Type="http://schemas.openxmlformats.org/officeDocument/2006/relationships/hyperlink" Target="..\..\..\CONVENTIONS\ECOPHYTO%20II\AXE%202%20%20AMELIORER%20LES%20CONNAISSANCES%20ET%20LES%20OUTILS%20POUR%20DEMAIN%20ET%20ENCOURAGER%20LA%20RECHERCHE%20ET%20L&#8217;INNOVATION\APR%20CASDAR%202016%20CA%2019%2011%202015\SEMENCES" TargetMode="External"/><Relationship Id="rId14" Type="http://schemas.openxmlformats.org/officeDocument/2006/relationships/hyperlink" Target="../../../CONVENTIONS/ECOPHYTO%20II/AXE%205%20%20POLITIQUES%20PUBLIQUES,%20TERRITOIRES%20ET%20FILIERES/ODEADOM/2016/professionnaliser%20les%20acteurs%20et%20favoriser%20le%20transfert%20de%20comptences" TargetMode="External"/><Relationship Id="rId22" Type="http://schemas.openxmlformats.org/officeDocument/2006/relationships/hyperlink" Target="../../../CONVENTIONS/ECOPHYTO%20II/AXE%201%20AGIR%20AUJOURDHUI%20ET%20FAIRE%20EVOLUER%20LES%20PRATIQUES/CRA%20DEPHY/2016" TargetMode="External"/><Relationship Id="rId27" Type="http://schemas.openxmlformats.org/officeDocument/2006/relationships/hyperlink" Target="../../../CONVENTIONS/ECOPHYTO%20II/AXE%201%20AGIR%20AUJOURDHUI%20ET%20FAIRE%20EVOLUER%20LES%20PRATIQUES/CRA%20DEPHY/2016" TargetMode="External"/><Relationship Id="rId30" Type="http://schemas.openxmlformats.org/officeDocument/2006/relationships/hyperlink" Target="..\..\..\CONVENTIONS\ECOPHYTO%20II\AXE%206%20%20COMMUNIQUER%20ET%20GOUVERNANCE%20SIMPLIFIEE\FAM" TargetMode="External"/><Relationship Id="rId35" Type="http://schemas.openxmlformats.org/officeDocument/2006/relationships/hyperlink" Target="..\..\..\CONVENTIONS\ECOPHYTO%20II\AXE%206%20%20COMMUNIQUER%20ET%20GOUVERNANCE%20SIMPLIFIEE\FAM" TargetMode="External"/><Relationship Id="rId43"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B179"/>
  <sheetViews>
    <sheetView tabSelected="1" zoomScaleNormal="100" workbookViewId="0">
      <pane xSplit="3" ySplit="1" topLeftCell="D2" activePane="bottomRight" state="frozen"/>
      <selection activeCell="B1" sqref="B1"/>
      <selection pane="topRight" activeCell="D1" sqref="D1"/>
      <selection pane="bottomLeft" activeCell="B2" sqref="B2"/>
      <selection pane="bottomRight" activeCell="AC8" sqref="AC8"/>
    </sheetView>
  </sheetViews>
  <sheetFormatPr baseColWidth="10" defaultColWidth="9.140625" defaultRowHeight="15" x14ac:dyDescent="0.25"/>
  <cols>
    <col min="1" max="1" width="13.140625" hidden="1" customWidth="1"/>
    <col min="2" max="2" width="12.7109375" style="5" customWidth="1"/>
    <col min="3" max="3" width="13" customWidth="1"/>
    <col min="4" max="4" width="7.140625" customWidth="1"/>
    <col min="5" max="5" width="8" style="7" customWidth="1"/>
    <col min="6" max="6" width="8.140625" style="8" customWidth="1"/>
    <col min="7" max="7" width="12.42578125" style="100" customWidth="1"/>
    <col min="8" max="8" width="14" style="15" customWidth="1"/>
    <col min="9" max="9" width="9" style="15" customWidth="1"/>
    <col min="10" max="10" width="10.42578125" style="7" customWidth="1"/>
    <col min="11" max="11" width="12.140625" style="7" customWidth="1"/>
    <col min="12" max="12" width="12" customWidth="1"/>
    <col min="13" max="13" width="12.28515625" customWidth="1"/>
    <col min="14" max="16" width="8.7109375" customWidth="1"/>
    <col min="17" max="17" width="13.7109375" style="5" customWidth="1"/>
    <col min="18" max="18" width="13.7109375" style="97" customWidth="1"/>
    <col min="19" max="19" width="13.7109375" style="15" customWidth="1"/>
    <col min="20" max="20" width="13.7109375" style="9" customWidth="1"/>
    <col min="21" max="22" width="13.7109375" customWidth="1"/>
    <col min="23" max="23" width="7.5703125" customWidth="1"/>
    <col min="24" max="24" width="8.42578125" customWidth="1"/>
    <col min="25" max="25" width="10.5703125" customWidth="1"/>
    <col min="26" max="26" width="7.5703125" customWidth="1"/>
    <col min="27" max="27" width="7.7109375" customWidth="1"/>
    <col min="28" max="28" width="27.28515625" customWidth="1"/>
    <col min="29" max="29" width="14.28515625" customWidth="1"/>
    <col min="30" max="30" width="11" style="9" customWidth="1"/>
    <col min="31" max="31" width="14.28515625" style="18" customWidth="1"/>
    <col min="32" max="32" width="11" customWidth="1"/>
    <col min="33" max="33" width="14.28515625" style="7" customWidth="1"/>
    <col min="34" max="34" width="11" style="9" customWidth="1"/>
    <col min="35" max="35" width="14.28515625" customWidth="1"/>
    <col min="36" max="39" width="11" customWidth="1"/>
    <col min="40" max="40" width="14.28515625" style="7" customWidth="1"/>
    <col min="41" max="44" width="11" customWidth="1"/>
    <col min="45" max="45" width="14.28515625" style="7" customWidth="1"/>
    <col min="46" max="46" width="11" customWidth="1"/>
    <col min="47" max="47" width="14.85546875" style="7" customWidth="1"/>
    <col min="48" max="50" width="14.28515625" style="7" customWidth="1"/>
    <col min="51" max="51" width="15.28515625" style="88" customWidth="1"/>
    <col min="52" max="52" width="14.28515625" style="7" customWidth="1"/>
    <col min="53" max="53" width="15.140625" style="7" customWidth="1"/>
    <col min="54" max="56" width="14.28515625" style="7" customWidth="1"/>
    <col min="57" max="57" width="9.140625" customWidth="1"/>
    <col min="58" max="58" width="13.28515625" style="9" customWidth="1"/>
    <col min="59" max="59" width="10.140625" customWidth="1"/>
    <col min="61" max="61" width="14.42578125" customWidth="1"/>
    <col min="62" max="62" width="14" style="9" customWidth="1"/>
    <col min="63" max="63" width="14.42578125" style="7" customWidth="1"/>
    <col min="64" max="65" width="15.140625" style="7" customWidth="1"/>
    <col min="68" max="68" width="13.5703125" style="9" customWidth="1"/>
    <col min="69" max="69" width="14.42578125" style="7" customWidth="1"/>
    <col min="70" max="70" width="14.5703125" style="9" customWidth="1"/>
    <col min="71" max="71" width="18.7109375" style="9" bestFit="1" customWidth="1"/>
    <col min="72" max="72" width="14.42578125" style="7" customWidth="1"/>
    <col min="73" max="73" width="13.7109375" style="9" customWidth="1"/>
    <col min="74" max="74" width="13.42578125" style="9" customWidth="1"/>
    <col min="75" max="75" width="14.42578125" style="7" customWidth="1"/>
    <col min="76" max="76" width="17.28515625" style="9" bestFit="1" customWidth="1"/>
    <col min="77" max="77" width="14.28515625" style="15" bestFit="1" customWidth="1"/>
    <col min="78" max="78" width="15.28515625" bestFit="1" customWidth="1"/>
    <col min="79" max="80" width="15.140625" style="7" customWidth="1"/>
    <col min="88" max="88" width="13.5703125" customWidth="1"/>
    <col min="89" max="89" width="19.42578125" customWidth="1"/>
    <col min="90" max="90" width="12.7109375" customWidth="1"/>
    <col min="91" max="96" width="9.140625" customWidth="1"/>
  </cols>
  <sheetData>
    <row r="1" spans="1:80" ht="103.5" customHeight="1" x14ac:dyDescent="0.25">
      <c r="A1" s="80" t="s">
        <v>109</v>
      </c>
      <c r="B1" s="82" t="s">
        <v>108</v>
      </c>
      <c r="C1" s="82" t="s">
        <v>107</v>
      </c>
      <c r="D1" s="82" t="s">
        <v>101</v>
      </c>
      <c r="E1" s="83" t="s">
        <v>102</v>
      </c>
      <c r="F1" s="83" t="s">
        <v>103</v>
      </c>
      <c r="G1" s="99" t="s">
        <v>104</v>
      </c>
      <c r="H1" s="85" t="s">
        <v>105</v>
      </c>
      <c r="I1" s="84" t="s">
        <v>106</v>
      </c>
      <c r="J1" s="10" t="s">
        <v>110</v>
      </c>
      <c r="K1" s="10" t="s">
        <v>111</v>
      </c>
      <c r="L1" s="10" t="s">
        <v>112</v>
      </c>
      <c r="M1" s="10" t="s">
        <v>113</v>
      </c>
      <c r="N1" s="86" t="s">
        <v>114</v>
      </c>
      <c r="O1" s="86" t="s">
        <v>115</v>
      </c>
      <c r="P1" s="86" t="s">
        <v>99</v>
      </c>
      <c r="Q1" s="86" t="s">
        <v>6</v>
      </c>
      <c r="R1" s="86" t="s">
        <v>116</v>
      </c>
      <c r="S1" s="86" t="s">
        <v>117</v>
      </c>
      <c r="T1" s="86" t="s">
        <v>118</v>
      </c>
      <c r="U1" s="86" t="s">
        <v>100</v>
      </c>
      <c r="V1" s="86" t="s">
        <v>119</v>
      </c>
      <c r="W1" s="81" t="s">
        <v>1</v>
      </c>
      <c r="X1" s="81" t="s">
        <v>37</v>
      </c>
      <c r="Y1" s="81" t="s">
        <v>0</v>
      </c>
      <c r="Z1" s="81" t="s">
        <v>46</v>
      </c>
      <c r="AA1" s="81" t="s">
        <v>47</v>
      </c>
      <c r="AB1" s="81" t="s">
        <v>18</v>
      </c>
      <c r="AC1" s="11" t="s">
        <v>7</v>
      </c>
      <c r="AD1" s="13" t="s">
        <v>8</v>
      </c>
      <c r="AE1" s="12" t="s">
        <v>123</v>
      </c>
      <c r="AF1" s="13" t="s">
        <v>124</v>
      </c>
      <c r="AG1" s="12" t="s">
        <v>9</v>
      </c>
      <c r="AH1" s="13" t="s">
        <v>10</v>
      </c>
      <c r="AI1" s="1" t="s">
        <v>11</v>
      </c>
      <c r="AJ1" s="57" t="s">
        <v>122</v>
      </c>
      <c r="AK1" s="1" t="s">
        <v>125</v>
      </c>
      <c r="AL1" s="14" t="s">
        <v>126</v>
      </c>
      <c r="AM1" s="14" t="s">
        <v>129</v>
      </c>
      <c r="AN1" s="1" t="s">
        <v>120</v>
      </c>
      <c r="AO1" s="57" t="s">
        <v>121</v>
      </c>
      <c r="AP1" s="1" t="s">
        <v>127</v>
      </c>
      <c r="AQ1" s="14" t="s">
        <v>128</v>
      </c>
      <c r="AR1" s="14" t="s">
        <v>130</v>
      </c>
      <c r="AS1" s="1" t="s">
        <v>12</v>
      </c>
      <c r="AT1" s="57" t="s">
        <v>131</v>
      </c>
      <c r="AU1" s="14" t="s">
        <v>13</v>
      </c>
      <c r="AV1" s="87" t="s">
        <v>3</v>
      </c>
      <c r="AW1" s="87" t="s">
        <v>4</v>
      </c>
      <c r="AX1" s="87" t="s">
        <v>5</v>
      </c>
      <c r="AY1" s="87" t="s">
        <v>134</v>
      </c>
      <c r="AZ1" s="87" t="s">
        <v>14</v>
      </c>
      <c r="BA1" s="87" t="s">
        <v>15</v>
      </c>
      <c r="BB1" s="87" t="s">
        <v>16</v>
      </c>
      <c r="BC1" s="87" t="s">
        <v>17</v>
      </c>
      <c r="BD1" s="87" t="s">
        <v>36</v>
      </c>
      <c r="BF1"/>
      <c r="BJ1"/>
      <c r="BK1"/>
      <c r="BL1"/>
      <c r="BM1"/>
      <c r="BP1"/>
      <c r="BQ1"/>
      <c r="BR1"/>
      <c r="BS1"/>
      <c r="BT1"/>
      <c r="BU1"/>
      <c r="BV1"/>
      <c r="BW1"/>
      <c r="BX1"/>
      <c r="BY1"/>
      <c r="CA1"/>
      <c r="CB1"/>
    </row>
    <row r="2" spans="1:80" s="2" customFormat="1" ht="15" customHeight="1" x14ac:dyDescent="0.25">
      <c r="A2" s="4">
        <v>1</v>
      </c>
      <c r="B2" s="36">
        <v>2553</v>
      </c>
      <c r="C2" s="39">
        <v>42327</v>
      </c>
      <c r="D2" s="73" t="s">
        <v>77</v>
      </c>
      <c r="E2" s="101"/>
      <c r="F2" s="101"/>
      <c r="G2" s="96" t="s">
        <v>143</v>
      </c>
      <c r="H2" s="96" t="s">
        <v>144</v>
      </c>
      <c r="I2" s="40" t="s">
        <v>48</v>
      </c>
      <c r="J2" s="77"/>
      <c r="K2" s="70"/>
      <c r="L2" s="34"/>
      <c r="M2" s="35"/>
      <c r="N2" s="38">
        <v>24</v>
      </c>
      <c r="O2" s="37">
        <v>6</v>
      </c>
      <c r="P2" s="36">
        <f>IF(Tableau2[[#This Row],[Durée du projet]]="","-",Tableau2[[#This Row],[Durée du projet]]+Tableau2[[#This Row],[Durée suppl'' pour pièces]])</f>
        <v>30</v>
      </c>
      <c r="Q2" s="39">
        <v>42172</v>
      </c>
      <c r="R2" s="60">
        <v>42370</v>
      </c>
      <c r="S2" s="6">
        <f>IF(Tableau2[[#This Row],[Date signature ]]="","",EOMONTH((EDATE(Tableau2[[#This Row],[Début éligibilité dépenses]],Tableau2[[#This Row],[Durée du projet]])),-1))</f>
        <v>43100</v>
      </c>
      <c r="T2" s="6">
        <f>IF(Tableau2[[#This Row],[Fin éligibilité dépenses]]="","",EDATE(Tableau2[[#This Row],[Fin éligibilité dépenses]],-6))</f>
        <v>42916</v>
      </c>
      <c r="U2" s="6">
        <f>IF(Tableau2[[#This Row],[Début éligibilité dépenses]]="","",EOMONTH(EDATE(Tableau2[[#This Row],[Début éligibilité dépenses]],Tableau2[[#This Row],[Durée du projet]]/2),0))</f>
        <v>42766</v>
      </c>
      <c r="V2" s="59">
        <f>IF(Tableau2[[#This Row],[Date signature ]]="","",EDATE(Tableau2[[#This Row],[Date signature ]],Tableau2[[#This Row],[Durée totale conv'' ]])-1)</f>
        <v>43085</v>
      </c>
      <c r="W2" s="40" t="s">
        <v>21</v>
      </c>
      <c r="Y2" s="40" t="s">
        <v>145</v>
      </c>
      <c r="AB2" s="17"/>
      <c r="AC2" s="17">
        <f>IF(Tableau2[[#This Row],[PORTEUR
DE
PROJET]]="",0,IF(COUNTIF(Tableau2[[#This Row],[PORTEUR
DE
PROJET]],"CRA*")=1,Tableau2[[#This Row],[Montant participation à signature]]/2,Tableau2[[#This Row],[Montant participation à signature]]*0.3))</f>
        <v>79668</v>
      </c>
      <c r="AD2" s="6">
        <f>IF(Tableau2[[#This Row],[Date signature ]]="","",EDATE(Tableau2[[#This Row],[Date signature ]],1))</f>
        <v>42202</v>
      </c>
      <c r="AE2" s="17">
        <f>IF(Tableau2[[#This Row],[PORTEUR
DE
PROJET]]="",0,IF(COUNTIF(Tableau2[[#This Row],[PORTEUR
DE
PROJET]],"CRA*")=1,,Tableau2[[#This Row],[Montant participation à signature]]*0.4))</f>
        <v>106224</v>
      </c>
      <c r="AF2" s="6">
        <f>IF(Tableau2[[#This Row],[Date signature ]]="","",IF(Tableau2[[#This Row],[ACOMPTE PREVU]]=0,"",EOMONTH(EDATE(Tableau2[[#This Row],[Date signature ]],Tableau2[[#This Row],[Durée du projet]]/2),0)))</f>
        <v>42551</v>
      </c>
      <c r="AG2" s="17">
        <f>IF(Tableau2[[#This Row],[PORTEUR
DE
PROJET]]="",0,IF(COUNTIF(Tableau2[[#This Row],[PORTEUR
DE
PROJET]],"CRA*")=1,Tableau2[[#This Row],[Montant participation à signature]]/2,Tableau2[[#This Row],[Montant participation à signature]]*0.3))</f>
        <v>79668</v>
      </c>
      <c r="AH2" s="6">
        <f>IF(Tableau2[[#This Row],[Date signature ]]="","",EOMONTH(EDATE(Tableau2[[#This Row],[Date signature ]],Tableau2[[#This Row],[Durée du projet]]),0))</f>
        <v>42916</v>
      </c>
      <c r="AI2" s="29">
        <f>IF(COUNTBLANK(Tableau2[[#This Row],[Date du mandat Avance]])=1,,Tableau2[[#This Row],[AVANCE PREVUE]])</f>
        <v>79668</v>
      </c>
      <c r="AJ2" s="64">
        <v>42502</v>
      </c>
      <c r="AL2" s="6"/>
      <c r="AM2" s="6"/>
      <c r="AN2" s="17">
        <f>IF(COUNTBLANK(Tableau2[[#This Row],[Date envoi ASF Acompte]])=1,,Tableau2[[#This Row],[ACOMPTE PREVU]])</f>
        <v>0</v>
      </c>
      <c r="AO2" s="17"/>
      <c r="AQ2" s="6"/>
      <c r="AR2" s="6"/>
      <c r="AS2" s="17"/>
      <c r="AT2" s="17"/>
      <c r="AU2" s="27"/>
      <c r="AV2" s="17"/>
      <c r="AW2" s="16"/>
      <c r="AX2" s="17">
        <f>IF(Tableau2[[#This Row],[Montant participation voté au CA]]="",0,Tableau2[[#This Row],[Montant participation voté au CA]]-Tableau2[[#This Row],[Montant participation à signature]])</f>
        <v>0</v>
      </c>
      <c r="AY2" s="52">
        <v>265560</v>
      </c>
      <c r="AZ2" s="17">
        <f>Tableau2[[#This Row],[AVANCE VERSEE]]+Tableau2[[#This Row],[ACOMPTE VERSE]]+Tableau2[[#This Row],[SOLDE VERSE]]</f>
        <v>79668</v>
      </c>
      <c r="BA2" s="17">
        <f>IF(Tableau2[[#This Row],[STATUT]]="Soldée",0,Tableau2[[#This Row],[Montant participation à signature]]-Tableau2[[#This Row],[Total CP payés]])</f>
        <v>185892</v>
      </c>
      <c r="BB2" s="17">
        <f>IF(Tableau2[[#This Row],[SOLDE VERSE]]&lt;0,-Tableau2[[#This Row],[SOLDE VERSE]],0)</f>
        <v>0</v>
      </c>
      <c r="BC2" s="17">
        <f>IF(Tableau2[[#This Row],[STATUT]]="Soldée",Tableau2[[#This Row],[Montant participation à signature]]-Tableau2[[#This Row],[Total CP payés]],0)</f>
        <v>0</v>
      </c>
      <c r="BD2" s="17">
        <f>IF(Tableau2[[#This Row],[Montant participation voté au CA]]="",0,Tableau2[[#This Row],[Réfaction]]+Tableau2[[#This Row],[Montant des crédits non engagés]])</f>
        <v>0</v>
      </c>
    </row>
    <row r="3" spans="1:80" ht="15" customHeight="1" x14ac:dyDescent="0.25">
      <c r="A3" s="4">
        <v>2</v>
      </c>
      <c r="B3" s="36">
        <v>2712</v>
      </c>
      <c r="C3" s="39">
        <v>42327</v>
      </c>
      <c r="D3" s="73" t="s">
        <v>78</v>
      </c>
      <c r="E3" s="38">
        <v>4</v>
      </c>
      <c r="F3" s="38" t="s">
        <v>42</v>
      </c>
      <c r="G3" s="96" t="s">
        <v>143</v>
      </c>
      <c r="H3" s="96" t="s">
        <v>144</v>
      </c>
      <c r="I3" s="40" t="s">
        <v>48</v>
      </c>
      <c r="J3" s="77"/>
      <c r="K3" s="70"/>
      <c r="L3" s="34"/>
      <c r="M3" s="35"/>
      <c r="N3" s="38">
        <v>12</v>
      </c>
      <c r="O3" s="37">
        <v>6</v>
      </c>
      <c r="P3" s="37">
        <f>IF(Tableau2[[#This Row],[Durée du projet]]="","-",Tableau2[[#This Row],[Durée du projet]]+Tableau2[[#This Row],[Durée suppl'' pour pièces]])</f>
        <v>18</v>
      </c>
      <c r="Q3" s="39">
        <v>42432</v>
      </c>
      <c r="R3" s="60">
        <v>42401</v>
      </c>
      <c r="S3" s="6">
        <f>IF(Tableau2[[#This Row],[Date signature ]]="","",EOMONTH((EDATE(Tableau2[[#This Row],[Début éligibilité dépenses]],Tableau2[[#This Row],[Durée du projet]])),-1))</f>
        <v>42766</v>
      </c>
      <c r="T3" s="6">
        <f>IF(Tableau2[[#This Row],[Fin éligibilité dépenses]]="","",EDATE(Tableau2[[#This Row],[Fin éligibilité dépenses]],-6))</f>
        <v>42582</v>
      </c>
      <c r="U3" s="6">
        <f>IF(Tableau2[[#This Row],[Début éligibilité dépenses]]="","",EOMONTH(EDATE(Tableau2[[#This Row],[Début éligibilité dépenses]],Tableau2[[#This Row],[Durée du projet]]/2),0))</f>
        <v>42613</v>
      </c>
      <c r="V3" s="59">
        <f>IF(Tableau2[[#This Row],[Date signature ]]="","",EDATE(Tableau2[[#This Row],[Date signature ]],Tableau2[[#This Row],[Durée totale conv'' ]])-1)</f>
        <v>42980</v>
      </c>
      <c r="W3" s="40" t="s">
        <v>21</v>
      </c>
      <c r="X3" s="2"/>
      <c r="Y3" s="40" t="s">
        <v>145</v>
      </c>
      <c r="Z3" s="2"/>
      <c r="AA3" s="2"/>
      <c r="AB3" s="19"/>
      <c r="AC3" s="21">
        <f>IF(Tableau2[[#This Row],[PORTEUR
DE
PROJET]]="",0,IF(COUNTIF(Tableau2[[#This Row],[PORTEUR
DE
PROJET]],"CRA*")=1,Tableau2[[#This Row],[Montant participation à signature]]/2,Tableau2[[#This Row],[Montant participation à signature]]*0.3))</f>
        <v>3000</v>
      </c>
      <c r="AD3" s="6">
        <f>IF(Tableau2[[#This Row],[Date signature ]]="","",EDATE(Tableau2[[#This Row],[Date signature ]],1))</f>
        <v>42463</v>
      </c>
      <c r="AE3" s="17">
        <f>IF(Tableau2[[#This Row],[PORTEUR
DE
PROJET]]="",0,IF(COUNTIF(Tableau2[[#This Row],[PORTEUR
DE
PROJET]],"CRA*")=1,,Tableau2[[#This Row],[Montant participation à signature]]*0.4))</f>
        <v>4000</v>
      </c>
      <c r="AF3" s="6">
        <f>IF(Tableau2[[#This Row],[Date signature ]]="","",IF(Tableau2[[#This Row],[ACOMPTE PREVU]]=0,"",EOMONTH(EDATE(Tableau2[[#This Row],[Date signature ]],Tableau2[[#This Row],[Durée du projet]]/2),0)))</f>
        <v>42643</v>
      </c>
      <c r="AG3" s="21">
        <f>IF(Tableau2[[#This Row],[PORTEUR
DE
PROJET]]="",0,IF(COUNTIF(Tableau2[[#This Row],[PORTEUR
DE
PROJET]],"CRA*")=1,Tableau2[[#This Row],[Montant participation à signature]]/2,Tableau2[[#This Row],[Montant participation à signature]]*0.3))</f>
        <v>3000</v>
      </c>
      <c r="AH3" s="6">
        <f>IF(Tableau2[[#This Row],[Date signature ]]="","",EOMONTH(EDATE(Tableau2[[#This Row],[Date signature ]],Tableau2[[#This Row],[Durée du projet]]),0))</f>
        <v>42825</v>
      </c>
      <c r="AI3" s="29">
        <f>IF(COUNTBLANK(Tableau2[[#This Row],[Date du mandat Avance]])=1,,Tableau2[[#This Row],[AVANCE PREVUE]])</f>
        <v>3000</v>
      </c>
      <c r="AJ3" s="64">
        <v>42451</v>
      </c>
      <c r="AK3" s="31"/>
      <c r="AL3" s="6"/>
      <c r="AM3" s="6"/>
      <c r="AN3" s="17">
        <f>IF(COUNTBLANK(Tableau2[[#This Row],[Date envoi ASF Acompte]])=1,,Tableau2[[#This Row],[ACOMPTE PREVU]])</f>
        <v>0</v>
      </c>
      <c r="AO3" s="17"/>
      <c r="AP3" s="2"/>
      <c r="AQ3" s="6"/>
      <c r="AR3" s="6"/>
      <c r="AS3" s="17"/>
      <c r="AT3" s="17"/>
      <c r="AU3" s="27"/>
      <c r="AV3" s="17"/>
      <c r="AW3" s="17"/>
      <c r="AX3" s="17">
        <f>IF(Tableau2[[#This Row],[Montant participation voté au CA]]="",0,Tableau2[[#This Row],[Montant participation voté au CA]]-Tableau2[[#This Row],[Montant participation à signature]])</f>
        <v>0</v>
      </c>
      <c r="AY3" s="45">
        <v>10000</v>
      </c>
      <c r="AZ3" s="17">
        <f>Tableau2[[#This Row],[AVANCE VERSEE]]+Tableau2[[#This Row],[ACOMPTE VERSE]]+Tableau2[[#This Row],[SOLDE VERSE]]</f>
        <v>3000</v>
      </c>
      <c r="BA3" s="17">
        <f>IF(Tableau2[[#This Row],[STATUT]]="Soldée",0,Tableau2[[#This Row],[Montant participation à signature]]-Tableau2[[#This Row],[Total CP payés]])</f>
        <v>7000</v>
      </c>
      <c r="BB3" s="17">
        <f>IF(Tableau2[[#This Row],[SOLDE VERSE]]&lt;0,-Tableau2[[#This Row],[SOLDE VERSE]],0)</f>
        <v>0</v>
      </c>
      <c r="BC3" s="17">
        <f>IF(Tableau2[[#This Row],[STATUT]]="Soldée",Tableau2[[#This Row],[Montant participation à signature]]-Tableau2[[#This Row],[Total CP payés]],0)</f>
        <v>0</v>
      </c>
      <c r="BD3" s="98">
        <f>IF(Tableau2[[#This Row],[Montant participation voté au CA]]="",0,Tableau2[[#This Row],[Réfaction]]+Tableau2[[#This Row],[Montant des crédits non engagés]])</f>
        <v>0</v>
      </c>
      <c r="BF3"/>
      <c r="BJ3"/>
      <c r="BK3"/>
      <c r="BL3"/>
      <c r="BM3"/>
      <c r="BP3"/>
      <c r="BQ3"/>
      <c r="BR3"/>
      <c r="BS3"/>
      <c r="BT3"/>
      <c r="BU3"/>
      <c r="BV3"/>
      <c r="BW3"/>
      <c r="BX3"/>
      <c r="BY3"/>
      <c r="CA3"/>
      <c r="CB3"/>
    </row>
    <row r="4" spans="1:80" ht="15" customHeight="1" x14ac:dyDescent="0.25">
      <c r="A4" s="4">
        <v>3</v>
      </c>
      <c r="B4" s="89">
        <v>2713</v>
      </c>
      <c r="C4" s="39">
        <v>42327</v>
      </c>
      <c r="D4" s="73" t="s">
        <v>79</v>
      </c>
      <c r="E4" s="38">
        <v>1</v>
      </c>
      <c r="F4" s="38" t="s">
        <v>49</v>
      </c>
      <c r="G4" s="96" t="s">
        <v>143</v>
      </c>
      <c r="H4" s="96" t="s">
        <v>144</v>
      </c>
      <c r="I4" s="40" t="s">
        <v>48</v>
      </c>
      <c r="J4" s="77"/>
      <c r="K4" s="70"/>
      <c r="L4" s="34"/>
      <c r="M4" s="35"/>
      <c r="N4" s="38">
        <v>24</v>
      </c>
      <c r="O4" s="37">
        <v>6</v>
      </c>
      <c r="P4" s="37">
        <f>IF(Tableau2[[#This Row],[Durée du projet]]="","-",Tableau2[[#This Row],[Durée du projet]]+Tableau2[[#This Row],[Durée suppl'' pour pièces]])</f>
        <v>30</v>
      </c>
      <c r="Q4" s="39">
        <v>42432</v>
      </c>
      <c r="R4" s="60">
        <v>42370</v>
      </c>
      <c r="S4" s="6">
        <f>IF(Tableau2[[#This Row],[Date signature ]]="","",EOMONTH((EDATE(Tableau2[[#This Row],[Début éligibilité dépenses]],Tableau2[[#This Row],[Durée du projet]])),-1))</f>
        <v>43100</v>
      </c>
      <c r="T4" s="6">
        <f>IF(Tableau2[[#This Row],[Fin éligibilité dépenses]]="","",EDATE(Tableau2[[#This Row],[Fin éligibilité dépenses]],-6))</f>
        <v>42916</v>
      </c>
      <c r="U4" s="6">
        <f>IF(Tableau2[[#This Row],[Début éligibilité dépenses]]="","",EOMONTH(EDATE(Tableau2[[#This Row],[Début éligibilité dépenses]],Tableau2[[#This Row],[Durée du projet]]/2),0))</f>
        <v>42766</v>
      </c>
      <c r="V4" s="59">
        <f>IF(Tableau2[[#This Row],[Date signature ]]="","",EDATE(Tableau2[[#This Row],[Date signature ]],Tableau2[[#This Row],[Durée totale conv'' ]])-1)</f>
        <v>43345</v>
      </c>
      <c r="W4" s="40" t="s">
        <v>21</v>
      </c>
      <c r="X4" s="2"/>
      <c r="Y4" s="40" t="s">
        <v>145</v>
      </c>
      <c r="Z4" s="2"/>
      <c r="AA4" s="2"/>
      <c r="AB4" s="19"/>
      <c r="AC4" s="21">
        <f>IF(Tableau2[[#This Row],[PORTEUR
DE
PROJET]]="",0,IF(COUNTIF(Tableau2[[#This Row],[PORTEUR
DE
PROJET]],"CRA*")=1,Tableau2[[#This Row],[Montant participation à signature]]/2,Tableau2[[#This Row],[Montant participation à signature]]*0.3))</f>
        <v>45000</v>
      </c>
      <c r="AD4" s="6">
        <f>IF(Tableau2[[#This Row],[Date signature ]]="","",EDATE(Tableau2[[#This Row],[Date signature ]],1))</f>
        <v>42463</v>
      </c>
      <c r="AE4" s="21">
        <f>IF(Tableau2[[#This Row],[PORTEUR
DE
PROJET]]="",0,IF(COUNTIF(Tableau2[[#This Row],[PORTEUR
DE
PROJET]],"CRA*")=1,,Tableau2[[#This Row],[Montant participation à signature]]*0.4))</f>
        <v>60000</v>
      </c>
      <c r="AF4" s="6">
        <f>IF(Tableau2[[#This Row],[Date signature ]]="","",IF(Tableau2[[#This Row],[ACOMPTE PREVU]]=0,"",EOMONTH(EDATE(Tableau2[[#This Row],[Date signature ]],Tableau2[[#This Row],[Durée du projet]]/2),0)))</f>
        <v>42825</v>
      </c>
      <c r="AG4" s="21">
        <f>IF(Tableau2[[#This Row],[PORTEUR
DE
PROJET]]="",0,IF(COUNTIF(Tableau2[[#This Row],[PORTEUR
DE
PROJET]],"CRA*")=1,Tableau2[[#This Row],[Montant participation à signature]]/2,Tableau2[[#This Row],[Montant participation à signature]]*0.3))</f>
        <v>45000</v>
      </c>
      <c r="AH4" s="6">
        <f>IF(Tableau2[[#This Row],[Date signature ]]="","",EOMONTH(EDATE(Tableau2[[#This Row],[Date signature ]],Tableau2[[#This Row],[Durée du projet]]),0))</f>
        <v>43190</v>
      </c>
      <c r="AI4" s="29">
        <f>IF(COUNTBLANK(Tableau2[[#This Row],[Date du mandat Avance]])=1,,Tableau2[[#This Row],[AVANCE PREVUE]])</f>
        <v>45000</v>
      </c>
      <c r="AJ4" s="65">
        <v>42451</v>
      </c>
      <c r="AK4" s="2"/>
      <c r="AL4" s="6"/>
      <c r="AM4" s="6"/>
      <c r="AN4" s="17">
        <f>IF(COUNTBLANK(Tableau2[[#This Row],[Date envoi ASF Acompte]])=1,,Tableau2[[#This Row],[ACOMPTE PREVU]])</f>
        <v>0</v>
      </c>
      <c r="AO4" s="17"/>
      <c r="AP4" s="2"/>
      <c r="AQ4" s="6"/>
      <c r="AR4" s="6"/>
      <c r="AS4" s="17"/>
      <c r="AT4" s="17"/>
      <c r="AU4" s="27"/>
      <c r="AV4" s="17"/>
      <c r="AW4" s="17"/>
      <c r="AX4" s="17">
        <f>IF(Tableau2[[#This Row],[Montant participation voté au CA]]="",0,Tableau2[[#This Row],[Montant participation voté au CA]]-Tableau2[[#This Row],[Montant participation à signature]])</f>
        <v>0</v>
      </c>
      <c r="AY4" s="52">
        <v>150000</v>
      </c>
      <c r="AZ4" s="17">
        <f>Tableau2[[#This Row],[AVANCE VERSEE]]+Tableau2[[#This Row],[ACOMPTE VERSE]]+Tableau2[[#This Row],[SOLDE VERSE]]</f>
        <v>45000</v>
      </c>
      <c r="BA4" s="17">
        <f>IF(Tableau2[[#This Row],[STATUT]]="Soldée",0,Tableau2[[#This Row],[Montant participation à signature]]-Tableau2[[#This Row],[Total CP payés]])</f>
        <v>105000</v>
      </c>
      <c r="BB4" s="17">
        <f>IF(Tableau2[[#This Row],[SOLDE VERSE]]&lt;0,-Tableau2[[#This Row],[SOLDE VERSE]],0)</f>
        <v>0</v>
      </c>
      <c r="BC4" s="17">
        <f>IF(Tableau2[[#This Row],[STATUT]]="Soldée",Tableau2[[#This Row],[Montant participation à signature]]-Tableau2[[#This Row],[Total CP payés]],0)</f>
        <v>0</v>
      </c>
      <c r="BD4" s="98">
        <f>IF(Tableau2[[#This Row],[Montant participation voté au CA]]="",0,Tableau2[[#This Row],[Réfaction]]+Tableau2[[#This Row],[Montant des crédits non engagés]])</f>
        <v>0</v>
      </c>
      <c r="BF4"/>
      <c r="BJ4"/>
      <c r="BK4"/>
      <c r="BL4"/>
      <c r="BM4"/>
      <c r="BP4"/>
      <c r="BQ4"/>
      <c r="BR4"/>
      <c r="BS4"/>
      <c r="BT4"/>
      <c r="BU4"/>
      <c r="BV4"/>
      <c r="BW4"/>
      <c r="BX4"/>
      <c r="BY4"/>
      <c r="CA4"/>
      <c r="CB4"/>
    </row>
    <row r="5" spans="1:80" ht="15" customHeight="1" x14ac:dyDescent="0.25">
      <c r="A5" s="4">
        <v>4</v>
      </c>
      <c r="B5" s="36">
        <v>2714</v>
      </c>
      <c r="C5" s="39">
        <v>42327</v>
      </c>
      <c r="D5" s="73" t="s">
        <v>80</v>
      </c>
      <c r="E5" s="38">
        <v>4</v>
      </c>
      <c r="F5" s="38" t="s">
        <v>42</v>
      </c>
      <c r="G5" s="96" t="s">
        <v>143</v>
      </c>
      <c r="H5" s="96" t="s">
        <v>144</v>
      </c>
      <c r="I5" s="40" t="s">
        <v>48</v>
      </c>
      <c r="J5" s="77"/>
      <c r="K5" s="70"/>
      <c r="L5" s="34"/>
      <c r="M5" s="35"/>
      <c r="N5" s="38">
        <v>12</v>
      </c>
      <c r="O5" s="37">
        <v>6</v>
      </c>
      <c r="P5" s="37">
        <f>IF(Tableau2[[#This Row],[Durée du projet]]="","-",Tableau2[[#This Row],[Durée du projet]]+Tableau2[[#This Row],[Durée suppl'' pour pièces]])</f>
        <v>18</v>
      </c>
      <c r="Q5" s="39">
        <v>42432</v>
      </c>
      <c r="R5" s="60">
        <v>42370</v>
      </c>
      <c r="S5" s="6">
        <f>IF(Tableau2[[#This Row],[Date signature ]]="","",EOMONTH((EDATE(Tableau2[[#This Row],[Début éligibilité dépenses]],Tableau2[[#This Row],[Durée du projet]])),-1))</f>
        <v>42735</v>
      </c>
      <c r="T5" s="6">
        <f>IF(Tableau2[[#This Row],[Fin éligibilité dépenses]]="","",EDATE(Tableau2[[#This Row],[Fin éligibilité dépenses]],-6))</f>
        <v>42551</v>
      </c>
      <c r="U5" s="6">
        <f>IF(Tableau2[[#This Row],[Début éligibilité dépenses]]="","",EOMONTH(EDATE(Tableau2[[#This Row],[Début éligibilité dépenses]],Tableau2[[#This Row],[Durée du projet]]/2),0))</f>
        <v>42582</v>
      </c>
      <c r="V5" s="59">
        <f>IF(Tableau2[[#This Row],[Date signature ]]="","",EDATE(Tableau2[[#This Row],[Date signature ]],Tableau2[[#This Row],[Durée totale conv'' ]])-1)</f>
        <v>42980</v>
      </c>
      <c r="W5" s="40" t="s">
        <v>21</v>
      </c>
      <c r="X5" s="2"/>
      <c r="Y5" s="40" t="s">
        <v>145</v>
      </c>
      <c r="Z5" s="2"/>
      <c r="AA5" s="2"/>
      <c r="AB5" s="19"/>
      <c r="AC5" s="21">
        <f>IF(Tableau2[[#This Row],[PORTEUR
DE
PROJET]]="",0,IF(COUNTIF(Tableau2[[#This Row],[PORTEUR
DE
PROJET]],"CRA*")=1,Tableau2[[#This Row],[Montant participation à signature]]/2,Tableau2[[#This Row],[Montant participation à signature]]*0.3))</f>
        <v>60599.399999999994</v>
      </c>
      <c r="AD5" s="6">
        <f>IF(Tableau2[[#This Row],[Date signature ]]="","",EDATE(Tableau2[[#This Row],[Date signature ]],1))</f>
        <v>42463</v>
      </c>
      <c r="AE5" s="21">
        <f>IF(Tableau2[[#This Row],[PORTEUR
DE
PROJET]]="",0,IF(COUNTIF(Tableau2[[#This Row],[PORTEUR
DE
PROJET]],"CRA*")=1,,Tableau2[[#This Row],[Montant participation à signature]]*0.4))</f>
        <v>80799.200000000012</v>
      </c>
      <c r="AF5" s="6">
        <f>IF(Tableau2[[#This Row],[Date signature ]]="","",IF(Tableau2[[#This Row],[ACOMPTE PREVU]]=0,"",EOMONTH(EDATE(Tableau2[[#This Row],[Date signature ]],Tableau2[[#This Row],[Durée du projet]]/2),0)))</f>
        <v>42643</v>
      </c>
      <c r="AG5" s="21">
        <f>IF(Tableau2[[#This Row],[PORTEUR
DE
PROJET]]="",0,IF(COUNTIF(Tableau2[[#This Row],[PORTEUR
DE
PROJET]],"CRA*")=1,Tableau2[[#This Row],[Montant participation à signature]]/2,Tableau2[[#This Row],[Montant participation à signature]]*0.3))</f>
        <v>60599.399999999994</v>
      </c>
      <c r="AH5" s="6">
        <f>IF(Tableau2[[#This Row],[Date signature ]]="","",EOMONTH(EDATE(Tableau2[[#This Row],[Date signature ]],Tableau2[[#This Row],[Durée du projet]]),0))</f>
        <v>42825</v>
      </c>
      <c r="AI5" s="29">
        <f>IF(COUNTBLANK(Tableau2[[#This Row],[Date du mandat Avance]])=1,,Tableau2[[#This Row],[AVANCE PREVUE]])</f>
        <v>60599.399999999994</v>
      </c>
      <c r="AJ5" s="64">
        <v>42458</v>
      </c>
      <c r="AK5" s="2" t="s">
        <v>38</v>
      </c>
      <c r="AL5" s="6"/>
      <c r="AM5" s="6"/>
      <c r="AN5" s="17">
        <f>IF(COUNTBLANK(Tableau2[[#This Row],[Date envoi ASF Acompte]])=1,,Tableau2[[#This Row],[ACOMPTE PREVU]])</f>
        <v>0</v>
      </c>
      <c r="AO5" s="17"/>
      <c r="AP5" s="2"/>
      <c r="AQ5" s="6"/>
      <c r="AR5" s="6"/>
      <c r="AS5" s="17"/>
      <c r="AT5" s="17"/>
      <c r="AU5" s="27"/>
      <c r="AV5" s="41"/>
      <c r="AW5" s="42"/>
      <c r="AX5" s="17">
        <f>IF(Tableau2[[#This Row],[Montant participation voté au CA]]="",0,Tableau2[[#This Row],[Montant participation voté au CA]]-Tableau2[[#This Row],[Montant participation à signature]])</f>
        <v>0</v>
      </c>
      <c r="AY5" s="45">
        <v>201998</v>
      </c>
      <c r="AZ5" s="17">
        <f>Tableau2[[#This Row],[AVANCE VERSEE]]+Tableau2[[#This Row],[ACOMPTE VERSE]]+Tableau2[[#This Row],[SOLDE VERSE]]</f>
        <v>60599.399999999994</v>
      </c>
      <c r="BA5" s="17">
        <f>IF(Tableau2[[#This Row],[STATUT]]="Soldée",0,Tableau2[[#This Row],[Montant participation à signature]]-Tableau2[[#This Row],[Total CP payés]])</f>
        <v>141398.6</v>
      </c>
      <c r="BB5" s="17">
        <f>IF(Tableau2[[#This Row],[SOLDE VERSE]]&lt;0,-Tableau2[[#This Row],[SOLDE VERSE]],0)</f>
        <v>0</v>
      </c>
      <c r="BC5" s="17">
        <f>IF(Tableau2[[#This Row],[STATUT]]="Soldée",Tableau2[[#This Row],[Montant participation à signature]]-Tableau2[[#This Row],[Total CP payés]],0)</f>
        <v>0</v>
      </c>
      <c r="BD5" s="17">
        <f>IF(Tableau2[[#This Row],[Montant participation voté au CA]]="",0,Tableau2[[#This Row],[Réfaction]]+Tableau2[[#This Row],[Montant des crédits non engagés]])</f>
        <v>0</v>
      </c>
      <c r="BF5"/>
      <c r="BJ5"/>
      <c r="BK5"/>
      <c r="BL5"/>
      <c r="BM5"/>
      <c r="BP5"/>
      <c r="BQ5"/>
      <c r="BR5"/>
      <c r="BS5"/>
      <c r="BT5"/>
      <c r="BU5"/>
      <c r="BV5"/>
      <c r="BW5"/>
      <c r="BX5"/>
      <c r="BY5"/>
      <c r="CA5"/>
      <c r="CB5"/>
    </row>
    <row r="6" spans="1:80" ht="15" customHeight="1" x14ac:dyDescent="0.25">
      <c r="A6" s="4">
        <v>5</v>
      </c>
      <c r="B6" s="36">
        <v>2718</v>
      </c>
      <c r="C6" s="39">
        <v>42327</v>
      </c>
      <c r="D6" s="73" t="s">
        <v>81</v>
      </c>
      <c r="E6" s="38">
        <v>1</v>
      </c>
      <c r="F6" s="38" t="s">
        <v>49</v>
      </c>
      <c r="G6" s="96" t="s">
        <v>143</v>
      </c>
      <c r="H6" s="96" t="s">
        <v>144</v>
      </c>
      <c r="I6" s="40" t="s">
        <v>48</v>
      </c>
      <c r="J6" s="77">
        <v>42594</v>
      </c>
      <c r="K6" s="70" t="s">
        <v>75</v>
      </c>
      <c r="L6" s="34"/>
      <c r="M6" s="35"/>
      <c r="N6" s="38">
        <v>36</v>
      </c>
      <c r="O6" s="37">
        <v>6</v>
      </c>
      <c r="P6" s="37">
        <f>IF(Tableau2[[#This Row],[Durée du projet]]="","-",Tableau2[[#This Row],[Durée du projet]]+Tableau2[[#This Row],[Durée suppl'' pour pièces]])</f>
        <v>42</v>
      </c>
      <c r="Q6" s="39">
        <v>42432</v>
      </c>
      <c r="R6" s="60">
        <v>42401</v>
      </c>
      <c r="S6" s="6">
        <f>IF(Tableau2[[#This Row],[Date signature ]]="","",EOMONTH((EDATE(Tableau2[[#This Row],[Début éligibilité dépenses]],Tableau2[[#This Row],[Durée du projet]])),-1))</f>
        <v>43496</v>
      </c>
      <c r="T6" s="6">
        <f>IF(Tableau2[[#This Row],[Fin éligibilité dépenses]]="","",EDATE(Tableau2[[#This Row],[Fin éligibilité dépenses]],-6))</f>
        <v>43312</v>
      </c>
      <c r="U6" s="6">
        <f>IF(Tableau2[[#This Row],[Début éligibilité dépenses]]="","",EOMONTH(EDATE(Tableau2[[#This Row],[Début éligibilité dépenses]],Tableau2[[#This Row],[Durée du projet]]/2),0))</f>
        <v>42978</v>
      </c>
      <c r="V6" s="59">
        <f>IF(Tableau2[[#This Row],[Date signature ]]="","",EDATE(Tableau2[[#This Row],[Date signature ]],Tableau2[[#This Row],[Durée totale conv'' ]])-1)</f>
        <v>43710</v>
      </c>
      <c r="W6" s="40" t="s">
        <v>21</v>
      </c>
      <c r="X6" s="2"/>
      <c r="Y6" s="40" t="s">
        <v>145</v>
      </c>
      <c r="Z6" s="2"/>
      <c r="AA6" s="2"/>
      <c r="AB6" s="19"/>
      <c r="AC6" s="21">
        <f>IF(Tableau2[[#This Row],[PORTEUR
DE
PROJET]]="",0,IF(COUNTIF(Tableau2[[#This Row],[PORTEUR
DE
PROJET]],"CRA*")=1,Tableau2[[#This Row],[Montant participation à signature]]/2,Tableau2[[#This Row],[Montant participation à signature]]*0.3))</f>
        <v>12321</v>
      </c>
      <c r="AD6" s="6">
        <f>IF(Tableau2[[#This Row],[Date signature ]]="","",EDATE(Tableau2[[#This Row],[Date signature ]],1))</f>
        <v>42463</v>
      </c>
      <c r="AE6" s="21">
        <f>IF(Tableau2[[#This Row],[PORTEUR
DE
PROJET]]="",0,IF(COUNTIF(Tableau2[[#This Row],[PORTEUR
DE
PROJET]],"CRA*")=1,,Tableau2[[#This Row],[Montant participation à signature]]*0.4))</f>
        <v>16428</v>
      </c>
      <c r="AF6" s="6">
        <f>IF(Tableau2[[#This Row],[Date signature ]]="","",IF(Tableau2[[#This Row],[ACOMPTE PREVU]]=0,"",EOMONTH(EDATE(Tableau2[[#This Row],[Date signature ]],Tableau2[[#This Row],[Durée du projet]]/2),0)))</f>
        <v>43008</v>
      </c>
      <c r="AG6" s="21">
        <f>IF(Tableau2[[#This Row],[PORTEUR
DE
PROJET]]="",0,IF(COUNTIF(Tableau2[[#This Row],[PORTEUR
DE
PROJET]],"CRA*")=1,Tableau2[[#This Row],[Montant participation à signature]]/2,Tableau2[[#This Row],[Montant participation à signature]]*0.3))</f>
        <v>12321</v>
      </c>
      <c r="AH6" s="6">
        <f>IF(Tableau2[[#This Row],[Date signature ]]="","",EOMONTH(EDATE(Tableau2[[#This Row],[Date signature ]],Tableau2[[#This Row],[Durée du projet]]),0))</f>
        <v>43555</v>
      </c>
      <c r="AI6" s="29">
        <f>IF(COUNTBLANK(Tableau2[[#This Row],[Date du mandat Avance]])=1,,Tableau2[[#This Row],[AVANCE PREVUE]])</f>
        <v>12321</v>
      </c>
      <c r="AJ6" s="64">
        <v>42461</v>
      </c>
      <c r="AK6" s="2"/>
      <c r="AL6" s="6"/>
      <c r="AM6" s="6"/>
      <c r="AN6" s="17">
        <f>IF(COUNTBLANK(Tableau2[[#This Row],[Date envoi ASF Acompte]])=1,,Tableau2[[#This Row],[ACOMPTE PREVU]])</f>
        <v>0</v>
      </c>
      <c r="AO6" s="17"/>
      <c r="AP6" s="2"/>
      <c r="AQ6" s="6"/>
      <c r="AR6" s="6"/>
      <c r="AS6" s="17"/>
      <c r="AT6" s="17"/>
      <c r="AU6" s="27"/>
      <c r="AV6" s="41"/>
      <c r="AW6" s="42"/>
      <c r="AX6" s="17">
        <f>IF(Tableau2[[#This Row],[Montant participation voté au CA]]="",0,Tableau2[[#This Row],[Montant participation voté au CA]]-Tableau2[[#This Row],[Montant participation à signature]])</f>
        <v>0</v>
      </c>
      <c r="AY6" s="45">
        <v>41070</v>
      </c>
      <c r="AZ6" s="17">
        <f>Tableau2[[#This Row],[AVANCE VERSEE]]+Tableau2[[#This Row],[ACOMPTE VERSE]]+Tableau2[[#This Row],[SOLDE VERSE]]</f>
        <v>12321</v>
      </c>
      <c r="BA6" s="17">
        <f>IF(Tableau2[[#This Row],[STATUT]]="Soldée",0,Tableau2[[#This Row],[Montant participation à signature]]-Tableau2[[#This Row],[Total CP payés]])</f>
        <v>28749</v>
      </c>
      <c r="BB6" s="17">
        <f>IF(Tableau2[[#This Row],[SOLDE VERSE]]&lt;0,-Tableau2[[#This Row],[SOLDE VERSE]],0)</f>
        <v>0</v>
      </c>
      <c r="BC6" s="17">
        <f>IF(Tableau2[[#This Row],[STATUT]]="Soldée",Tableau2[[#This Row],[Montant participation à signature]]-Tableau2[[#This Row],[Total CP payés]],0)</f>
        <v>0</v>
      </c>
      <c r="BD6" s="17">
        <f>IF(Tableau2[[#This Row],[Montant participation voté au CA]]="",0,Tableau2[[#This Row],[Réfaction]]+Tableau2[[#This Row],[Montant des crédits non engagés]])</f>
        <v>0</v>
      </c>
      <c r="BF6"/>
      <c r="BJ6"/>
      <c r="BK6"/>
      <c r="BL6"/>
      <c r="BM6"/>
      <c r="BP6"/>
      <c r="BQ6"/>
      <c r="BR6"/>
      <c r="BS6"/>
      <c r="BT6"/>
      <c r="BU6"/>
      <c r="BV6"/>
      <c r="BW6"/>
      <c r="BX6"/>
      <c r="BY6"/>
      <c r="CA6"/>
      <c r="CB6"/>
    </row>
    <row r="7" spans="1:80" ht="15" customHeight="1" x14ac:dyDescent="0.25">
      <c r="A7" s="4">
        <v>6</v>
      </c>
      <c r="B7" s="36">
        <v>2724</v>
      </c>
      <c r="C7" s="39">
        <v>42327</v>
      </c>
      <c r="D7" s="73" t="s">
        <v>82</v>
      </c>
      <c r="E7" s="38">
        <v>3</v>
      </c>
      <c r="F7" s="38">
        <v>16</v>
      </c>
      <c r="G7" s="96" t="s">
        <v>143</v>
      </c>
      <c r="H7" s="96" t="s">
        <v>144</v>
      </c>
      <c r="I7" s="40" t="s">
        <v>48</v>
      </c>
      <c r="J7" s="77"/>
      <c r="K7" s="70"/>
      <c r="L7" s="34"/>
      <c r="M7" s="35"/>
      <c r="N7" s="38">
        <v>12</v>
      </c>
      <c r="O7" s="37">
        <v>6</v>
      </c>
      <c r="P7" s="37">
        <f>IF(Tableau2[[#This Row],[Durée du projet]]="","-",Tableau2[[#This Row],[Durée du projet]]+Tableau2[[#This Row],[Durée suppl'' pour pièces]])</f>
        <v>18</v>
      </c>
      <c r="Q7" s="39">
        <v>42458</v>
      </c>
      <c r="R7" s="60">
        <v>42458</v>
      </c>
      <c r="S7" s="6">
        <f>IF(Tableau2[[#This Row],[Date signature ]]="","",EOMONTH((EDATE(Tableau2[[#This Row],[Début éligibilité dépenses]],Tableau2[[#This Row],[Durée du projet]])),-1))</f>
        <v>42794</v>
      </c>
      <c r="T7" s="6">
        <f>IF(Tableau2[[#This Row],[Fin éligibilité dépenses]]="","",EDATE(Tableau2[[#This Row],[Fin éligibilité dépenses]],-6))</f>
        <v>42610</v>
      </c>
      <c r="U7" s="6">
        <f>IF(Tableau2[[#This Row],[Début éligibilité dépenses]]="","",EOMONTH(EDATE(Tableau2[[#This Row],[Début éligibilité dépenses]],Tableau2[[#This Row],[Durée du projet]]/2),0))</f>
        <v>42643</v>
      </c>
      <c r="V7" s="59">
        <f>IF(Tableau2[[#This Row],[Date signature ]]="","",EDATE(Tableau2[[#This Row],[Date signature ]],Tableau2[[#This Row],[Durée totale conv'' ]])-1)</f>
        <v>43006</v>
      </c>
      <c r="W7" s="40" t="s">
        <v>21</v>
      </c>
      <c r="X7" s="2"/>
      <c r="Y7" s="40" t="s">
        <v>145</v>
      </c>
      <c r="Z7" s="2"/>
      <c r="AA7" s="2"/>
      <c r="AB7" s="19"/>
      <c r="AC7" s="21">
        <f>IF(Tableau2[[#This Row],[PORTEUR
DE
PROJET]]="",0,IF(COUNTIF(Tableau2[[#This Row],[PORTEUR
DE
PROJET]],"CRA*")=1,Tableau2[[#This Row],[Montant participation à signature]]/2,Tableau2[[#This Row],[Montant participation à signature]]*0.3))</f>
        <v>9000</v>
      </c>
      <c r="AD7" s="6">
        <f>IF(Tableau2[[#This Row],[Date signature ]]="","",EDATE(Tableau2[[#This Row],[Date signature ]],1))</f>
        <v>42489</v>
      </c>
      <c r="AE7" s="21">
        <f>IF(Tableau2[[#This Row],[PORTEUR
DE
PROJET]]="",0,IF(COUNTIF(Tableau2[[#This Row],[PORTEUR
DE
PROJET]],"CRA*")=1,,Tableau2[[#This Row],[Montant participation à signature]]*0.4))</f>
        <v>12000</v>
      </c>
      <c r="AF7" s="6">
        <f>IF(Tableau2[[#This Row],[Date signature ]]="","",IF(Tableau2[[#This Row],[ACOMPTE PREVU]]=0,"",EOMONTH(EDATE(Tableau2[[#This Row],[Date signature ]],Tableau2[[#This Row],[Durée du projet]]/2),0)))</f>
        <v>42643</v>
      </c>
      <c r="AG7" s="21">
        <f>IF(Tableau2[[#This Row],[PORTEUR
DE
PROJET]]="",0,IF(COUNTIF(Tableau2[[#This Row],[PORTEUR
DE
PROJET]],"CRA*")=1,Tableau2[[#This Row],[Montant participation à signature]]/2,Tableau2[[#This Row],[Montant participation à signature]]*0.3))</f>
        <v>9000</v>
      </c>
      <c r="AH7" s="6">
        <f>IF(Tableau2[[#This Row],[Date signature ]]="","",EOMONTH(EDATE(Tableau2[[#This Row],[Date signature ]],Tableau2[[#This Row],[Durée du projet]]),0))</f>
        <v>42825</v>
      </c>
      <c r="AI7" s="29">
        <f>IF(COUNTBLANK(Tableau2[[#This Row],[Date du mandat Avance]])=1,,Tableau2[[#This Row],[AVANCE PREVUE]])</f>
        <v>9000</v>
      </c>
      <c r="AJ7" s="64">
        <v>42461</v>
      </c>
      <c r="AK7" s="2"/>
      <c r="AL7" s="6"/>
      <c r="AM7" s="6"/>
      <c r="AN7" s="17">
        <f>IF(COUNTBLANK(Tableau2[[#This Row],[Date envoi ASF Acompte]])=1,,Tableau2[[#This Row],[ACOMPTE PREVU]])</f>
        <v>0</v>
      </c>
      <c r="AO7" s="17"/>
      <c r="AP7" s="2"/>
      <c r="AQ7" s="6"/>
      <c r="AR7" s="6"/>
      <c r="AS7" s="17"/>
      <c r="AT7" s="17"/>
      <c r="AU7" s="27"/>
      <c r="AV7" s="41"/>
      <c r="AW7" s="42"/>
      <c r="AX7" s="17">
        <f>IF(Tableau2[[#This Row],[Montant participation voté au CA]]="",0,Tableau2[[#This Row],[Montant participation voté au CA]]-Tableau2[[#This Row],[Montant participation à signature]])</f>
        <v>0</v>
      </c>
      <c r="AY7" s="45">
        <v>30000</v>
      </c>
      <c r="AZ7" s="17">
        <f>Tableau2[[#This Row],[AVANCE VERSEE]]+Tableau2[[#This Row],[ACOMPTE VERSE]]+Tableau2[[#This Row],[SOLDE VERSE]]</f>
        <v>9000</v>
      </c>
      <c r="BA7" s="17">
        <f>IF(Tableau2[[#This Row],[STATUT]]="Soldée",0,Tableau2[[#This Row],[Montant participation à signature]]-Tableau2[[#This Row],[Total CP payés]])</f>
        <v>21000</v>
      </c>
      <c r="BB7" s="17">
        <f>IF(Tableau2[[#This Row],[SOLDE VERSE]]&lt;0,-Tableau2[[#This Row],[SOLDE VERSE]],0)</f>
        <v>0</v>
      </c>
      <c r="BC7" s="17">
        <f>IF(Tableau2[[#This Row],[STATUT]]="Soldée",Tableau2[[#This Row],[Montant participation à signature]]-Tableau2[[#This Row],[Total CP payés]],0)</f>
        <v>0</v>
      </c>
      <c r="BD7" s="17">
        <f>IF(Tableau2[[#This Row],[Montant participation voté au CA]]="",0,Tableau2[[#This Row],[Réfaction]]+Tableau2[[#This Row],[Montant des crédits non engagés]])</f>
        <v>0</v>
      </c>
      <c r="BF7"/>
      <c r="BJ7"/>
      <c r="BK7"/>
      <c r="BL7"/>
      <c r="BM7"/>
      <c r="BP7"/>
      <c r="BQ7"/>
      <c r="BR7"/>
      <c r="BS7"/>
      <c r="BT7"/>
      <c r="BU7"/>
      <c r="BV7"/>
      <c r="BW7"/>
      <c r="BX7"/>
      <c r="BY7"/>
      <c r="CA7"/>
      <c r="CB7"/>
    </row>
    <row r="8" spans="1:80" ht="15" customHeight="1" x14ac:dyDescent="0.25">
      <c r="A8" s="4">
        <v>7</v>
      </c>
      <c r="B8" s="36">
        <v>2725</v>
      </c>
      <c r="C8" s="39">
        <v>42327</v>
      </c>
      <c r="D8" s="73" t="s">
        <v>83</v>
      </c>
      <c r="E8" s="38">
        <v>4</v>
      </c>
      <c r="F8" s="38" t="s">
        <v>42</v>
      </c>
      <c r="G8" s="96" t="s">
        <v>143</v>
      </c>
      <c r="H8" s="96" t="s">
        <v>144</v>
      </c>
      <c r="I8" s="40" t="s">
        <v>48</v>
      </c>
      <c r="J8" s="77"/>
      <c r="K8" s="70"/>
      <c r="L8" s="34"/>
      <c r="M8" s="35"/>
      <c r="N8" s="38">
        <v>18</v>
      </c>
      <c r="O8" s="37">
        <v>6</v>
      </c>
      <c r="P8" s="37">
        <f>IF(Tableau2[[#This Row],[Durée du projet]]="","-",Tableau2[[#This Row],[Durée du projet]]+Tableau2[[#This Row],[Durée suppl'' pour pièces]])</f>
        <v>24</v>
      </c>
      <c r="Q8" s="39">
        <v>42458</v>
      </c>
      <c r="R8" s="60">
        <v>42458</v>
      </c>
      <c r="S8" s="6">
        <f>IF(Tableau2[[#This Row],[Date signature ]]="","",EOMONTH((EDATE(Tableau2[[#This Row],[Début éligibilité dépenses]],Tableau2[[#This Row],[Durée du projet]])),-1))</f>
        <v>42978</v>
      </c>
      <c r="T8" s="6">
        <f>IF(Tableau2[[#This Row],[Fin éligibilité dépenses]]="","",EDATE(Tableau2[[#This Row],[Fin éligibilité dépenses]],-6))</f>
        <v>42794</v>
      </c>
      <c r="U8" s="6">
        <f>IF(Tableau2[[#This Row],[Début éligibilité dépenses]]="","",EOMONTH(EDATE(Tableau2[[#This Row],[Début éligibilité dépenses]],Tableau2[[#This Row],[Durée du projet]]/2),0))</f>
        <v>42735</v>
      </c>
      <c r="V8" s="59">
        <f>IF(Tableau2[[#This Row],[Date signature ]]="","",EDATE(Tableau2[[#This Row],[Date signature ]],Tableau2[[#This Row],[Durée totale conv'' ]])-1)</f>
        <v>43187</v>
      </c>
      <c r="W8" s="40" t="s">
        <v>21</v>
      </c>
      <c r="X8" s="2"/>
      <c r="Y8" s="40" t="s">
        <v>145</v>
      </c>
      <c r="Z8" s="2"/>
      <c r="AA8" s="2"/>
      <c r="AB8" s="19"/>
      <c r="AC8" s="21">
        <f>IF(Tableau2[[#This Row],[PORTEUR
DE
PROJET]]="",0,IF(COUNTIF(Tableau2[[#This Row],[PORTEUR
DE
PROJET]],"CRA*")=1,Tableau2[[#This Row],[Montant participation à signature]]/2,Tableau2[[#This Row],[Montant participation à signature]]*0.3))</f>
        <v>10050</v>
      </c>
      <c r="AD8" s="6">
        <f>IF(Tableau2[[#This Row],[Date signature ]]="","",EDATE(Tableau2[[#This Row],[Date signature ]],1))</f>
        <v>42489</v>
      </c>
      <c r="AE8" s="21">
        <f>IF(Tableau2[[#This Row],[PORTEUR
DE
PROJET]]="",0,IF(COUNTIF(Tableau2[[#This Row],[PORTEUR
DE
PROJET]],"CRA*")=1,,Tableau2[[#This Row],[Montant participation à signature]]*0.4))</f>
        <v>13400</v>
      </c>
      <c r="AF8" s="6">
        <f>IF(Tableau2[[#This Row],[Date signature ]]="","",IF(Tableau2[[#This Row],[ACOMPTE PREVU]]=0,"",EOMONTH(EDATE(Tableau2[[#This Row],[Date signature ]],Tableau2[[#This Row],[Durée du projet]]/2),0)))</f>
        <v>42735</v>
      </c>
      <c r="AG8" s="21">
        <f>IF(Tableau2[[#This Row],[PORTEUR
DE
PROJET]]="",0,IF(COUNTIF(Tableau2[[#This Row],[PORTEUR
DE
PROJET]],"CRA*")=1,Tableau2[[#This Row],[Montant participation à signature]]/2,Tableau2[[#This Row],[Montant participation à signature]]*0.3))</f>
        <v>10050</v>
      </c>
      <c r="AH8" s="6">
        <f>IF(Tableau2[[#This Row],[Date signature ]]="","",EOMONTH(EDATE(Tableau2[[#This Row],[Date signature ]],Tableau2[[#This Row],[Durée du projet]]),0))</f>
        <v>43008</v>
      </c>
      <c r="AI8" s="29">
        <f>IF(COUNTBLANK(Tableau2[[#This Row],[Date du mandat Avance]])=1,,Tableau2[[#This Row],[AVANCE PREVUE]])</f>
        <v>10050</v>
      </c>
      <c r="AJ8" s="64">
        <v>42461</v>
      </c>
      <c r="AK8" s="2"/>
      <c r="AL8" s="6"/>
      <c r="AM8" s="6"/>
      <c r="AN8" s="17">
        <f>IF(COUNTBLANK(Tableau2[[#This Row],[Date envoi ASF Acompte]])=1,,Tableau2[[#This Row],[ACOMPTE PREVU]])</f>
        <v>0</v>
      </c>
      <c r="AO8" s="17"/>
      <c r="AP8" s="2"/>
      <c r="AQ8" s="6"/>
      <c r="AR8" s="6"/>
      <c r="AS8" s="17"/>
      <c r="AT8" s="17"/>
      <c r="AU8" s="27"/>
      <c r="AV8" s="41"/>
      <c r="AW8" s="42"/>
      <c r="AX8" s="17">
        <f>IF(Tableau2[[#This Row],[Montant participation voté au CA]]="",0,Tableau2[[#This Row],[Montant participation voté au CA]]-Tableau2[[#This Row],[Montant participation à signature]])</f>
        <v>0</v>
      </c>
      <c r="AY8" s="45">
        <v>33500</v>
      </c>
      <c r="AZ8" s="17">
        <f>Tableau2[[#This Row],[AVANCE VERSEE]]+Tableau2[[#This Row],[ACOMPTE VERSE]]+Tableau2[[#This Row],[SOLDE VERSE]]</f>
        <v>10050</v>
      </c>
      <c r="BA8" s="17">
        <f>IF(Tableau2[[#This Row],[STATUT]]="Soldée",0,Tableau2[[#This Row],[Montant participation à signature]]-Tableau2[[#This Row],[Total CP payés]])</f>
        <v>23450</v>
      </c>
      <c r="BB8" s="17">
        <f>IF(Tableau2[[#This Row],[SOLDE VERSE]]&lt;0,-Tableau2[[#This Row],[SOLDE VERSE]],0)</f>
        <v>0</v>
      </c>
      <c r="BC8" s="17">
        <f>IF(Tableau2[[#This Row],[STATUT]]="Soldée",Tableau2[[#This Row],[Montant participation à signature]]-Tableau2[[#This Row],[Total CP payés]],0)</f>
        <v>0</v>
      </c>
      <c r="BD8" s="17">
        <f>IF(Tableau2[[#This Row],[Montant participation voté au CA]]="",0,Tableau2[[#This Row],[Réfaction]]+Tableau2[[#This Row],[Montant des crédits non engagés]])</f>
        <v>0</v>
      </c>
      <c r="BF8"/>
      <c r="BJ8"/>
      <c r="BK8"/>
      <c r="BL8"/>
      <c r="BM8"/>
      <c r="BP8"/>
      <c r="BQ8"/>
      <c r="BR8"/>
      <c r="BS8"/>
      <c r="BT8"/>
      <c r="BU8"/>
      <c r="BV8"/>
      <c r="BW8"/>
      <c r="BX8"/>
      <c r="BY8"/>
      <c r="CA8"/>
      <c r="CB8"/>
    </row>
    <row r="9" spans="1:80" ht="15" customHeight="1" x14ac:dyDescent="0.25">
      <c r="A9" s="4">
        <v>8</v>
      </c>
      <c r="B9" s="36">
        <v>2729</v>
      </c>
      <c r="C9" s="39">
        <v>42327</v>
      </c>
      <c r="D9" s="73" t="s">
        <v>84</v>
      </c>
      <c r="E9" s="38">
        <v>2</v>
      </c>
      <c r="F9" s="38" t="s">
        <v>40</v>
      </c>
      <c r="G9" s="96" t="s">
        <v>143</v>
      </c>
      <c r="H9" s="96" t="s">
        <v>144</v>
      </c>
      <c r="I9" s="40" t="s">
        <v>48</v>
      </c>
      <c r="J9" s="77"/>
      <c r="K9" s="70"/>
      <c r="L9" s="34"/>
      <c r="M9" s="35"/>
      <c r="N9" s="38">
        <v>24</v>
      </c>
      <c r="O9" s="37">
        <v>6</v>
      </c>
      <c r="P9" s="37">
        <f>IF(Tableau2[[#This Row],[Durée du projet]]="","-",Tableau2[[#This Row],[Durée du projet]]+Tableau2[[#This Row],[Durée suppl'' pour pièces]])</f>
        <v>30</v>
      </c>
      <c r="Q9" s="39">
        <v>42458</v>
      </c>
      <c r="R9" s="60">
        <v>42458</v>
      </c>
      <c r="S9" s="6">
        <f>IF(Tableau2[[#This Row],[Date signature ]]="","",EOMONTH((EDATE(Tableau2[[#This Row],[Début éligibilité dépenses]],Tableau2[[#This Row],[Durée du projet]])),-1))</f>
        <v>43159</v>
      </c>
      <c r="T9" s="6">
        <f>IF(Tableau2[[#This Row],[Fin éligibilité dépenses]]="","",EDATE(Tableau2[[#This Row],[Fin éligibilité dépenses]],-6))</f>
        <v>42975</v>
      </c>
      <c r="U9" s="6">
        <f>IF(Tableau2[[#This Row],[Début éligibilité dépenses]]="","",EOMONTH(EDATE(Tableau2[[#This Row],[Début éligibilité dépenses]],Tableau2[[#This Row],[Durée du projet]]/2),0))</f>
        <v>42825</v>
      </c>
      <c r="V9" s="59">
        <f>IF(Tableau2[[#This Row],[Date signature ]]="","",EDATE(Tableau2[[#This Row],[Date signature ]],Tableau2[[#This Row],[Durée totale conv'' ]])-1)</f>
        <v>43371</v>
      </c>
      <c r="W9" s="40" t="s">
        <v>21</v>
      </c>
      <c r="X9" s="2"/>
      <c r="Y9" s="40" t="s">
        <v>145</v>
      </c>
      <c r="Z9" s="2"/>
      <c r="AA9" s="2"/>
      <c r="AB9" s="19"/>
      <c r="AC9" s="21">
        <f>IF(Tableau2[[#This Row],[PORTEUR
DE
PROJET]]="",0,IF(COUNTIF(Tableau2[[#This Row],[PORTEUR
DE
PROJET]],"CRA*")=1,Tableau2[[#This Row],[Montant participation à signature]]/2,Tableau2[[#This Row],[Montant participation à signature]]*0.3))</f>
        <v>17968.5</v>
      </c>
      <c r="AD9" s="6">
        <f>IF(Tableau2[[#This Row],[Date signature ]]="","",EDATE(Tableau2[[#This Row],[Date signature ]],1))</f>
        <v>42489</v>
      </c>
      <c r="AE9" s="21">
        <f>IF(Tableau2[[#This Row],[PORTEUR
DE
PROJET]]="",0,IF(COUNTIF(Tableau2[[#This Row],[PORTEUR
DE
PROJET]],"CRA*")=1,,Tableau2[[#This Row],[Montant participation à signature]]*0.4))</f>
        <v>23958</v>
      </c>
      <c r="AF9" s="6">
        <f>IF(Tableau2[[#This Row],[Date signature ]]="","",IF(Tableau2[[#This Row],[ACOMPTE PREVU]]=0,"",EOMONTH(EDATE(Tableau2[[#This Row],[Date signature ]],Tableau2[[#This Row],[Durée du projet]]/2),0)))</f>
        <v>42825</v>
      </c>
      <c r="AG9" s="21">
        <f>IF(Tableau2[[#This Row],[PORTEUR
DE
PROJET]]="",0,IF(COUNTIF(Tableau2[[#This Row],[PORTEUR
DE
PROJET]],"CRA*")=1,Tableau2[[#This Row],[Montant participation à signature]]/2,Tableau2[[#This Row],[Montant participation à signature]]*0.3))</f>
        <v>17968.5</v>
      </c>
      <c r="AH9" s="6">
        <f>IF(Tableau2[[#This Row],[Date signature ]]="","",EOMONTH(EDATE(Tableau2[[#This Row],[Date signature ]],Tableau2[[#This Row],[Durée du projet]]),0))</f>
        <v>43190</v>
      </c>
      <c r="AI9" s="29">
        <f>IF(COUNTBLANK(Tableau2[[#This Row],[Date du mandat Avance]])=1,,Tableau2[[#This Row],[AVANCE PREVUE]])</f>
        <v>17968.5</v>
      </c>
      <c r="AJ9" s="64">
        <v>42461</v>
      </c>
      <c r="AK9" s="2"/>
      <c r="AL9" s="6"/>
      <c r="AM9" s="6"/>
      <c r="AN9" s="17">
        <f>IF(COUNTBLANK(Tableau2[[#This Row],[Date envoi ASF Acompte]])=1,,Tableau2[[#This Row],[ACOMPTE PREVU]])</f>
        <v>0</v>
      </c>
      <c r="AO9" s="17"/>
      <c r="AP9" s="2"/>
      <c r="AQ9" s="6"/>
      <c r="AR9" s="6"/>
      <c r="AS9" s="17"/>
      <c r="AT9" s="17"/>
      <c r="AU9" s="27"/>
      <c r="AV9" s="41"/>
      <c r="AW9" s="42"/>
      <c r="AX9" s="17">
        <f>IF(Tableau2[[#This Row],[Montant participation voté au CA]]="",0,Tableau2[[#This Row],[Montant participation voté au CA]]-Tableau2[[#This Row],[Montant participation à signature]])</f>
        <v>0</v>
      </c>
      <c r="AY9" s="45">
        <v>59895</v>
      </c>
      <c r="AZ9" s="17">
        <f>Tableau2[[#This Row],[AVANCE VERSEE]]+Tableau2[[#This Row],[ACOMPTE VERSE]]+Tableau2[[#This Row],[SOLDE VERSE]]</f>
        <v>17968.5</v>
      </c>
      <c r="BA9" s="17">
        <f>IF(Tableau2[[#This Row],[STATUT]]="Soldée",0,Tableau2[[#This Row],[Montant participation à signature]]-Tableau2[[#This Row],[Total CP payés]])</f>
        <v>41926.5</v>
      </c>
      <c r="BB9" s="17">
        <f>IF(Tableau2[[#This Row],[SOLDE VERSE]]&lt;0,-Tableau2[[#This Row],[SOLDE VERSE]],0)</f>
        <v>0</v>
      </c>
      <c r="BC9" s="17">
        <f>IF(Tableau2[[#This Row],[STATUT]]="Soldée",Tableau2[[#This Row],[Montant participation à signature]]-Tableau2[[#This Row],[Total CP payés]],0)</f>
        <v>0</v>
      </c>
      <c r="BD9" s="17">
        <f>IF(Tableau2[[#This Row],[Montant participation voté au CA]]="",0,Tableau2[[#This Row],[Réfaction]]+Tableau2[[#This Row],[Montant des crédits non engagés]])</f>
        <v>0</v>
      </c>
      <c r="BF9"/>
      <c r="BJ9"/>
      <c r="BK9"/>
      <c r="BL9"/>
      <c r="BM9"/>
      <c r="BP9"/>
      <c r="BQ9"/>
      <c r="BR9"/>
      <c r="BS9"/>
      <c r="BT9"/>
      <c r="BU9"/>
      <c r="BV9"/>
      <c r="BW9"/>
      <c r="BX9"/>
      <c r="BY9"/>
      <c r="CA9"/>
      <c r="CB9"/>
    </row>
    <row r="10" spans="1:80" ht="15" customHeight="1" x14ac:dyDescent="0.25">
      <c r="A10" s="4">
        <v>9</v>
      </c>
      <c r="B10" s="36">
        <v>2732</v>
      </c>
      <c r="C10" s="39">
        <v>42327</v>
      </c>
      <c r="D10" s="73" t="s">
        <v>85</v>
      </c>
      <c r="E10" s="38">
        <v>2</v>
      </c>
      <c r="F10" s="38">
        <v>21</v>
      </c>
      <c r="G10" s="96" t="s">
        <v>143</v>
      </c>
      <c r="H10" s="96" t="s">
        <v>144</v>
      </c>
      <c r="I10" s="40" t="s">
        <v>48</v>
      </c>
      <c r="J10" s="77"/>
      <c r="K10" s="70"/>
      <c r="L10" s="34"/>
      <c r="M10" s="35"/>
      <c r="N10" s="38">
        <v>12</v>
      </c>
      <c r="O10" s="37">
        <v>6</v>
      </c>
      <c r="P10" s="37">
        <f>IF(Tableau2[[#This Row],[Durée du projet]]="","-",Tableau2[[#This Row],[Durée du projet]]+Tableau2[[#This Row],[Durée suppl'' pour pièces]])</f>
        <v>18</v>
      </c>
      <c r="Q10" s="39">
        <v>42464</v>
      </c>
      <c r="R10" s="60">
        <v>42370</v>
      </c>
      <c r="S10" s="6">
        <f>IF(Tableau2[[#This Row],[Date signature ]]="","",EOMONTH((EDATE(Tableau2[[#This Row],[Début éligibilité dépenses]],Tableau2[[#This Row],[Durée du projet]])),-1))</f>
        <v>42735</v>
      </c>
      <c r="T10" s="6">
        <f>IF(Tableau2[[#This Row],[Fin éligibilité dépenses]]="","",EDATE(Tableau2[[#This Row],[Fin éligibilité dépenses]],-6))</f>
        <v>42551</v>
      </c>
      <c r="U10" s="6">
        <f>IF(Tableau2[[#This Row],[Début éligibilité dépenses]]="","",EOMONTH(EDATE(Tableau2[[#This Row],[Début éligibilité dépenses]],Tableau2[[#This Row],[Durée du projet]]/2),0))</f>
        <v>42582</v>
      </c>
      <c r="V10" s="59">
        <f>IF(Tableau2[[#This Row],[Date signature ]]="","",EDATE(Tableau2[[#This Row],[Date signature ]],Tableau2[[#This Row],[Durée totale conv'' ]])-1)</f>
        <v>43011</v>
      </c>
      <c r="W10" s="40" t="s">
        <v>21</v>
      </c>
      <c r="X10" s="2"/>
      <c r="Y10" s="40" t="s">
        <v>145</v>
      </c>
      <c r="Z10" s="2"/>
      <c r="AA10" s="2"/>
      <c r="AB10" s="19"/>
      <c r="AC10" s="21">
        <f>IF(Tableau2[[#This Row],[PORTEUR
DE
PROJET]]="",0,IF(COUNTIF(Tableau2[[#This Row],[PORTEUR
DE
PROJET]],"CRA*")=1,Tableau2[[#This Row],[Montant participation à signature]]/2,Tableau2[[#This Row],[Montant participation à signature]]*0.3))</f>
        <v>18000</v>
      </c>
      <c r="AD10" s="6">
        <f>IF(Tableau2[[#This Row],[Date signature ]]="","",EDATE(Tableau2[[#This Row],[Date signature ]],1))</f>
        <v>42494</v>
      </c>
      <c r="AE10" s="21">
        <f>IF(Tableau2[[#This Row],[PORTEUR
DE
PROJET]]="",0,IF(COUNTIF(Tableau2[[#This Row],[PORTEUR
DE
PROJET]],"CRA*")=1,,Tableau2[[#This Row],[Montant participation à signature]]*0.4))</f>
        <v>24000</v>
      </c>
      <c r="AF10" s="6">
        <f>IF(Tableau2[[#This Row],[Date signature ]]="","",IF(Tableau2[[#This Row],[ACOMPTE PREVU]]=0,"",EOMONTH(EDATE(Tableau2[[#This Row],[Date signature ]],Tableau2[[#This Row],[Durée du projet]]/2),0)))</f>
        <v>42674</v>
      </c>
      <c r="AG10" s="21">
        <f>IF(Tableau2[[#This Row],[PORTEUR
DE
PROJET]]="",0,IF(COUNTIF(Tableau2[[#This Row],[PORTEUR
DE
PROJET]],"CRA*")=1,Tableau2[[#This Row],[Montant participation à signature]]/2,Tableau2[[#This Row],[Montant participation à signature]]*0.3))</f>
        <v>18000</v>
      </c>
      <c r="AH10" s="6">
        <f>IF(Tableau2[[#This Row],[Date signature ]]="","",EOMONTH(EDATE(Tableau2[[#This Row],[Date signature ]],Tableau2[[#This Row],[Durée du projet]]),0))</f>
        <v>42855</v>
      </c>
      <c r="AI10" s="29">
        <f>IF(COUNTBLANK(Tableau2[[#This Row],[Date du mandat Avance]])=1,,Tableau2[[#This Row],[AVANCE PREVUE]])</f>
        <v>18000</v>
      </c>
      <c r="AJ10" s="64">
        <v>42474</v>
      </c>
      <c r="AK10" s="2"/>
      <c r="AL10" s="6"/>
      <c r="AM10" s="6"/>
      <c r="AN10" s="17">
        <f>IF(COUNTBLANK(Tableau2[[#This Row],[Date envoi ASF Acompte]])=1,,Tableau2[[#This Row],[ACOMPTE PREVU]])</f>
        <v>0</v>
      </c>
      <c r="AO10" s="17"/>
      <c r="AP10" s="2"/>
      <c r="AQ10" s="6"/>
      <c r="AR10" s="6"/>
      <c r="AS10" s="17"/>
      <c r="AT10" s="17"/>
      <c r="AU10" s="27"/>
      <c r="AV10" s="41"/>
      <c r="AW10" s="42"/>
      <c r="AX10" s="17">
        <f>IF(Tableau2[[#This Row],[Montant participation voté au CA]]="",0,Tableau2[[#This Row],[Montant participation voté au CA]]-Tableau2[[#This Row],[Montant participation à signature]])</f>
        <v>0</v>
      </c>
      <c r="AY10" s="45">
        <v>60000</v>
      </c>
      <c r="AZ10" s="17">
        <f>Tableau2[[#This Row],[AVANCE VERSEE]]+Tableau2[[#This Row],[ACOMPTE VERSE]]+Tableau2[[#This Row],[SOLDE VERSE]]</f>
        <v>18000</v>
      </c>
      <c r="BA10" s="17">
        <f>IF(Tableau2[[#This Row],[STATUT]]="Soldée",0,Tableau2[[#This Row],[Montant participation à signature]]-Tableau2[[#This Row],[Total CP payés]])</f>
        <v>42000</v>
      </c>
      <c r="BB10" s="17">
        <f>IF(Tableau2[[#This Row],[SOLDE VERSE]]&lt;0,-Tableau2[[#This Row],[SOLDE VERSE]],0)</f>
        <v>0</v>
      </c>
      <c r="BC10" s="17">
        <f>IF(Tableau2[[#This Row],[STATUT]]="Soldée",Tableau2[[#This Row],[Montant participation à signature]]-Tableau2[[#This Row],[Total CP payés]],0)</f>
        <v>0</v>
      </c>
      <c r="BD10" s="17">
        <f>IF(Tableau2[[#This Row],[Montant participation voté au CA]]="",0,Tableau2[[#This Row],[Réfaction]]+Tableau2[[#This Row],[Montant des crédits non engagés]])</f>
        <v>0</v>
      </c>
      <c r="BF10"/>
      <c r="BJ10"/>
      <c r="BK10"/>
      <c r="BL10"/>
      <c r="BM10"/>
      <c r="BP10"/>
      <c r="BQ10"/>
      <c r="BR10"/>
      <c r="BS10"/>
      <c r="BT10"/>
      <c r="BU10"/>
      <c r="BV10"/>
      <c r="BW10"/>
      <c r="BX10"/>
      <c r="BY10"/>
      <c r="CA10"/>
      <c r="CB10"/>
    </row>
    <row r="11" spans="1:80" ht="15" customHeight="1" x14ac:dyDescent="0.25">
      <c r="A11" s="4">
        <v>10</v>
      </c>
      <c r="B11" s="36">
        <v>2733</v>
      </c>
      <c r="C11" s="39">
        <v>42327</v>
      </c>
      <c r="D11" s="73" t="s">
        <v>86</v>
      </c>
      <c r="E11" s="38" t="s">
        <v>50</v>
      </c>
      <c r="F11" s="38" t="s">
        <v>44</v>
      </c>
      <c r="G11" s="96" t="s">
        <v>143</v>
      </c>
      <c r="H11" s="96" t="s">
        <v>144</v>
      </c>
      <c r="I11" s="40" t="s">
        <v>48</v>
      </c>
      <c r="J11" s="77"/>
      <c r="K11" s="70"/>
      <c r="L11" s="34"/>
      <c r="M11" s="35"/>
      <c r="N11" s="38">
        <v>12</v>
      </c>
      <c r="O11" s="37">
        <v>6</v>
      </c>
      <c r="P11" s="37">
        <f>IF(Tableau2[[#This Row],[Durée du projet]]="","-",Tableau2[[#This Row],[Durée du projet]]+Tableau2[[#This Row],[Durée suppl'' pour pièces]])</f>
        <v>18</v>
      </c>
      <c r="Q11" s="39">
        <v>42468</v>
      </c>
      <c r="R11" s="60">
        <v>42370</v>
      </c>
      <c r="S11" s="6">
        <f>IF(Tableau2[[#This Row],[Date signature ]]="","",EOMONTH((EDATE(Tableau2[[#This Row],[Début éligibilité dépenses]],Tableau2[[#This Row],[Durée du projet]])),-1))</f>
        <v>42735</v>
      </c>
      <c r="T11" s="6">
        <f>IF(Tableau2[[#This Row],[Fin éligibilité dépenses]]="","",EDATE(Tableau2[[#This Row],[Fin éligibilité dépenses]],-6))</f>
        <v>42551</v>
      </c>
      <c r="U11" s="6">
        <f>IF(Tableau2[[#This Row],[Début éligibilité dépenses]]="","",EOMONTH(EDATE(Tableau2[[#This Row],[Début éligibilité dépenses]],Tableau2[[#This Row],[Durée du projet]]/2),0))</f>
        <v>42582</v>
      </c>
      <c r="V11" s="59">
        <f>IF(Tableau2[[#This Row],[Date signature ]]="","",EDATE(Tableau2[[#This Row],[Date signature ]],Tableau2[[#This Row],[Durée totale conv'' ]])-1)</f>
        <v>43015</v>
      </c>
      <c r="W11" s="40" t="s">
        <v>21</v>
      </c>
      <c r="X11" s="2"/>
      <c r="Y11" s="40" t="s">
        <v>145</v>
      </c>
      <c r="Z11" s="2"/>
      <c r="AA11" s="2"/>
      <c r="AB11" s="19"/>
      <c r="AC11" s="21">
        <f>IF(Tableau2[[#This Row],[PORTEUR
DE
PROJET]]="",0,IF(COUNTIF(Tableau2[[#This Row],[PORTEUR
DE
PROJET]],"CRA*")=1,Tableau2[[#This Row],[Montant participation à signature]]/2,Tableau2[[#This Row],[Montant participation à signature]]*0.3))</f>
        <v>58801.5</v>
      </c>
      <c r="AD11" s="6">
        <f>IF(Tableau2[[#This Row],[Date signature ]]="","",EDATE(Tableau2[[#This Row],[Date signature ]],1))</f>
        <v>42498</v>
      </c>
      <c r="AE11" s="21">
        <f>IF(Tableau2[[#This Row],[PORTEUR
DE
PROJET]]="",0,IF(COUNTIF(Tableau2[[#This Row],[PORTEUR
DE
PROJET]],"CRA*")=1,,Tableau2[[#This Row],[Montant participation à signature]]*0.4))</f>
        <v>78402</v>
      </c>
      <c r="AF11" s="6">
        <f>IF(Tableau2[[#This Row],[Date signature ]]="","",IF(Tableau2[[#This Row],[ACOMPTE PREVU]]=0,"",EOMONTH(EDATE(Tableau2[[#This Row],[Date signature ]],Tableau2[[#This Row],[Durée du projet]]/2),0)))</f>
        <v>42674</v>
      </c>
      <c r="AG11" s="21">
        <f>IF(Tableau2[[#This Row],[PORTEUR
DE
PROJET]]="",0,IF(COUNTIF(Tableau2[[#This Row],[PORTEUR
DE
PROJET]],"CRA*")=1,Tableau2[[#This Row],[Montant participation à signature]]/2,Tableau2[[#This Row],[Montant participation à signature]]*0.3))</f>
        <v>58801.5</v>
      </c>
      <c r="AH11" s="6">
        <f>IF(Tableau2[[#This Row],[Date signature ]]="","",EOMONTH(EDATE(Tableau2[[#This Row],[Date signature ]],Tableau2[[#This Row],[Durée du projet]]),0))</f>
        <v>42855</v>
      </c>
      <c r="AI11" s="29">
        <f>IF(COUNTBLANK(Tableau2[[#This Row],[Date du mandat Avance]])=1,,Tableau2[[#This Row],[AVANCE PREVUE]])</f>
        <v>58801.5</v>
      </c>
      <c r="AJ11" s="64">
        <v>42514</v>
      </c>
      <c r="AK11" s="2"/>
      <c r="AL11" s="6"/>
      <c r="AM11" s="6"/>
      <c r="AN11" s="17">
        <f>IF(COUNTBLANK(Tableau2[[#This Row],[Date envoi ASF Acompte]])=1,,Tableau2[[#This Row],[ACOMPTE PREVU]])</f>
        <v>0</v>
      </c>
      <c r="AO11" s="17"/>
      <c r="AP11" s="2"/>
      <c r="AQ11" s="6"/>
      <c r="AR11" s="6"/>
      <c r="AS11" s="17"/>
      <c r="AT11" s="17"/>
      <c r="AU11" s="27"/>
      <c r="AV11" s="41"/>
      <c r="AW11" s="42"/>
      <c r="AX11" s="17">
        <f>IF(Tableau2[[#This Row],[Montant participation voté au CA]]="",0,Tableau2[[#This Row],[Montant participation voté au CA]]-Tableau2[[#This Row],[Montant participation à signature]])</f>
        <v>0</v>
      </c>
      <c r="AY11" s="45">
        <v>196005</v>
      </c>
      <c r="AZ11" s="17">
        <f>Tableau2[[#This Row],[AVANCE VERSEE]]+Tableau2[[#This Row],[ACOMPTE VERSE]]+Tableau2[[#This Row],[SOLDE VERSE]]</f>
        <v>58801.5</v>
      </c>
      <c r="BA11" s="17">
        <f>IF(Tableau2[[#This Row],[STATUT]]="Soldée",0,Tableau2[[#This Row],[Montant participation à signature]]-Tableau2[[#This Row],[Total CP payés]])</f>
        <v>137203.5</v>
      </c>
      <c r="BB11" s="17">
        <f>IF(Tableau2[[#This Row],[SOLDE VERSE]]&lt;0,-Tableau2[[#This Row],[SOLDE VERSE]],0)</f>
        <v>0</v>
      </c>
      <c r="BC11" s="17">
        <f>IF(Tableau2[[#This Row],[STATUT]]="Soldée",Tableau2[[#This Row],[Montant participation à signature]]-Tableau2[[#This Row],[Total CP payés]],0)</f>
        <v>0</v>
      </c>
      <c r="BD11" s="17">
        <f>IF(Tableau2[[#This Row],[Montant participation voté au CA]]="",0,Tableau2[[#This Row],[Réfaction]]+Tableau2[[#This Row],[Montant des crédits non engagés]])</f>
        <v>0</v>
      </c>
      <c r="BF11"/>
      <c r="BJ11"/>
      <c r="BK11"/>
      <c r="BL11"/>
      <c r="BM11"/>
      <c r="BP11"/>
      <c r="BQ11"/>
      <c r="BR11"/>
      <c r="BS11"/>
      <c r="BT11"/>
      <c r="BU11"/>
      <c r="BV11"/>
      <c r="BW11"/>
      <c r="BX11"/>
      <c r="BY11"/>
      <c r="CA11"/>
      <c r="CB11"/>
    </row>
    <row r="12" spans="1:80" ht="15" customHeight="1" x14ac:dyDescent="0.25">
      <c r="A12" s="4">
        <v>11</v>
      </c>
      <c r="B12" s="36">
        <v>2734</v>
      </c>
      <c r="C12" s="39">
        <v>42327</v>
      </c>
      <c r="D12" s="73" t="s">
        <v>87</v>
      </c>
      <c r="E12" s="38">
        <v>2</v>
      </c>
      <c r="F12" s="38" t="s">
        <v>40</v>
      </c>
      <c r="G12" s="96" t="s">
        <v>143</v>
      </c>
      <c r="H12" s="96" t="s">
        <v>144</v>
      </c>
      <c r="I12" s="40" t="s">
        <v>48</v>
      </c>
      <c r="J12" s="77"/>
      <c r="K12" s="70"/>
      <c r="L12" s="34"/>
      <c r="M12" s="35"/>
      <c r="N12" s="38">
        <v>36</v>
      </c>
      <c r="O12" s="37">
        <v>6</v>
      </c>
      <c r="P12" s="37">
        <f>IF(Tableau2[[#This Row],[Durée du projet]]="","-",Tableau2[[#This Row],[Durée du projet]]+Tableau2[[#This Row],[Durée suppl'' pour pièces]])</f>
        <v>42</v>
      </c>
      <c r="Q12" s="39">
        <v>42468</v>
      </c>
      <c r="R12" s="60">
        <v>42430</v>
      </c>
      <c r="S12" s="6">
        <f>IF(Tableau2[[#This Row],[Date signature ]]="","",EOMONTH((EDATE(Tableau2[[#This Row],[Début éligibilité dépenses]],Tableau2[[#This Row],[Durée du projet]])),-1))</f>
        <v>43524</v>
      </c>
      <c r="T12" s="6">
        <f>IF(Tableau2[[#This Row],[Fin éligibilité dépenses]]="","",EDATE(Tableau2[[#This Row],[Fin éligibilité dépenses]],-6))</f>
        <v>43340</v>
      </c>
      <c r="U12" s="6">
        <f>IF(Tableau2[[#This Row],[Début éligibilité dépenses]]="","",EOMONTH(EDATE(Tableau2[[#This Row],[Début éligibilité dépenses]],Tableau2[[#This Row],[Durée du projet]]/2),0))</f>
        <v>43008</v>
      </c>
      <c r="V12" s="59">
        <f>IF(Tableau2[[#This Row],[Date signature ]]="","",EDATE(Tableau2[[#This Row],[Date signature ]],Tableau2[[#This Row],[Durée totale conv'' ]])-1)</f>
        <v>43745</v>
      </c>
      <c r="W12" s="40" t="s">
        <v>21</v>
      </c>
      <c r="X12" s="2"/>
      <c r="Y12" s="40" t="s">
        <v>145</v>
      </c>
      <c r="Z12" s="2"/>
      <c r="AA12" s="2"/>
      <c r="AB12" s="19"/>
      <c r="AC12" s="21">
        <f>IF(Tableau2[[#This Row],[PORTEUR
DE
PROJET]]="",0,IF(COUNTIF(Tableau2[[#This Row],[PORTEUR
DE
PROJET]],"CRA*")=1,Tableau2[[#This Row],[Montant participation à signature]]/2,Tableau2[[#This Row],[Montant participation à signature]]*0.3))</f>
        <v>16727.399999999998</v>
      </c>
      <c r="AD12" s="6">
        <f>IF(Tableau2[[#This Row],[Date signature ]]="","",EDATE(Tableau2[[#This Row],[Date signature ]],1))</f>
        <v>42498</v>
      </c>
      <c r="AE12" s="21">
        <f>IF(Tableau2[[#This Row],[PORTEUR
DE
PROJET]]="",0,IF(COUNTIF(Tableau2[[#This Row],[PORTEUR
DE
PROJET]],"CRA*")=1,,Tableau2[[#This Row],[Montant participation à signature]]*0.4))</f>
        <v>22303.200000000001</v>
      </c>
      <c r="AF12" s="6">
        <f>IF(Tableau2[[#This Row],[Date signature ]]="","",IF(Tableau2[[#This Row],[ACOMPTE PREVU]]=0,"",EOMONTH(EDATE(Tableau2[[#This Row],[Date signature ]],Tableau2[[#This Row],[Durée du projet]]/2),0)))</f>
        <v>43039</v>
      </c>
      <c r="AG12" s="21">
        <f>IF(Tableau2[[#This Row],[PORTEUR
DE
PROJET]]="",0,IF(COUNTIF(Tableau2[[#This Row],[PORTEUR
DE
PROJET]],"CRA*")=1,Tableau2[[#This Row],[Montant participation à signature]]/2,Tableau2[[#This Row],[Montant participation à signature]]*0.3))</f>
        <v>16727.399999999998</v>
      </c>
      <c r="AH12" s="6">
        <f>IF(Tableau2[[#This Row],[Date signature ]]="","",EOMONTH(EDATE(Tableau2[[#This Row],[Date signature ]],Tableau2[[#This Row],[Durée du projet]]),0))</f>
        <v>43585</v>
      </c>
      <c r="AI12" s="29">
        <f>IF(COUNTBLANK(Tableau2[[#This Row],[Date du mandat Avance]])=1,,Tableau2[[#This Row],[AVANCE PREVUE]])</f>
        <v>16727.399999999998</v>
      </c>
      <c r="AJ12" s="64">
        <v>42474</v>
      </c>
      <c r="AK12" s="2"/>
      <c r="AL12" s="6"/>
      <c r="AM12" s="6"/>
      <c r="AN12" s="17">
        <f>IF(COUNTBLANK(Tableau2[[#This Row],[Date envoi ASF Acompte]])=1,,Tableau2[[#This Row],[ACOMPTE PREVU]])</f>
        <v>0</v>
      </c>
      <c r="AO12" s="17"/>
      <c r="AP12" s="2"/>
      <c r="AQ12" s="6"/>
      <c r="AR12" s="6"/>
      <c r="AS12" s="17"/>
      <c r="AT12" s="17"/>
      <c r="AU12" s="27"/>
      <c r="AV12" s="41"/>
      <c r="AW12" s="42"/>
      <c r="AX12" s="17">
        <f>IF(Tableau2[[#This Row],[Montant participation voté au CA]]="",0,Tableau2[[#This Row],[Montant participation voté au CA]]-Tableau2[[#This Row],[Montant participation à signature]])</f>
        <v>0</v>
      </c>
      <c r="AY12" s="45">
        <v>55758</v>
      </c>
      <c r="AZ12" s="17">
        <f>Tableau2[[#This Row],[AVANCE VERSEE]]+Tableau2[[#This Row],[ACOMPTE VERSE]]+Tableau2[[#This Row],[SOLDE VERSE]]</f>
        <v>16727.399999999998</v>
      </c>
      <c r="BA12" s="17">
        <f>IF(Tableau2[[#This Row],[STATUT]]="Soldée",0,Tableau2[[#This Row],[Montant participation à signature]]-Tableau2[[#This Row],[Total CP payés]])</f>
        <v>39030.600000000006</v>
      </c>
      <c r="BB12" s="17">
        <f>IF(Tableau2[[#This Row],[SOLDE VERSE]]&lt;0,-Tableau2[[#This Row],[SOLDE VERSE]],0)</f>
        <v>0</v>
      </c>
      <c r="BC12" s="17">
        <f>IF(Tableau2[[#This Row],[STATUT]]="Soldée",Tableau2[[#This Row],[Montant participation à signature]]-Tableau2[[#This Row],[Total CP payés]],0)</f>
        <v>0</v>
      </c>
      <c r="BD12" s="17">
        <f>IF(Tableau2[[#This Row],[Montant participation voté au CA]]="",0,Tableau2[[#This Row],[Réfaction]]+Tableau2[[#This Row],[Montant des crédits non engagés]])</f>
        <v>0</v>
      </c>
      <c r="BF12"/>
      <c r="BJ12"/>
      <c r="BK12"/>
      <c r="BL12"/>
      <c r="BM12"/>
      <c r="BP12"/>
      <c r="BQ12"/>
      <c r="BR12"/>
      <c r="BS12"/>
      <c r="BT12"/>
      <c r="BU12"/>
      <c r="BV12"/>
      <c r="BW12"/>
      <c r="BX12"/>
      <c r="BY12"/>
      <c r="CA12"/>
      <c r="CB12"/>
    </row>
    <row r="13" spans="1:80" ht="15" customHeight="1" x14ac:dyDescent="0.25">
      <c r="A13" s="4">
        <v>12</v>
      </c>
      <c r="B13" s="36">
        <v>2735</v>
      </c>
      <c r="C13" s="39">
        <v>42327</v>
      </c>
      <c r="D13" s="73" t="s">
        <v>88</v>
      </c>
      <c r="E13" s="38">
        <v>6</v>
      </c>
      <c r="F13" s="38">
        <v>28</v>
      </c>
      <c r="G13" s="96" t="s">
        <v>143</v>
      </c>
      <c r="H13" s="96" t="s">
        <v>144</v>
      </c>
      <c r="I13" s="40" t="s">
        <v>48</v>
      </c>
      <c r="J13" s="77"/>
      <c r="K13" s="70"/>
      <c r="L13" s="34"/>
      <c r="M13" s="35"/>
      <c r="N13" s="38">
        <v>12</v>
      </c>
      <c r="O13" s="37">
        <v>6</v>
      </c>
      <c r="P13" s="37">
        <f>IF(Tableau2[[#This Row],[Durée du projet]]="","-",Tableau2[[#This Row],[Durée du projet]]+Tableau2[[#This Row],[Durée suppl'' pour pièces]])</f>
        <v>18</v>
      </c>
      <c r="Q13" s="39">
        <v>42468</v>
      </c>
      <c r="R13" s="60">
        <v>42370</v>
      </c>
      <c r="S13" s="6">
        <f>IF(Tableau2[[#This Row],[Date signature ]]="","",EOMONTH((EDATE(Tableau2[[#This Row],[Début éligibilité dépenses]],Tableau2[[#This Row],[Durée du projet]])),-1))</f>
        <v>42735</v>
      </c>
      <c r="T13" s="6">
        <f>IF(Tableau2[[#This Row],[Fin éligibilité dépenses]]="","",EDATE(Tableau2[[#This Row],[Fin éligibilité dépenses]],-6))</f>
        <v>42551</v>
      </c>
      <c r="U13" s="6">
        <f>IF(Tableau2[[#This Row],[Début éligibilité dépenses]]="","",EOMONTH(EDATE(Tableau2[[#This Row],[Début éligibilité dépenses]],Tableau2[[#This Row],[Durée du projet]]/2),0))</f>
        <v>42582</v>
      </c>
      <c r="V13" s="59">
        <f>IF(Tableau2[[#This Row],[Date signature ]]="","",EDATE(Tableau2[[#This Row],[Date signature ]],Tableau2[[#This Row],[Durée totale conv'' ]])-1)</f>
        <v>43015</v>
      </c>
      <c r="W13" s="40" t="s">
        <v>21</v>
      </c>
      <c r="X13" s="2"/>
      <c r="Y13" s="40" t="s">
        <v>145</v>
      </c>
      <c r="Z13" s="2"/>
      <c r="AA13" s="2"/>
      <c r="AB13" s="19"/>
      <c r="AC13" s="21">
        <f>IF(Tableau2[[#This Row],[PORTEUR
DE
PROJET]]="",0,IF(COUNTIF(Tableau2[[#This Row],[PORTEUR
DE
PROJET]],"CRA*")=1,Tableau2[[#This Row],[Montant participation à signature]]/2,Tableau2[[#This Row],[Montant participation à signature]]*0.3))</f>
        <v>14889</v>
      </c>
      <c r="AD13" s="6">
        <f>IF(Tableau2[[#This Row],[Date signature ]]="","",EDATE(Tableau2[[#This Row],[Date signature ]],1))</f>
        <v>42498</v>
      </c>
      <c r="AE13" s="21">
        <f>IF(Tableau2[[#This Row],[PORTEUR
DE
PROJET]]="",0,IF(COUNTIF(Tableau2[[#This Row],[PORTEUR
DE
PROJET]],"CRA*")=1,,Tableau2[[#This Row],[Montant participation à signature]]*0.4))</f>
        <v>19852</v>
      </c>
      <c r="AF13" s="6">
        <f>IF(Tableau2[[#This Row],[Date signature ]]="","",IF(Tableau2[[#This Row],[ACOMPTE PREVU]]=0,"",EOMONTH(EDATE(Tableau2[[#This Row],[Date signature ]],Tableau2[[#This Row],[Durée du projet]]/2),0)))</f>
        <v>42674</v>
      </c>
      <c r="AG13" s="21">
        <f>IF(Tableau2[[#This Row],[PORTEUR
DE
PROJET]]="",0,IF(COUNTIF(Tableau2[[#This Row],[PORTEUR
DE
PROJET]],"CRA*")=1,Tableau2[[#This Row],[Montant participation à signature]]/2,Tableau2[[#This Row],[Montant participation à signature]]*0.3))</f>
        <v>14889</v>
      </c>
      <c r="AH13" s="6">
        <f>IF(Tableau2[[#This Row],[Date signature ]]="","",EOMONTH(EDATE(Tableau2[[#This Row],[Date signature ]],Tableau2[[#This Row],[Durée du projet]]),0))</f>
        <v>42855</v>
      </c>
      <c r="AI13" s="29">
        <f>IF(COUNTBLANK(Tableau2[[#This Row],[Date du mandat Avance]])=1,,Tableau2[[#This Row],[AVANCE PREVUE]])</f>
        <v>14889</v>
      </c>
      <c r="AJ13" s="64">
        <v>42474</v>
      </c>
      <c r="AK13" s="2"/>
      <c r="AL13" s="6"/>
      <c r="AM13" s="6"/>
      <c r="AN13" s="17">
        <f>IF(COUNTBLANK(Tableau2[[#This Row],[Date envoi ASF Acompte]])=1,,Tableau2[[#This Row],[ACOMPTE PREVU]])</f>
        <v>0</v>
      </c>
      <c r="AO13" s="17"/>
      <c r="AP13" s="2"/>
      <c r="AQ13" s="6"/>
      <c r="AR13" s="6"/>
      <c r="AS13" s="17"/>
      <c r="AT13" s="17"/>
      <c r="AU13" s="27"/>
      <c r="AV13" s="41"/>
      <c r="AW13" s="42"/>
      <c r="AX13" s="17">
        <f>IF(Tableau2[[#This Row],[Montant participation voté au CA]]="",0,Tableau2[[#This Row],[Montant participation voté au CA]]-Tableau2[[#This Row],[Montant participation à signature]])</f>
        <v>0</v>
      </c>
      <c r="AY13" s="45">
        <v>49630</v>
      </c>
      <c r="AZ13" s="17">
        <f>Tableau2[[#This Row],[AVANCE VERSEE]]+Tableau2[[#This Row],[ACOMPTE VERSE]]+Tableau2[[#This Row],[SOLDE VERSE]]</f>
        <v>14889</v>
      </c>
      <c r="BA13" s="17">
        <f>IF(Tableau2[[#This Row],[STATUT]]="Soldée",0,Tableau2[[#This Row],[Montant participation à signature]]-Tableau2[[#This Row],[Total CP payés]])</f>
        <v>34741</v>
      </c>
      <c r="BB13" s="17">
        <f>IF(Tableau2[[#This Row],[SOLDE VERSE]]&lt;0,-Tableau2[[#This Row],[SOLDE VERSE]],0)</f>
        <v>0</v>
      </c>
      <c r="BC13" s="17">
        <f>IF(Tableau2[[#This Row],[STATUT]]="Soldée",Tableau2[[#This Row],[Montant participation à signature]]-Tableau2[[#This Row],[Total CP payés]],0)</f>
        <v>0</v>
      </c>
      <c r="BD13" s="17">
        <f>IF(Tableau2[[#This Row],[Montant participation voté au CA]]="",0,Tableau2[[#This Row],[Réfaction]]+Tableau2[[#This Row],[Montant des crédits non engagés]])</f>
        <v>0</v>
      </c>
      <c r="BF13"/>
      <c r="BJ13"/>
      <c r="BK13"/>
      <c r="BL13"/>
      <c r="BM13"/>
      <c r="BP13"/>
      <c r="BQ13"/>
      <c r="BR13"/>
      <c r="BS13"/>
      <c r="BT13"/>
      <c r="BU13"/>
      <c r="BV13"/>
      <c r="BW13"/>
      <c r="BX13"/>
      <c r="BY13"/>
      <c r="CA13"/>
      <c r="CB13"/>
    </row>
    <row r="14" spans="1:80" ht="15" customHeight="1" x14ac:dyDescent="0.25">
      <c r="A14" s="4">
        <v>13</v>
      </c>
      <c r="B14" s="36">
        <v>2742</v>
      </c>
      <c r="C14" s="39">
        <v>42327</v>
      </c>
      <c r="D14" s="73" t="s">
        <v>86</v>
      </c>
      <c r="E14" s="38" t="s">
        <v>50</v>
      </c>
      <c r="F14" s="38" t="s">
        <v>44</v>
      </c>
      <c r="G14" s="96" t="s">
        <v>143</v>
      </c>
      <c r="H14" s="96" t="s">
        <v>144</v>
      </c>
      <c r="I14" s="40" t="s">
        <v>48</v>
      </c>
      <c r="J14" s="77"/>
      <c r="K14" s="70"/>
      <c r="L14" s="34"/>
      <c r="M14" s="35"/>
      <c r="N14" s="38">
        <v>12</v>
      </c>
      <c r="O14" s="37">
        <v>6</v>
      </c>
      <c r="P14" s="37">
        <f>IF(Tableau2[[#This Row],[Durée du projet]]="","-",Tableau2[[#This Row],[Durée du projet]]+Tableau2[[#This Row],[Durée suppl'' pour pièces]])</f>
        <v>18</v>
      </c>
      <c r="Q14" s="39">
        <v>42475</v>
      </c>
      <c r="R14" s="60">
        <v>42370</v>
      </c>
      <c r="S14" s="6">
        <f>IF(Tableau2[[#This Row],[Date signature ]]="","",EOMONTH((EDATE(Tableau2[[#This Row],[Début éligibilité dépenses]],Tableau2[[#This Row],[Durée du projet]])),-1))</f>
        <v>42735</v>
      </c>
      <c r="T14" s="6">
        <f>IF(Tableau2[[#This Row],[Fin éligibilité dépenses]]="","",EDATE(Tableau2[[#This Row],[Fin éligibilité dépenses]],-6))</f>
        <v>42551</v>
      </c>
      <c r="U14" s="6">
        <f>IF(Tableau2[[#This Row],[Début éligibilité dépenses]]="","",EOMONTH(EDATE(Tableau2[[#This Row],[Début éligibilité dépenses]],Tableau2[[#This Row],[Durée du projet]]/2),0))</f>
        <v>42582</v>
      </c>
      <c r="V14" s="59">
        <f>IF(Tableau2[[#This Row],[Date signature ]]="","",EDATE(Tableau2[[#This Row],[Date signature ]],Tableau2[[#This Row],[Durée totale conv'' ]])-1)</f>
        <v>43022</v>
      </c>
      <c r="W14" s="40" t="s">
        <v>21</v>
      </c>
      <c r="X14" s="2"/>
      <c r="Y14" s="40" t="s">
        <v>145</v>
      </c>
      <c r="Z14" s="2"/>
      <c r="AA14" s="2"/>
      <c r="AB14" s="19"/>
      <c r="AC14" s="21">
        <f>IF(Tableau2[[#This Row],[PORTEUR
DE
PROJET]]="",0,IF(COUNTIF(Tableau2[[#This Row],[PORTEUR
DE
PROJET]],"CRA*")=1,Tableau2[[#This Row],[Montant participation à signature]]/2,Tableau2[[#This Row],[Montant participation à signature]]*0.3))</f>
        <v>119068.79999999999</v>
      </c>
      <c r="AD14" s="6">
        <f>IF(Tableau2[[#This Row],[Date signature ]]="","",EDATE(Tableau2[[#This Row],[Date signature ]],1))</f>
        <v>42505</v>
      </c>
      <c r="AE14" s="21">
        <f>IF(Tableau2[[#This Row],[PORTEUR
DE
PROJET]]="",0,IF(COUNTIF(Tableau2[[#This Row],[PORTEUR
DE
PROJET]],"CRA*")=1,,Tableau2[[#This Row],[Montant participation à signature]]*0.4))</f>
        <v>158758.40000000002</v>
      </c>
      <c r="AF14" s="6">
        <f>IF(Tableau2[[#This Row],[Date signature ]]="","",IF(Tableau2[[#This Row],[ACOMPTE PREVU]]=0,"",EOMONTH(EDATE(Tableau2[[#This Row],[Date signature ]],Tableau2[[#This Row],[Durée du projet]]/2),0)))</f>
        <v>42674</v>
      </c>
      <c r="AG14" s="21">
        <f>IF(Tableau2[[#This Row],[PORTEUR
DE
PROJET]]="",0,IF(COUNTIF(Tableau2[[#This Row],[PORTEUR
DE
PROJET]],"CRA*")=1,Tableau2[[#This Row],[Montant participation à signature]]/2,Tableau2[[#This Row],[Montant participation à signature]]*0.3))</f>
        <v>119068.79999999999</v>
      </c>
      <c r="AH14" s="6">
        <f>IF(Tableau2[[#This Row],[Date signature ]]="","",EOMONTH(EDATE(Tableau2[[#This Row],[Date signature ]],Tableau2[[#This Row],[Durée du projet]]),0))</f>
        <v>42855</v>
      </c>
      <c r="AI14" s="29">
        <f>IF(COUNTBLANK(Tableau2[[#This Row],[Date du mandat Avance]])=1,,Tableau2[[#This Row],[AVANCE PREVUE]])</f>
        <v>119068.79999999999</v>
      </c>
      <c r="AJ14" s="64">
        <v>42482</v>
      </c>
      <c r="AK14" s="2"/>
      <c r="AL14" s="6"/>
      <c r="AM14" s="6"/>
      <c r="AN14" s="17">
        <f>IF(COUNTBLANK(Tableau2[[#This Row],[Date envoi ASF Acompte]])=1,,Tableau2[[#This Row],[ACOMPTE PREVU]])</f>
        <v>0</v>
      </c>
      <c r="AO14" s="17"/>
      <c r="AP14" s="2"/>
      <c r="AQ14" s="6"/>
      <c r="AR14" s="6"/>
      <c r="AS14" s="17"/>
      <c r="AT14" s="17"/>
      <c r="AU14" s="27"/>
      <c r="AV14" s="41"/>
      <c r="AW14" s="42"/>
      <c r="AX14" s="17">
        <f>IF(Tableau2[[#This Row],[Montant participation voté au CA]]="",0,Tableau2[[#This Row],[Montant participation voté au CA]]-Tableau2[[#This Row],[Montant participation à signature]])</f>
        <v>0</v>
      </c>
      <c r="AY14" s="45">
        <v>396896</v>
      </c>
      <c r="AZ14" s="17">
        <f>Tableau2[[#This Row],[AVANCE VERSEE]]+Tableau2[[#This Row],[ACOMPTE VERSE]]+Tableau2[[#This Row],[SOLDE VERSE]]</f>
        <v>119068.79999999999</v>
      </c>
      <c r="BA14" s="17">
        <f>IF(Tableau2[[#This Row],[STATUT]]="Soldée",0,Tableau2[[#This Row],[Montant participation à signature]]-Tableau2[[#This Row],[Total CP payés]])</f>
        <v>277827.20000000001</v>
      </c>
      <c r="BB14" s="17">
        <f>IF(Tableau2[[#This Row],[SOLDE VERSE]]&lt;0,-Tableau2[[#This Row],[SOLDE VERSE]],0)</f>
        <v>0</v>
      </c>
      <c r="BC14" s="17">
        <f>IF(Tableau2[[#This Row],[STATUT]]="Soldée",Tableau2[[#This Row],[Montant participation à signature]]-Tableau2[[#This Row],[Total CP payés]],0)</f>
        <v>0</v>
      </c>
      <c r="BD14" s="17">
        <f>IF(Tableau2[[#This Row],[Montant participation voté au CA]]="",0,Tableau2[[#This Row],[Réfaction]]+Tableau2[[#This Row],[Montant des crédits non engagés]])</f>
        <v>0</v>
      </c>
      <c r="BF14"/>
      <c r="BJ14"/>
      <c r="BK14"/>
      <c r="BL14"/>
      <c r="BM14"/>
      <c r="BP14"/>
      <c r="BQ14"/>
      <c r="BR14"/>
      <c r="BS14"/>
      <c r="BT14"/>
      <c r="BU14"/>
      <c r="BV14"/>
      <c r="BW14"/>
      <c r="BX14"/>
      <c r="BY14"/>
      <c r="CA14"/>
      <c r="CB14"/>
    </row>
    <row r="15" spans="1:80" ht="15" customHeight="1" x14ac:dyDescent="0.25">
      <c r="A15" s="4">
        <v>14</v>
      </c>
      <c r="B15" s="36">
        <v>2743</v>
      </c>
      <c r="C15" s="39">
        <v>42327</v>
      </c>
      <c r="D15" s="73" t="s">
        <v>89</v>
      </c>
      <c r="E15" s="38">
        <v>5</v>
      </c>
      <c r="F15" s="38">
        <v>27</v>
      </c>
      <c r="G15" s="96" t="s">
        <v>143</v>
      </c>
      <c r="H15" s="96" t="s">
        <v>144</v>
      </c>
      <c r="I15" s="40" t="s">
        <v>48</v>
      </c>
      <c r="J15" s="77"/>
      <c r="K15" s="70"/>
      <c r="L15" s="34"/>
      <c r="M15" s="35"/>
      <c r="N15" s="38">
        <v>12</v>
      </c>
      <c r="O15" s="37">
        <v>6</v>
      </c>
      <c r="P15" s="37">
        <f>IF(Tableau2[[#This Row],[Durée du projet]]="","-",Tableau2[[#This Row],[Durée du projet]]+Tableau2[[#This Row],[Durée suppl'' pour pièces]])</f>
        <v>18</v>
      </c>
      <c r="Q15" s="39">
        <v>42475</v>
      </c>
      <c r="R15" s="60">
        <v>42370</v>
      </c>
      <c r="S15" s="6">
        <f>IF(Tableau2[[#This Row],[Date signature ]]="","",EOMONTH((EDATE(Tableau2[[#This Row],[Début éligibilité dépenses]],Tableau2[[#This Row],[Durée du projet]])),-1))</f>
        <v>42735</v>
      </c>
      <c r="T15" s="6">
        <f>IF(Tableau2[[#This Row],[Fin éligibilité dépenses]]="","",EDATE(Tableau2[[#This Row],[Fin éligibilité dépenses]],-6))</f>
        <v>42551</v>
      </c>
      <c r="U15" s="6">
        <f>IF(Tableau2[[#This Row],[Début éligibilité dépenses]]="","",EOMONTH(EDATE(Tableau2[[#This Row],[Début éligibilité dépenses]],Tableau2[[#This Row],[Durée du projet]]/2),0))</f>
        <v>42582</v>
      </c>
      <c r="V15" s="59">
        <f>IF(Tableau2[[#This Row],[Date signature ]]="","",EDATE(Tableau2[[#This Row],[Date signature ]],Tableau2[[#This Row],[Durée totale conv'' ]])-1)</f>
        <v>43022</v>
      </c>
      <c r="W15" s="40" t="s">
        <v>21</v>
      </c>
      <c r="X15" s="2"/>
      <c r="Y15" s="40" t="s">
        <v>145</v>
      </c>
      <c r="Z15" s="2"/>
      <c r="AA15" s="2"/>
      <c r="AB15" s="19"/>
      <c r="AC15" s="21">
        <f>IF(Tableau2[[#This Row],[PORTEUR
DE
PROJET]]="",0,IF(COUNTIF(Tableau2[[#This Row],[PORTEUR
DE
PROJET]],"CRA*")=1,Tableau2[[#This Row],[Montant participation à signature]]/2,Tableau2[[#This Row],[Montant participation à signature]]*0.3))</f>
        <v>70312.5</v>
      </c>
      <c r="AD15" s="6">
        <f>IF(Tableau2[[#This Row],[Date signature ]]="","",EDATE(Tableau2[[#This Row],[Date signature ]],1))</f>
        <v>42505</v>
      </c>
      <c r="AE15" s="21">
        <f>IF(Tableau2[[#This Row],[PORTEUR
DE
PROJET]]="",0,IF(COUNTIF(Tableau2[[#This Row],[PORTEUR
DE
PROJET]],"CRA*")=1,,Tableau2[[#This Row],[Montant participation à signature]]*0.4))</f>
        <v>93750</v>
      </c>
      <c r="AF15" s="6">
        <f>IF(Tableau2[[#This Row],[Date signature ]]="","",IF(Tableau2[[#This Row],[ACOMPTE PREVU]]=0,"",EOMONTH(EDATE(Tableau2[[#This Row],[Date signature ]],Tableau2[[#This Row],[Durée du projet]]/2),0)))</f>
        <v>42674</v>
      </c>
      <c r="AG15" s="21">
        <f>IF(Tableau2[[#This Row],[PORTEUR
DE
PROJET]]="",0,IF(COUNTIF(Tableau2[[#This Row],[PORTEUR
DE
PROJET]],"CRA*")=1,Tableau2[[#This Row],[Montant participation à signature]]/2,Tableau2[[#This Row],[Montant participation à signature]]*0.3))</f>
        <v>70312.5</v>
      </c>
      <c r="AH15" s="6">
        <f>IF(Tableau2[[#This Row],[Date signature ]]="","",EOMONTH(EDATE(Tableau2[[#This Row],[Date signature ]],Tableau2[[#This Row],[Durée du projet]]),0))</f>
        <v>42855</v>
      </c>
      <c r="AI15" s="29">
        <f>IF(COUNTBLANK(Tableau2[[#This Row],[Date du mandat Avance]])=1,,Tableau2[[#This Row],[AVANCE PREVUE]])</f>
        <v>70312.5</v>
      </c>
      <c r="AJ15" s="64">
        <v>42482</v>
      </c>
      <c r="AK15" s="2"/>
      <c r="AL15" s="6"/>
      <c r="AM15" s="6"/>
      <c r="AN15" s="17">
        <f>IF(COUNTBLANK(Tableau2[[#This Row],[Date envoi ASF Acompte]])=1,,Tableau2[[#This Row],[ACOMPTE PREVU]])</f>
        <v>0</v>
      </c>
      <c r="AO15" s="17"/>
      <c r="AP15" s="2"/>
      <c r="AQ15" s="6"/>
      <c r="AR15" s="6"/>
      <c r="AS15" s="17"/>
      <c r="AT15" s="17"/>
      <c r="AU15" s="27"/>
      <c r="AV15" s="41"/>
      <c r="AW15" s="42"/>
      <c r="AX15" s="17">
        <f>IF(Tableau2[[#This Row],[Montant participation voté au CA]]="",0,Tableau2[[#This Row],[Montant participation voté au CA]]-Tableau2[[#This Row],[Montant participation à signature]])</f>
        <v>0</v>
      </c>
      <c r="AY15" s="45">
        <v>234375</v>
      </c>
      <c r="AZ15" s="17">
        <f>Tableau2[[#This Row],[AVANCE VERSEE]]+Tableau2[[#This Row],[ACOMPTE VERSE]]+Tableau2[[#This Row],[SOLDE VERSE]]</f>
        <v>70312.5</v>
      </c>
      <c r="BA15" s="17">
        <f>IF(Tableau2[[#This Row],[STATUT]]="Soldée",0,Tableau2[[#This Row],[Montant participation à signature]]-Tableau2[[#This Row],[Total CP payés]])</f>
        <v>164062.5</v>
      </c>
      <c r="BB15" s="17">
        <f>IF(Tableau2[[#This Row],[SOLDE VERSE]]&lt;0,-Tableau2[[#This Row],[SOLDE VERSE]],0)</f>
        <v>0</v>
      </c>
      <c r="BC15" s="17">
        <f>IF(Tableau2[[#This Row],[STATUT]]="Soldée",Tableau2[[#This Row],[Montant participation à signature]]-Tableau2[[#This Row],[Total CP payés]],0)</f>
        <v>0</v>
      </c>
      <c r="BD15" s="17">
        <f>IF(Tableau2[[#This Row],[Montant participation voté au CA]]="",0,Tableau2[[#This Row],[Réfaction]]+Tableau2[[#This Row],[Montant des crédits non engagés]])</f>
        <v>0</v>
      </c>
      <c r="BF15"/>
      <c r="BJ15"/>
      <c r="BK15"/>
      <c r="BL15"/>
      <c r="BM15"/>
      <c r="BP15"/>
      <c r="BQ15"/>
      <c r="BR15"/>
      <c r="BS15"/>
      <c r="BT15"/>
      <c r="BU15"/>
      <c r="BV15"/>
      <c r="BW15"/>
      <c r="BX15"/>
      <c r="BY15"/>
      <c r="CA15"/>
      <c r="CB15"/>
    </row>
    <row r="16" spans="1:80" ht="15" customHeight="1" x14ac:dyDescent="0.25">
      <c r="A16" s="4">
        <v>15</v>
      </c>
      <c r="B16" s="36">
        <v>2744</v>
      </c>
      <c r="C16" s="39">
        <v>42327</v>
      </c>
      <c r="D16" s="73" t="s">
        <v>90</v>
      </c>
      <c r="E16" s="38">
        <v>5</v>
      </c>
      <c r="F16" s="38">
        <v>27</v>
      </c>
      <c r="G16" s="96" t="s">
        <v>143</v>
      </c>
      <c r="H16" s="96" t="s">
        <v>144</v>
      </c>
      <c r="I16" s="40" t="s">
        <v>48</v>
      </c>
      <c r="J16" s="77"/>
      <c r="K16" s="70"/>
      <c r="L16" s="34"/>
      <c r="M16" s="35"/>
      <c r="N16" s="38">
        <v>12</v>
      </c>
      <c r="O16" s="37">
        <v>6</v>
      </c>
      <c r="P16" s="37">
        <f>IF(Tableau2[[#This Row],[Durée du projet]]="","-",Tableau2[[#This Row],[Durée du projet]]+Tableau2[[#This Row],[Durée suppl'' pour pièces]])</f>
        <v>18</v>
      </c>
      <c r="Q16" s="39">
        <v>42475</v>
      </c>
      <c r="R16" s="60">
        <v>42370</v>
      </c>
      <c r="S16" s="6">
        <f>IF(Tableau2[[#This Row],[Date signature ]]="","",EOMONTH((EDATE(Tableau2[[#This Row],[Début éligibilité dépenses]],Tableau2[[#This Row],[Durée du projet]])),-1))</f>
        <v>42735</v>
      </c>
      <c r="T16" s="6">
        <f>IF(Tableau2[[#This Row],[Fin éligibilité dépenses]]="","",EDATE(Tableau2[[#This Row],[Fin éligibilité dépenses]],-6))</f>
        <v>42551</v>
      </c>
      <c r="U16" s="6">
        <f>IF(Tableau2[[#This Row],[Début éligibilité dépenses]]="","",EOMONTH(EDATE(Tableau2[[#This Row],[Début éligibilité dépenses]],Tableau2[[#This Row],[Durée du projet]]/2),0))</f>
        <v>42582</v>
      </c>
      <c r="V16" s="59">
        <f>IF(Tableau2[[#This Row],[Date signature ]]="","",EDATE(Tableau2[[#This Row],[Date signature ]],Tableau2[[#This Row],[Durée totale conv'' ]])-1)</f>
        <v>43022</v>
      </c>
      <c r="W16" s="40" t="s">
        <v>21</v>
      </c>
      <c r="X16" s="2"/>
      <c r="Y16" s="40" t="s">
        <v>145</v>
      </c>
      <c r="Z16" s="2"/>
      <c r="AA16" s="2"/>
      <c r="AB16" s="19"/>
      <c r="AC16" s="21">
        <f>IF(Tableau2[[#This Row],[PORTEUR
DE
PROJET]]="",0,IF(COUNTIF(Tableau2[[#This Row],[PORTEUR
DE
PROJET]],"CRA*")=1,Tableau2[[#This Row],[Montant participation à signature]]/2,Tableau2[[#This Row],[Montant participation à signature]]*0.3))</f>
        <v>318215.39999999997</v>
      </c>
      <c r="AD16" s="6">
        <f>IF(Tableau2[[#This Row],[Date signature ]]="","",EDATE(Tableau2[[#This Row],[Date signature ]],1))</f>
        <v>42505</v>
      </c>
      <c r="AE16" s="21">
        <f>IF(Tableau2[[#This Row],[PORTEUR
DE
PROJET]]="",0,IF(COUNTIF(Tableau2[[#This Row],[PORTEUR
DE
PROJET]],"CRA*")=1,,Tableau2[[#This Row],[Montant participation à signature]]*0.4))</f>
        <v>424287.2</v>
      </c>
      <c r="AF16" s="6">
        <f>IF(Tableau2[[#This Row],[Date signature ]]="","",IF(Tableau2[[#This Row],[ACOMPTE PREVU]]=0,"",EOMONTH(EDATE(Tableau2[[#This Row],[Date signature ]],Tableau2[[#This Row],[Durée du projet]]/2),0)))</f>
        <v>42674</v>
      </c>
      <c r="AG16" s="21">
        <f>IF(Tableau2[[#This Row],[PORTEUR
DE
PROJET]]="",0,IF(COUNTIF(Tableau2[[#This Row],[PORTEUR
DE
PROJET]],"CRA*")=1,Tableau2[[#This Row],[Montant participation à signature]]/2,Tableau2[[#This Row],[Montant participation à signature]]*0.3))</f>
        <v>318215.39999999997</v>
      </c>
      <c r="AH16" s="6">
        <f>IF(Tableau2[[#This Row],[Date signature ]]="","",EOMONTH(EDATE(Tableau2[[#This Row],[Date signature ]],Tableau2[[#This Row],[Durée du projet]]),0))</f>
        <v>42855</v>
      </c>
      <c r="AI16" s="29">
        <f>IF(COUNTBLANK(Tableau2[[#This Row],[Date du mandat Avance]])=1,,Tableau2[[#This Row],[AVANCE PREVUE]])</f>
        <v>318215.39999999997</v>
      </c>
      <c r="AJ16" s="64">
        <v>42482</v>
      </c>
      <c r="AK16" s="2"/>
      <c r="AL16" s="6"/>
      <c r="AM16" s="6"/>
      <c r="AN16" s="17">
        <f>IF(COUNTBLANK(Tableau2[[#This Row],[Date envoi ASF Acompte]])=1,,Tableau2[[#This Row],[ACOMPTE PREVU]])</f>
        <v>0</v>
      </c>
      <c r="AO16" s="17"/>
      <c r="AP16" s="2"/>
      <c r="AQ16" s="6"/>
      <c r="AR16" s="6"/>
      <c r="AS16" s="17"/>
      <c r="AT16" s="17"/>
      <c r="AU16" s="27"/>
      <c r="AV16" s="41"/>
      <c r="AW16" s="42"/>
      <c r="AX16" s="17">
        <f>IF(Tableau2[[#This Row],[Montant participation voté au CA]]="",0,Tableau2[[#This Row],[Montant participation voté au CA]]-Tableau2[[#This Row],[Montant participation à signature]])</f>
        <v>0</v>
      </c>
      <c r="AY16" s="45">
        <v>1060718</v>
      </c>
      <c r="AZ16" s="17">
        <f>Tableau2[[#This Row],[AVANCE VERSEE]]+Tableau2[[#This Row],[ACOMPTE VERSE]]+Tableau2[[#This Row],[SOLDE VERSE]]</f>
        <v>318215.39999999997</v>
      </c>
      <c r="BA16" s="17">
        <f>IF(Tableau2[[#This Row],[STATUT]]="Soldée",0,Tableau2[[#This Row],[Montant participation à signature]]-Tableau2[[#This Row],[Total CP payés]])</f>
        <v>742502.60000000009</v>
      </c>
      <c r="BB16" s="17">
        <f>IF(Tableau2[[#This Row],[SOLDE VERSE]]&lt;0,-Tableau2[[#This Row],[SOLDE VERSE]],0)</f>
        <v>0</v>
      </c>
      <c r="BC16" s="17">
        <f>IF(Tableau2[[#This Row],[STATUT]]="Soldée",Tableau2[[#This Row],[Montant participation à signature]]-Tableau2[[#This Row],[Total CP payés]],0)</f>
        <v>0</v>
      </c>
      <c r="BD16" s="17">
        <f>IF(Tableau2[[#This Row],[Montant participation voté au CA]]="",0,Tableau2[[#This Row],[Réfaction]]+Tableau2[[#This Row],[Montant des crédits non engagés]])</f>
        <v>0</v>
      </c>
      <c r="BF16"/>
      <c r="BJ16"/>
      <c r="BK16"/>
      <c r="BL16"/>
      <c r="BM16"/>
      <c r="BP16"/>
      <c r="BQ16"/>
      <c r="BR16"/>
      <c r="BS16"/>
      <c r="BT16"/>
      <c r="BU16"/>
      <c r="BV16"/>
      <c r="BW16"/>
      <c r="BX16"/>
      <c r="BY16"/>
      <c r="CA16"/>
      <c r="CB16"/>
    </row>
    <row r="17" spans="1:80" ht="15" customHeight="1" x14ac:dyDescent="0.25">
      <c r="A17" s="4">
        <v>16</v>
      </c>
      <c r="B17" s="36">
        <v>2745</v>
      </c>
      <c r="C17" s="39">
        <v>42327</v>
      </c>
      <c r="D17" s="73" t="s">
        <v>86</v>
      </c>
      <c r="E17" s="38" t="s">
        <v>50</v>
      </c>
      <c r="F17" s="38" t="s">
        <v>44</v>
      </c>
      <c r="G17" s="96" t="s">
        <v>143</v>
      </c>
      <c r="H17" s="96" t="s">
        <v>144</v>
      </c>
      <c r="I17" s="40" t="s">
        <v>48</v>
      </c>
      <c r="J17" s="77"/>
      <c r="K17" s="70"/>
      <c r="L17" s="34"/>
      <c r="M17" s="35"/>
      <c r="N17" s="38">
        <v>12</v>
      </c>
      <c r="O17" s="37">
        <v>6</v>
      </c>
      <c r="P17" s="37">
        <f>IF(Tableau2[[#This Row],[Durée du projet]]="","-",Tableau2[[#This Row],[Durée du projet]]+Tableau2[[#This Row],[Durée suppl'' pour pièces]])</f>
        <v>18</v>
      </c>
      <c r="Q17" s="39">
        <v>42479</v>
      </c>
      <c r="R17" s="60">
        <v>42370</v>
      </c>
      <c r="S17" s="6">
        <f>IF(Tableau2[[#This Row],[Date signature ]]="","",EOMONTH((EDATE(Tableau2[[#This Row],[Début éligibilité dépenses]],Tableau2[[#This Row],[Durée du projet]])),-1))</f>
        <v>42735</v>
      </c>
      <c r="T17" s="6">
        <f>IF(Tableau2[[#This Row],[Fin éligibilité dépenses]]="","",EDATE(Tableau2[[#This Row],[Fin éligibilité dépenses]],-6))</f>
        <v>42551</v>
      </c>
      <c r="U17" s="6">
        <f>IF(Tableau2[[#This Row],[Début éligibilité dépenses]]="","",EOMONTH(EDATE(Tableau2[[#This Row],[Début éligibilité dépenses]],Tableau2[[#This Row],[Durée du projet]]/2),0))</f>
        <v>42582</v>
      </c>
      <c r="V17" s="59">
        <f>IF(Tableau2[[#This Row],[Date signature ]]="","",EDATE(Tableau2[[#This Row],[Date signature ]],Tableau2[[#This Row],[Durée totale conv'' ]])-1)</f>
        <v>43026</v>
      </c>
      <c r="W17" s="40" t="s">
        <v>21</v>
      </c>
      <c r="X17" s="2"/>
      <c r="Y17" s="40" t="s">
        <v>145</v>
      </c>
      <c r="Z17" s="2"/>
      <c r="AA17" s="2"/>
      <c r="AB17" s="19"/>
      <c r="AC17" s="21">
        <f>IF(Tableau2[[#This Row],[PORTEUR
DE
PROJET]]="",0,IF(COUNTIF(Tableau2[[#This Row],[PORTEUR
DE
PROJET]],"CRA*")=1,Tableau2[[#This Row],[Montant participation à signature]]/2,Tableau2[[#This Row],[Montant participation à signature]]*0.3))</f>
        <v>25809</v>
      </c>
      <c r="AD17" s="6">
        <f>IF(Tableau2[[#This Row],[Date signature ]]="","",EDATE(Tableau2[[#This Row],[Date signature ]],1))</f>
        <v>42509</v>
      </c>
      <c r="AE17" s="21">
        <f>IF(Tableau2[[#This Row],[PORTEUR
DE
PROJET]]="",0,IF(COUNTIF(Tableau2[[#This Row],[PORTEUR
DE
PROJET]],"CRA*")=1,,Tableau2[[#This Row],[Montant participation à signature]]*0.4))</f>
        <v>34412</v>
      </c>
      <c r="AF17" s="6">
        <f>IF(Tableau2[[#This Row],[Date signature ]]="","",IF(Tableau2[[#This Row],[ACOMPTE PREVU]]=0,"",EOMONTH(EDATE(Tableau2[[#This Row],[Date signature ]],Tableau2[[#This Row],[Durée du projet]]/2),0)))</f>
        <v>42674</v>
      </c>
      <c r="AG17" s="21">
        <f>IF(Tableau2[[#This Row],[PORTEUR
DE
PROJET]]="",0,IF(COUNTIF(Tableau2[[#This Row],[PORTEUR
DE
PROJET]],"CRA*")=1,Tableau2[[#This Row],[Montant participation à signature]]/2,Tableau2[[#This Row],[Montant participation à signature]]*0.3))</f>
        <v>25809</v>
      </c>
      <c r="AH17" s="6">
        <f>IF(Tableau2[[#This Row],[Date signature ]]="","",EOMONTH(EDATE(Tableau2[[#This Row],[Date signature ]],Tableau2[[#This Row],[Durée du projet]]),0))</f>
        <v>42855</v>
      </c>
      <c r="AI17" s="29">
        <f>IF(COUNTBLANK(Tableau2[[#This Row],[Date du mandat Avance]])=1,,Tableau2[[#This Row],[AVANCE PREVUE]])</f>
        <v>25809</v>
      </c>
      <c r="AJ17" s="64">
        <v>42482</v>
      </c>
      <c r="AK17" s="2"/>
      <c r="AL17" s="6"/>
      <c r="AM17" s="6"/>
      <c r="AN17" s="17">
        <f>IF(COUNTBLANK(Tableau2[[#This Row],[Date envoi ASF Acompte]])=1,,Tableau2[[#This Row],[ACOMPTE PREVU]])</f>
        <v>0</v>
      </c>
      <c r="AO17" s="17"/>
      <c r="AP17" s="2"/>
      <c r="AQ17" s="6"/>
      <c r="AR17" s="6"/>
      <c r="AS17" s="17"/>
      <c r="AT17" s="17"/>
      <c r="AU17" s="27"/>
      <c r="AV17" s="41"/>
      <c r="AW17" s="42"/>
      <c r="AX17" s="17">
        <f>IF(Tableau2[[#This Row],[Montant participation voté au CA]]="",0,Tableau2[[#This Row],[Montant participation voté au CA]]-Tableau2[[#This Row],[Montant participation à signature]])</f>
        <v>0</v>
      </c>
      <c r="AY17" s="45">
        <v>86030</v>
      </c>
      <c r="AZ17" s="17">
        <f>Tableau2[[#This Row],[AVANCE VERSEE]]+Tableau2[[#This Row],[ACOMPTE VERSE]]+Tableau2[[#This Row],[SOLDE VERSE]]</f>
        <v>25809</v>
      </c>
      <c r="BA17" s="17">
        <f>IF(Tableau2[[#This Row],[STATUT]]="Soldée",0,Tableau2[[#This Row],[Montant participation à signature]]-Tableau2[[#This Row],[Total CP payés]])</f>
        <v>60221</v>
      </c>
      <c r="BB17" s="17">
        <f>IF(Tableau2[[#This Row],[SOLDE VERSE]]&lt;0,-Tableau2[[#This Row],[SOLDE VERSE]],0)</f>
        <v>0</v>
      </c>
      <c r="BC17" s="17">
        <f>IF(Tableau2[[#This Row],[STATUT]]="Soldée",Tableau2[[#This Row],[Montant participation à signature]]-Tableau2[[#This Row],[Total CP payés]],0)</f>
        <v>0</v>
      </c>
      <c r="BD17" s="17">
        <f>IF(Tableau2[[#This Row],[Montant participation voté au CA]]="",0,Tableau2[[#This Row],[Réfaction]]+Tableau2[[#This Row],[Montant des crédits non engagés]])</f>
        <v>0</v>
      </c>
      <c r="BF17"/>
      <c r="BJ17"/>
      <c r="BK17"/>
      <c r="BL17"/>
      <c r="BM17"/>
      <c r="BP17"/>
      <c r="BQ17"/>
      <c r="BR17"/>
      <c r="BS17"/>
      <c r="BT17"/>
      <c r="BU17"/>
      <c r="BV17"/>
      <c r="BW17"/>
      <c r="BX17"/>
      <c r="BY17"/>
      <c r="CA17"/>
      <c r="CB17"/>
    </row>
    <row r="18" spans="1:80" ht="15" customHeight="1" x14ac:dyDescent="0.25">
      <c r="A18" s="4">
        <v>17</v>
      </c>
      <c r="B18" s="36">
        <v>2746</v>
      </c>
      <c r="C18" s="39">
        <v>42327</v>
      </c>
      <c r="D18" s="73" t="s">
        <v>86</v>
      </c>
      <c r="E18" s="38" t="s">
        <v>50</v>
      </c>
      <c r="F18" s="38" t="s">
        <v>44</v>
      </c>
      <c r="G18" s="96" t="s">
        <v>143</v>
      </c>
      <c r="H18" s="96" t="s">
        <v>144</v>
      </c>
      <c r="I18" s="40" t="s">
        <v>48</v>
      </c>
      <c r="J18" s="77"/>
      <c r="K18" s="70"/>
      <c r="L18" s="34"/>
      <c r="M18" s="35"/>
      <c r="N18" s="38">
        <v>12</v>
      </c>
      <c r="O18" s="37">
        <v>6</v>
      </c>
      <c r="P18" s="37">
        <f>IF(Tableau2[[#This Row],[Durée du projet]]="","-",Tableau2[[#This Row],[Durée du projet]]+Tableau2[[#This Row],[Durée suppl'' pour pièces]])</f>
        <v>18</v>
      </c>
      <c r="Q18" s="39">
        <v>42480</v>
      </c>
      <c r="R18" s="60">
        <v>42370</v>
      </c>
      <c r="S18" s="6">
        <f>IF(Tableau2[[#This Row],[Date signature ]]="","",EOMONTH((EDATE(Tableau2[[#This Row],[Début éligibilité dépenses]],Tableau2[[#This Row],[Durée du projet]])),-1))</f>
        <v>42735</v>
      </c>
      <c r="T18" s="6">
        <f>IF(Tableau2[[#This Row],[Fin éligibilité dépenses]]="","",EDATE(Tableau2[[#This Row],[Fin éligibilité dépenses]],-6))</f>
        <v>42551</v>
      </c>
      <c r="U18" s="6">
        <f>IF(Tableau2[[#This Row],[Début éligibilité dépenses]]="","",EOMONTH(EDATE(Tableau2[[#This Row],[Début éligibilité dépenses]],Tableau2[[#This Row],[Durée du projet]]/2),0))</f>
        <v>42582</v>
      </c>
      <c r="V18" s="59">
        <f>IF(Tableau2[[#This Row],[Date signature ]]="","",EDATE(Tableau2[[#This Row],[Date signature ]],Tableau2[[#This Row],[Durée totale conv'' ]])-1)</f>
        <v>43027</v>
      </c>
      <c r="W18" s="40" t="s">
        <v>21</v>
      </c>
      <c r="X18" s="2"/>
      <c r="Y18" s="40" t="s">
        <v>145</v>
      </c>
      <c r="Z18" s="2"/>
      <c r="AA18" s="2"/>
      <c r="AB18" s="19"/>
      <c r="AC18" s="21">
        <f>IF(Tableau2[[#This Row],[PORTEUR
DE
PROJET]]="",0,IF(COUNTIF(Tableau2[[#This Row],[PORTEUR
DE
PROJET]],"CRA*")=1,Tableau2[[#This Row],[Montant participation à signature]]/2,Tableau2[[#This Row],[Montant participation à signature]]*0.3))</f>
        <v>165572.4</v>
      </c>
      <c r="AD18" s="6">
        <f>IF(Tableau2[[#This Row],[Date signature ]]="","",EDATE(Tableau2[[#This Row],[Date signature ]],1))</f>
        <v>42510</v>
      </c>
      <c r="AE18" s="21">
        <f>IF(Tableau2[[#This Row],[PORTEUR
DE
PROJET]]="",0,IF(COUNTIF(Tableau2[[#This Row],[PORTEUR
DE
PROJET]],"CRA*")=1,,Tableau2[[#This Row],[Montant participation à signature]]*0.4))</f>
        <v>220763.2</v>
      </c>
      <c r="AF18" s="6">
        <f>IF(Tableau2[[#This Row],[Date signature ]]="","",IF(Tableau2[[#This Row],[ACOMPTE PREVU]]=0,"",EOMONTH(EDATE(Tableau2[[#This Row],[Date signature ]],Tableau2[[#This Row],[Durée du projet]]/2),0)))</f>
        <v>42674</v>
      </c>
      <c r="AG18" s="21">
        <f>IF(Tableau2[[#This Row],[PORTEUR
DE
PROJET]]="",0,IF(COUNTIF(Tableau2[[#This Row],[PORTEUR
DE
PROJET]],"CRA*")=1,Tableau2[[#This Row],[Montant participation à signature]]/2,Tableau2[[#This Row],[Montant participation à signature]]*0.3))</f>
        <v>165572.4</v>
      </c>
      <c r="AH18" s="6">
        <f>IF(Tableau2[[#This Row],[Date signature ]]="","",EOMONTH(EDATE(Tableau2[[#This Row],[Date signature ]],Tableau2[[#This Row],[Durée du projet]]),0))</f>
        <v>42855</v>
      </c>
      <c r="AI18" s="29">
        <f>IF(COUNTBLANK(Tableau2[[#This Row],[Date du mandat Avance]])=1,,Tableau2[[#This Row],[AVANCE PREVUE]])</f>
        <v>165572.4</v>
      </c>
      <c r="AJ18" s="64">
        <v>42482</v>
      </c>
      <c r="AK18" s="2"/>
      <c r="AL18" s="6"/>
      <c r="AM18" s="6"/>
      <c r="AN18" s="17">
        <f>IF(COUNTBLANK(Tableau2[[#This Row],[Date envoi ASF Acompte]])=1,,Tableau2[[#This Row],[ACOMPTE PREVU]])</f>
        <v>0</v>
      </c>
      <c r="AO18" s="17"/>
      <c r="AP18" s="2"/>
      <c r="AQ18" s="6"/>
      <c r="AR18" s="6"/>
      <c r="AS18" s="17"/>
      <c r="AT18" s="17"/>
      <c r="AU18" s="27"/>
      <c r="AV18" s="41"/>
      <c r="AW18" s="42"/>
      <c r="AX18" s="17">
        <f>IF(Tableau2[[#This Row],[Montant participation voté au CA]]="",0,Tableau2[[#This Row],[Montant participation voté au CA]]-Tableau2[[#This Row],[Montant participation à signature]])</f>
        <v>0</v>
      </c>
      <c r="AY18" s="45">
        <v>551908</v>
      </c>
      <c r="AZ18" s="17">
        <f>Tableau2[[#This Row],[AVANCE VERSEE]]+Tableau2[[#This Row],[ACOMPTE VERSE]]+Tableau2[[#This Row],[SOLDE VERSE]]</f>
        <v>165572.4</v>
      </c>
      <c r="BA18" s="17">
        <f>IF(Tableau2[[#This Row],[STATUT]]="Soldée",0,Tableau2[[#This Row],[Montant participation à signature]]-Tableau2[[#This Row],[Total CP payés]])</f>
        <v>386335.6</v>
      </c>
      <c r="BB18" s="17">
        <f>IF(Tableau2[[#This Row],[SOLDE VERSE]]&lt;0,-Tableau2[[#This Row],[SOLDE VERSE]],0)</f>
        <v>0</v>
      </c>
      <c r="BC18" s="17">
        <f>IF(Tableau2[[#This Row],[STATUT]]="Soldée",Tableau2[[#This Row],[Montant participation à signature]]-Tableau2[[#This Row],[Total CP payés]],0)</f>
        <v>0</v>
      </c>
      <c r="BD18" s="17">
        <f>IF(Tableau2[[#This Row],[Montant participation voté au CA]]="",0,Tableau2[[#This Row],[Réfaction]]+Tableau2[[#This Row],[Montant des crédits non engagés]])</f>
        <v>0</v>
      </c>
      <c r="BF18"/>
      <c r="BJ18"/>
      <c r="BK18"/>
      <c r="BL18"/>
      <c r="BM18"/>
      <c r="BP18"/>
      <c r="BQ18"/>
      <c r="BR18"/>
      <c r="BS18"/>
      <c r="BT18"/>
      <c r="BU18"/>
      <c r="BV18"/>
      <c r="BW18"/>
      <c r="BX18"/>
      <c r="BY18"/>
      <c r="CA18"/>
      <c r="CB18"/>
    </row>
    <row r="19" spans="1:80" ht="15" customHeight="1" x14ac:dyDescent="0.25">
      <c r="A19" s="4">
        <v>18</v>
      </c>
      <c r="B19" s="36">
        <v>2747</v>
      </c>
      <c r="C19" s="39">
        <v>42327</v>
      </c>
      <c r="D19" s="73" t="s">
        <v>86</v>
      </c>
      <c r="E19" s="38" t="s">
        <v>50</v>
      </c>
      <c r="F19" s="38" t="s">
        <v>44</v>
      </c>
      <c r="G19" s="96" t="s">
        <v>143</v>
      </c>
      <c r="H19" s="96" t="s">
        <v>144</v>
      </c>
      <c r="I19" s="40" t="s">
        <v>48</v>
      </c>
      <c r="J19" s="77"/>
      <c r="K19" s="70"/>
      <c r="L19" s="34"/>
      <c r="M19" s="35"/>
      <c r="N19" s="38">
        <v>12</v>
      </c>
      <c r="O19" s="37">
        <v>6</v>
      </c>
      <c r="P19" s="37">
        <f>IF(Tableau2[[#This Row],[Durée du projet]]="","-",Tableau2[[#This Row],[Durée du projet]]+Tableau2[[#This Row],[Durée suppl'' pour pièces]])</f>
        <v>18</v>
      </c>
      <c r="Q19" s="39">
        <v>42480</v>
      </c>
      <c r="R19" s="60">
        <v>42370</v>
      </c>
      <c r="S19" s="6">
        <f>IF(Tableau2[[#This Row],[Date signature ]]="","",EOMONTH((EDATE(Tableau2[[#This Row],[Début éligibilité dépenses]],Tableau2[[#This Row],[Durée du projet]])),-1))</f>
        <v>42735</v>
      </c>
      <c r="T19" s="6">
        <f>IF(Tableau2[[#This Row],[Fin éligibilité dépenses]]="","",EDATE(Tableau2[[#This Row],[Fin éligibilité dépenses]],-6))</f>
        <v>42551</v>
      </c>
      <c r="U19" s="6">
        <f>IF(Tableau2[[#This Row],[Début éligibilité dépenses]]="","",EOMONTH(EDATE(Tableau2[[#This Row],[Début éligibilité dépenses]],Tableau2[[#This Row],[Durée du projet]]/2),0))</f>
        <v>42582</v>
      </c>
      <c r="V19" s="59">
        <f>IF(Tableau2[[#This Row],[Date signature ]]="","",EDATE(Tableau2[[#This Row],[Date signature ]],Tableau2[[#This Row],[Durée totale conv'' ]])-1)</f>
        <v>43027</v>
      </c>
      <c r="W19" s="40" t="s">
        <v>21</v>
      </c>
      <c r="X19" s="2"/>
      <c r="Y19" s="40" t="s">
        <v>145</v>
      </c>
      <c r="Z19" s="2"/>
      <c r="AA19" s="2"/>
      <c r="AB19" s="19"/>
      <c r="AC19" s="21">
        <f>IF(Tableau2[[#This Row],[PORTEUR
DE
PROJET]]="",0,IF(COUNTIF(Tableau2[[#This Row],[PORTEUR
DE
PROJET]],"CRA*")=1,Tableau2[[#This Row],[Montant participation à signature]]/2,Tableau2[[#This Row],[Montant participation à signature]]*0.3))</f>
        <v>157333.5</v>
      </c>
      <c r="AD19" s="6">
        <f>IF(Tableau2[[#This Row],[Date signature ]]="","",EDATE(Tableau2[[#This Row],[Date signature ]],1))</f>
        <v>42510</v>
      </c>
      <c r="AE19" s="21">
        <f>IF(Tableau2[[#This Row],[PORTEUR
DE
PROJET]]="",0,IF(COUNTIF(Tableau2[[#This Row],[PORTEUR
DE
PROJET]],"CRA*")=1,,Tableau2[[#This Row],[Montant participation à signature]]*0.4))</f>
        <v>209778</v>
      </c>
      <c r="AF19" s="6">
        <f>IF(Tableau2[[#This Row],[Date signature ]]="","",IF(Tableau2[[#This Row],[ACOMPTE PREVU]]=0,"",EOMONTH(EDATE(Tableau2[[#This Row],[Date signature ]],Tableau2[[#This Row],[Durée du projet]]/2),0)))</f>
        <v>42674</v>
      </c>
      <c r="AG19" s="21">
        <f>IF(Tableau2[[#This Row],[PORTEUR
DE
PROJET]]="",0,IF(COUNTIF(Tableau2[[#This Row],[PORTEUR
DE
PROJET]],"CRA*")=1,Tableau2[[#This Row],[Montant participation à signature]]/2,Tableau2[[#This Row],[Montant participation à signature]]*0.3))</f>
        <v>157333.5</v>
      </c>
      <c r="AH19" s="6">
        <f>IF(Tableau2[[#This Row],[Date signature ]]="","",EOMONTH(EDATE(Tableau2[[#This Row],[Date signature ]],Tableau2[[#This Row],[Durée du projet]]),0))</f>
        <v>42855</v>
      </c>
      <c r="AI19" s="29">
        <f>IF(COUNTBLANK(Tableau2[[#This Row],[Date du mandat Avance]])=1,,Tableau2[[#This Row],[AVANCE PREVUE]])</f>
        <v>157333.5</v>
      </c>
      <c r="AJ19" s="64">
        <v>42482</v>
      </c>
      <c r="AK19" s="2"/>
      <c r="AL19" s="6"/>
      <c r="AM19" s="6"/>
      <c r="AN19" s="17">
        <f>IF(COUNTBLANK(Tableau2[[#This Row],[Date envoi ASF Acompte]])=1,,Tableau2[[#This Row],[ACOMPTE PREVU]])</f>
        <v>0</v>
      </c>
      <c r="AO19" s="17"/>
      <c r="AP19" s="2"/>
      <c r="AQ19" s="6"/>
      <c r="AR19" s="6"/>
      <c r="AS19" s="17"/>
      <c r="AT19" s="17"/>
      <c r="AU19" s="27"/>
      <c r="AV19" s="41"/>
      <c r="AW19" s="42"/>
      <c r="AX19" s="17">
        <f>IF(Tableau2[[#This Row],[Montant participation voté au CA]]="",0,Tableau2[[#This Row],[Montant participation voté au CA]]-Tableau2[[#This Row],[Montant participation à signature]])</f>
        <v>0</v>
      </c>
      <c r="AY19" s="45">
        <v>524445</v>
      </c>
      <c r="AZ19" s="17">
        <f>Tableau2[[#This Row],[AVANCE VERSEE]]+Tableau2[[#This Row],[ACOMPTE VERSE]]+Tableau2[[#This Row],[SOLDE VERSE]]</f>
        <v>157333.5</v>
      </c>
      <c r="BA19" s="17">
        <f>IF(Tableau2[[#This Row],[STATUT]]="Soldée",0,Tableau2[[#This Row],[Montant participation à signature]]-Tableau2[[#This Row],[Total CP payés]])</f>
        <v>367111.5</v>
      </c>
      <c r="BB19" s="17">
        <f>IF(Tableau2[[#This Row],[SOLDE VERSE]]&lt;0,-Tableau2[[#This Row],[SOLDE VERSE]],0)</f>
        <v>0</v>
      </c>
      <c r="BC19" s="17">
        <f>IF(Tableau2[[#This Row],[STATUT]]="Soldée",Tableau2[[#This Row],[Montant participation à signature]]-Tableau2[[#This Row],[Total CP payés]],0)</f>
        <v>0</v>
      </c>
      <c r="BD19" s="17">
        <f>IF(Tableau2[[#This Row],[Montant participation voté au CA]]="",0,Tableau2[[#This Row],[Réfaction]]+Tableau2[[#This Row],[Montant des crédits non engagés]])</f>
        <v>0</v>
      </c>
      <c r="BF19"/>
      <c r="BJ19"/>
      <c r="BK19"/>
      <c r="BL19"/>
      <c r="BM19"/>
      <c r="BP19"/>
      <c r="BQ19"/>
      <c r="BR19"/>
      <c r="BS19"/>
      <c r="BT19"/>
      <c r="BU19"/>
      <c r="BV19"/>
      <c r="BW19"/>
      <c r="BX19"/>
      <c r="BY19"/>
      <c r="CA19"/>
      <c r="CB19"/>
    </row>
    <row r="20" spans="1:80" ht="15" customHeight="1" x14ac:dyDescent="0.25">
      <c r="A20" s="4">
        <v>19</v>
      </c>
      <c r="B20" s="36">
        <v>2748</v>
      </c>
      <c r="C20" s="39">
        <v>42327</v>
      </c>
      <c r="D20" s="73" t="s">
        <v>86</v>
      </c>
      <c r="E20" s="38" t="s">
        <v>50</v>
      </c>
      <c r="F20" s="38" t="s">
        <v>44</v>
      </c>
      <c r="G20" s="96" t="s">
        <v>143</v>
      </c>
      <c r="H20" s="96" t="s">
        <v>144</v>
      </c>
      <c r="I20" s="40" t="s">
        <v>48</v>
      </c>
      <c r="J20" s="77"/>
      <c r="K20" s="70"/>
      <c r="L20" s="34"/>
      <c r="M20" s="35"/>
      <c r="N20" s="38">
        <v>12</v>
      </c>
      <c r="O20" s="37">
        <v>6</v>
      </c>
      <c r="P20" s="37">
        <f>IF(Tableau2[[#This Row],[Durée du projet]]="","-",Tableau2[[#This Row],[Durée du projet]]+Tableau2[[#This Row],[Durée suppl'' pour pièces]])</f>
        <v>18</v>
      </c>
      <c r="Q20" s="39">
        <v>42480</v>
      </c>
      <c r="R20" s="60">
        <v>42370</v>
      </c>
      <c r="S20" s="6">
        <f>IF(Tableau2[[#This Row],[Date signature ]]="","",EOMONTH((EDATE(Tableau2[[#This Row],[Début éligibilité dépenses]],Tableau2[[#This Row],[Durée du projet]])),-1))</f>
        <v>42735</v>
      </c>
      <c r="T20" s="6">
        <f>IF(Tableau2[[#This Row],[Fin éligibilité dépenses]]="","",EDATE(Tableau2[[#This Row],[Fin éligibilité dépenses]],-6))</f>
        <v>42551</v>
      </c>
      <c r="U20" s="6">
        <f>IF(Tableau2[[#This Row],[Début éligibilité dépenses]]="","",EOMONTH(EDATE(Tableau2[[#This Row],[Début éligibilité dépenses]],Tableau2[[#This Row],[Durée du projet]]/2),0))</f>
        <v>42582</v>
      </c>
      <c r="V20" s="59">
        <f>IF(Tableau2[[#This Row],[Date signature ]]="","",EDATE(Tableau2[[#This Row],[Date signature ]],Tableau2[[#This Row],[Durée totale conv'' ]])-1)</f>
        <v>43027</v>
      </c>
      <c r="W20" s="40" t="s">
        <v>21</v>
      </c>
      <c r="X20" s="2"/>
      <c r="Y20" s="40" t="s">
        <v>145</v>
      </c>
      <c r="Z20" s="2"/>
      <c r="AA20" s="2"/>
      <c r="AB20" s="19"/>
      <c r="AC20" s="21">
        <f>IF(Tableau2[[#This Row],[PORTEUR
DE
PROJET]]="",0,IF(COUNTIF(Tableau2[[#This Row],[PORTEUR
DE
PROJET]],"CRA*")=1,Tableau2[[#This Row],[Montant participation à signature]]/2,Tableau2[[#This Row],[Montant participation à signature]]*0.3))</f>
        <v>221310.9</v>
      </c>
      <c r="AD20" s="6">
        <f>IF(Tableau2[[#This Row],[Date signature ]]="","",EDATE(Tableau2[[#This Row],[Date signature ]],1))</f>
        <v>42510</v>
      </c>
      <c r="AE20" s="21">
        <f>IF(Tableau2[[#This Row],[PORTEUR
DE
PROJET]]="",0,IF(COUNTIF(Tableau2[[#This Row],[PORTEUR
DE
PROJET]],"CRA*")=1,,Tableau2[[#This Row],[Montant participation à signature]]*0.4))</f>
        <v>295081.2</v>
      </c>
      <c r="AF20" s="6">
        <f>IF(Tableau2[[#This Row],[Date signature ]]="","",IF(Tableau2[[#This Row],[ACOMPTE PREVU]]=0,"",EOMONTH(EDATE(Tableau2[[#This Row],[Date signature ]],Tableau2[[#This Row],[Durée du projet]]/2),0)))</f>
        <v>42674</v>
      </c>
      <c r="AG20" s="21">
        <f>IF(Tableau2[[#This Row],[PORTEUR
DE
PROJET]]="",0,IF(COUNTIF(Tableau2[[#This Row],[PORTEUR
DE
PROJET]],"CRA*")=1,Tableau2[[#This Row],[Montant participation à signature]]/2,Tableau2[[#This Row],[Montant participation à signature]]*0.3))</f>
        <v>221310.9</v>
      </c>
      <c r="AH20" s="6">
        <f>IF(Tableau2[[#This Row],[Date signature ]]="","",EOMONTH(EDATE(Tableau2[[#This Row],[Date signature ]],Tableau2[[#This Row],[Durée du projet]]),0))</f>
        <v>42855</v>
      </c>
      <c r="AI20" s="29">
        <f>IF(COUNTBLANK(Tableau2[[#This Row],[Date du mandat Avance]])=1,,Tableau2[[#This Row],[AVANCE PREVUE]])</f>
        <v>221310.9</v>
      </c>
      <c r="AJ20" s="64">
        <v>42482</v>
      </c>
      <c r="AK20" s="2"/>
      <c r="AL20" s="6"/>
      <c r="AM20" s="6"/>
      <c r="AN20" s="17">
        <f>IF(COUNTBLANK(Tableau2[[#This Row],[Date envoi ASF Acompte]])=1,,Tableau2[[#This Row],[ACOMPTE PREVU]])</f>
        <v>0</v>
      </c>
      <c r="AO20" s="17"/>
      <c r="AP20" s="2"/>
      <c r="AQ20" s="6"/>
      <c r="AR20" s="6"/>
      <c r="AS20" s="17"/>
      <c r="AT20" s="17"/>
      <c r="AU20" s="27"/>
      <c r="AV20" s="41"/>
      <c r="AW20" s="42"/>
      <c r="AX20" s="17">
        <f>IF(Tableau2[[#This Row],[Montant participation voté au CA]]="",0,Tableau2[[#This Row],[Montant participation voté au CA]]-Tableau2[[#This Row],[Montant participation à signature]])</f>
        <v>0</v>
      </c>
      <c r="AY20" s="45">
        <v>737703</v>
      </c>
      <c r="AZ20" s="17">
        <f>Tableau2[[#This Row],[AVANCE VERSEE]]+Tableau2[[#This Row],[ACOMPTE VERSE]]+Tableau2[[#This Row],[SOLDE VERSE]]</f>
        <v>221310.9</v>
      </c>
      <c r="BA20" s="17">
        <f>IF(Tableau2[[#This Row],[STATUT]]="Soldée",0,Tableau2[[#This Row],[Montant participation à signature]]-Tableau2[[#This Row],[Total CP payés]])</f>
        <v>516392.1</v>
      </c>
      <c r="BB20" s="17">
        <f>IF(Tableau2[[#This Row],[SOLDE VERSE]]&lt;0,-Tableau2[[#This Row],[SOLDE VERSE]],0)</f>
        <v>0</v>
      </c>
      <c r="BC20" s="17">
        <f>IF(Tableau2[[#This Row],[STATUT]]="Soldée",Tableau2[[#This Row],[Montant participation à signature]]-Tableau2[[#This Row],[Total CP payés]],0)</f>
        <v>0</v>
      </c>
      <c r="BD20" s="17">
        <f>IF(Tableau2[[#This Row],[Montant participation voté au CA]]="",0,Tableau2[[#This Row],[Réfaction]]+Tableau2[[#This Row],[Montant des crédits non engagés]])</f>
        <v>0</v>
      </c>
      <c r="BF20"/>
      <c r="BJ20"/>
      <c r="BK20"/>
      <c r="BL20"/>
      <c r="BM20"/>
      <c r="BP20"/>
      <c r="BQ20"/>
      <c r="BR20"/>
      <c r="BS20"/>
      <c r="BT20"/>
      <c r="BU20"/>
      <c r="BV20"/>
      <c r="BW20"/>
      <c r="BX20"/>
      <c r="BY20"/>
      <c r="CA20"/>
      <c r="CB20"/>
    </row>
    <row r="21" spans="1:80" ht="15" customHeight="1" x14ac:dyDescent="0.25">
      <c r="A21" s="4">
        <v>20</v>
      </c>
      <c r="B21" s="36">
        <v>2749</v>
      </c>
      <c r="C21" s="39">
        <v>42327</v>
      </c>
      <c r="D21" s="73" t="s">
        <v>91</v>
      </c>
      <c r="E21" s="38">
        <v>6</v>
      </c>
      <c r="F21" s="38">
        <v>28</v>
      </c>
      <c r="G21" s="96" t="s">
        <v>143</v>
      </c>
      <c r="H21" s="96" t="s">
        <v>144</v>
      </c>
      <c r="I21" s="40" t="s">
        <v>48</v>
      </c>
      <c r="J21" s="77"/>
      <c r="K21" s="70"/>
      <c r="L21" s="34"/>
      <c r="M21" s="35"/>
      <c r="N21" s="38">
        <v>12</v>
      </c>
      <c r="O21" s="37">
        <v>6</v>
      </c>
      <c r="P21" s="37">
        <f>IF(Tableau2[[#This Row],[Durée du projet]]="","-",Tableau2[[#This Row],[Durée du projet]]+Tableau2[[#This Row],[Durée suppl'' pour pièces]])</f>
        <v>18</v>
      </c>
      <c r="Q21" s="39">
        <v>42485</v>
      </c>
      <c r="R21" s="60">
        <v>42370</v>
      </c>
      <c r="S21" s="6">
        <f>IF(Tableau2[[#This Row],[Date signature ]]="","",EOMONTH((EDATE(Tableau2[[#This Row],[Début éligibilité dépenses]],Tableau2[[#This Row],[Durée du projet]])),-1))</f>
        <v>42735</v>
      </c>
      <c r="T21" s="6">
        <f>IF(Tableau2[[#This Row],[Fin éligibilité dépenses]]="","",EDATE(Tableau2[[#This Row],[Fin éligibilité dépenses]],-6))</f>
        <v>42551</v>
      </c>
      <c r="U21" s="6">
        <f>IF(Tableau2[[#This Row],[Début éligibilité dépenses]]="","",EOMONTH(EDATE(Tableau2[[#This Row],[Début éligibilité dépenses]],Tableau2[[#This Row],[Durée du projet]]/2),0))</f>
        <v>42582</v>
      </c>
      <c r="V21" s="59">
        <f>IF(Tableau2[[#This Row],[Date signature ]]="","",EDATE(Tableau2[[#This Row],[Date signature ]],Tableau2[[#This Row],[Durée totale conv'' ]])-1)</f>
        <v>43032</v>
      </c>
      <c r="W21" s="40" t="s">
        <v>21</v>
      </c>
      <c r="X21" s="2"/>
      <c r="Y21" s="40" t="s">
        <v>145</v>
      </c>
      <c r="Z21" s="2"/>
      <c r="AA21" s="2"/>
      <c r="AB21" s="19"/>
      <c r="AC21" s="21">
        <f>IF(Tableau2[[#This Row],[PORTEUR
DE
PROJET]]="",0,IF(COUNTIF(Tableau2[[#This Row],[PORTEUR
DE
PROJET]],"CRA*")=1,Tableau2[[#This Row],[Montant participation à signature]]/2,Tableau2[[#This Row],[Montant participation à signature]]*0.3))</f>
        <v>16200</v>
      </c>
      <c r="AD21" s="6">
        <f>IF(Tableau2[[#This Row],[Date signature ]]="","",EDATE(Tableau2[[#This Row],[Date signature ]],1))</f>
        <v>42515</v>
      </c>
      <c r="AE21" s="21">
        <f>IF(Tableau2[[#This Row],[PORTEUR
DE
PROJET]]="",0,IF(COUNTIF(Tableau2[[#This Row],[PORTEUR
DE
PROJET]],"CRA*")=1,,Tableau2[[#This Row],[Montant participation à signature]]*0.4))</f>
        <v>21600</v>
      </c>
      <c r="AF21" s="6">
        <f>IF(Tableau2[[#This Row],[Date signature ]]="","",IF(Tableau2[[#This Row],[ACOMPTE PREVU]]=0,"",EOMONTH(EDATE(Tableau2[[#This Row],[Date signature ]],Tableau2[[#This Row],[Durée du projet]]/2),0)))</f>
        <v>42674</v>
      </c>
      <c r="AG21" s="21">
        <f>IF(Tableau2[[#This Row],[PORTEUR
DE
PROJET]]="",0,IF(COUNTIF(Tableau2[[#This Row],[PORTEUR
DE
PROJET]],"CRA*")=1,Tableau2[[#This Row],[Montant participation à signature]]/2,Tableau2[[#This Row],[Montant participation à signature]]*0.3))</f>
        <v>16200</v>
      </c>
      <c r="AH21" s="6">
        <f>IF(Tableau2[[#This Row],[Date signature ]]="","",EOMONTH(EDATE(Tableau2[[#This Row],[Date signature ]],Tableau2[[#This Row],[Durée du projet]]),0))</f>
        <v>42855</v>
      </c>
      <c r="AI21" s="29">
        <f>IF(COUNTBLANK(Tableau2[[#This Row],[Date du mandat Avance]])=1,,Tableau2[[#This Row],[AVANCE PREVUE]])</f>
        <v>16200</v>
      </c>
      <c r="AJ21" s="64">
        <v>42502</v>
      </c>
      <c r="AK21" s="2"/>
      <c r="AL21" s="6"/>
      <c r="AM21" s="6"/>
      <c r="AN21" s="17">
        <f>IF(COUNTBLANK(Tableau2[[#This Row],[Date envoi ASF Acompte]])=1,,Tableau2[[#This Row],[ACOMPTE PREVU]])</f>
        <v>0</v>
      </c>
      <c r="AO21" s="17"/>
      <c r="AP21" s="2"/>
      <c r="AQ21" s="6"/>
      <c r="AR21" s="6"/>
      <c r="AS21" s="17"/>
      <c r="AT21" s="17"/>
      <c r="AU21" s="20"/>
      <c r="AV21" s="41"/>
      <c r="AW21" s="41"/>
      <c r="AX21" s="17">
        <f>IF(Tableau2[[#This Row],[Montant participation voté au CA]]="",0,Tableau2[[#This Row],[Montant participation voté au CA]]-Tableau2[[#This Row],[Montant participation à signature]])</f>
        <v>0</v>
      </c>
      <c r="AY21" s="45">
        <v>54000</v>
      </c>
      <c r="AZ21" s="17">
        <f>Tableau2[[#This Row],[AVANCE VERSEE]]+Tableau2[[#This Row],[ACOMPTE VERSE]]+Tableau2[[#This Row],[SOLDE VERSE]]</f>
        <v>16200</v>
      </c>
      <c r="BA21" s="17">
        <f>IF(Tableau2[[#This Row],[STATUT]]="Soldée",0,Tableau2[[#This Row],[Montant participation à signature]]-Tableau2[[#This Row],[Total CP payés]])</f>
        <v>37800</v>
      </c>
      <c r="BB21" s="17">
        <f>IF(Tableau2[[#This Row],[SOLDE VERSE]]&lt;0,-Tableau2[[#This Row],[SOLDE VERSE]],0)</f>
        <v>0</v>
      </c>
      <c r="BC21" s="17">
        <f>IF(Tableau2[[#This Row],[STATUT]]="Soldée",Tableau2[[#This Row],[Montant participation à signature]]-Tableau2[[#This Row],[Total CP payés]],0)</f>
        <v>0</v>
      </c>
      <c r="BD21" s="17">
        <f>IF(Tableau2[[#This Row],[Montant participation voté au CA]]="",0,Tableau2[[#This Row],[Réfaction]]+Tableau2[[#This Row],[Montant des crédits non engagés]])</f>
        <v>0</v>
      </c>
      <c r="BF21"/>
      <c r="BJ21"/>
      <c r="BK21"/>
      <c r="BL21"/>
      <c r="BM21"/>
      <c r="BP21"/>
      <c r="BQ21"/>
      <c r="BR21"/>
      <c r="BS21"/>
      <c r="BT21"/>
      <c r="BU21"/>
      <c r="BV21"/>
      <c r="BW21"/>
      <c r="BX21"/>
      <c r="BY21"/>
      <c r="CA21"/>
      <c r="CB21"/>
    </row>
    <row r="22" spans="1:80" ht="15" customHeight="1" x14ac:dyDescent="0.25">
      <c r="A22" s="4">
        <v>21</v>
      </c>
      <c r="B22" s="36">
        <v>2750</v>
      </c>
      <c r="C22" s="39">
        <v>42327</v>
      </c>
      <c r="D22" s="73" t="s">
        <v>92</v>
      </c>
      <c r="E22" s="38">
        <v>1</v>
      </c>
      <c r="F22" s="38" t="s">
        <v>49</v>
      </c>
      <c r="G22" s="96" t="s">
        <v>143</v>
      </c>
      <c r="H22" s="96" t="s">
        <v>144</v>
      </c>
      <c r="I22" s="40" t="s">
        <v>48</v>
      </c>
      <c r="J22" s="77"/>
      <c r="K22" s="70"/>
      <c r="L22" s="34"/>
      <c r="M22" s="35"/>
      <c r="N22" s="38">
        <v>24</v>
      </c>
      <c r="O22" s="37">
        <v>6</v>
      </c>
      <c r="P22" s="37">
        <f>IF(Tableau2[[#This Row],[Durée du projet]]="","-",Tableau2[[#This Row],[Durée du projet]]+Tableau2[[#This Row],[Durée suppl'' pour pièces]])</f>
        <v>30</v>
      </c>
      <c r="Q22" s="39">
        <v>42486</v>
      </c>
      <c r="R22" s="60">
        <v>42486</v>
      </c>
      <c r="S22" s="6">
        <f>IF(Tableau2[[#This Row],[Date signature ]]="","",EOMONTH((EDATE(Tableau2[[#This Row],[Début éligibilité dépenses]],Tableau2[[#This Row],[Durée du projet]])),-1))</f>
        <v>43190</v>
      </c>
      <c r="T22" s="6">
        <f>IF(Tableau2[[#This Row],[Fin éligibilité dépenses]]="","",EDATE(Tableau2[[#This Row],[Fin éligibilité dépenses]],-6))</f>
        <v>43008</v>
      </c>
      <c r="U22" s="6">
        <f>IF(Tableau2[[#This Row],[Début éligibilité dépenses]]="","",EOMONTH(EDATE(Tableau2[[#This Row],[Début éligibilité dépenses]],Tableau2[[#This Row],[Durée du projet]]/2),0))</f>
        <v>42855</v>
      </c>
      <c r="V22" s="59">
        <f>IF(Tableau2[[#This Row],[Date signature ]]="","",EDATE(Tableau2[[#This Row],[Date signature ]],Tableau2[[#This Row],[Durée totale conv'' ]])-1)</f>
        <v>43398</v>
      </c>
      <c r="W22" s="40" t="s">
        <v>21</v>
      </c>
      <c r="X22" s="2"/>
      <c r="Y22" s="40" t="s">
        <v>145</v>
      </c>
      <c r="Z22" s="2"/>
      <c r="AA22" s="2"/>
      <c r="AB22" s="19"/>
      <c r="AC22" s="21">
        <f>IF(Tableau2[[#This Row],[PORTEUR
DE
PROJET]]="",0,IF(COUNTIF(Tableau2[[#This Row],[PORTEUR
DE
PROJET]],"CRA*")=1,Tableau2[[#This Row],[Montant participation à signature]]/2,Tableau2[[#This Row],[Montant participation à signature]]*0.3))</f>
        <v>84096.3</v>
      </c>
      <c r="AD22" s="6">
        <f>IF(Tableau2[[#This Row],[Date signature ]]="","",EDATE(Tableau2[[#This Row],[Date signature ]],1))</f>
        <v>42516</v>
      </c>
      <c r="AE22" s="21">
        <f>IF(Tableau2[[#This Row],[PORTEUR
DE
PROJET]]="",0,IF(COUNTIF(Tableau2[[#This Row],[PORTEUR
DE
PROJET]],"CRA*")=1,,Tableau2[[#This Row],[Montant participation à signature]]*0.4))</f>
        <v>112128.40000000001</v>
      </c>
      <c r="AF22" s="6">
        <f>IF(Tableau2[[#This Row],[Date signature ]]="","",IF(Tableau2[[#This Row],[ACOMPTE PREVU]]=0,"",EOMONTH(EDATE(Tableau2[[#This Row],[Date signature ]],Tableau2[[#This Row],[Durée du projet]]/2),0)))</f>
        <v>42855</v>
      </c>
      <c r="AG22" s="21">
        <f>IF(Tableau2[[#This Row],[PORTEUR
DE
PROJET]]="",0,IF(COUNTIF(Tableau2[[#This Row],[PORTEUR
DE
PROJET]],"CRA*")=1,Tableau2[[#This Row],[Montant participation à signature]]/2,Tableau2[[#This Row],[Montant participation à signature]]*0.3))</f>
        <v>84096.3</v>
      </c>
      <c r="AH22" s="6">
        <f>IF(Tableau2[[#This Row],[Date signature ]]="","",EOMONTH(EDATE(Tableau2[[#This Row],[Date signature ]],Tableau2[[#This Row],[Durée du projet]]),0))</f>
        <v>43220</v>
      </c>
      <c r="AI22" s="29">
        <f>IF(COUNTBLANK(Tableau2[[#This Row],[Date du mandat Avance]])=1,,Tableau2[[#This Row],[AVANCE PREVUE]])</f>
        <v>84096.3</v>
      </c>
      <c r="AJ22" s="65">
        <v>42502</v>
      </c>
      <c r="AK22" s="2"/>
      <c r="AL22" s="6"/>
      <c r="AM22" s="6"/>
      <c r="AN22" s="17">
        <f>IF(COUNTBLANK(Tableau2[[#This Row],[Date envoi ASF Acompte]])=1,,Tableau2[[#This Row],[ACOMPTE PREVU]])</f>
        <v>0</v>
      </c>
      <c r="AO22" s="17"/>
      <c r="AP22" s="2"/>
      <c r="AQ22" s="6"/>
      <c r="AR22" s="6"/>
      <c r="AS22" s="17"/>
      <c r="AT22" s="17"/>
      <c r="AU22" s="20"/>
      <c r="AV22" s="41"/>
      <c r="AW22" s="41"/>
      <c r="AX22" s="17">
        <f>IF(Tableau2[[#This Row],[Montant participation voté au CA]]="",0,Tableau2[[#This Row],[Montant participation voté au CA]]-Tableau2[[#This Row],[Montant participation à signature]])</f>
        <v>0</v>
      </c>
      <c r="AY22" s="58">
        <v>280321</v>
      </c>
      <c r="AZ22" s="17">
        <f>Tableau2[[#This Row],[AVANCE VERSEE]]+Tableau2[[#This Row],[ACOMPTE VERSE]]+Tableau2[[#This Row],[SOLDE VERSE]]</f>
        <v>84096.3</v>
      </c>
      <c r="BA22" s="17">
        <f>IF(Tableau2[[#This Row],[STATUT]]="Soldée",0,Tableau2[[#This Row],[Montant participation à signature]]-Tableau2[[#This Row],[Total CP payés]])</f>
        <v>196224.7</v>
      </c>
      <c r="BB22" s="17">
        <f>IF(Tableau2[[#This Row],[SOLDE VERSE]]&lt;0,-Tableau2[[#This Row],[SOLDE VERSE]],0)</f>
        <v>0</v>
      </c>
      <c r="BC22" s="17">
        <f>IF(Tableau2[[#This Row],[STATUT]]="Soldée",Tableau2[[#This Row],[Montant participation à signature]]-Tableau2[[#This Row],[Total CP payés]],0)</f>
        <v>0</v>
      </c>
      <c r="BD22" s="17">
        <f>IF(Tableau2[[#This Row],[Montant participation voté au CA]]="",0,Tableau2[[#This Row],[Réfaction]]+Tableau2[[#This Row],[Montant des crédits non engagés]])</f>
        <v>0</v>
      </c>
      <c r="BF22"/>
      <c r="BJ22"/>
      <c r="BK22"/>
      <c r="BL22"/>
      <c r="BM22"/>
      <c r="BP22"/>
      <c r="BQ22"/>
      <c r="BR22"/>
      <c r="BS22"/>
      <c r="BT22"/>
      <c r="BU22"/>
      <c r="BV22"/>
      <c r="BW22"/>
      <c r="BX22"/>
      <c r="BY22"/>
      <c r="CA22"/>
      <c r="CB22"/>
    </row>
    <row r="23" spans="1:80" ht="15" customHeight="1" x14ac:dyDescent="0.25">
      <c r="A23" s="4">
        <v>22</v>
      </c>
      <c r="B23" s="36">
        <v>2751</v>
      </c>
      <c r="C23" s="39">
        <v>42327</v>
      </c>
      <c r="D23" s="73" t="s">
        <v>93</v>
      </c>
      <c r="E23" s="102"/>
      <c r="F23" s="102"/>
      <c r="G23" s="96" t="s">
        <v>143</v>
      </c>
      <c r="H23" s="96" t="s">
        <v>144</v>
      </c>
      <c r="I23" s="40" t="s">
        <v>48</v>
      </c>
      <c r="J23" s="77"/>
      <c r="K23" s="70"/>
      <c r="L23" s="34"/>
      <c r="M23" s="35"/>
      <c r="N23" s="38">
        <v>12</v>
      </c>
      <c r="O23" s="37">
        <v>6</v>
      </c>
      <c r="P23" s="37">
        <f>IF(Tableau2[[#This Row],[Durée du projet]]="","-",Tableau2[[#This Row],[Durée du projet]]+Tableau2[[#This Row],[Durée suppl'' pour pièces]])</f>
        <v>18</v>
      </c>
      <c r="Q23" s="39">
        <v>42486</v>
      </c>
      <c r="R23" s="60">
        <v>42370</v>
      </c>
      <c r="S23" s="6">
        <f>IF(Tableau2[[#This Row],[Date signature ]]="","",EOMONTH((EDATE(Tableau2[[#This Row],[Début éligibilité dépenses]],Tableau2[[#This Row],[Durée du projet]])),-1))</f>
        <v>42735</v>
      </c>
      <c r="T23" s="6">
        <f>IF(Tableau2[[#This Row],[Fin éligibilité dépenses]]="","",EDATE(Tableau2[[#This Row],[Fin éligibilité dépenses]],-6))</f>
        <v>42551</v>
      </c>
      <c r="U23" s="6">
        <f>IF(Tableau2[[#This Row],[Début éligibilité dépenses]]="","",EOMONTH(EDATE(Tableau2[[#This Row],[Début éligibilité dépenses]],Tableau2[[#This Row],[Durée du projet]]/2),0))</f>
        <v>42582</v>
      </c>
      <c r="V23" s="59">
        <f>IF(Tableau2[[#This Row],[Date signature ]]="","",EDATE(Tableau2[[#This Row],[Date signature ]],Tableau2[[#This Row],[Durée totale conv'' ]])-1)</f>
        <v>43033</v>
      </c>
      <c r="W23" s="40" t="s">
        <v>21</v>
      </c>
      <c r="X23" s="2"/>
      <c r="Y23" s="40" t="s">
        <v>145</v>
      </c>
      <c r="Z23" s="2"/>
      <c r="AA23" s="2"/>
      <c r="AB23" s="19"/>
      <c r="AC23" s="21">
        <f>IF(Tableau2[[#This Row],[PORTEUR
DE
PROJET]]="",0,IF(COUNTIF(Tableau2[[#This Row],[PORTEUR
DE
PROJET]],"CRA*")=1,Tableau2[[#This Row],[Montant participation à signature]]/2,Tableau2[[#This Row],[Montant participation à signature]]*0.3))</f>
        <v>109413</v>
      </c>
      <c r="AD23" s="6">
        <f>IF(Tableau2[[#This Row],[Date signature ]]="","",EDATE(Tableau2[[#This Row],[Date signature ]],1))</f>
        <v>42516</v>
      </c>
      <c r="AE23" s="21">
        <f>IF(Tableau2[[#This Row],[PORTEUR
DE
PROJET]]="",0,IF(COUNTIF(Tableau2[[#This Row],[PORTEUR
DE
PROJET]],"CRA*")=1,,Tableau2[[#This Row],[Montant participation à signature]]*0.4))</f>
        <v>145884</v>
      </c>
      <c r="AF23" s="6">
        <f>IF(Tableau2[[#This Row],[Date signature ]]="","",IF(Tableau2[[#This Row],[ACOMPTE PREVU]]=0,"",EOMONTH(EDATE(Tableau2[[#This Row],[Date signature ]],Tableau2[[#This Row],[Durée du projet]]/2),0)))</f>
        <v>42674</v>
      </c>
      <c r="AG23" s="21">
        <f>IF(Tableau2[[#This Row],[PORTEUR
DE
PROJET]]="",0,IF(COUNTIF(Tableau2[[#This Row],[PORTEUR
DE
PROJET]],"CRA*")=1,Tableau2[[#This Row],[Montant participation à signature]]/2,Tableau2[[#This Row],[Montant participation à signature]]*0.3))</f>
        <v>109413</v>
      </c>
      <c r="AH23" s="6">
        <f>IF(Tableau2[[#This Row],[Date signature ]]="","",EOMONTH(EDATE(Tableau2[[#This Row],[Date signature ]],Tableau2[[#This Row],[Durée du projet]]),0))</f>
        <v>42855</v>
      </c>
      <c r="AI23" s="29">
        <f>IF(COUNTBLANK(Tableau2[[#This Row],[Date du mandat Avance]])=1,,Tableau2[[#This Row],[AVANCE PREVUE]])</f>
        <v>109413</v>
      </c>
      <c r="AJ23" s="64">
        <v>42502</v>
      </c>
      <c r="AK23" s="2"/>
      <c r="AL23" s="6"/>
      <c r="AM23" s="6"/>
      <c r="AN23" s="17">
        <f>IF(COUNTBLANK(Tableau2[[#This Row],[Date envoi ASF Acompte]])=1,,Tableau2[[#This Row],[ACOMPTE PREVU]])</f>
        <v>0</v>
      </c>
      <c r="AO23" s="17"/>
      <c r="AP23" s="2"/>
      <c r="AQ23" s="6"/>
      <c r="AR23" s="6"/>
      <c r="AS23" s="17"/>
      <c r="AT23" s="17"/>
      <c r="AU23" s="20"/>
      <c r="AV23" s="41"/>
      <c r="AW23" s="41"/>
      <c r="AX23" s="17">
        <f>IF(Tableau2[[#This Row],[Montant participation voté au CA]]="",0,Tableau2[[#This Row],[Montant participation voté au CA]]-Tableau2[[#This Row],[Montant participation à signature]])</f>
        <v>0</v>
      </c>
      <c r="AY23" s="45">
        <v>364710</v>
      </c>
      <c r="AZ23" s="17">
        <f>Tableau2[[#This Row],[AVANCE VERSEE]]+Tableau2[[#This Row],[ACOMPTE VERSE]]+Tableau2[[#This Row],[SOLDE VERSE]]</f>
        <v>109413</v>
      </c>
      <c r="BA23" s="17">
        <f>IF(Tableau2[[#This Row],[STATUT]]="Soldée",0,Tableau2[[#This Row],[Montant participation à signature]]-Tableau2[[#This Row],[Total CP payés]])</f>
        <v>255297</v>
      </c>
      <c r="BB23" s="17">
        <f>IF(Tableau2[[#This Row],[SOLDE VERSE]]&lt;0,-Tableau2[[#This Row],[SOLDE VERSE]],0)</f>
        <v>0</v>
      </c>
      <c r="BC23" s="17">
        <f>IF(Tableau2[[#This Row],[STATUT]]="Soldée",Tableau2[[#This Row],[Montant participation à signature]]-Tableau2[[#This Row],[Total CP payés]],0)</f>
        <v>0</v>
      </c>
      <c r="BD23" s="17">
        <f>IF(Tableau2[[#This Row],[Montant participation voté au CA]]="",0,Tableau2[[#This Row],[Réfaction]]+Tableau2[[#This Row],[Montant des crédits non engagés]])</f>
        <v>0</v>
      </c>
      <c r="BF23"/>
      <c r="BJ23"/>
      <c r="BK23"/>
      <c r="BL23"/>
      <c r="BM23"/>
      <c r="BP23"/>
      <c r="BQ23"/>
      <c r="BR23"/>
      <c r="BS23"/>
      <c r="BT23"/>
      <c r="BU23"/>
      <c r="BV23"/>
      <c r="BW23"/>
      <c r="BX23"/>
      <c r="BY23"/>
      <c r="CA23"/>
      <c r="CB23"/>
    </row>
    <row r="24" spans="1:80" ht="15" customHeight="1" x14ac:dyDescent="0.25">
      <c r="A24" s="4">
        <v>23</v>
      </c>
      <c r="B24" s="36">
        <v>2754</v>
      </c>
      <c r="C24" s="39">
        <v>42327</v>
      </c>
      <c r="D24" s="73" t="s">
        <v>86</v>
      </c>
      <c r="E24" s="38" t="s">
        <v>50</v>
      </c>
      <c r="F24" s="38" t="s">
        <v>44</v>
      </c>
      <c r="G24" s="96" t="s">
        <v>143</v>
      </c>
      <c r="H24" s="96" t="s">
        <v>144</v>
      </c>
      <c r="I24" s="40" t="s">
        <v>48</v>
      </c>
      <c r="J24" s="77"/>
      <c r="K24" s="70"/>
      <c r="L24" s="34"/>
      <c r="M24" s="35"/>
      <c r="N24" s="38">
        <v>12</v>
      </c>
      <c r="O24" s="37">
        <v>6</v>
      </c>
      <c r="P24" s="37">
        <f>IF(Tableau2[[#This Row],[Durée du projet]]="","-",Tableau2[[#This Row],[Durée du projet]]+Tableau2[[#This Row],[Durée suppl'' pour pièces]])</f>
        <v>18</v>
      </c>
      <c r="Q24" s="39">
        <v>42487</v>
      </c>
      <c r="R24" s="60">
        <v>42370</v>
      </c>
      <c r="S24" s="6">
        <f>IF(Tableau2[[#This Row],[Date signature ]]="","",EOMONTH((EDATE(Tableau2[[#This Row],[Début éligibilité dépenses]],Tableau2[[#This Row],[Durée du projet]])),-1))</f>
        <v>42735</v>
      </c>
      <c r="T24" s="6">
        <f>IF(Tableau2[[#This Row],[Fin éligibilité dépenses]]="","",EDATE(Tableau2[[#This Row],[Fin éligibilité dépenses]],-6))</f>
        <v>42551</v>
      </c>
      <c r="U24" s="6">
        <f>IF(Tableau2[[#This Row],[Début éligibilité dépenses]]="","",EOMONTH(EDATE(Tableau2[[#This Row],[Début éligibilité dépenses]],Tableau2[[#This Row],[Durée du projet]]/2),0))</f>
        <v>42582</v>
      </c>
      <c r="V24" s="59">
        <f>IF(Tableau2[[#This Row],[Date signature ]]="","",EDATE(Tableau2[[#This Row],[Date signature ]],Tableau2[[#This Row],[Durée totale conv'' ]])-1)</f>
        <v>43034</v>
      </c>
      <c r="W24" s="40" t="s">
        <v>21</v>
      </c>
      <c r="X24" s="2"/>
      <c r="Y24" s="40" t="s">
        <v>145</v>
      </c>
      <c r="Z24" s="2"/>
      <c r="AA24" s="2"/>
      <c r="AB24" s="19"/>
      <c r="AC24" s="21">
        <f>IF(Tableau2[[#This Row],[PORTEUR
DE
PROJET]]="",0,IF(COUNTIF(Tableau2[[#This Row],[PORTEUR
DE
PROJET]],"CRA*")=1,Tableau2[[#This Row],[Montant participation à signature]]/2,Tableau2[[#This Row],[Montant participation à signature]]*0.3))</f>
        <v>24429</v>
      </c>
      <c r="AD24" s="6">
        <f>IF(Tableau2[[#This Row],[Date signature ]]="","",EDATE(Tableau2[[#This Row],[Date signature ]],1))</f>
        <v>42517</v>
      </c>
      <c r="AE24" s="21">
        <f>IF(Tableau2[[#This Row],[PORTEUR
DE
PROJET]]="",0,IF(COUNTIF(Tableau2[[#This Row],[PORTEUR
DE
PROJET]],"CRA*")=1,,Tableau2[[#This Row],[Montant participation à signature]]*0.4))</f>
        <v>32572</v>
      </c>
      <c r="AF24" s="6">
        <f>IF(Tableau2[[#This Row],[Date signature ]]="","",IF(Tableau2[[#This Row],[ACOMPTE PREVU]]=0,"",EOMONTH(EDATE(Tableau2[[#This Row],[Date signature ]],Tableau2[[#This Row],[Durée du projet]]/2),0)))</f>
        <v>42674</v>
      </c>
      <c r="AG24" s="21">
        <f>IF(Tableau2[[#This Row],[PORTEUR
DE
PROJET]]="",0,IF(COUNTIF(Tableau2[[#This Row],[PORTEUR
DE
PROJET]],"CRA*")=1,Tableau2[[#This Row],[Montant participation à signature]]/2,Tableau2[[#This Row],[Montant participation à signature]]*0.3))</f>
        <v>24429</v>
      </c>
      <c r="AH24" s="6">
        <f>IF(Tableau2[[#This Row],[Date signature ]]="","",EOMONTH(EDATE(Tableau2[[#This Row],[Date signature ]],Tableau2[[#This Row],[Durée du projet]]),0))</f>
        <v>42855</v>
      </c>
      <c r="AI24" s="29">
        <f>IF(COUNTBLANK(Tableau2[[#This Row],[Date du mandat Avance]])=1,,Tableau2[[#This Row],[AVANCE PREVUE]])</f>
        <v>24429</v>
      </c>
      <c r="AJ24" s="64">
        <v>42502</v>
      </c>
      <c r="AK24" s="2"/>
      <c r="AL24" s="6"/>
      <c r="AM24" s="6"/>
      <c r="AN24" s="17">
        <f>IF(COUNTBLANK(Tableau2[[#This Row],[Date envoi ASF Acompte]])=1,,Tableau2[[#This Row],[ACOMPTE PREVU]])</f>
        <v>0</v>
      </c>
      <c r="AO24" s="17"/>
      <c r="AP24" s="2"/>
      <c r="AQ24" s="6"/>
      <c r="AR24" s="6"/>
      <c r="AS24" s="17"/>
      <c r="AT24" s="17"/>
      <c r="AU24" s="20"/>
      <c r="AV24" s="41"/>
      <c r="AW24" s="41"/>
      <c r="AX24" s="17">
        <f>IF(Tableau2[[#This Row],[Montant participation voté au CA]]="",0,Tableau2[[#This Row],[Montant participation voté au CA]]-Tableau2[[#This Row],[Montant participation à signature]])</f>
        <v>0</v>
      </c>
      <c r="AY24" s="45">
        <v>81430</v>
      </c>
      <c r="AZ24" s="17">
        <f>Tableau2[[#This Row],[AVANCE VERSEE]]+Tableau2[[#This Row],[ACOMPTE VERSE]]+Tableau2[[#This Row],[SOLDE VERSE]]</f>
        <v>24429</v>
      </c>
      <c r="BA24" s="17">
        <f>IF(Tableau2[[#This Row],[STATUT]]="Soldée",0,Tableau2[[#This Row],[Montant participation à signature]]-Tableau2[[#This Row],[Total CP payés]])</f>
        <v>57001</v>
      </c>
      <c r="BB24" s="17">
        <f>IF(Tableau2[[#This Row],[SOLDE VERSE]]&lt;0,-Tableau2[[#This Row],[SOLDE VERSE]],0)</f>
        <v>0</v>
      </c>
      <c r="BC24" s="17">
        <f>IF(Tableau2[[#This Row],[STATUT]]="Soldée",Tableau2[[#This Row],[Montant participation à signature]]-Tableau2[[#This Row],[Total CP payés]],0)</f>
        <v>0</v>
      </c>
      <c r="BD24" s="17">
        <f>IF(Tableau2[[#This Row],[Montant participation voté au CA]]="",0,Tableau2[[#This Row],[Réfaction]]+Tableau2[[#This Row],[Montant des crédits non engagés]])</f>
        <v>0</v>
      </c>
      <c r="BF24"/>
      <c r="BJ24"/>
      <c r="BK24"/>
      <c r="BL24"/>
      <c r="BM24"/>
      <c r="BP24"/>
      <c r="BQ24"/>
      <c r="BR24"/>
      <c r="BS24"/>
      <c r="BT24"/>
      <c r="BU24"/>
      <c r="BV24"/>
      <c r="BW24"/>
      <c r="BX24"/>
      <c r="BY24"/>
      <c r="CA24"/>
      <c r="CB24"/>
    </row>
    <row r="25" spans="1:80" ht="15" customHeight="1" x14ac:dyDescent="0.25">
      <c r="A25" s="4">
        <v>24</v>
      </c>
      <c r="B25" s="36">
        <v>2755</v>
      </c>
      <c r="C25" s="39">
        <v>42327</v>
      </c>
      <c r="D25" s="73" t="s">
        <v>94</v>
      </c>
      <c r="E25" s="38">
        <v>2</v>
      </c>
      <c r="F25" s="38" t="s">
        <v>40</v>
      </c>
      <c r="G25" s="96" t="s">
        <v>143</v>
      </c>
      <c r="H25" s="96" t="s">
        <v>144</v>
      </c>
      <c r="I25" s="40" t="s">
        <v>48</v>
      </c>
      <c r="J25" s="77"/>
      <c r="K25" s="70"/>
      <c r="L25" s="34"/>
      <c r="M25" s="35"/>
      <c r="N25" s="38">
        <v>24</v>
      </c>
      <c r="O25" s="37">
        <v>6</v>
      </c>
      <c r="P25" s="37">
        <f>IF(Tableau2[[#This Row],[Durée du projet]]="","-",Tableau2[[#This Row],[Durée du projet]]+Tableau2[[#This Row],[Durée suppl'' pour pièces]])</f>
        <v>30</v>
      </c>
      <c r="Q25" s="39">
        <v>42465</v>
      </c>
      <c r="R25" s="60">
        <v>42370</v>
      </c>
      <c r="S25" s="6">
        <f>IF(Tableau2[[#This Row],[Date signature ]]="","",EOMONTH((EDATE(Tableau2[[#This Row],[Début éligibilité dépenses]],Tableau2[[#This Row],[Durée du projet]])),-1))</f>
        <v>43100</v>
      </c>
      <c r="T25" s="6">
        <f>IF(Tableau2[[#This Row],[Fin éligibilité dépenses]]="","",EDATE(Tableau2[[#This Row],[Fin éligibilité dépenses]],-6))</f>
        <v>42916</v>
      </c>
      <c r="U25" s="6">
        <f>IF(Tableau2[[#This Row],[Début éligibilité dépenses]]="","",EOMONTH(EDATE(Tableau2[[#This Row],[Début éligibilité dépenses]],Tableau2[[#This Row],[Durée du projet]]/2),0))</f>
        <v>42766</v>
      </c>
      <c r="V25" s="59">
        <f>IF(Tableau2[[#This Row],[Date signature ]]="","",EDATE(Tableau2[[#This Row],[Date signature ]],Tableau2[[#This Row],[Durée totale conv'' ]])-1)</f>
        <v>43377</v>
      </c>
      <c r="W25" s="40" t="s">
        <v>21</v>
      </c>
      <c r="X25" s="2"/>
      <c r="Y25" s="40" t="s">
        <v>145</v>
      </c>
      <c r="Z25" s="2"/>
      <c r="AA25" s="2"/>
      <c r="AB25" s="19"/>
      <c r="AC25" s="21">
        <f>IF(Tableau2[[#This Row],[PORTEUR
DE
PROJET]]="",0,IF(COUNTIF(Tableau2[[#This Row],[PORTEUR
DE
PROJET]],"CRA*")=1,Tableau2[[#This Row],[Montant participation à signature]]/2,Tableau2[[#This Row],[Montant participation à signature]]*0.3))</f>
        <v>30913.8</v>
      </c>
      <c r="AD25" s="6">
        <f>IF(Tableau2[[#This Row],[Date signature ]]="","",EDATE(Tableau2[[#This Row],[Date signature ]],1))</f>
        <v>42495</v>
      </c>
      <c r="AE25" s="21">
        <f>IF(Tableau2[[#This Row],[PORTEUR
DE
PROJET]]="",0,IF(COUNTIF(Tableau2[[#This Row],[PORTEUR
DE
PROJET]],"CRA*")=1,,Tableau2[[#This Row],[Montant participation à signature]]*0.4))</f>
        <v>41218.400000000001</v>
      </c>
      <c r="AF25" s="6">
        <f>IF(Tableau2[[#This Row],[Date signature ]]="","",IF(Tableau2[[#This Row],[ACOMPTE PREVU]]=0,"",EOMONTH(EDATE(Tableau2[[#This Row],[Date signature ]],Tableau2[[#This Row],[Durée du projet]]/2),0)))</f>
        <v>42855</v>
      </c>
      <c r="AG25" s="21">
        <f>IF(Tableau2[[#This Row],[PORTEUR
DE
PROJET]]="",0,IF(COUNTIF(Tableau2[[#This Row],[PORTEUR
DE
PROJET]],"CRA*")=1,Tableau2[[#This Row],[Montant participation à signature]]/2,Tableau2[[#This Row],[Montant participation à signature]]*0.3))</f>
        <v>30913.8</v>
      </c>
      <c r="AH25" s="6">
        <f>IF(Tableau2[[#This Row],[Date signature ]]="","",EOMONTH(EDATE(Tableau2[[#This Row],[Date signature ]],Tableau2[[#This Row],[Durée du projet]]),0))</f>
        <v>43220</v>
      </c>
      <c r="AI25" s="29">
        <f>IF(COUNTBLANK(Tableau2[[#This Row],[Date du mandat Avance]])=1,,Tableau2[[#This Row],[AVANCE PREVUE]])</f>
        <v>30913.8</v>
      </c>
      <c r="AJ25" s="64">
        <v>42502</v>
      </c>
      <c r="AK25" s="2"/>
      <c r="AL25" s="6"/>
      <c r="AM25" s="6"/>
      <c r="AN25" s="17">
        <f>IF(COUNTBLANK(Tableau2[[#This Row],[Date envoi ASF Acompte]])=1,,Tableau2[[#This Row],[ACOMPTE PREVU]])</f>
        <v>0</v>
      </c>
      <c r="AO25" s="17"/>
      <c r="AP25" s="2"/>
      <c r="AQ25" s="6"/>
      <c r="AR25" s="6"/>
      <c r="AS25" s="17"/>
      <c r="AT25" s="17"/>
      <c r="AU25" s="20"/>
      <c r="AV25" s="41"/>
      <c r="AW25" s="41"/>
      <c r="AX25" s="17">
        <f>IF(Tableau2[[#This Row],[Montant participation voté au CA]]="",0,Tableau2[[#This Row],[Montant participation voté au CA]]-Tableau2[[#This Row],[Montant participation à signature]])</f>
        <v>0</v>
      </c>
      <c r="AY25" s="45">
        <v>103046</v>
      </c>
      <c r="AZ25" s="17">
        <f>Tableau2[[#This Row],[AVANCE VERSEE]]+Tableau2[[#This Row],[ACOMPTE VERSE]]+Tableau2[[#This Row],[SOLDE VERSE]]</f>
        <v>30913.8</v>
      </c>
      <c r="BA25" s="17">
        <f>IF(Tableau2[[#This Row],[STATUT]]="Soldée",0,Tableau2[[#This Row],[Montant participation à signature]]-Tableau2[[#This Row],[Total CP payés]])</f>
        <v>72132.2</v>
      </c>
      <c r="BB25" s="17">
        <f>IF(Tableau2[[#This Row],[SOLDE VERSE]]&lt;0,-Tableau2[[#This Row],[SOLDE VERSE]],0)</f>
        <v>0</v>
      </c>
      <c r="BC25" s="17">
        <f>IF(Tableau2[[#This Row],[STATUT]]="Soldée",Tableau2[[#This Row],[Montant participation à signature]]-Tableau2[[#This Row],[Total CP payés]],0)</f>
        <v>0</v>
      </c>
      <c r="BD25" s="17">
        <f>IF(Tableau2[[#This Row],[Montant participation voté au CA]]="",0,Tableau2[[#This Row],[Réfaction]]+Tableau2[[#This Row],[Montant des crédits non engagés]])</f>
        <v>0</v>
      </c>
      <c r="BF25"/>
      <c r="BJ25"/>
      <c r="BK25"/>
      <c r="BL25"/>
      <c r="BM25"/>
      <c r="BP25"/>
      <c r="BQ25"/>
      <c r="BR25"/>
      <c r="BS25"/>
      <c r="BT25"/>
      <c r="BU25"/>
      <c r="BV25"/>
      <c r="BW25"/>
      <c r="BX25"/>
      <c r="BY25"/>
      <c r="CA25"/>
      <c r="CB25"/>
    </row>
    <row r="26" spans="1:80" ht="15" customHeight="1" x14ac:dyDescent="0.25">
      <c r="A26" s="4">
        <v>25</v>
      </c>
      <c r="B26" s="36">
        <v>2758</v>
      </c>
      <c r="C26" s="39">
        <v>42327</v>
      </c>
      <c r="D26" s="73" t="s">
        <v>86</v>
      </c>
      <c r="E26" s="38" t="s">
        <v>50</v>
      </c>
      <c r="F26" s="38" t="s">
        <v>44</v>
      </c>
      <c r="G26" s="96" t="s">
        <v>143</v>
      </c>
      <c r="H26" s="96" t="s">
        <v>144</v>
      </c>
      <c r="I26" s="40" t="s">
        <v>48</v>
      </c>
      <c r="J26" s="77"/>
      <c r="K26" s="70"/>
      <c r="L26" s="34"/>
      <c r="M26" s="35"/>
      <c r="N26" s="38">
        <v>12</v>
      </c>
      <c r="O26" s="37">
        <v>6</v>
      </c>
      <c r="P26" s="37">
        <f>IF(Tableau2[[#This Row],[Durée du projet]]="","-",Tableau2[[#This Row],[Durée du projet]]+Tableau2[[#This Row],[Durée suppl'' pour pièces]])</f>
        <v>18</v>
      </c>
      <c r="Q26" s="39">
        <v>42492</v>
      </c>
      <c r="R26" s="60">
        <v>42370</v>
      </c>
      <c r="S26" s="6">
        <f>IF(Tableau2[[#This Row],[Date signature ]]="","",EOMONTH((EDATE(Tableau2[[#This Row],[Début éligibilité dépenses]],Tableau2[[#This Row],[Durée du projet]])),-1))</f>
        <v>42735</v>
      </c>
      <c r="T26" s="6">
        <f>IF(Tableau2[[#This Row],[Fin éligibilité dépenses]]="","",EDATE(Tableau2[[#This Row],[Fin éligibilité dépenses]],-6))</f>
        <v>42551</v>
      </c>
      <c r="U26" s="6">
        <f>IF(Tableau2[[#This Row],[Début éligibilité dépenses]]="","",EOMONTH(EDATE(Tableau2[[#This Row],[Début éligibilité dépenses]],Tableau2[[#This Row],[Durée du projet]]/2),0))</f>
        <v>42582</v>
      </c>
      <c r="V26" s="59">
        <f>IF(Tableau2[[#This Row],[Date signature ]]="","",EDATE(Tableau2[[#This Row],[Date signature ]],Tableau2[[#This Row],[Durée totale conv'' ]])-1)</f>
        <v>43040</v>
      </c>
      <c r="W26" s="40" t="s">
        <v>21</v>
      </c>
      <c r="X26" s="2"/>
      <c r="Y26" s="40" t="s">
        <v>145</v>
      </c>
      <c r="Z26" s="2"/>
      <c r="AA26" s="2"/>
      <c r="AB26" s="19"/>
      <c r="AC26" s="21">
        <f>IF(Tableau2[[#This Row],[PORTEUR
DE
PROJET]]="",0,IF(COUNTIF(Tableau2[[#This Row],[PORTEUR
DE
PROJET]],"CRA*")=1,Tableau2[[#This Row],[Montant participation à signature]]/2,Tableau2[[#This Row],[Montant participation à signature]]*0.3))</f>
        <v>137353.5</v>
      </c>
      <c r="AD26" s="6">
        <f>IF(Tableau2[[#This Row],[Date signature ]]="","",EDATE(Tableau2[[#This Row],[Date signature ]],1))</f>
        <v>42523</v>
      </c>
      <c r="AE26" s="21">
        <f>IF(Tableau2[[#This Row],[PORTEUR
DE
PROJET]]="",0,IF(COUNTIF(Tableau2[[#This Row],[PORTEUR
DE
PROJET]],"CRA*")=1,,Tableau2[[#This Row],[Montant participation à signature]]*0.4))</f>
        <v>183138</v>
      </c>
      <c r="AF26" s="6">
        <f>IF(Tableau2[[#This Row],[Date signature ]]="","",IF(Tableau2[[#This Row],[ACOMPTE PREVU]]=0,"",EOMONTH(EDATE(Tableau2[[#This Row],[Date signature ]],Tableau2[[#This Row],[Durée du projet]]/2),0)))</f>
        <v>42704</v>
      </c>
      <c r="AG26" s="21">
        <f>IF(Tableau2[[#This Row],[PORTEUR
DE
PROJET]]="",0,IF(COUNTIF(Tableau2[[#This Row],[PORTEUR
DE
PROJET]],"CRA*")=1,Tableau2[[#This Row],[Montant participation à signature]]/2,Tableau2[[#This Row],[Montant participation à signature]]*0.3))</f>
        <v>137353.5</v>
      </c>
      <c r="AH26" s="6">
        <f>IF(Tableau2[[#This Row],[Date signature ]]="","",EOMONTH(EDATE(Tableau2[[#This Row],[Date signature ]],Tableau2[[#This Row],[Durée du projet]]),0))</f>
        <v>42886</v>
      </c>
      <c r="AI26" s="29">
        <f>IF(COUNTBLANK(Tableau2[[#This Row],[Date du mandat Avance]])=1,,Tableau2[[#This Row],[AVANCE PREVUE]])</f>
        <v>137353.5</v>
      </c>
      <c r="AJ26" s="64">
        <v>42514</v>
      </c>
      <c r="AK26" s="2"/>
      <c r="AL26" s="6"/>
      <c r="AM26" s="6"/>
      <c r="AN26" s="17">
        <f>IF(COUNTBLANK(Tableau2[[#This Row],[Date envoi ASF Acompte]])=1,,Tableau2[[#This Row],[ACOMPTE PREVU]])</f>
        <v>0</v>
      </c>
      <c r="AO26" s="17"/>
      <c r="AP26" s="2"/>
      <c r="AQ26" s="6"/>
      <c r="AR26" s="6"/>
      <c r="AS26" s="17"/>
      <c r="AT26" s="17"/>
      <c r="AU26" s="20"/>
      <c r="AV26" s="41"/>
      <c r="AW26" s="41"/>
      <c r="AX26" s="17">
        <f>IF(Tableau2[[#This Row],[Montant participation voté au CA]]="",0,Tableau2[[#This Row],[Montant participation voté au CA]]-Tableau2[[#This Row],[Montant participation à signature]])</f>
        <v>0</v>
      </c>
      <c r="AY26" s="45">
        <v>457845</v>
      </c>
      <c r="AZ26" s="17">
        <f>Tableau2[[#This Row],[AVANCE VERSEE]]+Tableau2[[#This Row],[ACOMPTE VERSE]]+Tableau2[[#This Row],[SOLDE VERSE]]</f>
        <v>137353.5</v>
      </c>
      <c r="BA26" s="17">
        <f>IF(Tableau2[[#This Row],[STATUT]]="Soldée",0,Tableau2[[#This Row],[Montant participation à signature]]-Tableau2[[#This Row],[Total CP payés]])</f>
        <v>320491.5</v>
      </c>
      <c r="BB26" s="17">
        <f>IF(Tableau2[[#This Row],[SOLDE VERSE]]&lt;0,-Tableau2[[#This Row],[SOLDE VERSE]],0)</f>
        <v>0</v>
      </c>
      <c r="BC26" s="17">
        <f>IF(Tableau2[[#This Row],[STATUT]]="Soldée",Tableau2[[#This Row],[Montant participation à signature]]-Tableau2[[#This Row],[Total CP payés]],0)</f>
        <v>0</v>
      </c>
      <c r="BD26" s="17">
        <f>IF(Tableau2[[#This Row],[Montant participation voté au CA]]="",0,Tableau2[[#This Row],[Réfaction]]+Tableau2[[#This Row],[Montant des crédits non engagés]])</f>
        <v>0</v>
      </c>
      <c r="BF26"/>
      <c r="BJ26"/>
      <c r="BK26"/>
      <c r="BL26"/>
      <c r="BM26"/>
      <c r="BP26"/>
      <c r="BQ26"/>
      <c r="BR26"/>
      <c r="BS26"/>
      <c r="BT26"/>
      <c r="BU26"/>
      <c r="BV26"/>
      <c r="BW26"/>
      <c r="BX26"/>
      <c r="BY26"/>
      <c r="CA26"/>
      <c r="CB26"/>
    </row>
    <row r="27" spans="1:80" s="2" customFormat="1" ht="15" customHeight="1" x14ac:dyDescent="0.25">
      <c r="A27" s="4">
        <v>26</v>
      </c>
      <c r="B27" s="36">
        <v>2760</v>
      </c>
      <c r="C27" s="39">
        <v>42327</v>
      </c>
      <c r="D27" s="73" t="s">
        <v>86</v>
      </c>
      <c r="E27" s="38" t="s">
        <v>50</v>
      </c>
      <c r="F27" s="38" t="s">
        <v>44</v>
      </c>
      <c r="G27" s="96" t="s">
        <v>143</v>
      </c>
      <c r="H27" s="96" t="s">
        <v>144</v>
      </c>
      <c r="I27" s="40" t="s">
        <v>48</v>
      </c>
      <c r="J27" s="77"/>
      <c r="K27" s="70"/>
      <c r="L27" s="34"/>
      <c r="M27" s="35"/>
      <c r="N27" s="38">
        <v>12</v>
      </c>
      <c r="O27" s="37">
        <v>6</v>
      </c>
      <c r="P27" s="37">
        <f>IF(Tableau2[[#This Row],[Durée du projet]]="","-",Tableau2[[#This Row],[Durée du projet]]+Tableau2[[#This Row],[Durée suppl'' pour pièces]])</f>
        <v>18</v>
      </c>
      <c r="Q27" s="39">
        <v>42492</v>
      </c>
      <c r="R27" s="60">
        <v>42370</v>
      </c>
      <c r="S27" s="6">
        <f>IF(Tableau2[[#This Row],[Date signature ]]="","",EOMONTH((EDATE(Tableau2[[#This Row],[Début éligibilité dépenses]],Tableau2[[#This Row],[Durée du projet]])),-1))</f>
        <v>42735</v>
      </c>
      <c r="T27" s="6">
        <f>IF(Tableau2[[#This Row],[Fin éligibilité dépenses]]="","",EDATE(Tableau2[[#This Row],[Fin éligibilité dépenses]],-6))</f>
        <v>42551</v>
      </c>
      <c r="U27" s="6">
        <f>IF(Tableau2[[#This Row],[Début éligibilité dépenses]]="","",EOMONTH(EDATE(Tableau2[[#This Row],[Début éligibilité dépenses]],Tableau2[[#This Row],[Durée du projet]]/2),0))</f>
        <v>42582</v>
      </c>
      <c r="V27" s="59">
        <f>IF(Tableau2[[#This Row],[Date signature ]]="","",EDATE(Tableau2[[#This Row],[Date signature ]],Tableau2[[#This Row],[Durée totale conv'' ]])-1)</f>
        <v>43040</v>
      </c>
      <c r="W27" s="40" t="s">
        <v>21</v>
      </c>
      <c r="Y27" s="40" t="s">
        <v>145</v>
      </c>
      <c r="AB27" s="19"/>
      <c r="AC27" s="21">
        <f>IF(Tableau2[[#This Row],[PORTEUR
DE
PROJET]]="",0,IF(COUNTIF(Tableau2[[#This Row],[PORTEUR
DE
PROJET]],"CRA*")=1,Tableau2[[#This Row],[Montant participation à signature]]/2,Tableau2[[#This Row],[Montant participation à signature]]*0.3))</f>
        <v>25253.399999999998</v>
      </c>
      <c r="AD27" s="6">
        <f>IF(Tableau2[[#This Row],[Date signature ]]="","",EDATE(Tableau2[[#This Row],[Date signature ]],1))</f>
        <v>42523</v>
      </c>
      <c r="AE27" s="21">
        <f>IF(Tableau2[[#This Row],[PORTEUR
DE
PROJET]]="",0,IF(COUNTIF(Tableau2[[#This Row],[PORTEUR
DE
PROJET]],"CRA*")=1,,Tableau2[[#This Row],[Montant participation à signature]]*0.4))</f>
        <v>33671.200000000004</v>
      </c>
      <c r="AF27" s="6">
        <f>IF(Tableau2[[#This Row],[Date signature ]]="","",IF(Tableau2[[#This Row],[ACOMPTE PREVU]]=0,"",EOMONTH(EDATE(Tableau2[[#This Row],[Date signature ]],Tableau2[[#This Row],[Durée du projet]]/2),0)))</f>
        <v>42704</v>
      </c>
      <c r="AG27" s="21">
        <f>IF(Tableau2[[#This Row],[PORTEUR
DE
PROJET]]="",0,IF(COUNTIF(Tableau2[[#This Row],[PORTEUR
DE
PROJET]],"CRA*")=1,Tableau2[[#This Row],[Montant participation à signature]]/2,Tableau2[[#This Row],[Montant participation à signature]]*0.3))</f>
        <v>25253.399999999998</v>
      </c>
      <c r="AH27" s="6">
        <f>IF(Tableau2[[#This Row],[Date signature ]]="","",EOMONTH(EDATE(Tableau2[[#This Row],[Date signature ]],Tableau2[[#This Row],[Durée du projet]]),0))</f>
        <v>42886</v>
      </c>
      <c r="AI27" s="29">
        <f>IF(COUNTBLANK(Tableau2[[#This Row],[Date du mandat Avance]])=1,,Tableau2[[#This Row],[AVANCE PREVUE]])</f>
        <v>25253.399999999998</v>
      </c>
      <c r="AJ27" s="64">
        <v>42514</v>
      </c>
      <c r="AL27" s="6"/>
      <c r="AM27" s="6"/>
      <c r="AN27" s="17">
        <f>IF(COUNTBLANK(Tableau2[[#This Row],[Date envoi ASF Acompte]])=1,,Tableau2[[#This Row],[ACOMPTE PREVU]])</f>
        <v>0</v>
      </c>
      <c r="AO27" s="17"/>
      <c r="AQ27" s="6"/>
      <c r="AR27" s="6"/>
      <c r="AS27" s="17"/>
      <c r="AT27" s="17"/>
      <c r="AU27" s="20"/>
      <c r="AV27" s="41"/>
      <c r="AW27" s="41"/>
      <c r="AX27" s="17">
        <f>IF(Tableau2[[#This Row],[Montant participation voté au CA]]="",0,Tableau2[[#This Row],[Montant participation voté au CA]]-Tableau2[[#This Row],[Montant participation à signature]])</f>
        <v>0</v>
      </c>
      <c r="AY27" s="45">
        <v>84178</v>
      </c>
      <c r="AZ27" s="17">
        <f>Tableau2[[#This Row],[AVANCE VERSEE]]+Tableau2[[#This Row],[ACOMPTE VERSE]]+Tableau2[[#This Row],[SOLDE VERSE]]</f>
        <v>25253.399999999998</v>
      </c>
      <c r="BA27" s="17">
        <f>IF(Tableau2[[#This Row],[STATUT]]="Soldée",0,Tableau2[[#This Row],[Montant participation à signature]]-Tableau2[[#This Row],[Total CP payés]])</f>
        <v>58924.600000000006</v>
      </c>
      <c r="BB27" s="17">
        <f>IF(Tableau2[[#This Row],[SOLDE VERSE]]&lt;0,-Tableau2[[#This Row],[SOLDE VERSE]],0)</f>
        <v>0</v>
      </c>
      <c r="BC27" s="17">
        <f>IF(Tableau2[[#This Row],[STATUT]]="Soldée",Tableau2[[#This Row],[Montant participation à signature]]-Tableau2[[#This Row],[Total CP payés]],0)</f>
        <v>0</v>
      </c>
      <c r="BD27" s="17">
        <f>IF(Tableau2[[#This Row],[Montant participation voté au CA]]="",0,Tableau2[[#This Row],[Réfaction]]+Tableau2[[#This Row],[Montant des crédits non engagés]])</f>
        <v>0</v>
      </c>
    </row>
    <row r="28" spans="1:80" ht="15" customHeight="1" x14ac:dyDescent="0.25">
      <c r="A28" s="4">
        <v>27</v>
      </c>
      <c r="B28" s="90">
        <v>2761</v>
      </c>
      <c r="C28" s="39">
        <v>42327</v>
      </c>
      <c r="D28" s="73" t="s">
        <v>86</v>
      </c>
      <c r="E28" s="38" t="s">
        <v>50</v>
      </c>
      <c r="F28" s="38" t="s">
        <v>44</v>
      </c>
      <c r="G28" s="96" t="s">
        <v>143</v>
      </c>
      <c r="H28" s="96" t="s">
        <v>144</v>
      </c>
      <c r="I28" s="40" t="s">
        <v>48</v>
      </c>
      <c r="J28" s="77"/>
      <c r="K28" s="70"/>
      <c r="L28" s="34"/>
      <c r="M28" s="35"/>
      <c r="N28" s="38">
        <v>12</v>
      </c>
      <c r="O28" s="37">
        <v>6</v>
      </c>
      <c r="P28" s="37">
        <f>IF(Tableau2[[#This Row],[Durée du projet]]="","-",Tableau2[[#This Row],[Durée du projet]]+Tableau2[[#This Row],[Durée suppl'' pour pièces]])</f>
        <v>18</v>
      </c>
      <c r="Q28" s="39">
        <v>42494</v>
      </c>
      <c r="R28" s="60">
        <v>42370</v>
      </c>
      <c r="S28" s="6">
        <f>IF(Tableau2[[#This Row],[Date signature ]]="","",EOMONTH((EDATE(Tableau2[[#This Row],[Début éligibilité dépenses]],Tableau2[[#This Row],[Durée du projet]])),-1))</f>
        <v>42735</v>
      </c>
      <c r="T28" s="6">
        <f>IF(Tableau2[[#This Row],[Fin éligibilité dépenses]]="","",EDATE(Tableau2[[#This Row],[Fin éligibilité dépenses]],-6))</f>
        <v>42551</v>
      </c>
      <c r="U28" s="6">
        <f>IF(Tableau2[[#This Row],[Début éligibilité dépenses]]="","",EOMONTH(EDATE(Tableau2[[#This Row],[Début éligibilité dépenses]],Tableau2[[#This Row],[Durée du projet]]/2),0))</f>
        <v>42582</v>
      </c>
      <c r="V28" s="59">
        <f>IF(Tableau2[[#This Row],[Date signature ]]="","",EDATE(Tableau2[[#This Row],[Date signature ]],Tableau2[[#This Row],[Durée totale conv'' ]])-1)</f>
        <v>43042</v>
      </c>
      <c r="W28" s="40" t="s">
        <v>21</v>
      </c>
      <c r="X28" s="2"/>
      <c r="Y28" s="40" t="s">
        <v>145</v>
      </c>
      <c r="Z28" s="2"/>
      <c r="AA28" s="2"/>
      <c r="AB28" s="19"/>
      <c r="AC28" s="21">
        <f>IF(Tableau2[[#This Row],[PORTEUR
DE
PROJET]]="",0,IF(COUNTIF(Tableau2[[#This Row],[PORTEUR
DE
PROJET]],"CRA*")=1,Tableau2[[#This Row],[Montant participation à signature]]/2,Tableau2[[#This Row],[Montant participation à signature]]*0.3))</f>
        <v>172473</v>
      </c>
      <c r="AD28" s="6">
        <f>IF(Tableau2[[#This Row],[Date signature ]]="","",EDATE(Tableau2[[#This Row],[Date signature ]],1))</f>
        <v>42525</v>
      </c>
      <c r="AE28" s="21">
        <f>IF(Tableau2[[#This Row],[PORTEUR
DE
PROJET]]="",0,IF(COUNTIF(Tableau2[[#This Row],[PORTEUR
DE
PROJET]],"CRA*")=1,,Tableau2[[#This Row],[Montant participation à signature]]*0.4))</f>
        <v>229964</v>
      </c>
      <c r="AF28" s="6">
        <f>IF(Tableau2[[#This Row],[Date signature ]]="","",IF(Tableau2[[#This Row],[ACOMPTE PREVU]]=0,"",EOMONTH(EDATE(Tableau2[[#This Row],[Date signature ]],Tableau2[[#This Row],[Durée du projet]]/2),0)))</f>
        <v>42704</v>
      </c>
      <c r="AG28" s="21">
        <f>IF(Tableau2[[#This Row],[PORTEUR
DE
PROJET]]="",0,IF(COUNTIF(Tableau2[[#This Row],[PORTEUR
DE
PROJET]],"CRA*")=1,Tableau2[[#This Row],[Montant participation à signature]]/2,Tableau2[[#This Row],[Montant participation à signature]]*0.3))</f>
        <v>172473</v>
      </c>
      <c r="AH28" s="6">
        <f>IF(Tableau2[[#This Row],[Date signature ]]="","",EOMONTH(EDATE(Tableau2[[#This Row],[Date signature ]],Tableau2[[#This Row],[Durée du projet]]),0))</f>
        <v>42886</v>
      </c>
      <c r="AI28" s="29">
        <f>IF(COUNTBLANK(Tableau2[[#This Row],[Date du mandat Avance]])=1,,Tableau2[[#This Row],[AVANCE PREVUE]])</f>
        <v>172473</v>
      </c>
      <c r="AJ28" s="64">
        <v>42514</v>
      </c>
      <c r="AK28" s="2"/>
      <c r="AL28" s="6"/>
      <c r="AM28" s="6"/>
      <c r="AN28" s="17">
        <f>IF(COUNTBLANK(Tableau2[[#This Row],[Date envoi ASF Acompte]])=1,,Tableau2[[#This Row],[ACOMPTE PREVU]])</f>
        <v>0</v>
      </c>
      <c r="AO28" s="17"/>
      <c r="AP28" s="2"/>
      <c r="AQ28" s="6"/>
      <c r="AR28" s="6"/>
      <c r="AS28" s="17"/>
      <c r="AT28" s="17"/>
      <c r="AU28" s="20"/>
      <c r="AV28" s="41"/>
      <c r="AW28" s="41"/>
      <c r="AX28" s="17">
        <f>IF(Tableau2[[#This Row],[Montant participation voté au CA]]="",0,Tableau2[[#This Row],[Montant participation voté au CA]]-Tableau2[[#This Row],[Montant participation à signature]])</f>
        <v>0</v>
      </c>
      <c r="AY28" s="45">
        <v>574910</v>
      </c>
      <c r="AZ28" s="17">
        <f>Tableau2[[#This Row],[AVANCE VERSEE]]+Tableau2[[#This Row],[ACOMPTE VERSE]]+Tableau2[[#This Row],[SOLDE VERSE]]</f>
        <v>172473</v>
      </c>
      <c r="BA28" s="17">
        <f>IF(Tableau2[[#This Row],[STATUT]]="Soldée",0,Tableau2[[#This Row],[Montant participation à signature]]-Tableau2[[#This Row],[Total CP payés]])</f>
        <v>402437</v>
      </c>
      <c r="BB28" s="17">
        <f>IF(Tableau2[[#This Row],[SOLDE VERSE]]&lt;0,-Tableau2[[#This Row],[SOLDE VERSE]],0)</f>
        <v>0</v>
      </c>
      <c r="BC28" s="17">
        <f>IF(Tableau2[[#This Row],[STATUT]]="Soldée",Tableau2[[#This Row],[Montant participation à signature]]-Tableau2[[#This Row],[Total CP payés]],0)</f>
        <v>0</v>
      </c>
      <c r="BD28" s="17">
        <f>IF(Tableau2[[#This Row],[Montant participation voté au CA]]="",0,Tableau2[[#This Row],[Réfaction]]+Tableau2[[#This Row],[Montant des crédits non engagés]])</f>
        <v>0</v>
      </c>
      <c r="BF28"/>
      <c r="BJ28"/>
      <c r="BK28"/>
      <c r="BL28"/>
      <c r="BM28"/>
      <c r="BP28"/>
      <c r="BQ28"/>
      <c r="BR28"/>
      <c r="BS28"/>
      <c r="BT28"/>
      <c r="BU28"/>
      <c r="BV28"/>
      <c r="BW28"/>
      <c r="BX28"/>
      <c r="BY28"/>
      <c r="CA28"/>
      <c r="CB28"/>
    </row>
    <row r="29" spans="1:80" ht="15" customHeight="1" x14ac:dyDescent="0.25">
      <c r="A29" s="4">
        <v>28</v>
      </c>
      <c r="B29" s="36">
        <v>2762</v>
      </c>
      <c r="C29" s="39">
        <v>42327</v>
      </c>
      <c r="D29" s="73" t="s">
        <v>95</v>
      </c>
      <c r="E29" s="38">
        <v>3</v>
      </c>
      <c r="F29" s="38" t="s">
        <v>41</v>
      </c>
      <c r="G29" s="96" t="s">
        <v>143</v>
      </c>
      <c r="H29" s="96" t="s">
        <v>144</v>
      </c>
      <c r="I29" s="40" t="s">
        <v>48</v>
      </c>
      <c r="J29" s="77"/>
      <c r="K29" s="70"/>
      <c r="L29" s="34"/>
      <c r="M29" s="35"/>
      <c r="N29" s="38">
        <v>36</v>
      </c>
      <c r="O29" s="37">
        <v>6</v>
      </c>
      <c r="P29" s="37">
        <f>IF(Tableau2[[#This Row],[Durée du projet]]="","-",Tableau2[[#This Row],[Durée du projet]]+Tableau2[[#This Row],[Durée suppl'' pour pièces]])</f>
        <v>42</v>
      </c>
      <c r="Q29" s="39">
        <v>42502</v>
      </c>
      <c r="R29" s="39">
        <v>42502</v>
      </c>
      <c r="S29" s="6">
        <f>IF(Tableau2[[#This Row],[Date signature ]]="","",EOMONTH((EDATE(Tableau2[[#This Row],[Début éligibilité dépenses]],Tableau2[[#This Row],[Durée du projet]])),-1))</f>
        <v>43585</v>
      </c>
      <c r="T29" s="6">
        <f>IF(Tableau2[[#This Row],[Fin éligibilité dépenses]]="","",EDATE(Tableau2[[#This Row],[Fin éligibilité dépenses]],-6))</f>
        <v>43403</v>
      </c>
      <c r="U29" s="6">
        <f>IF(Tableau2[[#This Row],[Début éligibilité dépenses]]="","",EOMONTH(EDATE(Tableau2[[#This Row],[Début éligibilité dépenses]],Tableau2[[#This Row],[Durée du projet]]/2),0))</f>
        <v>43069</v>
      </c>
      <c r="V29" s="59">
        <f>IF(Tableau2[[#This Row],[Date signature ]]="","",EDATE(Tableau2[[#This Row],[Date signature ]],Tableau2[[#This Row],[Durée totale conv'' ]])-1)</f>
        <v>43780</v>
      </c>
      <c r="W29" s="40" t="s">
        <v>21</v>
      </c>
      <c r="X29" s="2"/>
      <c r="Y29" s="40" t="s">
        <v>145</v>
      </c>
      <c r="Z29" s="2"/>
      <c r="AA29" s="2"/>
      <c r="AB29" s="19"/>
      <c r="AC29" s="21">
        <f>IF(Tableau2[[#This Row],[PORTEUR
DE
PROJET]]="",0,IF(COUNTIF(Tableau2[[#This Row],[PORTEUR
DE
PROJET]],"CRA*")=1,Tableau2[[#This Row],[Montant participation à signature]]/2,Tableau2[[#This Row],[Montant participation à signature]]*0.3))</f>
        <v>38250</v>
      </c>
      <c r="AD29" s="6">
        <f>IF(Tableau2[[#This Row],[Date signature ]]="","",EDATE(Tableau2[[#This Row],[Date signature ]],1))</f>
        <v>42533</v>
      </c>
      <c r="AE29" s="21">
        <f>IF(Tableau2[[#This Row],[PORTEUR
DE
PROJET]]="",0,IF(COUNTIF(Tableau2[[#This Row],[PORTEUR
DE
PROJET]],"CRA*")=1,,Tableau2[[#This Row],[Montant participation à signature]]*0.4))</f>
        <v>51000</v>
      </c>
      <c r="AF29" s="6">
        <f>IF(Tableau2[[#This Row],[Date signature ]]="","",IF(Tableau2[[#This Row],[ACOMPTE PREVU]]=0,"",EOMONTH(EDATE(Tableau2[[#This Row],[Date signature ]],Tableau2[[#This Row],[Durée du projet]]/2),0)))</f>
        <v>43069</v>
      </c>
      <c r="AG29" s="21">
        <f>IF(Tableau2[[#This Row],[PORTEUR
DE
PROJET]]="",0,IF(COUNTIF(Tableau2[[#This Row],[PORTEUR
DE
PROJET]],"CRA*")=1,Tableau2[[#This Row],[Montant participation à signature]]/2,Tableau2[[#This Row],[Montant participation à signature]]*0.3))</f>
        <v>38250</v>
      </c>
      <c r="AH29" s="6">
        <f>IF(Tableau2[[#This Row],[Date signature ]]="","",EOMONTH(EDATE(Tableau2[[#This Row],[Date signature ]],Tableau2[[#This Row],[Durée du projet]]),0))</f>
        <v>43616</v>
      </c>
      <c r="AI29" s="29">
        <f>IF(COUNTBLANK(Tableau2[[#This Row],[Date du mandat Avance]])=1,,Tableau2[[#This Row],[AVANCE PREVUE]])</f>
        <v>38250</v>
      </c>
      <c r="AJ29" s="64">
        <v>42514</v>
      </c>
      <c r="AK29" s="2"/>
      <c r="AL29" s="6"/>
      <c r="AM29" s="6"/>
      <c r="AN29" s="17">
        <f>IF(COUNTBLANK(Tableau2[[#This Row],[Date envoi ASF Acompte]])=1,,Tableau2[[#This Row],[ACOMPTE PREVU]])</f>
        <v>0</v>
      </c>
      <c r="AO29" s="17"/>
      <c r="AP29" s="2"/>
      <c r="AQ29" s="6"/>
      <c r="AR29" s="6"/>
      <c r="AS29" s="17"/>
      <c r="AT29" s="17"/>
      <c r="AU29" s="20"/>
      <c r="AV29" s="41"/>
      <c r="AW29" s="41"/>
      <c r="AX29" s="17">
        <f>IF(Tableau2[[#This Row],[Montant participation voté au CA]]="",0,Tableau2[[#This Row],[Montant participation voté au CA]]-Tableau2[[#This Row],[Montant participation à signature]])</f>
        <v>0</v>
      </c>
      <c r="AY29" s="45">
        <v>127500</v>
      </c>
      <c r="AZ29" s="17">
        <f>Tableau2[[#This Row],[AVANCE VERSEE]]+Tableau2[[#This Row],[ACOMPTE VERSE]]+Tableau2[[#This Row],[SOLDE VERSE]]</f>
        <v>38250</v>
      </c>
      <c r="BA29" s="17">
        <f>IF(Tableau2[[#This Row],[STATUT]]="Soldée",0,Tableau2[[#This Row],[Montant participation à signature]]-Tableau2[[#This Row],[Total CP payés]])</f>
        <v>89250</v>
      </c>
      <c r="BB29" s="17">
        <f>IF(Tableau2[[#This Row],[SOLDE VERSE]]&lt;0,-Tableau2[[#This Row],[SOLDE VERSE]],0)</f>
        <v>0</v>
      </c>
      <c r="BC29" s="17">
        <f>IF(Tableau2[[#This Row],[STATUT]]="Soldée",Tableau2[[#This Row],[Montant participation à signature]]-Tableau2[[#This Row],[Total CP payés]],0)</f>
        <v>0</v>
      </c>
      <c r="BD29" s="17">
        <f>IF(Tableau2[[#This Row],[Montant participation voté au CA]]="",0,Tableau2[[#This Row],[Réfaction]]+Tableau2[[#This Row],[Montant des crédits non engagés]])</f>
        <v>0</v>
      </c>
      <c r="BF29"/>
      <c r="BJ29"/>
      <c r="BK29"/>
      <c r="BL29"/>
      <c r="BM29"/>
      <c r="BP29"/>
      <c r="BQ29"/>
      <c r="BR29"/>
      <c r="BS29"/>
      <c r="BT29"/>
      <c r="BU29"/>
      <c r="BV29"/>
      <c r="BW29"/>
      <c r="BX29"/>
      <c r="BY29"/>
      <c r="CA29"/>
      <c r="CB29"/>
    </row>
    <row r="30" spans="1:80" ht="15" customHeight="1" x14ac:dyDescent="0.25">
      <c r="A30" s="4">
        <v>29</v>
      </c>
      <c r="B30" s="105">
        <v>2763</v>
      </c>
      <c r="C30" s="39">
        <v>42327</v>
      </c>
      <c r="D30" s="73" t="s">
        <v>96</v>
      </c>
      <c r="E30" s="38">
        <v>3</v>
      </c>
      <c r="F30" s="38" t="s">
        <v>41</v>
      </c>
      <c r="G30" s="96" t="s">
        <v>143</v>
      </c>
      <c r="H30" s="96" t="s">
        <v>144</v>
      </c>
      <c r="I30" s="40" t="s">
        <v>48</v>
      </c>
      <c r="J30" s="77"/>
      <c r="K30" s="70"/>
      <c r="L30" s="34"/>
      <c r="M30" s="35"/>
      <c r="N30" s="38">
        <v>36</v>
      </c>
      <c r="O30" s="37">
        <v>6</v>
      </c>
      <c r="P30" s="37">
        <f>IF(Tableau2[[#This Row],[Durée du projet]]="","-",Tableau2[[#This Row],[Durée du projet]]+Tableau2[[#This Row],[Durée suppl'' pour pièces]])</f>
        <v>42</v>
      </c>
      <c r="Q30" s="39">
        <v>42502</v>
      </c>
      <c r="R30" s="60">
        <v>42502</v>
      </c>
      <c r="S30" s="6">
        <f>IF(Tableau2[[#This Row],[Date signature ]]="","",EOMONTH((EDATE(Tableau2[[#This Row],[Début éligibilité dépenses]],Tableau2[[#This Row],[Durée du projet]])),-1))</f>
        <v>43585</v>
      </c>
      <c r="T30" s="6">
        <f>IF(Tableau2[[#This Row],[Fin éligibilité dépenses]]="","",EDATE(Tableau2[[#This Row],[Fin éligibilité dépenses]],-6))</f>
        <v>43403</v>
      </c>
      <c r="U30" s="6">
        <f>IF(Tableau2[[#This Row],[Début éligibilité dépenses]]="","",EOMONTH(EDATE(Tableau2[[#This Row],[Début éligibilité dépenses]],Tableau2[[#This Row],[Durée du projet]]/2),0))</f>
        <v>43069</v>
      </c>
      <c r="V30" s="59">
        <f>IF(Tableau2[[#This Row],[Date signature ]]="","",EDATE(Tableau2[[#This Row],[Date signature ]],Tableau2[[#This Row],[Durée totale conv'' ]])-1)</f>
        <v>43780</v>
      </c>
      <c r="W30" s="40" t="s">
        <v>21</v>
      </c>
      <c r="X30" s="2"/>
      <c r="Y30" s="40" t="s">
        <v>145</v>
      </c>
      <c r="Z30" s="2"/>
      <c r="AA30" s="2"/>
      <c r="AB30" s="19"/>
      <c r="AC30" s="21">
        <f>IF(Tableau2[[#This Row],[PORTEUR
DE
PROJET]]="",0,IF(COUNTIF(Tableau2[[#This Row],[PORTEUR
DE
PROJET]],"CRA*")=1,Tableau2[[#This Row],[Montant participation à signature]]/2,Tableau2[[#This Row],[Montant participation à signature]]*0.3))</f>
        <v>90000</v>
      </c>
      <c r="AD30" s="6">
        <f>IF(Tableau2[[#This Row],[Date signature ]]="","",EDATE(Tableau2[[#This Row],[Date signature ]],1))</f>
        <v>42533</v>
      </c>
      <c r="AE30" s="21">
        <f>IF(Tableau2[[#This Row],[PORTEUR
DE
PROJET]]="",0,IF(COUNTIF(Tableau2[[#This Row],[PORTEUR
DE
PROJET]],"CRA*")=1,,Tableau2[[#This Row],[Montant participation à signature]]*0.4))</f>
        <v>120000</v>
      </c>
      <c r="AF30" s="6">
        <f>IF(Tableau2[[#This Row],[Date signature ]]="","",IF(Tableau2[[#This Row],[ACOMPTE PREVU]]=0,"",EOMONTH(EDATE(Tableau2[[#This Row],[Date signature ]],Tableau2[[#This Row],[Durée du projet]]/2),0)))</f>
        <v>43069</v>
      </c>
      <c r="AG30" s="21">
        <f>IF(Tableau2[[#This Row],[PORTEUR
DE
PROJET]]="",0,IF(COUNTIF(Tableau2[[#This Row],[PORTEUR
DE
PROJET]],"CRA*")=1,Tableau2[[#This Row],[Montant participation à signature]]/2,Tableau2[[#This Row],[Montant participation à signature]]*0.3))</f>
        <v>90000</v>
      </c>
      <c r="AH30" s="6">
        <f>IF(Tableau2[[#This Row],[Date signature ]]="","",EOMONTH(EDATE(Tableau2[[#This Row],[Date signature ]],Tableau2[[#This Row],[Durée du projet]]),0))</f>
        <v>43616</v>
      </c>
      <c r="AI30" s="29">
        <f>IF(COUNTBLANK(Tableau2[[#This Row],[Date du mandat Avance]])=1,,Tableau2[[#This Row],[AVANCE PREVUE]])</f>
        <v>90000</v>
      </c>
      <c r="AJ30" s="64">
        <v>42549</v>
      </c>
      <c r="AK30" s="2"/>
      <c r="AL30" s="6"/>
      <c r="AM30" s="6"/>
      <c r="AN30" s="17">
        <f>IF(COUNTBLANK(Tableau2[[#This Row],[Date envoi ASF Acompte]])=1,,Tableau2[[#This Row],[ACOMPTE PREVU]])</f>
        <v>0</v>
      </c>
      <c r="AO30" s="17"/>
      <c r="AP30" s="2"/>
      <c r="AQ30" s="6"/>
      <c r="AR30" s="6"/>
      <c r="AS30" s="17"/>
      <c r="AT30" s="17"/>
      <c r="AU30" s="20"/>
      <c r="AV30" s="41"/>
      <c r="AW30" s="41"/>
      <c r="AX30" s="17">
        <f>IF(Tableau2[[#This Row],[Montant participation voté au CA]]="",0,Tableau2[[#This Row],[Montant participation voté au CA]]-Tableau2[[#This Row],[Montant participation à signature]])</f>
        <v>0</v>
      </c>
      <c r="AY30" s="45">
        <v>300000</v>
      </c>
      <c r="AZ30" s="17">
        <f>Tableau2[[#This Row],[AVANCE VERSEE]]+Tableau2[[#This Row],[ACOMPTE VERSE]]+Tableau2[[#This Row],[SOLDE VERSE]]</f>
        <v>90000</v>
      </c>
      <c r="BA30" s="17">
        <f>IF(Tableau2[[#This Row],[STATUT]]="Soldée",0,Tableau2[[#This Row],[Montant participation à signature]]-Tableau2[[#This Row],[Total CP payés]])</f>
        <v>210000</v>
      </c>
      <c r="BB30" s="17">
        <f>IF(Tableau2[[#This Row],[SOLDE VERSE]]&lt;0,-Tableau2[[#This Row],[SOLDE VERSE]],0)</f>
        <v>0</v>
      </c>
      <c r="BC30" s="17">
        <f>IF(Tableau2[[#This Row],[STATUT]]="Soldée",Tableau2[[#This Row],[Montant participation à signature]]-Tableau2[[#This Row],[Total CP payés]],0)</f>
        <v>0</v>
      </c>
      <c r="BD30" s="17">
        <f>IF(Tableau2[[#This Row],[Montant participation voté au CA]]="",0,Tableau2[[#This Row],[Réfaction]]+Tableau2[[#This Row],[Montant des crédits non engagés]])</f>
        <v>0</v>
      </c>
      <c r="BF30"/>
      <c r="BJ30"/>
      <c r="BK30"/>
      <c r="BL30"/>
      <c r="BM30"/>
      <c r="BP30"/>
      <c r="BQ30"/>
      <c r="BR30"/>
      <c r="BS30"/>
      <c r="BT30"/>
      <c r="BU30"/>
      <c r="BV30"/>
      <c r="BW30"/>
      <c r="BX30"/>
      <c r="BY30"/>
      <c r="CA30"/>
      <c r="CB30"/>
    </row>
    <row r="31" spans="1:80" ht="15" customHeight="1" x14ac:dyDescent="0.25">
      <c r="A31" s="4">
        <v>30</v>
      </c>
      <c r="B31" s="94">
        <v>2764</v>
      </c>
      <c r="C31" s="39">
        <v>42327</v>
      </c>
      <c r="D31" s="73" t="s">
        <v>97</v>
      </c>
      <c r="E31" s="38">
        <v>3</v>
      </c>
      <c r="F31" s="38" t="s">
        <v>41</v>
      </c>
      <c r="G31" s="96" t="s">
        <v>143</v>
      </c>
      <c r="H31" s="96" t="s">
        <v>144</v>
      </c>
      <c r="I31" s="40" t="s">
        <v>48</v>
      </c>
      <c r="J31" s="77"/>
      <c r="K31" s="70"/>
      <c r="L31" s="34"/>
      <c r="M31" s="35"/>
      <c r="N31" s="38">
        <v>36</v>
      </c>
      <c r="O31" s="37">
        <v>6</v>
      </c>
      <c r="P31" s="37">
        <f>IF(Tableau2[[#This Row],[Durée du projet]]="","-",Tableau2[[#This Row],[Durée du projet]]+Tableau2[[#This Row],[Durée suppl'' pour pièces]])</f>
        <v>42</v>
      </c>
      <c r="Q31" s="39">
        <v>42502</v>
      </c>
      <c r="R31" s="60">
        <v>42502</v>
      </c>
      <c r="S31" s="6">
        <f>IF(Tableau2[[#This Row],[Date signature ]]="","",EOMONTH((EDATE(Tableau2[[#This Row],[Début éligibilité dépenses]],Tableau2[[#This Row],[Durée du projet]])),-1))</f>
        <v>43585</v>
      </c>
      <c r="T31" s="6">
        <f>IF(Tableau2[[#This Row],[Fin éligibilité dépenses]]="","",EDATE(Tableau2[[#This Row],[Fin éligibilité dépenses]],-6))</f>
        <v>43403</v>
      </c>
      <c r="U31" s="6">
        <f>IF(Tableau2[[#This Row],[Début éligibilité dépenses]]="","",EOMONTH(EDATE(Tableau2[[#This Row],[Début éligibilité dépenses]],Tableau2[[#This Row],[Durée du projet]]/2),0))</f>
        <v>43069</v>
      </c>
      <c r="V31" s="59">
        <f>IF(Tableau2[[#This Row],[Date signature ]]="","",EDATE(Tableau2[[#This Row],[Date signature ]],Tableau2[[#This Row],[Durée totale conv'' ]])-1)</f>
        <v>43780</v>
      </c>
      <c r="W31" s="40" t="s">
        <v>21</v>
      </c>
      <c r="X31" s="2"/>
      <c r="Y31" s="40" t="s">
        <v>145</v>
      </c>
      <c r="Z31" s="2"/>
      <c r="AA31" s="2"/>
      <c r="AB31" s="19"/>
      <c r="AC31" s="21">
        <f>IF(Tableau2[[#This Row],[PORTEUR
DE
PROJET]]="",0,IF(COUNTIF(Tableau2[[#This Row],[PORTEUR
DE
PROJET]],"CRA*")=1,Tableau2[[#This Row],[Montant participation à signature]]/2,Tableau2[[#This Row],[Montant participation à signature]]*0.3))</f>
        <v>90000</v>
      </c>
      <c r="AD31" s="6">
        <f>IF(Tableau2[[#This Row],[Date signature ]]="","",EDATE(Tableau2[[#This Row],[Date signature ]],1))</f>
        <v>42533</v>
      </c>
      <c r="AE31" s="21">
        <f>IF(Tableau2[[#This Row],[PORTEUR
DE
PROJET]]="",0,IF(COUNTIF(Tableau2[[#This Row],[PORTEUR
DE
PROJET]],"CRA*")=1,,Tableau2[[#This Row],[Montant participation à signature]]*0.4))</f>
        <v>120000</v>
      </c>
      <c r="AF31" s="6">
        <f>IF(Tableau2[[#This Row],[Date signature ]]="","",IF(Tableau2[[#This Row],[ACOMPTE PREVU]]=0,"",EOMONTH(EDATE(Tableau2[[#This Row],[Date signature ]],Tableau2[[#This Row],[Durée du projet]]/2),0)))</f>
        <v>43069</v>
      </c>
      <c r="AG31" s="21">
        <f>IF(Tableau2[[#This Row],[PORTEUR
DE
PROJET]]="",0,IF(COUNTIF(Tableau2[[#This Row],[PORTEUR
DE
PROJET]],"CRA*")=1,Tableau2[[#This Row],[Montant participation à signature]]/2,Tableau2[[#This Row],[Montant participation à signature]]*0.3))</f>
        <v>90000</v>
      </c>
      <c r="AH31" s="6">
        <f>IF(Tableau2[[#This Row],[Date signature ]]="","",EOMONTH(EDATE(Tableau2[[#This Row],[Date signature ]],Tableau2[[#This Row],[Durée du projet]]),0))</f>
        <v>43616</v>
      </c>
      <c r="AI31" s="29">
        <f>IF(COUNTBLANK(Tableau2[[#This Row],[Date du mandat Avance]])=1,,Tableau2[[#This Row],[AVANCE PREVUE]])</f>
        <v>90000</v>
      </c>
      <c r="AJ31" s="64">
        <v>42549</v>
      </c>
      <c r="AK31" s="2"/>
      <c r="AL31" s="6"/>
      <c r="AM31" s="6"/>
      <c r="AN31" s="17">
        <f>IF(COUNTBLANK(Tableau2[[#This Row],[Date envoi ASF Acompte]])=1,,Tableau2[[#This Row],[ACOMPTE PREVU]])</f>
        <v>0</v>
      </c>
      <c r="AO31" s="17"/>
      <c r="AP31" s="2"/>
      <c r="AQ31" s="6"/>
      <c r="AR31" s="6"/>
      <c r="AS31" s="17"/>
      <c r="AT31" s="17"/>
      <c r="AU31" s="20"/>
      <c r="AV31" s="17"/>
      <c r="AW31" s="17"/>
      <c r="AX31" s="17">
        <f>IF(Tableau2[[#This Row],[Montant participation voté au CA]]="",0,Tableau2[[#This Row],[Montant participation voté au CA]]-Tableau2[[#This Row],[Montant participation à signature]])</f>
        <v>0</v>
      </c>
      <c r="AY31" s="45">
        <v>300000</v>
      </c>
      <c r="AZ31" s="17">
        <f>Tableau2[[#This Row],[AVANCE VERSEE]]+Tableau2[[#This Row],[ACOMPTE VERSE]]+Tableau2[[#This Row],[SOLDE VERSE]]</f>
        <v>90000</v>
      </c>
      <c r="BA31" s="17">
        <f>IF(Tableau2[[#This Row],[STATUT]]="Soldée",0,Tableau2[[#This Row],[Montant participation à signature]]-Tableau2[[#This Row],[Total CP payés]])</f>
        <v>210000</v>
      </c>
      <c r="BB31" s="17">
        <f>IF(Tableau2[[#This Row],[SOLDE VERSE]]&lt;0,-Tableau2[[#This Row],[SOLDE VERSE]],0)</f>
        <v>0</v>
      </c>
      <c r="BC31" s="17">
        <f>IF(Tableau2[[#This Row],[STATUT]]="Soldée",Tableau2[[#This Row],[Montant participation à signature]]-Tableau2[[#This Row],[Total CP payés]],0)</f>
        <v>0</v>
      </c>
      <c r="BD31" s="17">
        <f>IF(Tableau2[[#This Row],[Montant participation voté au CA]]="",0,Tableau2[[#This Row],[Réfaction]]+Tableau2[[#This Row],[Montant des crédits non engagés]])</f>
        <v>0</v>
      </c>
      <c r="BF31"/>
      <c r="BJ31"/>
      <c r="BK31"/>
      <c r="BL31"/>
      <c r="BM31"/>
      <c r="BP31"/>
      <c r="BQ31"/>
      <c r="BR31"/>
      <c r="BS31"/>
      <c r="BT31"/>
      <c r="BU31"/>
      <c r="BV31"/>
      <c r="BW31"/>
      <c r="BX31"/>
      <c r="BY31"/>
      <c r="CA31"/>
      <c r="CB31"/>
    </row>
    <row r="32" spans="1:80" ht="15" customHeight="1" x14ac:dyDescent="0.25">
      <c r="A32" s="4">
        <v>31</v>
      </c>
      <c r="B32" s="36">
        <v>2765</v>
      </c>
      <c r="C32" s="39">
        <v>42327</v>
      </c>
      <c r="D32" s="73" t="s">
        <v>86</v>
      </c>
      <c r="E32" s="38" t="s">
        <v>50</v>
      </c>
      <c r="F32" s="38" t="s">
        <v>44</v>
      </c>
      <c r="G32" s="96" t="s">
        <v>143</v>
      </c>
      <c r="H32" s="96" t="s">
        <v>144</v>
      </c>
      <c r="I32" s="40" t="s">
        <v>48</v>
      </c>
      <c r="J32" s="77"/>
      <c r="K32" s="70"/>
      <c r="L32" s="34"/>
      <c r="M32" s="35"/>
      <c r="N32" s="38">
        <v>12</v>
      </c>
      <c r="O32" s="37">
        <v>6</v>
      </c>
      <c r="P32" s="37">
        <f>IF(Tableau2[[#This Row],[Durée du projet]]="","-",Tableau2[[#This Row],[Durée du projet]]+Tableau2[[#This Row],[Durée suppl'' pour pièces]])</f>
        <v>18</v>
      </c>
      <c r="Q32" s="39">
        <v>42502</v>
      </c>
      <c r="R32" s="60">
        <v>42370</v>
      </c>
      <c r="S32" s="6">
        <f>IF(Tableau2[[#This Row],[Date signature ]]="","",EOMONTH((EDATE(Tableau2[[#This Row],[Début éligibilité dépenses]],Tableau2[[#This Row],[Durée du projet]])),-1))</f>
        <v>42735</v>
      </c>
      <c r="T32" s="6">
        <f>IF(Tableau2[[#This Row],[Fin éligibilité dépenses]]="","",EDATE(Tableau2[[#This Row],[Fin éligibilité dépenses]],-6))</f>
        <v>42551</v>
      </c>
      <c r="U32" s="6">
        <f>IF(Tableau2[[#This Row],[Début éligibilité dépenses]]="","",EOMONTH(EDATE(Tableau2[[#This Row],[Début éligibilité dépenses]],Tableau2[[#This Row],[Durée du projet]]/2),0))</f>
        <v>42582</v>
      </c>
      <c r="V32" s="59">
        <f>IF(Tableau2[[#This Row],[Date signature ]]="","",EDATE(Tableau2[[#This Row],[Date signature ]],Tableau2[[#This Row],[Durée totale conv'' ]])-1)</f>
        <v>43050</v>
      </c>
      <c r="W32" s="40" t="s">
        <v>21</v>
      </c>
      <c r="X32" s="2"/>
      <c r="Y32" s="40" t="s">
        <v>145</v>
      </c>
      <c r="Z32" s="2"/>
      <c r="AA32" s="2"/>
      <c r="AB32" s="19"/>
      <c r="AC32" s="21">
        <f>IF(Tableau2[[#This Row],[PORTEUR
DE
PROJET]]="",0,IF(COUNTIF(Tableau2[[#This Row],[PORTEUR
DE
PROJET]],"CRA*")=1,Tableau2[[#This Row],[Montant participation à signature]]/2,Tableau2[[#This Row],[Montant participation à signature]]*0.3))</f>
        <v>342686.7</v>
      </c>
      <c r="AD32" s="6">
        <f>IF(Tableau2[[#This Row],[Date signature ]]="","",EDATE(Tableau2[[#This Row],[Date signature ]],1))</f>
        <v>42533</v>
      </c>
      <c r="AE32" s="21">
        <f>IF(Tableau2[[#This Row],[PORTEUR
DE
PROJET]]="",0,IF(COUNTIF(Tableau2[[#This Row],[PORTEUR
DE
PROJET]],"CRA*")=1,,Tableau2[[#This Row],[Montant participation à signature]]*0.4))</f>
        <v>456915.60000000003</v>
      </c>
      <c r="AF32" s="6">
        <f>IF(Tableau2[[#This Row],[Date signature ]]="","",IF(Tableau2[[#This Row],[ACOMPTE PREVU]]=0,"",EOMONTH(EDATE(Tableau2[[#This Row],[Date signature ]],Tableau2[[#This Row],[Durée du projet]]/2),0)))</f>
        <v>42704</v>
      </c>
      <c r="AG32" s="21">
        <f>IF(Tableau2[[#This Row],[PORTEUR
DE
PROJET]]="",0,IF(COUNTIF(Tableau2[[#This Row],[PORTEUR
DE
PROJET]],"CRA*")=1,Tableau2[[#This Row],[Montant participation à signature]]/2,Tableau2[[#This Row],[Montant participation à signature]]*0.3))</f>
        <v>342686.7</v>
      </c>
      <c r="AH32" s="6">
        <f>IF(Tableau2[[#This Row],[Date signature ]]="","",EOMONTH(EDATE(Tableau2[[#This Row],[Date signature ]],Tableau2[[#This Row],[Durée du projet]]),0))</f>
        <v>42886</v>
      </c>
      <c r="AI32" s="29">
        <f>IF(COUNTBLANK(Tableau2[[#This Row],[Date du mandat Avance]])=1,,Tableau2[[#This Row],[AVANCE PREVUE]])</f>
        <v>342686.7</v>
      </c>
      <c r="AJ32" s="64">
        <v>42514</v>
      </c>
      <c r="AK32" s="2"/>
      <c r="AL32" s="6"/>
      <c r="AM32" s="6"/>
      <c r="AN32" s="17">
        <f>IF(COUNTBLANK(Tableau2[[#This Row],[Date envoi ASF Acompte]])=1,,Tableau2[[#This Row],[ACOMPTE PREVU]])</f>
        <v>0</v>
      </c>
      <c r="AO32" s="17"/>
      <c r="AP32" s="2"/>
      <c r="AQ32" s="6"/>
      <c r="AR32" s="6"/>
      <c r="AS32" s="17"/>
      <c r="AT32" s="17"/>
      <c r="AU32" s="20"/>
      <c r="AV32" s="17"/>
      <c r="AW32" s="17"/>
      <c r="AX32" s="17">
        <f>IF(Tableau2[[#This Row],[Montant participation voté au CA]]="",0,Tableau2[[#This Row],[Montant participation voté au CA]]-Tableau2[[#This Row],[Montant participation à signature]])</f>
        <v>0</v>
      </c>
      <c r="AY32" s="45">
        <v>1142289</v>
      </c>
      <c r="AZ32" s="17">
        <f>Tableau2[[#This Row],[AVANCE VERSEE]]+Tableau2[[#This Row],[ACOMPTE VERSE]]+Tableau2[[#This Row],[SOLDE VERSE]]</f>
        <v>342686.7</v>
      </c>
      <c r="BA32" s="17">
        <f>IF(Tableau2[[#This Row],[STATUT]]="Soldée",0,Tableau2[[#This Row],[Montant participation à signature]]-Tableau2[[#This Row],[Total CP payés]])</f>
        <v>799602.3</v>
      </c>
      <c r="BB32" s="17">
        <f>IF(Tableau2[[#This Row],[SOLDE VERSE]]&lt;0,-Tableau2[[#This Row],[SOLDE VERSE]],0)</f>
        <v>0</v>
      </c>
      <c r="BC32" s="17">
        <f>IF(Tableau2[[#This Row],[STATUT]]="Soldée",Tableau2[[#This Row],[Montant participation à signature]]-Tableau2[[#This Row],[Total CP payés]],0)</f>
        <v>0</v>
      </c>
      <c r="BD32" s="17">
        <f>IF(Tableau2[[#This Row],[Montant participation voté au CA]]="",0,Tableau2[[#This Row],[Réfaction]]+Tableau2[[#This Row],[Montant des crédits non engagés]])</f>
        <v>0</v>
      </c>
      <c r="BF32"/>
      <c r="BJ32"/>
      <c r="BK32"/>
      <c r="BL32"/>
      <c r="BM32"/>
      <c r="BP32"/>
      <c r="BQ32"/>
      <c r="BR32"/>
      <c r="BS32"/>
      <c r="BT32"/>
      <c r="BU32"/>
      <c r="BV32"/>
      <c r="BW32"/>
      <c r="BX32"/>
      <c r="BY32"/>
      <c r="CA32"/>
      <c r="CB32"/>
    </row>
    <row r="33" spans="1:80" ht="15" customHeight="1" x14ac:dyDescent="0.25">
      <c r="A33" s="4">
        <v>32</v>
      </c>
      <c r="B33" s="36">
        <v>2769</v>
      </c>
      <c r="C33" s="39">
        <v>42327</v>
      </c>
      <c r="D33" s="73" t="s">
        <v>86</v>
      </c>
      <c r="E33" s="38" t="s">
        <v>50</v>
      </c>
      <c r="F33" s="38" t="s">
        <v>44</v>
      </c>
      <c r="G33" s="96" t="s">
        <v>143</v>
      </c>
      <c r="H33" s="96" t="s">
        <v>144</v>
      </c>
      <c r="I33" s="40" t="s">
        <v>48</v>
      </c>
      <c r="J33" s="77"/>
      <c r="K33" s="70"/>
      <c r="L33" s="34"/>
      <c r="M33" s="35"/>
      <c r="N33" s="38">
        <v>12</v>
      </c>
      <c r="O33" s="37">
        <v>6</v>
      </c>
      <c r="P33" s="37">
        <f>IF(Tableau2[[#This Row],[Durée du projet]]="","-",Tableau2[[#This Row],[Durée du projet]]+Tableau2[[#This Row],[Durée suppl'' pour pièces]])</f>
        <v>18</v>
      </c>
      <c r="Q33" s="39">
        <v>42510</v>
      </c>
      <c r="R33" s="60">
        <v>42370</v>
      </c>
      <c r="S33" s="6">
        <f>IF(Tableau2[[#This Row],[Date signature ]]="","",EOMONTH((EDATE(Tableau2[[#This Row],[Début éligibilité dépenses]],Tableau2[[#This Row],[Durée du projet]])),-1))</f>
        <v>42735</v>
      </c>
      <c r="T33" s="6">
        <f>IF(Tableau2[[#This Row],[Fin éligibilité dépenses]]="","",EDATE(Tableau2[[#This Row],[Fin éligibilité dépenses]],-6))</f>
        <v>42551</v>
      </c>
      <c r="U33" s="6">
        <f>IF(Tableau2[[#This Row],[Début éligibilité dépenses]]="","",EOMONTH(EDATE(Tableau2[[#This Row],[Début éligibilité dépenses]],Tableau2[[#This Row],[Durée du projet]]/2),0))</f>
        <v>42582</v>
      </c>
      <c r="V33" s="59">
        <f>IF(Tableau2[[#This Row],[Date signature ]]="","",EDATE(Tableau2[[#This Row],[Date signature ]],Tableau2[[#This Row],[Durée totale conv'' ]])-1)</f>
        <v>43058</v>
      </c>
      <c r="W33" s="40" t="s">
        <v>21</v>
      </c>
      <c r="X33" s="2"/>
      <c r="Y33" s="40" t="s">
        <v>145</v>
      </c>
      <c r="Z33" s="2"/>
      <c r="AA33" s="2"/>
      <c r="AB33" s="19"/>
      <c r="AC33" s="21">
        <f>IF(Tableau2[[#This Row],[PORTEUR
DE
PROJET]]="",0,IF(COUNTIF(Tableau2[[#This Row],[PORTEUR
DE
PROJET]],"CRA*")=1,Tableau2[[#This Row],[Montant participation à signature]]/2,Tableau2[[#This Row],[Montant participation à signature]]*0.3))</f>
        <v>222803.4</v>
      </c>
      <c r="AD33" s="6">
        <f>IF(Tableau2[[#This Row],[Date signature ]]="","",EDATE(Tableau2[[#This Row],[Date signature ]],1))</f>
        <v>42541</v>
      </c>
      <c r="AE33" s="21">
        <f>IF(Tableau2[[#This Row],[PORTEUR
DE
PROJET]]="",0,IF(COUNTIF(Tableau2[[#This Row],[PORTEUR
DE
PROJET]],"CRA*")=1,,Tableau2[[#This Row],[Montant participation à signature]]*0.4))</f>
        <v>297071.2</v>
      </c>
      <c r="AF33" s="6">
        <f>IF(Tableau2[[#This Row],[Date signature ]]="","",IF(Tableau2[[#This Row],[ACOMPTE PREVU]]=0,"",EOMONTH(EDATE(Tableau2[[#This Row],[Date signature ]],Tableau2[[#This Row],[Durée du projet]]/2),0)))</f>
        <v>42704</v>
      </c>
      <c r="AG33" s="21">
        <f>IF(Tableau2[[#This Row],[PORTEUR
DE
PROJET]]="",0,IF(COUNTIF(Tableau2[[#This Row],[PORTEUR
DE
PROJET]],"CRA*")=1,Tableau2[[#This Row],[Montant participation à signature]]/2,Tableau2[[#This Row],[Montant participation à signature]]*0.3))</f>
        <v>222803.4</v>
      </c>
      <c r="AH33" s="6">
        <f>IF(Tableau2[[#This Row],[Date signature ]]="","",EOMONTH(EDATE(Tableau2[[#This Row],[Date signature ]],Tableau2[[#This Row],[Durée du projet]]),0))</f>
        <v>42886</v>
      </c>
      <c r="AI33" s="29">
        <f>IF(COUNTBLANK(Tableau2[[#This Row],[Date du mandat Avance]])=1,,Tableau2[[#This Row],[AVANCE PREVUE]])</f>
        <v>222803.4</v>
      </c>
      <c r="AJ33" s="64">
        <v>42514</v>
      </c>
      <c r="AK33" s="2"/>
      <c r="AL33" s="6"/>
      <c r="AM33" s="6"/>
      <c r="AN33" s="17">
        <f>IF(COUNTBLANK(Tableau2[[#This Row],[Date envoi ASF Acompte]])=1,,Tableau2[[#This Row],[ACOMPTE PREVU]])</f>
        <v>0</v>
      </c>
      <c r="AO33" s="17"/>
      <c r="AP33" s="2"/>
      <c r="AQ33" s="6"/>
      <c r="AR33" s="6"/>
      <c r="AS33" s="17"/>
      <c r="AT33" s="17"/>
      <c r="AU33" s="20"/>
      <c r="AV33" s="17"/>
      <c r="AW33" s="17"/>
      <c r="AX33" s="17">
        <f>IF(Tableau2[[#This Row],[Montant participation voté au CA]]="",0,Tableau2[[#This Row],[Montant participation voté au CA]]-Tableau2[[#This Row],[Montant participation à signature]])</f>
        <v>0</v>
      </c>
      <c r="AY33" s="45">
        <v>742678</v>
      </c>
      <c r="AZ33" s="17">
        <f>Tableau2[[#This Row],[AVANCE VERSEE]]+Tableau2[[#This Row],[ACOMPTE VERSE]]+Tableau2[[#This Row],[SOLDE VERSE]]</f>
        <v>222803.4</v>
      </c>
      <c r="BA33" s="17">
        <f>IF(Tableau2[[#This Row],[STATUT]]="Soldée",0,Tableau2[[#This Row],[Montant participation à signature]]-Tableau2[[#This Row],[Total CP payés]])</f>
        <v>519874.6</v>
      </c>
      <c r="BB33" s="17">
        <f>IF(Tableau2[[#This Row],[SOLDE VERSE]]&lt;0,-Tableau2[[#This Row],[SOLDE VERSE]],0)</f>
        <v>0</v>
      </c>
      <c r="BC33" s="17">
        <f>IF(Tableau2[[#This Row],[STATUT]]="Soldée",Tableau2[[#This Row],[Montant participation à signature]]-Tableau2[[#This Row],[Total CP payés]],0)</f>
        <v>0</v>
      </c>
      <c r="BD33" s="17">
        <f>IF(Tableau2[[#This Row],[Montant participation voté au CA]]="",0,Tableau2[[#This Row],[Réfaction]]+Tableau2[[#This Row],[Montant des crédits non engagés]])</f>
        <v>0</v>
      </c>
      <c r="BF33"/>
      <c r="BJ33"/>
      <c r="BK33"/>
      <c r="BL33"/>
      <c r="BM33"/>
      <c r="BP33"/>
      <c r="BQ33"/>
      <c r="BR33"/>
      <c r="BS33"/>
      <c r="BT33"/>
      <c r="BU33"/>
      <c r="BV33"/>
      <c r="BW33"/>
      <c r="BX33"/>
      <c r="BY33"/>
      <c r="CA33"/>
      <c r="CB33"/>
    </row>
    <row r="34" spans="1:80" ht="15" customHeight="1" x14ac:dyDescent="0.25">
      <c r="A34" s="4">
        <v>33</v>
      </c>
      <c r="B34" s="36">
        <v>2770</v>
      </c>
      <c r="C34" s="39">
        <v>42327</v>
      </c>
      <c r="D34" s="73" t="s">
        <v>86</v>
      </c>
      <c r="E34" s="38" t="s">
        <v>50</v>
      </c>
      <c r="F34" s="38" t="s">
        <v>44</v>
      </c>
      <c r="G34" s="96" t="s">
        <v>143</v>
      </c>
      <c r="H34" s="96" t="s">
        <v>144</v>
      </c>
      <c r="I34" s="40" t="s">
        <v>48</v>
      </c>
      <c r="J34" s="77"/>
      <c r="K34" s="70"/>
      <c r="L34" s="34"/>
      <c r="M34" s="35"/>
      <c r="N34" s="38">
        <v>12</v>
      </c>
      <c r="O34" s="37">
        <v>6</v>
      </c>
      <c r="P34" s="37">
        <f>IF(Tableau2[[#This Row],[Durée du projet]]="","-",Tableau2[[#This Row],[Durée du projet]]+Tableau2[[#This Row],[Durée suppl'' pour pièces]])</f>
        <v>18</v>
      </c>
      <c r="Q34" s="39">
        <v>42510</v>
      </c>
      <c r="R34" s="60">
        <v>42370</v>
      </c>
      <c r="S34" s="6">
        <f>IF(Tableau2[[#This Row],[Date signature ]]="","",EOMONTH((EDATE(Tableau2[[#This Row],[Début éligibilité dépenses]],Tableau2[[#This Row],[Durée du projet]])),-1))</f>
        <v>42735</v>
      </c>
      <c r="T34" s="6">
        <f>IF(Tableau2[[#This Row],[Fin éligibilité dépenses]]="","",EDATE(Tableau2[[#This Row],[Fin éligibilité dépenses]],-6))</f>
        <v>42551</v>
      </c>
      <c r="U34" s="6">
        <f>IF(Tableau2[[#This Row],[Début éligibilité dépenses]]="","",EOMONTH(EDATE(Tableau2[[#This Row],[Début éligibilité dépenses]],Tableau2[[#This Row],[Durée du projet]]/2),0))</f>
        <v>42582</v>
      </c>
      <c r="V34" s="59">
        <f>IF(Tableau2[[#This Row],[Date signature ]]="","",EDATE(Tableau2[[#This Row],[Date signature ]],Tableau2[[#This Row],[Durée totale conv'' ]])-1)</f>
        <v>43058</v>
      </c>
      <c r="W34" s="40" t="s">
        <v>21</v>
      </c>
      <c r="X34" s="2"/>
      <c r="Y34" s="40" t="s">
        <v>145</v>
      </c>
      <c r="Z34" s="2"/>
      <c r="AA34" s="2"/>
      <c r="AB34" s="19"/>
      <c r="AC34" s="21">
        <f>IF(Tableau2[[#This Row],[PORTEUR
DE
PROJET]]="",0,IF(COUNTIF(Tableau2[[#This Row],[PORTEUR
DE
PROJET]],"CRA*")=1,Tableau2[[#This Row],[Montant participation à signature]]/2,Tableau2[[#This Row],[Montant participation à signature]]*0.3))</f>
        <v>226499.69999999998</v>
      </c>
      <c r="AD34" s="6">
        <f>IF(Tableau2[[#This Row],[Date signature ]]="","",EDATE(Tableau2[[#This Row],[Date signature ]],1))</f>
        <v>42541</v>
      </c>
      <c r="AE34" s="21">
        <f>IF(Tableau2[[#This Row],[PORTEUR
DE
PROJET]]="",0,IF(COUNTIF(Tableau2[[#This Row],[PORTEUR
DE
PROJET]],"CRA*")=1,,Tableau2[[#This Row],[Montant participation à signature]]*0.4))</f>
        <v>301999.60000000003</v>
      </c>
      <c r="AF34" s="6">
        <f>IF(Tableau2[[#This Row],[Date signature ]]="","",IF(Tableau2[[#This Row],[ACOMPTE PREVU]]=0,"",EOMONTH(EDATE(Tableau2[[#This Row],[Date signature ]],Tableau2[[#This Row],[Durée du projet]]/2),0)))</f>
        <v>42704</v>
      </c>
      <c r="AG34" s="21">
        <f>IF(Tableau2[[#This Row],[PORTEUR
DE
PROJET]]="",0,IF(COUNTIF(Tableau2[[#This Row],[PORTEUR
DE
PROJET]],"CRA*")=1,Tableau2[[#This Row],[Montant participation à signature]]/2,Tableau2[[#This Row],[Montant participation à signature]]*0.3))</f>
        <v>226499.69999999998</v>
      </c>
      <c r="AH34" s="6">
        <f>IF(Tableau2[[#This Row],[Date signature ]]="","",EOMONTH(EDATE(Tableau2[[#This Row],[Date signature ]],Tableau2[[#This Row],[Durée du projet]]),0))</f>
        <v>42886</v>
      </c>
      <c r="AI34" s="29">
        <f>IF(COUNTBLANK(Tableau2[[#This Row],[Date du mandat Avance]])=1,,Tableau2[[#This Row],[AVANCE PREVUE]])</f>
        <v>226499.69999999998</v>
      </c>
      <c r="AJ34" s="64">
        <v>42514</v>
      </c>
      <c r="AK34" s="2"/>
      <c r="AL34" s="6"/>
      <c r="AM34" s="6"/>
      <c r="AN34" s="17">
        <f>IF(COUNTBLANK(Tableau2[[#This Row],[Date envoi ASF Acompte]])=1,,Tableau2[[#This Row],[ACOMPTE PREVU]])</f>
        <v>0</v>
      </c>
      <c r="AO34" s="17"/>
      <c r="AP34" s="2"/>
      <c r="AQ34" s="6"/>
      <c r="AR34" s="6"/>
      <c r="AS34" s="17"/>
      <c r="AT34" s="17"/>
      <c r="AU34" s="20"/>
      <c r="AV34" s="17"/>
      <c r="AW34" s="17"/>
      <c r="AX34" s="17">
        <f>IF(Tableau2[[#This Row],[Montant participation voté au CA]]="",0,Tableau2[[#This Row],[Montant participation voté au CA]]-Tableau2[[#This Row],[Montant participation à signature]])</f>
        <v>0</v>
      </c>
      <c r="AY34" s="45">
        <v>754999</v>
      </c>
      <c r="AZ34" s="17">
        <f>Tableau2[[#This Row],[AVANCE VERSEE]]+Tableau2[[#This Row],[ACOMPTE VERSE]]+Tableau2[[#This Row],[SOLDE VERSE]]</f>
        <v>226499.69999999998</v>
      </c>
      <c r="BA34" s="17">
        <f>IF(Tableau2[[#This Row],[STATUT]]="Soldée",0,Tableau2[[#This Row],[Montant participation à signature]]-Tableau2[[#This Row],[Total CP payés]])</f>
        <v>528499.30000000005</v>
      </c>
      <c r="BB34" s="17">
        <f>IF(Tableau2[[#This Row],[SOLDE VERSE]]&lt;0,-Tableau2[[#This Row],[SOLDE VERSE]],0)</f>
        <v>0</v>
      </c>
      <c r="BC34" s="17">
        <f>IF(Tableau2[[#This Row],[STATUT]]="Soldée",Tableau2[[#This Row],[Montant participation à signature]]-Tableau2[[#This Row],[Total CP payés]],0)</f>
        <v>0</v>
      </c>
      <c r="BD34" s="17">
        <f>IF(Tableau2[[#This Row],[Montant participation voté au CA]]="",0,Tableau2[[#This Row],[Réfaction]]+Tableau2[[#This Row],[Montant des crédits non engagés]])</f>
        <v>0</v>
      </c>
      <c r="BF34"/>
      <c r="BJ34"/>
      <c r="BK34"/>
      <c r="BL34"/>
      <c r="BM34"/>
      <c r="BP34"/>
      <c r="BQ34"/>
      <c r="BR34"/>
      <c r="BS34"/>
      <c r="BT34"/>
      <c r="BU34"/>
      <c r="BV34"/>
      <c r="BW34"/>
      <c r="BX34"/>
      <c r="BY34"/>
      <c r="CA34"/>
      <c r="CB34"/>
    </row>
    <row r="35" spans="1:80" ht="15" customHeight="1" x14ac:dyDescent="0.25">
      <c r="A35" s="4">
        <v>34</v>
      </c>
      <c r="B35" s="36">
        <v>2771</v>
      </c>
      <c r="C35" s="39">
        <v>42327</v>
      </c>
      <c r="D35" s="73" t="s">
        <v>86</v>
      </c>
      <c r="E35" s="38" t="s">
        <v>50</v>
      </c>
      <c r="F35" s="38" t="s">
        <v>44</v>
      </c>
      <c r="G35" s="96" t="s">
        <v>143</v>
      </c>
      <c r="H35" s="96" t="s">
        <v>144</v>
      </c>
      <c r="I35" s="40" t="s">
        <v>48</v>
      </c>
      <c r="J35" s="77"/>
      <c r="K35" s="70"/>
      <c r="L35" s="34"/>
      <c r="M35" s="35"/>
      <c r="N35" s="38">
        <v>12</v>
      </c>
      <c r="O35" s="37">
        <v>6</v>
      </c>
      <c r="P35" s="37">
        <f>IF(Tableau2[[#This Row],[Durée du projet]]="","-",Tableau2[[#This Row],[Durée du projet]]+Tableau2[[#This Row],[Durée suppl'' pour pièces]])</f>
        <v>18</v>
      </c>
      <c r="Q35" s="39">
        <v>42510</v>
      </c>
      <c r="R35" s="60">
        <v>42370</v>
      </c>
      <c r="S35" s="6">
        <f>IF(Tableau2[[#This Row],[Date signature ]]="","",EOMONTH((EDATE(Tableau2[[#This Row],[Début éligibilité dépenses]],Tableau2[[#This Row],[Durée du projet]])),-1))</f>
        <v>42735</v>
      </c>
      <c r="T35" s="6">
        <f>IF(Tableau2[[#This Row],[Fin éligibilité dépenses]]="","",EDATE(Tableau2[[#This Row],[Fin éligibilité dépenses]],-6))</f>
        <v>42551</v>
      </c>
      <c r="U35" s="6">
        <f>IF(Tableau2[[#This Row],[Début éligibilité dépenses]]="","",EOMONTH(EDATE(Tableau2[[#This Row],[Début éligibilité dépenses]],Tableau2[[#This Row],[Durée du projet]]/2),0))</f>
        <v>42582</v>
      </c>
      <c r="V35" s="59">
        <f>IF(Tableau2[[#This Row],[Date signature ]]="","",EDATE(Tableau2[[#This Row],[Date signature ]],Tableau2[[#This Row],[Durée totale conv'' ]])-1)</f>
        <v>43058</v>
      </c>
      <c r="W35" s="40" t="s">
        <v>21</v>
      </c>
      <c r="X35" s="2"/>
      <c r="Y35" s="40" t="s">
        <v>145</v>
      </c>
      <c r="Z35" s="2"/>
      <c r="AA35" s="2"/>
      <c r="AB35" s="19"/>
      <c r="AC35" s="21">
        <f>IF(Tableau2[[#This Row],[PORTEUR
DE
PROJET]]="",0,IF(COUNTIF(Tableau2[[#This Row],[PORTEUR
DE
PROJET]],"CRA*")=1,Tableau2[[#This Row],[Montant participation à signature]]/2,Tableau2[[#This Row],[Montant participation à signature]]*0.3))</f>
        <v>335363.39999999997</v>
      </c>
      <c r="AD35" s="6">
        <f>IF(Tableau2[[#This Row],[Date signature ]]="","",EDATE(Tableau2[[#This Row],[Date signature ]],1))</f>
        <v>42541</v>
      </c>
      <c r="AE35" s="21">
        <f>IF(Tableau2[[#This Row],[PORTEUR
DE
PROJET]]="",0,IF(COUNTIF(Tableau2[[#This Row],[PORTEUR
DE
PROJET]],"CRA*")=1,,Tableau2[[#This Row],[Montant participation à signature]]*0.4))</f>
        <v>447151.2</v>
      </c>
      <c r="AF35" s="6">
        <f>IF(Tableau2[[#This Row],[Date signature ]]="","",IF(Tableau2[[#This Row],[ACOMPTE PREVU]]=0,"",EOMONTH(EDATE(Tableau2[[#This Row],[Date signature ]],Tableau2[[#This Row],[Durée du projet]]/2),0)))</f>
        <v>42704</v>
      </c>
      <c r="AG35" s="21">
        <f>IF(Tableau2[[#This Row],[PORTEUR
DE
PROJET]]="",0,IF(COUNTIF(Tableau2[[#This Row],[PORTEUR
DE
PROJET]],"CRA*")=1,Tableau2[[#This Row],[Montant participation à signature]]/2,Tableau2[[#This Row],[Montant participation à signature]]*0.3))</f>
        <v>335363.39999999997</v>
      </c>
      <c r="AH35" s="6">
        <f>IF(Tableau2[[#This Row],[Date signature ]]="","",EOMONTH(EDATE(Tableau2[[#This Row],[Date signature ]],Tableau2[[#This Row],[Durée du projet]]),0))</f>
        <v>42886</v>
      </c>
      <c r="AI35" s="29">
        <f>IF(COUNTBLANK(Tableau2[[#This Row],[Date du mandat Avance]])=1,,Tableau2[[#This Row],[AVANCE PREVUE]])</f>
        <v>335363.39999999997</v>
      </c>
      <c r="AJ35" s="64">
        <v>42514</v>
      </c>
      <c r="AK35" s="2"/>
      <c r="AL35" s="6"/>
      <c r="AM35" s="6"/>
      <c r="AN35" s="17">
        <f>IF(COUNTBLANK(Tableau2[[#This Row],[Date envoi ASF Acompte]])=1,,Tableau2[[#This Row],[ACOMPTE PREVU]])</f>
        <v>0</v>
      </c>
      <c r="AO35" s="17"/>
      <c r="AP35" s="2"/>
      <c r="AQ35" s="6"/>
      <c r="AR35" s="6"/>
      <c r="AS35" s="17"/>
      <c r="AT35" s="17"/>
      <c r="AU35" s="20"/>
      <c r="AV35" s="17"/>
      <c r="AW35" s="17"/>
      <c r="AX35" s="17">
        <f>IF(Tableau2[[#This Row],[Montant participation voté au CA]]="",0,Tableau2[[#This Row],[Montant participation voté au CA]]-Tableau2[[#This Row],[Montant participation à signature]])</f>
        <v>0</v>
      </c>
      <c r="AY35" s="45">
        <v>1117878</v>
      </c>
      <c r="AZ35" s="17">
        <f>Tableau2[[#This Row],[AVANCE VERSEE]]+Tableau2[[#This Row],[ACOMPTE VERSE]]+Tableau2[[#This Row],[SOLDE VERSE]]</f>
        <v>335363.39999999997</v>
      </c>
      <c r="BA35" s="17">
        <f>IF(Tableau2[[#This Row],[STATUT]]="Soldée",0,Tableau2[[#This Row],[Montant participation à signature]]-Tableau2[[#This Row],[Total CP payés]])</f>
        <v>782514.60000000009</v>
      </c>
      <c r="BB35" s="17">
        <f>IF(Tableau2[[#This Row],[SOLDE VERSE]]&lt;0,-Tableau2[[#This Row],[SOLDE VERSE]],0)</f>
        <v>0</v>
      </c>
      <c r="BC35" s="17">
        <f>IF(Tableau2[[#This Row],[STATUT]]="Soldée",Tableau2[[#This Row],[Montant participation à signature]]-Tableau2[[#This Row],[Total CP payés]],0)</f>
        <v>0</v>
      </c>
      <c r="BD35" s="17">
        <f>IF(Tableau2[[#This Row],[Montant participation voté au CA]]="",0,Tableau2[[#This Row],[Réfaction]]+Tableau2[[#This Row],[Montant des crédits non engagés]])</f>
        <v>0</v>
      </c>
      <c r="BF35"/>
      <c r="BJ35"/>
      <c r="BK35"/>
      <c r="BL35"/>
      <c r="BM35"/>
      <c r="BP35"/>
      <c r="BQ35"/>
      <c r="BR35"/>
      <c r="BS35"/>
      <c r="BT35"/>
      <c r="BU35"/>
      <c r="BV35"/>
      <c r="BW35"/>
      <c r="BX35"/>
      <c r="BY35"/>
      <c r="CA35"/>
      <c r="CB35"/>
    </row>
    <row r="36" spans="1:80" ht="15" customHeight="1" x14ac:dyDescent="0.25">
      <c r="A36" s="4">
        <v>35</v>
      </c>
      <c r="B36" s="36">
        <v>2772</v>
      </c>
      <c r="C36" s="39">
        <v>42327</v>
      </c>
      <c r="D36" s="73" t="s">
        <v>86</v>
      </c>
      <c r="E36" s="38" t="s">
        <v>50</v>
      </c>
      <c r="F36" s="38" t="s">
        <v>44</v>
      </c>
      <c r="G36" s="96" t="s">
        <v>143</v>
      </c>
      <c r="H36" s="96" t="s">
        <v>144</v>
      </c>
      <c r="I36" s="40" t="s">
        <v>48</v>
      </c>
      <c r="J36" s="77"/>
      <c r="K36" s="70"/>
      <c r="L36" s="34"/>
      <c r="M36" s="35"/>
      <c r="N36" s="38">
        <v>12</v>
      </c>
      <c r="O36" s="37">
        <v>6</v>
      </c>
      <c r="P36" s="37">
        <f>IF(Tableau2[[#This Row],[Durée du projet]]="","-",Tableau2[[#This Row],[Durée du projet]]+Tableau2[[#This Row],[Durée suppl'' pour pièces]])</f>
        <v>18</v>
      </c>
      <c r="Q36" s="39">
        <v>42510</v>
      </c>
      <c r="R36" s="60">
        <v>42370</v>
      </c>
      <c r="S36" s="6">
        <f>IF(Tableau2[[#This Row],[Date signature ]]="","",EOMONTH((EDATE(Tableau2[[#This Row],[Début éligibilité dépenses]],Tableau2[[#This Row],[Durée du projet]])),-1))</f>
        <v>42735</v>
      </c>
      <c r="T36" s="6">
        <f>IF(Tableau2[[#This Row],[Fin éligibilité dépenses]]="","",EDATE(Tableau2[[#This Row],[Fin éligibilité dépenses]],-6))</f>
        <v>42551</v>
      </c>
      <c r="U36" s="6">
        <f>IF(Tableau2[[#This Row],[Début éligibilité dépenses]]="","",EOMONTH(EDATE(Tableau2[[#This Row],[Début éligibilité dépenses]],Tableau2[[#This Row],[Durée du projet]]/2),0))</f>
        <v>42582</v>
      </c>
      <c r="V36" s="59">
        <f>IF(Tableau2[[#This Row],[Date signature ]]="","",EDATE(Tableau2[[#This Row],[Date signature ]],Tableau2[[#This Row],[Durée totale conv'' ]])-1)</f>
        <v>43058</v>
      </c>
      <c r="W36" s="40" t="s">
        <v>21</v>
      </c>
      <c r="X36" s="2"/>
      <c r="Y36" s="40" t="s">
        <v>145</v>
      </c>
      <c r="Z36" s="2"/>
      <c r="AA36" s="2"/>
      <c r="AB36" s="19"/>
      <c r="AC36" s="21">
        <f>IF(Tableau2[[#This Row],[PORTEUR
DE
PROJET]]="",0,IF(COUNTIF(Tableau2[[#This Row],[PORTEUR
DE
PROJET]],"CRA*")=1,Tableau2[[#This Row],[Montant participation à signature]]/2,Tableau2[[#This Row],[Montant participation à signature]]*0.3))</f>
        <v>413498.39999999997</v>
      </c>
      <c r="AD36" s="6">
        <f>IF(Tableau2[[#This Row],[Date signature ]]="","",EDATE(Tableau2[[#This Row],[Date signature ]],1))</f>
        <v>42541</v>
      </c>
      <c r="AE36" s="21">
        <f>IF(Tableau2[[#This Row],[PORTEUR
DE
PROJET]]="",0,IF(COUNTIF(Tableau2[[#This Row],[PORTEUR
DE
PROJET]],"CRA*")=1,,Tableau2[[#This Row],[Montant participation à signature]]*0.4))</f>
        <v>551331.20000000007</v>
      </c>
      <c r="AF36" s="6">
        <f>IF(Tableau2[[#This Row],[Date signature ]]="","",IF(Tableau2[[#This Row],[ACOMPTE PREVU]]=0,"",EOMONTH(EDATE(Tableau2[[#This Row],[Date signature ]],Tableau2[[#This Row],[Durée du projet]]/2),0)))</f>
        <v>42704</v>
      </c>
      <c r="AG36" s="21">
        <f>IF(Tableau2[[#This Row],[PORTEUR
DE
PROJET]]="",0,IF(COUNTIF(Tableau2[[#This Row],[PORTEUR
DE
PROJET]],"CRA*")=1,Tableau2[[#This Row],[Montant participation à signature]]/2,Tableau2[[#This Row],[Montant participation à signature]]*0.3))</f>
        <v>413498.39999999997</v>
      </c>
      <c r="AH36" s="6">
        <f>IF(Tableau2[[#This Row],[Date signature ]]="","",EOMONTH(EDATE(Tableau2[[#This Row],[Date signature ]],Tableau2[[#This Row],[Durée du projet]]),0))</f>
        <v>42886</v>
      </c>
      <c r="AI36" s="29">
        <f>IF(COUNTBLANK(Tableau2[[#This Row],[Date du mandat Avance]])=1,,Tableau2[[#This Row],[AVANCE PREVUE]])</f>
        <v>413498.39999999997</v>
      </c>
      <c r="AJ36" s="64">
        <v>42514</v>
      </c>
      <c r="AK36" s="2"/>
      <c r="AL36" s="6"/>
      <c r="AM36" s="6"/>
      <c r="AN36" s="17">
        <f>IF(COUNTBLANK(Tableau2[[#This Row],[Date envoi ASF Acompte]])=1,,Tableau2[[#This Row],[ACOMPTE PREVU]])</f>
        <v>0</v>
      </c>
      <c r="AO36" s="17"/>
      <c r="AP36" s="2"/>
      <c r="AQ36" s="6"/>
      <c r="AR36" s="6"/>
      <c r="AS36" s="17"/>
      <c r="AT36" s="17"/>
      <c r="AU36" s="20"/>
      <c r="AV36" s="17"/>
      <c r="AW36" s="17"/>
      <c r="AX36" s="17">
        <f>IF(Tableau2[[#This Row],[Montant participation voté au CA]]="",0,Tableau2[[#This Row],[Montant participation voté au CA]]-Tableau2[[#This Row],[Montant participation à signature]])</f>
        <v>0</v>
      </c>
      <c r="AY36" s="52">
        <v>1378328</v>
      </c>
      <c r="AZ36" s="17">
        <f>Tableau2[[#This Row],[AVANCE VERSEE]]+Tableau2[[#This Row],[ACOMPTE VERSE]]+Tableau2[[#This Row],[SOLDE VERSE]]</f>
        <v>413498.39999999997</v>
      </c>
      <c r="BA36" s="17">
        <f>IF(Tableau2[[#This Row],[STATUT]]="Soldée",0,Tableau2[[#This Row],[Montant participation à signature]]-Tableau2[[#This Row],[Total CP payés]])</f>
        <v>964829.60000000009</v>
      </c>
      <c r="BB36" s="17">
        <f>IF(Tableau2[[#This Row],[SOLDE VERSE]]&lt;0,-Tableau2[[#This Row],[SOLDE VERSE]],0)</f>
        <v>0</v>
      </c>
      <c r="BC36" s="17">
        <f>IF(Tableau2[[#This Row],[STATUT]]="Soldée",Tableau2[[#This Row],[Montant participation à signature]]-Tableau2[[#This Row],[Total CP payés]],0)</f>
        <v>0</v>
      </c>
      <c r="BD36" s="17">
        <f>IF(Tableau2[[#This Row],[Montant participation voté au CA]]="",0,Tableau2[[#This Row],[Réfaction]]+Tableau2[[#This Row],[Montant des crédits non engagés]])</f>
        <v>0</v>
      </c>
      <c r="BF36"/>
      <c r="BJ36"/>
      <c r="BK36"/>
      <c r="BL36"/>
      <c r="BM36"/>
      <c r="BP36"/>
      <c r="BQ36"/>
      <c r="BR36"/>
      <c r="BS36"/>
      <c r="BT36"/>
      <c r="BU36"/>
      <c r="BV36"/>
      <c r="BW36"/>
      <c r="BX36"/>
      <c r="BY36"/>
      <c r="CA36"/>
      <c r="CB36"/>
    </row>
    <row r="37" spans="1:80" ht="15" customHeight="1" x14ac:dyDescent="0.25">
      <c r="A37" s="4">
        <v>36</v>
      </c>
      <c r="B37" s="36">
        <v>2773</v>
      </c>
      <c r="C37" s="39">
        <v>42327</v>
      </c>
      <c r="D37" s="73" t="s">
        <v>154</v>
      </c>
      <c r="E37" s="38">
        <v>6</v>
      </c>
      <c r="F37" s="38">
        <v>28</v>
      </c>
      <c r="G37" s="96" t="s">
        <v>143</v>
      </c>
      <c r="H37" s="96" t="s">
        <v>144</v>
      </c>
      <c r="I37" s="40" t="s">
        <v>48</v>
      </c>
      <c r="J37" s="77">
        <v>42636</v>
      </c>
      <c r="K37" s="70" t="s">
        <v>152</v>
      </c>
      <c r="L37" s="34"/>
      <c r="M37" s="35"/>
      <c r="N37" s="38">
        <v>12</v>
      </c>
      <c r="O37" s="37">
        <v>6</v>
      </c>
      <c r="P37" s="37">
        <f>IF(Tableau2[[#This Row],[Durée du projet]]="","-",Tableau2[[#This Row],[Durée du projet]]+Tableau2[[#This Row],[Durée suppl'' pour pièces]])</f>
        <v>18</v>
      </c>
      <c r="Q37" s="39">
        <v>42546</v>
      </c>
      <c r="R37" s="60">
        <v>42370</v>
      </c>
      <c r="S37" s="6">
        <f>IF(Tableau2[[#This Row],[Date signature ]]="","",EOMONTH((EDATE(Tableau2[[#This Row],[Début éligibilité dépenses]],Tableau2[[#This Row],[Durée du projet]])),-1))</f>
        <v>42735</v>
      </c>
      <c r="T37" s="6">
        <f>IF(Tableau2[[#This Row],[Fin éligibilité dépenses]]="","",EDATE(Tableau2[[#This Row],[Fin éligibilité dépenses]],-6))</f>
        <v>42551</v>
      </c>
      <c r="U37" s="6">
        <f>IF(Tableau2[[#This Row],[Début éligibilité dépenses]]="","",EOMONTH(EDATE(Tableau2[[#This Row],[Début éligibilité dépenses]],Tableau2[[#This Row],[Durée du projet]]/2),0))</f>
        <v>42582</v>
      </c>
      <c r="V37" s="59">
        <f>IF(Tableau2[[#This Row],[Date signature ]]="","",EDATE(Tableau2[[#This Row],[Date signature ]],Tableau2[[#This Row],[Durée totale conv'' ]])-1)</f>
        <v>43093</v>
      </c>
      <c r="W37" s="40" t="s">
        <v>21</v>
      </c>
      <c r="X37" s="2"/>
      <c r="Y37" s="40" t="s">
        <v>145</v>
      </c>
      <c r="Z37" s="2"/>
      <c r="AA37" s="2"/>
      <c r="AB37" s="19"/>
      <c r="AC37" s="21">
        <f>IF(Tableau2[[#This Row],[PORTEUR
DE
PROJET]]="",0,IF(COUNTIF(Tableau2[[#This Row],[PORTEUR
DE
PROJET]],"CRA*")=1,Tableau2[[#This Row],[Montant participation à signature]]/2,Tableau2[[#This Row],[Montant participation à signature]]*0.3))</f>
        <v>300000</v>
      </c>
      <c r="AD37" s="6">
        <f>IF(Tableau2[[#This Row],[Date signature ]]="","",EDATE(Tableau2[[#This Row],[Date signature ]],1))</f>
        <v>42576</v>
      </c>
      <c r="AE37" s="21">
        <f>IF(Tableau2[[#This Row],[PORTEUR
DE
PROJET]]="",0,IF(COUNTIF(Tableau2[[#This Row],[PORTEUR
DE
PROJET]],"CRA*")=1,,Tableau2[[#This Row],[Montant participation à signature]]*0.4))</f>
        <v>400000</v>
      </c>
      <c r="AF37" s="6">
        <f>IF(Tableau2[[#This Row],[Date signature ]]="","",IF(Tableau2[[#This Row],[ACOMPTE PREVU]]=0,"",EOMONTH(EDATE(Tableau2[[#This Row],[Date signature ]],Tableau2[[#This Row],[Durée du projet]]/2),0)))</f>
        <v>42735</v>
      </c>
      <c r="AG37" s="21">
        <f>IF(Tableau2[[#This Row],[PORTEUR
DE
PROJET]]="",0,IF(COUNTIF(Tableau2[[#This Row],[PORTEUR
DE
PROJET]],"CRA*")=1,Tableau2[[#This Row],[Montant participation à signature]]/2,Tableau2[[#This Row],[Montant participation à signature]]*0.3))</f>
        <v>300000</v>
      </c>
      <c r="AH37" s="6">
        <f>IF(Tableau2[[#This Row],[Date signature ]]="","",EOMONTH(EDATE(Tableau2[[#This Row],[Date signature ]],Tableau2[[#This Row],[Durée du projet]]),0))</f>
        <v>42916</v>
      </c>
      <c r="AI37" s="29">
        <f>IF(COUNTBLANK(Tableau2[[#This Row],[Date du mandat Avance]])=1,,Tableau2[[#This Row],[AVANCE PREVUE]])</f>
        <v>300000</v>
      </c>
      <c r="AJ37" s="64">
        <v>42521</v>
      </c>
      <c r="AK37" s="2"/>
      <c r="AL37" s="6"/>
      <c r="AM37" s="6"/>
      <c r="AN37" s="17">
        <f>IF(COUNTBLANK(Tableau2[[#This Row],[Date envoi ASF Acompte]])=1,,Tableau2[[#This Row],[ACOMPTE PREVU]])</f>
        <v>0</v>
      </c>
      <c r="AO37" s="17"/>
      <c r="AP37" s="2"/>
      <c r="AQ37" s="6"/>
      <c r="AR37" s="6"/>
      <c r="AS37" s="17"/>
      <c r="AT37" s="17"/>
      <c r="AU37" s="20"/>
      <c r="AV37" s="17"/>
      <c r="AW37" s="17"/>
      <c r="AX37" s="17">
        <f>IF(Tableau2[[#This Row],[Montant participation voté au CA]]="",0,Tableau2[[#This Row],[Montant participation voté au CA]]-Tableau2[[#This Row],[Montant participation à signature]])</f>
        <v>0</v>
      </c>
      <c r="AY37" s="45">
        <v>1000000</v>
      </c>
      <c r="AZ37" s="17">
        <f>Tableau2[[#This Row],[AVANCE VERSEE]]+Tableau2[[#This Row],[ACOMPTE VERSE]]+Tableau2[[#This Row],[SOLDE VERSE]]</f>
        <v>300000</v>
      </c>
      <c r="BA37" s="17">
        <f>IF(Tableau2[[#This Row],[STATUT]]="Soldée",0,Tableau2[[#This Row],[Montant participation à signature]]-Tableau2[[#This Row],[Total CP payés]])</f>
        <v>700000</v>
      </c>
      <c r="BB37" s="17">
        <f>IF(Tableau2[[#This Row],[SOLDE VERSE]]&lt;0,-Tableau2[[#This Row],[SOLDE VERSE]],0)</f>
        <v>0</v>
      </c>
      <c r="BC37" s="17">
        <f>IF(Tableau2[[#This Row],[STATUT]]="Soldée",Tableau2[[#This Row],[Montant participation à signature]]-Tableau2[[#This Row],[Total CP payés]],0)</f>
        <v>0</v>
      </c>
      <c r="BD37" s="17">
        <f>IF(Tableau2[[#This Row],[Montant participation voté au CA]]="",0,Tableau2[[#This Row],[Réfaction]]+Tableau2[[#This Row],[Montant des crédits non engagés]])</f>
        <v>0</v>
      </c>
      <c r="BF37"/>
      <c r="BJ37"/>
      <c r="BK37"/>
      <c r="BL37"/>
      <c r="BM37"/>
      <c r="BP37"/>
      <c r="BQ37"/>
      <c r="BR37"/>
      <c r="BS37"/>
      <c r="BT37"/>
      <c r="BU37"/>
      <c r="BV37"/>
      <c r="BW37"/>
      <c r="BX37"/>
      <c r="BY37"/>
      <c r="CA37"/>
      <c r="CB37"/>
    </row>
    <row r="38" spans="1:80" ht="15" customHeight="1" x14ac:dyDescent="0.25">
      <c r="A38" s="4">
        <v>37</v>
      </c>
      <c r="B38" s="36">
        <v>2775</v>
      </c>
      <c r="C38" s="39">
        <v>42327</v>
      </c>
      <c r="D38" s="73" t="s">
        <v>154</v>
      </c>
      <c r="E38" s="38" t="s">
        <v>50</v>
      </c>
      <c r="F38" s="38" t="s">
        <v>44</v>
      </c>
      <c r="G38" s="96" t="s">
        <v>143</v>
      </c>
      <c r="H38" s="96" t="s">
        <v>144</v>
      </c>
      <c r="I38" s="40" t="s">
        <v>48</v>
      </c>
      <c r="J38" s="77"/>
      <c r="K38" s="70"/>
      <c r="L38" s="34"/>
      <c r="M38" s="35"/>
      <c r="N38" s="38">
        <v>12</v>
      </c>
      <c r="O38" s="37">
        <v>6</v>
      </c>
      <c r="P38" s="37">
        <f>IF(Tableau2[[#This Row],[Durée du projet]]="","-",Tableau2[[#This Row],[Durée du projet]]+Tableau2[[#This Row],[Durée suppl'' pour pièces]])</f>
        <v>18</v>
      </c>
      <c r="Q38" s="39">
        <v>42527</v>
      </c>
      <c r="R38" s="60">
        <v>42370</v>
      </c>
      <c r="S38" s="6">
        <f>IF(Tableau2[[#This Row],[Date signature ]]="","",EOMONTH((EDATE(Tableau2[[#This Row],[Début éligibilité dépenses]],Tableau2[[#This Row],[Durée du projet]])),-1))</f>
        <v>42735</v>
      </c>
      <c r="T38" s="6">
        <f>IF(Tableau2[[#This Row],[Fin éligibilité dépenses]]="","",EDATE(Tableau2[[#This Row],[Fin éligibilité dépenses]],-6))</f>
        <v>42551</v>
      </c>
      <c r="U38" s="6">
        <f>IF(Tableau2[[#This Row],[Début éligibilité dépenses]]="","",EOMONTH(EDATE(Tableau2[[#This Row],[Début éligibilité dépenses]],Tableau2[[#This Row],[Durée du projet]]/2),0))</f>
        <v>42582</v>
      </c>
      <c r="V38" s="59">
        <f>IF(Tableau2[[#This Row],[Date signature ]]="","",EDATE(Tableau2[[#This Row],[Date signature ]],Tableau2[[#This Row],[Durée totale conv'' ]])-1)</f>
        <v>43074</v>
      </c>
      <c r="W38" s="40" t="s">
        <v>21</v>
      </c>
      <c r="X38" s="2"/>
      <c r="Y38" s="40" t="s">
        <v>145</v>
      </c>
      <c r="Z38" s="2"/>
      <c r="AA38" s="2"/>
      <c r="AB38" s="19"/>
      <c r="AC38" s="21">
        <f>IF(Tableau2[[#This Row],[PORTEUR
DE
PROJET]]="",0,IF(COUNTIF(Tableau2[[#This Row],[PORTEUR
DE
PROJET]],"CRA*")=1,Tableau2[[#This Row],[Montant participation à signature]]/2,Tableau2[[#This Row],[Montant participation à signature]]*0.3))</f>
        <v>21863.399999999998</v>
      </c>
      <c r="AD38" s="6">
        <f>IF(Tableau2[[#This Row],[Date signature ]]="","",EDATE(Tableau2[[#This Row],[Date signature ]],1))</f>
        <v>42557</v>
      </c>
      <c r="AE38" s="21">
        <f>IF(Tableau2[[#This Row],[PORTEUR
DE
PROJET]]="",0,IF(COUNTIF(Tableau2[[#This Row],[PORTEUR
DE
PROJET]],"CRA*")=1,,Tableau2[[#This Row],[Montant participation à signature]]*0.4))</f>
        <v>29151.200000000001</v>
      </c>
      <c r="AF38" s="6">
        <f>IF(Tableau2[[#This Row],[Date signature ]]="","",IF(Tableau2[[#This Row],[ACOMPTE PREVU]]=0,"",EOMONTH(EDATE(Tableau2[[#This Row],[Date signature ]],Tableau2[[#This Row],[Durée du projet]]/2),0)))</f>
        <v>42735</v>
      </c>
      <c r="AG38" s="21">
        <f>IF(Tableau2[[#This Row],[PORTEUR
DE
PROJET]]="",0,IF(COUNTIF(Tableau2[[#This Row],[PORTEUR
DE
PROJET]],"CRA*")=1,Tableau2[[#This Row],[Montant participation à signature]]/2,Tableau2[[#This Row],[Montant participation à signature]]*0.3))</f>
        <v>21863.399999999998</v>
      </c>
      <c r="AH38" s="6">
        <f>IF(Tableau2[[#This Row],[Date signature ]]="","",EOMONTH(EDATE(Tableau2[[#This Row],[Date signature ]],Tableau2[[#This Row],[Durée du projet]]),0))</f>
        <v>42916</v>
      </c>
      <c r="AI38" s="29">
        <f>IF(COUNTBLANK(Tableau2[[#This Row],[Date du mandat Avance]])=1,,Tableau2[[#This Row],[AVANCE PREVUE]])</f>
        <v>21863.399999999998</v>
      </c>
      <c r="AJ38" s="64">
        <v>42538</v>
      </c>
      <c r="AK38" s="2"/>
      <c r="AL38" s="6"/>
      <c r="AM38" s="6"/>
      <c r="AN38" s="17">
        <f>IF(COUNTBLANK(Tableau2[[#This Row],[Date envoi ASF Acompte]])=1,,Tableau2[[#This Row],[ACOMPTE PREVU]])</f>
        <v>0</v>
      </c>
      <c r="AO38" s="17"/>
      <c r="AP38" s="2"/>
      <c r="AQ38" s="6"/>
      <c r="AR38" s="6"/>
      <c r="AS38" s="17"/>
      <c r="AT38" s="17"/>
      <c r="AU38" s="20"/>
      <c r="AV38" s="17"/>
      <c r="AW38" s="17"/>
      <c r="AX38" s="17">
        <f>IF(Tableau2[[#This Row],[Montant participation voté au CA]]="",0,Tableau2[[#This Row],[Montant participation voté au CA]]-Tableau2[[#This Row],[Montant participation à signature]])</f>
        <v>0</v>
      </c>
      <c r="AY38" s="45">
        <v>72878</v>
      </c>
      <c r="AZ38" s="17">
        <f>Tableau2[[#This Row],[AVANCE VERSEE]]+Tableau2[[#This Row],[ACOMPTE VERSE]]+Tableau2[[#This Row],[SOLDE VERSE]]</f>
        <v>21863.399999999998</v>
      </c>
      <c r="BA38" s="17">
        <f>IF(Tableau2[[#This Row],[STATUT]]="Soldée",0,Tableau2[[#This Row],[Montant participation à signature]]-Tableau2[[#This Row],[Total CP payés]])</f>
        <v>51014.600000000006</v>
      </c>
      <c r="BB38" s="17">
        <f>IF(Tableau2[[#This Row],[SOLDE VERSE]]&lt;0,-Tableau2[[#This Row],[SOLDE VERSE]],0)</f>
        <v>0</v>
      </c>
      <c r="BC38" s="17">
        <f>IF(Tableau2[[#This Row],[STATUT]]="Soldée",Tableau2[[#This Row],[Montant participation à signature]]-Tableau2[[#This Row],[Total CP payés]],0)</f>
        <v>0</v>
      </c>
      <c r="BD38" s="17">
        <f>IF(Tableau2[[#This Row],[Montant participation voté au CA]]="",0,Tableau2[[#This Row],[Réfaction]]+Tableau2[[#This Row],[Montant des crédits non engagés]])</f>
        <v>0</v>
      </c>
      <c r="BF38"/>
      <c r="BJ38"/>
      <c r="BK38"/>
      <c r="BL38"/>
      <c r="BM38"/>
      <c r="BP38"/>
      <c r="BQ38"/>
      <c r="BR38"/>
      <c r="BS38"/>
      <c r="BT38"/>
      <c r="BU38"/>
      <c r="BV38"/>
      <c r="BW38"/>
      <c r="BX38"/>
      <c r="BY38"/>
      <c r="CA38"/>
      <c r="CB38"/>
    </row>
    <row r="39" spans="1:80" ht="15" customHeight="1" x14ac:dyDescent="0.25">
      <c r="A39" s="4">
        <v>38</v>
      </c>
      <c r="B39" s="36">
        <v>2776</v>
      </c>
      <c r="C39" s="39">
        <v>42327</v>
      </c>
      <c r="D39" s="73" t="s">
        <v>154</v>
      </c>
      <c r="E39" s="38" t="s">
        <v>50</v>
      </c>
      <c r="F39" s="38" t="s">
        <v>44</v>
      </c>
      <c r="G39" s="96" t="s">
        <v>143</v>
      </c>
      <c r="H39" s="96" t="s">
        <v>144</v>
      </c>
      <c r="I39" s="40" t="s">
        <v>48</v>
      </c>
      <c r="J39" s="77"/>
      <c r="K39" s="70"/>
      <c r="L39" s="34"/>
      <c r="M39" s="35"/>
      <c r="N39" s="38">
        <v>12</v>
      </c>
      <c r="O39" s="37">
        <v>6</v>
      </c>
      <c r="P39" s="37">
        <f>IF(Tableau2[[#This Row],[Durée du projet]]="","-",Tableau2[[#This Row],[Durée du projet]]+Tableau2[[#This Row],[Durée suppl'' pour pièces]])</f>
        <v>18</v>
      </c>
      <c r="Q39" s="39">
        <v>42534</v>
      </c>
      <c r="R39" s="60">
        <v>42370</v>
      </c>
      <c r="S39" s="6">
        <f>IF(Tableau2[[#This Row],[Date signature ]]="","",EOMONTH((EDATE(Tableau2[[#This Row],[Début éligibilité dépenses]],Tableau2[[#This Row],[Durée du projet]])),-1))</f>
        <v>42735</v>
      </c>
      <c r="T39" s="6">
        <f>IF(Tableau2[[#This Row],[Fin éligibilité dépenses]]="","",EDATE(Tableau2[[#This Row],[Fin éligibilité dépenses]],-6))</f>
        <v>42551</v>
      </c>
      <c r="U39" s="6">
        <f>IF(Tableau2[[#This Row],[Début éligibilité dépenses]]="","",EOMONTH(EDATE(Tableau2[[#This Row],[Début éligibilité dépenses]],Tableau2[[#This Row],[Durée du projet]]/2),0))</f>
        <v>42582</v>
      </c>
      <c r="V39" s="59">
        <f>IF(Tableau2[[#This Row],[Date signature ]]="","",EDATE(Tableau2[[#This Row],[Date signature ]],Tableau2[[#This Row],[Durée totale conv'' ]])-1)</f>
        <v>43081</v>
      </c>
      <c r="W39" s="40" t="s">
        <v>21</v>
      </c>
      <c r="X39" s="2"/>
      <c r="Y39" s="40" t="s">
        <v>145</v>
      </c>
      <c r="Z39" s="2"/>
      <c r="AA39" s="2"/>
      <c r="AB39" s="19"/>
      <c r="AC39" s="21">
        <f>IF(Tableau2[[#This Row],[PORTEUR
DE
PROJET]]="",0,IF(COUNTIF(Tableau2[[#This Row],[PORTEUR
DE
PROJET]],"CRA*")=1,Tableau2[[#This Row],[Montant participation à signature]]/2,Tableau2[[#This Row],[Montant participation à signature]]*0.3))</f>
        <v>250816.5</v>
      </c>
      <c r="AD39" s="6">
        <f>IF(Tableau2[[#This Row],[Date signature ]]="","",EDATE(Tableau2[[#This Row],[Date signature ]],1))</f>
        <v>42564</v>
      </c>
      <c r="AE39" s="21">
        <f>IF(Tableau2[[#This Row],[PORTEUR
DE
PROJET]]="",0,IF(COUNTIF(Tableau2[[#This Row],[PORTEUR
DE
PROJET]],"CRA*")=1,,Tableau2[[#This Row],[Montant participation à signature]]*0.4))</f>
        <v>334422</v>
      </c>
      <c r="AF39" s="6">
        <f>IF(Tableau2[[#This Row],[Date signature ]]="","",IF(Tableau2[[#This Row],[ACOMPTE PREVU]]=0,"",EOMONTH(EDATE(Tableau2[[#This Row],[Date signature ]],Tableau2[[#This Row],[Durée du projet]]/2),0)))</f>
        <v>42735</v>
      </c>
      <c r="AG39" s="21">
        <f>IF(Tableau2[[#This Row],[PORTEUR
DE
PROJET]]="",0,IF(COUNTIF(Tableau2[[#This Row],[PORTEUR
DE
PROJET]],"CRA*")=1,Tableau2[[#This Row],[Montant participation à signature]]/2,Tableau2[[#This Row],[Montant participation à signature]]*0.3))</f>
        <v>250816.5</v>
      </c>
      <c r="AH39" s="6">
        <f>IF(Tableau2[[#This Row],[Date signature ]]="","",EOMONTH(EDATE(Tableau2[[#This Row],[Date signature ]],Tableau2[[#This Row],[Durée du projet]]),0))</f>
        <v>42916</v>
      </c>
      <c r="AI39" s="29">
        <f>IF(COUNTBLANK(Tableau2[[#This Row],[Date du mandat Avance]])=1,,Tableau2[[#This Row],[AVANCE PREVUE]])</f>
        <v>250816.5</v>
      </c>
      <c r="AJ39" s="64">
        <v>42538</v>
      </c>
      <c r="AK39" s="2"/>
      <c r="AL39" s="6"/>
      <c r="AM39" s="6"/>
      <c r="AN39" s="17">
        <f>IF(COUNTBLANK(Tableau2[[#This Row],[Date envoi ASF Acompte]])=1,,Tableau2[[#This Row],[ACOMPTE PREVU]])</f>
        <v>0</v>
      </c>
      <c r="AO39" s="17"/>
      <c r="AP39" s="2"/>
      <c r="AQ39" s="6"/>
      <c r="AR39" s="6"/>
      <c r="AS39" s="17"/>
      <c r="AT39" s="17"/>
      <c r="AU39" s="20"/>
      <c r="AV39" s="17"/>
      <c r="AW39" s="17"/>
      <c r="AX39" s="17">
        <f>IF(Tableau2[[#This Row],[Montant participation voté au CA]]="",0,Tableau2[[#This Row],[Montant participation voté au CA]]-Tableau2[[#This Row],[Montant participation à signature]])</f>
        <v>0</v>
      </c>
      <c r="AY39" s="45">
        <v>836055</v>
      </c>
      <c r="AZ39" s="17">
        <f>Tableau2[[#This Row],[AVANCE VERSEE]]+Tableau2[[#This Row],[ACOMPTE VERSE]]+Tableau2[[#This Row],[SOLDE VERSE]]</f>
        <v>250816.5</v>
      </c>
      <c r="BA39" s="17">
        <f>IF(Tableau2[[#This Row],[STATUT]]="Soldée",0,Tableau2[[#This Row],[Montant participation à signature]]-Tableau2[[#This Row],[Total CP payés]])</f>
        <v>585238.5</v>
      </c>
      <c r="BB39" s="17">
        <f>IF(Tableau2[[#This Row],[SOLDE VERSE]]&lt;0,-Tableau2[[#This Row],[SOLDE VERSE]],0)</f>
        <v>0</v>
      </c>
      <c r="BC39" s="17">
        <f>IF(Tableau2[[#This Row],[STATUT]]="Soldée",Tableau2[[#This Row],[Montant participation à signature]]-Tableau2[[#This Row],[Total CP payés]],0)</f>
        <v>0</v>
      </c>
      <c r="BD39" s="17">
        <f>IF(Tableau2[[#This Row],[Montant participation voté au CA]]="",0,Tableau2[[#This Row],[Réfaction]]+Tableau2[[#This Row],[Montant des crédits non engagés]])</f>
        <v>0</v>
      </c>
      <c r="BF39"/>
      <c r="BJ39"/>
      <c r="BK39"/>
      <c r="BL39"/>
      <c r="BM39"/>
      <c r="BP39"/>
      <c r="BQ39"/>
      <c r="BR39"/>
      <c r="BS39"/>
      <c r="BT39"/>
      <c r="BU39"/>
      <c r="BV39"/>
      <c r="BW39"/>
      <c r="BX39"/>
      <c r="BY39"/>
      <c r="CA39"/>
      <c r="CB39"/>
    </row>
    <row r="40" spans="1:80" ht="15" customHeight="1" x14ac:dyDescent="0.25">
      <c r="A40" s="4">
        <v>39</v>
      </c>
      <c r="B40" s="36">
        <v>2784</v>
      </c>
      <c r="C40" s="39">
        <v>42327</v>
      </c>
      <c r="D40" s="73" t="s">
        <v>154</v>
      </c>
      <c r="E40" s="38">
        <v>1</v>
      </c>
      <c r="F40" s="38" t="s">
        <v>72</v>
      </c>
      <c r="G40" s="96" t="s">
        <v>143</v>
      </c>
      <c r="H40" s="96" t="s">
        <v>144</v>
      </c>
      <c r="I40" s="40" t="s">
        <v>48</v>
      </c>
      <c r="J40" s="77"/>
      <c r="K40" s="70"/>
      <c r="L40" s="34"/>
      <c r="M40" s="35"/>
      <c r="N40" s="38">
        <v>12</v>
      </c>
      <c r="O40" s="37">
        <v>6</v>
      </c>
      <c r="P40" s="37">
        <f>IF(Tableau2[[#This Row],[Durée du projet]]="","-",Tableau2[[#This Row],[Durée du projet]]+Tableau2[[#This Row],[Durée suppl'' pour pièces]])</f>
        <v>18</v>
      </c>
      <c r="Q40" s="39">
        <v>42542</v>
      </c>
      <c r="R40" s="60">
        <v>42370</v>
      </c>
      <c r="S40" s="6">
        <f>IF(Tableau2[[#This Row],[Date signature ]]="","",EOMONTH((EDATE(Tableau2[[#This Row],[Début éligibilité dépenses]],Tableau2[[#This Row],[Durée du projet]])),-1))</f>
        <v>42735</v>
      </c>
      <c r="T40" s="6">
        <f>IF(Tableau2[[#This Row],[Fin éligibilité dépenses]]="","",EDATE(Tableau2[[#This Row],[Fin éligibilité dépenses]],-6))</f>
        <v>42551</v>
      </c>
      <c r="U40" s="6">
        <f>IF(Tableau2[[#This Row],[Début éligibilité dépenses]]="","",EOMONTH(EDATE(Tableau2[[#This Row],[Début éligibilité dépenses]],Tableau2[[#This Row],[Durée du projet]]/2),0))</f>
        <v>42582</v>
      </c>
      <c r="V40" s="59">
        <f>IF(Tableau2[[#This Row],[Date signature ]]="","",EDATE(Tableau2[[#This Row],[Date signature ]],Tableau2[[#This Row],[Durée totale conv'' ]])-1)</f>
        <v>43089</v>
      </c>
      <c r="W40" s="40" t="s">
        <v>21</v>
      </c>
      <c r="X40" s="2"/>
      <c r="Y40" s="40" t="s">
        <v>145</v>
      </c>
      <c r="Z40" s="2"/>
      <c r="AA40" s="2"/>
      <c r="AB40" s="19"/>
      <c r="AC40" s="21">
        <f>IF(Tableau2[[#This Row],[PORTEUR
DE
PROJET]]="",0,IF(COUNTIF(Tableau2[[#This Row],[PORTEUR
DE
PROJET]],"CRA*")=1,Tableau2[[#This Row],[Montant participation à signature]]/2,Tableau2[[#This Row],[Montant participation à signature]]*0.3))</f>
        <v>1533749.4</v>
      </c>
      <c r="AD40" s="6">
        <f>IF(Tableau2[[#This Row],[Date signature ]]="","",EDATE(Tableau2[[#This Row],[Date signature ]],1))</f>
        <v>42572</v>
      </c>
      <c r="AE40" s="21">
        <f>IF(Tableau2[[#This Row],[PORTEUR
DE
PROJET]]="",0,IF(COUNTIF(Tableau2[[#This Row],[PORTEUR
DE
PROJET]],"CRA*")=1,,Tableau2[[#This Row],[Montant participation à signature]]*0.4))</f>
        <v>2044999.2000000002</v>
      </c>
      <c r="AF40" s="6">
        <f>IF(Tableau2[[#This Row],[Date signature ]]="","",IF(Tableau2[[#This Row],[ACOMPTE PREVU]]=0,"",EOMONTH(EDATE(Tableau2[[#This Row],[Date signature ]],Tableau2[[#This Row],[Durée du projet]]/2),0)))</f>
        <v>42735</v>
      </c>
      <c r="AG40" s="21">
        <f>IF(Tableau2[[#This Row],[PORTEUR
DE
PROJET]]="",0,IF(COUNTIF(Tableau2[[#This Row],[PORTEUR
DE
PROJET]],"CRA*")=1,Tableau2[[#This Row],[Montant participation à signature]]/2,Tableau2[[#This Row],[Montant participation à signature]]*0.3))</f>
        <v>1533749.4</v>
      </c>
      <c r="AH40" s="6">
        <f>IF(Tableau2[[#This Row],[Date signature ]]="","",EOMONTH(EDATE(Tableau2[[#This Row],[Date signature ]],Tableau2[[#This Row],[Durée du projet]]),0))</f>
        <v>42916</v>
      </c>
      <c r="AI40" s="29">
        <f>IF(COUNTBLANK(Tableau2[[#This Row],[Date du mandat Avance]])=1,,Tableau2[[#This Row],[AVANCE PREVUE]])</f>
        <v>1533749.4</v>
      </c>
      <c r="AJ40" s="64">
        <v>42549</v>
      </c>
      <c r="AK40" s="2"/>
      <c r="AL40" s="6"/>
      <c r="AM40" s="6"/>
      <c r="AN40" s="17">
        <f>IF(COUNTBLANK(Tableau2[[#This Row],[Date envoi ASF Acompte]])=1,,Tableau2[[#This Row],[ACOMPTE PREVU]])</f>
        <v>0</v>
      </c>
      <c r="AO40" s="17"/>
      <c r="AP40" s="2"/>
      <c r="AQ40" s="6"/>
      <c r="AR40" s="6"/>
      <c r="AS40" s="17"/>
      <c r="AT40" s="17"/>
      <c r="AU40" s="20"/>
      <c r="AV40" s="17"/>
      <c r="AW40" s="17"/>
      <c r="AX40" s="17">
        <f>IF(Tableau2[[#This Row],[Montant participation voté au CA]]="",0,Tableau2[[#This Row],[Montant participation voté au CA]]-Tableau2[[#This Row],[Montant participation à signature]])</f>
        <v>0</v>
      </c>
      <c r="AY40" s="52">
        <v>5112498</v>
      </c>
      <c r="AZ40" s="17">
        <f>Tableau2[[#This Row],[AVANCE VERSEE]]+Tableau2[[#This Row],[ACOMPTE VERSE]]+Tableau2[[#This Row],[SOLDE VERSE]]</f>
        <v>1533749.4</v>
      </c>
      <c r="BA40" s="17">
        <f>IF(Tableau2[[#This Row],[STATUT]]="Soldée",0,Tableau2[[#This Row],[Montant participation à signature]]-Tableau2[[#This Row],[Total CP payés]])</f>
        <v>3578748.6</v>
      </c>
      <c r="BB40" s="17">
        <f>IF(Tableau2[[#This Row],[SOLDE VERSE]]&lt;0,-Tableau2[[#This Row],[SOLDE VERSE]],0)</f>
        <v>0</v>
      </c>
      <c r="BC40" s="17">
        <f>IF(Tableau2[[#This Row],[STATUT]]="Soldée",Tableau2[[#This Row],[Montant participation à signature]]-Tableau2[[#This Row],[Total CP payés]],0)</f>
        <v>0</v>
      </c>
      <c r="BD40" s="17">
        <f>IF(Tableau2[[#This Row],[Montant participation voté au CA]]="",0,Tableau2[[#This Row],[Réfaction]]+Tableau2[[#This Row],[Montant des crédits non engagés]])</f>
        <v>0</v>
      </c>
      <c r="BF40"/>
      <c r="BJ40"/>
      <c r="BK40"/>
      <c r="BL40"/>
      <c r="BM40"/>
      <c r="BP40"/>
      <c r="BQ40"/>
      <c r="BR40"/>
      <c r="BS40"/>
      <c r="BT40"/>
      <c r="BU40"/>
      <c r="BV40"/>
      <c r="BW40"/>
      <c r="BX40"/>
      <c r="BY40"/>
      <c r="CA40"/>
      <c r="CB40"/>
    </row>
    <row r="41" spans="1:80" ht="15" customHeight="1" x14ac:dyDescent="0.25">
      <c r="A41" s="4">
        <v>40</v>
      </c>
      <c r="B41" s="36">
        <v>2789</v>
      </c>
      <c r="C41" s="39">
        <v>42327</v>
      </c>
      <c r="D41" s="73" t="s">
        <v>154</v>
      </c>
      <c r="E41" s="38" t="s">
        <v>51</v>
      </c>
      <c r="F41" s="38" t="s">
        <v>69</v>
      </c>
      <c r="G41" s="96" t="s">
        <v>143</v>
      </c>
      <c r="H41" s="96" t="s">
        <v>144</v>
      </c>
      <c r="I41" s="40" t="s">
        <v>48</v>
      </c>
      <c r="J41" s="77"/>
      <c r="K41" s="70"/>
      <c r="L41" s="34"/>
      <c r="M41" s="35"/>
      <c r="N41" s="38">
        <v>12</v>
      </c>
      <c r="O41" s="37">
        <v>6</v>
      </c>
      <c r="P41" s="37">
        <f>IF(Tableau2[[#This Row],[Durée du projet]]="","-",Tableau2[[#This Row],[Durée du projet]]+Tableau2[[#This Row],[Durée suppl'' pour pièces]])</f>
        <v>18</v>
      </c>
      <c r="Q41" s="39">
        <v>42562</v>
      </c>
      <c r="R41" s="60">
        <v>42370</v>
      </c>
      <c r="S41" s="6">
        <f>IF(Tableau2[[#This Row],[Date signature ]]="","",EOMONTH((EDATE(Tableau2[[#This Row],[Début éligibilité dépenses]],Tableau2[[#This Row],[Durée du projet]])),-1))</f>
        <v>42735</v>
      </c>
      <c r="T41" s="6">
        <f>IF(Tableau2[[#This Row],[Fin éligibilité dépenses]]="","",EDATE(Tableau2[[#This Row],[Fin éligibilité dépenses]],-6))</f>
        <v>42551</v>
      </c>
      <c r="U41" s="6">
        <f>IF(Tableau2[[#This Row],[Début éligibilité dépenses]]="","",EOMONTH(EDATE(Tableau2[[#This Row],[Début éligibilité dépenses]],Tableau2[[#This Row],[Durée du projet]]/2),0))</f>
        <v>42582</v>
      </c>
      <c r="V41" s="59">
        <f>IF(Tableau2[[#This Row],[Date signature ]]="","",EDATE(Tableau2[[#This Row],[Date signature ]],Tableau2[[#This Row],[Durée totale conv'' ]])-1)</f>
        <v>43110</v>
      </c>
      <c r="W41" s="40" t="s">
        <v>21</v>
      </c>
      <c r="X41" s="2"/>
      <c r="Y41" s="40" t="s">
        <v>145</v>
      </c>
      <c r="Z41" s="2"/>
      <c r="AA41" s="2"/>
      <c r="AB41" s="19"/>
      <c r="AC41" s="21">
        <f>IF(Tableau2[[#This Row],[PORTEUR
DE
PROJET]]="",0,IF(COUNTIF(Tableau2[[#This Row],[PORTEUR
DE
PROJET]],"CRA*")=1,Tableau2[[#This Row],[Montant participation à signature]]/2,Tableau2[[#This Row],[Montant participation à signature]]*0.3))</f>
        <v>44550.9</v>
      </c>
      <c r="AD41" s="6">
        <f>IF(Tableau2[[#This Row],[Date signature ]]="","",EDATE(Tableau2[[#This Row],[Date signature ]],1))</f>
        <v>42593</v>
      </c>
      <c r="AE41" s="21">
        <f>IF(Tableau2[[#This Row],[PORTEUR
DE
PROJET]]="",0,IF(COUNTIF(Tableau2[[#This Row],[PORTEUR
DE
PROJET]],"CRA*")=1,,Tableau2[[#This Row],[Montant participation à signature]]*0.4))</f>
        <v>59401.200000000004</v>
      </c>
      <c r="AF41" s="6">
        <f>IF(Tableau2[[#This Row],[Date signature ]]="","",IF(Tableau2[[#This Row],[ACOMPTE PREVU]]=0,"",EOMONTH(EDATE(Tableau2[[#This Row],[Date signature ]],Tableau2[[#This Row],[Durée du projet]]/2),0)))</f>
        <v>42766</v>
      </c>
      <c r="AG41" s="21">
        <f>IF(Tableau2[[#This Row],[PORTEUR
DE
PROJET]]="",0,IF(COUNTIF(Tableau2[[#This Row],[PORTEUR
DE
PROJET]],"CRA*")=1,Tableau2[[#This Row],[Montant participation à signature]]/2,Tableau2[[#This Row],[Montant participation à signature]]*0.3))</f>
        <v>44550.9</v>
      </c>
      <c r="AH41" s="6">
        <f>IF(Tableau2[[#This Row],[Date signature ]]="","",EOMONTH(EDATE(Tableau2[[#This Row],[Date signature ]],Tableau2[[#This Row],[Durée du projet]]),0))</f>
        <v>42947</v>
      </c>
      <c r="AI41" s="29">
        <f>IF(COUNTBLANK(Tableau2[[#This Row],[Date du mandat Avance]])=1,,Tableau2[[#This Row],[AVANCE PREVUE]])</f>
        <v>44550.9</v>
      </c>
      <c r="AJ41" s="64">
        <v>42564</v>
      </c>
      <c r="AK41" s="2"/>
      <c r="AL41" s="6"/>
      <c r="AM41" s="6"/>
      <c r="AN41" s="17">
        <f>IF(COUNTBLANK(Tableau2[[#This Row],[Date envoi ASF Acompte]])=1,,Tableau2[[#This Row],[ACOMPTE PREVU]])</f>
        <v>0</v>
      </c>
      <c r="AO41" s="17"/>
      <c r="AP41" s="2"/>
      <c r="AQ41" s="6"/>
      <c r="AR41" s="6"/>
      <c r="AS41" s="17"/>
      <c r="AT41" s="17"/>
      <c r="AU41" s="20"/>
      <c r="AV41" s="17"/>
      <c r="AW41" s="17"/>
      <c r="AX41" s="17">
        <f>IF(Tableau2[[#This Row],[Montant participation voté au CA]]="",0,Tableau2[[#This Row],[Montant participation voté au CA]]-Tableau2[[#This Row],[Montant participation à signature]])</f>
        <v>0</v>
      </c>
      <c r="AY41" s="45">
        <v>148503</v>
      </c>
      <c r="AZ41" s="17">
        <f>Tableau2[[#This Row],[AVANCE VERSEE]]+Tableau2[[#This Row],[ACOMPTE VERSE]]+Tableau2[[#This Row],[SOLDE VERSE]]</f>
        <v>44550.9</v>
      </c>
      <c r="BA41" s="17">
        <f>IF(Tableau2[[#This Row],[STATUT]]="Soldée",0,Tableau2[[#This Row],[Montant participation à signature]]-Tableau2[[#This Row],[Total CP payés]])</f>
        <v>103952.1</v>
      </c>
      <c r="BB41" s="17">
        <f>IF(Tableau2[[#This Row],[SOLDE VERSE]]&lt;0,-Tableau2[[#This Row],[SOLDE VERSE]],0)</f>
        <v>0</v>
      </c>
      <c r="BC41" s="17">
        <f>IF(Tableau2[[#This Row],[STATUT]]="Soldée",Tableau2[[#This Row],[Montant participation à signature]]-Tableau2[[#This Row],[Total CP payés]],0)</f>
        <v>0</v>
      </c>
      <c r="BD41" s="17">
        <f>IF(Tableau2[[#This Row],[Montant participation voté au CA]]="",0,Tableau2[[#This Row],[Réfaction]]+Tableau2[[#This Row],[Montant des crédits non engagés]])</f>
        <v>0</v>
      </c>
      <c r="BF41"/>
      <c r="BJ41"/>
      <c r="BK41"/>
      <c r="BL41"/>
      <c r="BM41"/>
      <c r="BP41"/>
      <c r="BQ41"/>
      <c r="BR41"/>
      <c r="BS41"/>
      <c r="BT41"/>
      <c r="BU41"/>
      <c r="BV41"/>
      <c r="BW41"/>
      <c r="BX41"/>
      <c r="BY41"/>
      <c r="CA41"/>
      <c r="CB41"/>
    </row>
    <row r="42" spans="1:80" ht="15" customHeight="1" x14ac:dyDescent="0.25">
      <c r="A42" s="4">
        <v>41</v>
      </c>
      <c r="B42" s="36">
        <v>2791</v>
      </c>
      <c r="C42" s="39">
        <v>42327</v>
      </c>
      <c r="D42" s="73" t="s">
        <v>154</v>
      </c>
      <c r="E42" s="38">
        <v>4</v>
      </c>
      <c r="F42" s="38" t="s">
        <v>42</v>
      </c>
      <c r="G42" s="96" t="s">
        <v>143</v>
      </c>
      <c r="H42" s="96" t="s">
        <v>144</v>
      </c>
      <c r="I42" s="40" t="s">
        <v>48</v>
      </c>
      <c r="J42" s="77"/>
      <c r="K42" s="70"/>
      <c r="L42" s="34"/>
      <c r="M42" s="35"/>
      <c r="N42" s="38">
        <v>12</v>
      </c>
      <c r="O42" s="37">
        <v>6</v>
      </c>
      <c r="P42" s="37">
        <f>IF(Tableau2[[#This Row],[Durée du projet]]="","-",Tableau2[[#This Row],[Durée du projet]]+Tableau2[[#This Row],[Durée suppl'' pour pièces]])</f>
        <v>18</v>
      </c>
      <c r="Q42" s="39">
        <v>42562</v>
      </c>
      <c r="R42" s="39">
        <v>42562</v>
      </c>
      <c r="S42" s="6">
        <f>IF(Tableau2[[#This Row],[Date signature ]]="","",EOMONTH((EDATE(Tableau2[[#This Row],[Début éligibilité dépenses]],Tableau2[[#This Row],[Durée du projet]])),-1))</f>
        <v>42916</v>
      </c>
      <c r="T42" s="6">
        <f>IF(Tableau2[[#This Row],[Fin éligibilité dépenses]]="","",EDATE(Tableau2[[#This Row],[Fin éligibilité dépenses]],-6))</f>
        <v>42734</v>
      </c>
      <c r="U42" s="6">
        <f>IF(Tableau2[[#This Row],[Début éligibilité dépenses]]="","",EOMONTH(EDATE(Tableau2[[#This Row],[Début éligibilité dépenses]],Tableau2[[#This Row],[Durée du projet]]/2),0))</f>
        <v>42766</v>
      </c>
      <c r="V42" s="59">
        <f>IF(Tableau2[[#This Row],[Date signature ]]="","",EDATE(Tableau2[[#This Row],[Date signature ]],Tableau2[[#This Row],[Durée totale conv'' ]])-1)</f>
        <v>43110</v>
      </c>
      <c r="W42" s="40" t="s">
        <v>21</v>
      </c>
      <c r="X42" s="2"/>
      <c r="Y42" s="40" t="s">
        <v>145</v>
      </c>
      <c r="Z42" s="2"/>
      <c r="AA42" s="2"/>
      <c r="AB42" s="19"/>
      <c r="AC42" s="21">
        <f>IF(Tableau2[[#This Row],[PORTEUR
DE
PROJET]]="",0,IF(COUNTIF(Tableau2[[#This Row],[PORTEUR
DE
PROJET]],"CRA*")=1,Tableau2[[#This Row],[Montant participation à signature]]/2,Tableau2[[#This Row],[Montant participation à signature]]*0.3))</f>
        <v>12000</v>
      </c>
      <c r="AD42" s="6">
        <f>IF(Tableau2[[#This Row],[Date signature ]]="","",EDATE(Tableau2[[#This Row],[Date signature ]],1))</f>
        <v>42593</v>
      </c>
      <c r="AE42" s="21">
        <f>IF(Tableau2[[#This Row],[PORTEUR
DE
PROJET]]="",0,IF(COUNTIF(Tableau2[[#This Row],[PORTEUR
DE
PROJET]],"CRA*")=1,,Tableau2[[#This Row],[Montant participation à signature]]*0.4))</f>
        <v>16000</v>
      </c>
      <c r="AF42" s="6">
        <f>IF(Tableau2[[#This Row],[Date signature ]]="","",IF(Tableau2[[#This Row],[ACOMPTE PREVU]]=0,"",EOMONTH(EDATE(Tableau2[[#This Row],[Date signature ]],Tableau2[[#This Row],[Durée du projet]]/2),0)))</f>
        <v>42766</v>
      </c>
      <c r="AG42" s="21">
        <f>IF(Tableau2[[#This Row],[PORTEUR
DE
PROJET]]="",0,IF(COUNTIF(Tableau2[[#This Row],[PORTEUR
DE
PROJET]],"CRA*")=1,Tableau2[[#This Row],[Montant participation à signature]]/2,Tableau2[[#This Row],[Montant participation à signature]]*0.3))</f>
        <v>12000</v>
      </c>
      <c r="AH42" s="6">
        <f>IF(Tableau2[[#This Row],[Date signature ]]="","",EOMONTH(EDATE(Tableau2[[#This Row],[Date signature ]],Tableau2[[#This Row],[Durée du projet]]),0))</f>
        <v>42947</v>
      </c>
      <c r="AI42" s="29">
        <f>IF(COUNTBLANK(Tableau2[[#This Row],[Date du mandat Avance]])=1,,Tableau2[[#This Row],[AVANCE PREVUE]])</f>
        <v>12000</v>
      </c>
      <c r="AJ42" s="64">
        <v>42564</v>
      </c>
      <c r="AK42" s="2"/>
      <c r="AL42" s="6"/>
      <c r="AM42" s="6"/>
      <c r="AN42" s="17">
        <f>IF(COUNTBLANK(Tableau2[[#This Row],[Date envoi ASF Acompte]])=1,,Tableau2[[#This Row],[ACOMPTE PREVU]])</f>
        <v>0</v>
      </c>
      <c r="AO42" s="17"/>
      <c r="AP42" s="2"/>
      <c r="AQ42" s="6"/>
      <c r="AR42" s="6"/>
      <c r="AS42" s="17"/>
      <c r="AT42" s="17"/>
      <c r="AU42" s="20"/>
      <c r="AV42" s="17"/>
      <c r="AW42" s="17"/>
      <c r="AX42" s="17">
        <f>IF(Tableau2[[#This Row],[Montant participation voté au CA]]="",0,Tableau2[[#This Row],[Montant participation voté au CA]]-Tableau2[[#This Row],[Montant participation à signature]])</f>
        <v>0</v>
      </c>
      <c r="AY42" s="45">
        <v>40000</v>
      </c>
      <c r="AZ42" s="17">
        <f>Tableau2[[#This Row],[AVANCE VERSEE]]+Tableau2[[#This Row],[ACOMPTE VERSE]]+Tableau2[[#This Row],[SOLDE VERSE]]</f>
        <v>12000</v>
      </c>
      <c r="BA42" s="17">
        <f>IF(Tableau2[[#This Row],[STATUT]]="Soldée",0,Tableau2[[#This Row],[Montant participation à signature]]-Tableau2[[#This Row],[Total CP payés]])</f>
        <v>28000</v>
      </c>
      <c r="BB42" s="17">
        <f>IF(Tableau2[[#This Row],[SOLDE VERSE]]&lt;0,-Tableau2[[#This Row],[SOLDE VERSE]],0)</f>
        <v>0</v>
      </c>
      <c r="BC42" s="17">
        <f>IF(Tableau2[[#This Row],[STATUT]]="Soldée",Tableau2[[#This Row],[Montant participation à signature]]-Tableau2[[#This Row],[Total CP payés]],0)</f>
        <v>0</v>
      </c>
      <c r="BD42" s="17">
        <f>IF(Tableau2[[#This Row],[Montant participation voté au CA]]="",0,Tableau2[[#This Row],[Réfaction]]+Tableau2[[#This Row],[Montant des crédits non engagés]])</f>
        <v>0</v>
      </c>
      <c r="BF42"/>
      <c r="BJ42"/>
      <c r="BK42"/>
      <c r="BL42"/>
      <c r="BM42"/>
      <c r="BP42"/>
      <c r="BQ42"/>
      <c r="BR42"/>
      <c r="BS42"/>
      <c r="BT42"/>
      <c r="BU42"/>
      <c r="BV42"/>
      <c r="BW42"/>
      <c r="BX42"/>
      <c r="BY42"/>
      <c r="CA42"/>
      <c r="CB42"/>
    </row>
    <row r="43" spans="1:80" ht="15" customHeight="1" x14ac:dyDescent="0.25">
      <c r="A43" s="4">
        <v>42</v>
      </c>
      <c r="B43" s="36">
        <v>2792</v>
      </c>
      <c r="C43" s="39">
        <v>42327</v>
      </c>
      <c r="D43" s="73" t="s">
        <v>154</v>
      </c>
      <c r="E43" s="38" t="s">
        <v>50</v>
      </c>
      <c r="F43" s="38" t="s">
        <v>44</v>
      </c>
      <c r="G43" s="96" t="s">
        <v>143</v>
      </c>
      <c r="H43" s="96" t="s">
        <v>144</v>
      </c>
      <c r="I43" s="40" t="s">
        <v>48</v>
      </c>
      <c r="J43" s="77"/>
      <c r="K43" s="70"/>
      <c r="L43" s="34"/>
      <c r="M43" s="35"/>
      <c r="N43" s="38">
        <v>12</v>
      </c>
      <c r="O43" s="37">
        <v>6</v>
      </c>
      <c r="P43" s="37">
        <f>IF(Tableau2[[#This Row],[Durée du projet]]="","-",Tableau2[[#This Row],[Durée du projet]]+Tableau2[[#This Row],[Durée suppl'' pour pièces]])</f>
        <v>18</v>
      </c>
      <c r="Q43" s="39">
        <v>42562</v>
      </c>
      <c r="R43" s="60">
        <v>42370</v>
      </c>
      <c r="S43" s="6">
        <f>IF(Tableau2[[#This Row],[Date signature ]]="","",EOMONTH((EDATE(Tableau2[[#This Row],[Début éligibilité dépenses]],Tableau2[[#This Row],[Durée du projet]])),-1))</f>
        <v>42735</v>
      </c>
      <c r="T43" s="6">
        <f>IF(Tableau2[[#This Row],[Fin éligibilité dépenses]]="","",EDATE(Tableau2[[#This Row],[Fin éligibilité dépenses]],-6))</f>
        <v>42551</v>
      </c>
      <c r="U43" s="6">
        <f>IF(Tableau2[[#This Row],[Début éligibilité dépenses]]="","",EOMONTH(EDATE(Tableau2[[#This Row],[Début éligibilité dépenses]],Tableau2[[#This Row],[Durée du projet]]/2),0))</f>
        <v>42582</v>
      </c>
      <c r="V43" s="59">
        <f>IF(Tableau2[[#This Row],[Date signature ]]="","",EDATE(Tableau2[[#This Row],[Date signature ]],Tableau2[[#This Row],[Durée totale conv'' ]])-1)</f>
        <v>43110</v>
      </c>
      <c r="W43" s="40" t="s">
        <v>21</v>
      </c>
      <c r="X43" s="2"/>
      <c r="Y43" s="40" t="s">
        <v>145</v>
      </c>
      <c r="Z43" s="2"/>
      <c r="AA43" s="2"/>
      <c r="AB43" s="19"/>
      <c r="AC43" s="21">
        <f>IF(Tableau2[[#This Row],[PORTEUR
DE
PROJET]]="",0,IF(COUNTIF(Tableau2[[#This Row],[PORTEUR
DE
PROJET]],"CRA*")=1,Tableau2[[#This Row],[Montant participation à signature]]/2,Tableau2[[#This Row],[Montant participation à signature]]*0.3))</f>
        <v>30463.5</v>
      </c>
      <c r="AD43" s="6">
        <f>IF(Tableau2[[#This Row],[Date signature ]]="","",EDATE(Tableau2[[#This Row],[Date signature ]],1))</f>
        <v>42593</v>
      </c>
      <c r="AE43" s="21">
        <f>IF(Tableau2[[#This Row],[PORTEUR
DE
PROJET]]="",0,IF(COUNTIF(Tableau2[[#This Row],[PORTEUR
DE
PROJET]],"CRA*")=1,,Tableau2[[#This Row],[Montant participation à signature]]*0.4))</f>
        <v>40618</v>
      </c>
      <c r="AF43" s="6">
        <f>IF(Tableau2[[#This Row],[Date signature ]]="","",IF(Tableau2[[#This Row],[ACOMPTE PREVU]]=0,"",EOMONTH(EDATE(Tableau2[[#This Row],[Date signature ]],Tableau2[[#This Row],[Durée du projet]]/2),0)))</f>
        <v>42766</v>
      </c>
      <c r="AG43" s="21">
        <f>IF(Tableau2[[#This Row],[PORTEUR
DE
PROJET]]="",0,IF(COUNTIF(Tableau2[[#This Row],[PORTEUR
DE
PROJET]],"CRA*")=1,Tableau2[[#This Row],[Montant participation à signature]]/2,Tableau2[[#This Row],[Montant participation à signature]]*0.3))</f>
        <v>30463.5</v>
      </c>
      <c r="AH43" s="6">
        <f>IF(Tableau2[[#This Row],[Date signature ]]="","",EOMONTH(EDATE(Tableau2[[#This Row],[Date signature ]],Tableau2[[#This Row],[Durée du projet]]),0))</f>
        <v>42947</v>
      </c>
      <c r="AI43" s="29">
        <f>IF(COUNTBLANK(Tableau2[[#This Row],[Date du mandat Avance]])=1,,Tableau2[[#This Row],[AVANCE PREVUE]])</f>
        <v>30463.5</v>
      </c>
      <c r="AJ43" s="64">
        <v>42564</v>
      </c>
      <c r="AK43" s="2"/>
      <c r="AL43" s="6"/>
      <c r="AM43" s="6"/>
      <c r="AN43" s="17">
        <f>IF(COUNTBLANK(Tableau2[[#This Row],[Date envoi ASF Acompte]])=1,,Tableau2[[#This Row],[ACOMPTE PREVU]])</f>
        <v>0</v>
      </c>
      <c r="AO43" s="17"/>
      <c r="AP43" s="2"/>
      <c r="AQ43" s="6"/>
      <c r="AR43" s="6"/>
      <c r="AS43" s="17"/>
      <c r="AT43" s="17"/>
      <c r="AU43" s="20"/>
      <c r="AV43" s="17"/>
      <c r="AW43" s="17"/>
      <c r="AX43" s="17">
        <f>IF(Tableau2[[#This Row],[Montant participation voté au CA]]="",0,Tableau2[[#This Row],[Montant participation voté au CA]]-Tableau2[[#This Row],[Montant participation à signature]])</f>
        <v>0</v>
      </c>
      <c r="AY43" s="45">
        <v>101545</v>
      </c>
      <c r="AZ43" s="17">
        <f>Tableau2[[#This Row],[AVANCE VERSEE]]+Tableau2[[#This Row],[ACOMPTE VERSE]]+Tableau2[[#This Row],[SOLDE VERSE]]</f>
        <v>30463.5</v>
      </c>
      <c r="BA43" s="17">
        <f>IF(Tableau2[[#This Row],[STATUT]]="Soldée",0,Tableau2[[#This Row],[Montant participation à signature]]-Tableau2[[#This Row],[Total CP payés]])</f>
        <v>71081.5</v>
      </c>
      <c r="BB43" s="17">
        <f>IF(Tableau2[[#This Row],[SOLDE VERSE]]&lt;0,-Tableau2[[#This Row],[SOLDE VERSE]],0)</f>
        <v>0</v>
      </c>
      <c r="BC43" s="17">
        <f>IF(Tableau2[[#This Row],[STATUT]]="Soldée",Tableau2[[#This Row],[Montant participation à signature]]-Tableau2[[#This Row],[Total CP payés]],0)</f>
        <v>0</v>
      </c>
      <c r="BD43" s="17">
        <f>IF(Tableau2[[#This Row],[Montant participation voté au CA]]="",0,Tableau2[[#This Row],[Réfaction]]+Tableau2[[#This Row],[Montant des crédits non engagés]])</f>
        <v>0</v>
      </c>
      <c r="BF43"/>
      <c r="BJ43"/>
      <c r="BK43"/>
      <c r="BL43"/>
      <c r="BM43"/>
      <c r="BP43"/>
      <c r="BQ43"/>
      <c r="BR43"/>
      <c r="BS43"/>
      <c r="BT43"/>
      <c r="BU43"/>
      <c r="BV43"/>
      <c r="BW43"/>
      <c r="BX43"/>
      <c r="BY43"/>
      <c r="CA43"/>
      <c r="CB43"/>
    </row>
    <row r="44" spans="1:80" s="2" customFormat="1" ht="15" customHeight="1" x14ac:dyDescent="0.25">
      <c r="A44" s="4">
        <v>43</v>
      </c>
      <c r="B44" s="36">
        <v>2793</v>
      </c>
      <c r="C44" s="39">
        <v>42327</v>
      </c>
      <c r="D44" s="73" t="s">
        <v>154</v>
      </c>
      <c r="E44" s="38" t="s">
        <v>51</v>
      </c>
      <c r="F44" s="38" t="s">
        <v>69</v>
      </c>
      <c r="G44" s="96" t="s">
        <v>143</v>
      </c>
      <c r="H44" s="96" t="s">
        <v>144</v>
      </c>
      <c r="I44" s="40" t="s">
        <v>48</v>
      </c>
      <c r="J44" s="77"/>
      <c r="K44" s="70"/>
      <c r="L44" s="34"/>
      <c r="M44" s="35"/>
      <c r="N44" s="38">
        <v>12</v>
      </c>
      <c r="O44" s="37">
        <v>6</v>
      </c>
      <c r="P44" s="37">
        <f>IF(Tableau2[[#This Row],[Durée du projet]]="","-",Tableau2[[#This Row],[Durée du projet]]+Tableau2[[#This Row],[Durée suppl'' pour pièces]])</f>
        <v>18</v>
      </c>
      <c r="Q44" s="39">
        <v>42563</v>
      </c>
      <c r="R44" s="60">
        <v>42370</v>
      </c>
      <c r="S44" s="6">
        <f>IF(Tableau2[[#This Row],[Date signature ]]="","",EOMONTH((EDATE(Tableau2[[#This Row],[Début éligibilité dépenses]],Tableau2[[#This Row],[Durée du projet]])),-1))</f>
        <v>42735</v>
      </c>
      <c r="T44" s="6">
        <f>IF(Tableau2[[#This Row],[Fin éligibilité dépenses]]="","",EDATE(Tableau2[[#This Row],[Fin éligibilité dépenses]],-6))</f>
        <v>42551</v>
      </c>
      <c r="U44" s="6">
        <f>IF(Tableau2[[#This Row],[Début éligibilité dépenses]]="","",EOMONTH(EDATE(Tableau2[[#This Row],[Début éligibilité dépenses]],Tableau2[[#This Row],[Durée du projet]]/2),0))</f>
        <v>42582</v>
      </c>
      <c r="V44" s="59">
        <f>IF(Tableau2[[#This Row],[Date signature ]]="","",EDATE(Tableau2[[#This Row],[Date signature ]],Tableau2[[#This Row],[Durée totale conv'' ]])-1)</f>
        <v>43111</v>
      </c>
      <c r="W44" s="40" t="s">
        <v>21</v>
      </c>
      <c r="Y44" s="40" t="s">
        <v>145</v>
      </c>
      <c r="AB44" s="19"/>
      <c r="AC44" s="21">
        <f>IF(Tableau2[[#This Row],[PORTEUR
DE
PROJET]]="",0,IF(COUNTIF(Tableau2[[#This Row],[PORTEUR
DE
PROJET]],"CRA*")=1,Tableau2[[#This Row],[Montant participation à signature]]/2,Tableau2[[#This Row],[Montant participation à signature]]*0.3))</f>
        <v>37589.1</v>
      </c>
      <c r="AD44" s="6">
        <f>IF(Tableau2[[#This Row],[Date signature ]]="","",EDATE(Tableau2[[#This Row],[Date signature ]],1))</f>
        <v>42594</v>
      </c>
      <c r="AE44" s="21">
        <f>IF(Tableau2[[#This Row],[PORTEUR
DE
PROJET]]="",0,IF(COUNTIF(Tableau2[[#This Row],[PORTEUR
DE
PROJET]],"CRA*")=1,,Tableau2[[#This Row],[Montant participation à signature]]*0.4))</f>
        <v>50118.8</v>
      </c>
      <c r="AF44" s="6">
        <f>IF(Tableau2[[#This Row],[Date signature ]]="","",IF(Tableau2[[#This Row],[ACOMPTE PREVU]]=0,"",EOMONTH(EDATE(Tableau2[[#This Row],[Date signature ]],Tableau2[[#This Row],[Durée du projet]]/2),0)))</f>
        <v>42766</v>
      </c>
      <c r="AG44" s="21">
        <f>IF(Tableau2[[#This Row],[PORTEUR
DE
PROJET]]="",0,IF(COUNTIF(Tableau2[[#This Row],[PORTEUR
DE
PROJET]],"CRA*")=1,Tableau2[[#This Row],[Montant participation à signature]]/2,Tableau2[[#This Row],[Montant participation à signature]]*0.3))</f>
        <v>37589.1</v>
      </c>
      <c r="AH44" s="6">
        <f>IF(Tableau2[[#This Row],[Date signature ]]="","",EOMONTH(EDATE(Tableau2[[#This Row],[Date signature ]],Tableau2[[#This Row],[Durée du projet]]),0))</f>
        <v>42947</v>
      </c>
      <c r="AI44" s="29">
        <f>IF(COUNTBLANK(Tableau2[[#This Row],[Date du mandat Avance]])=1,,Tableau2[[#This Row],[AVANCE PREVUE]])</f>
        <v>37589.1</v>
      </c>
      <c r="AJ44" s="64">
        <v>42564</v>
      </c>
      <c r="AL44" s="6"/>
      <c r="AM44" s="6"/>
      <c r="AN44" s="17">
        <f>IF(COUNTBLANK(Tableau2[[#This Row],[Date envoi ASF Acompte]])=1,,Tableau2[[#This Row],[ACOMPTE PREVU]])</f>
        <v>0</v>
      </c>
      <c r="AO44" s="17"/>
      <c r="AQ44" s="6"/>
      <c r="AR44" s="6"/>
      <c r="AS44" s="17"/>
      <c r="AT44" s="17"/>
      <c r="AU44" s="20"/>
      <c r="AV44" s="17"/>
      <c r="AW44" s="17"/>
      <c r="AX44" s="17">
        <f>IF(Tableau2[[#This Row],[Montant participation voté au CA]]="",0,Tableau2[[#This Row],[Montant participation voté au CA]]-Tableau2[[#This Row],[Montant participation à signature]])</f>
        <v>0</v>
      </c>
      <c r="AY44" s="45">
        <v>125297</v>
      </c>
      <c r="AZ44" s="17">
        <f>Tableau2[[#This Row],[AVANCE VERSEE]]+Tableau2[[#This Row],[ACOMPTE VERSE]]+Tableau2[[#This Row],[SOLDE VERSE]]</f>
        <v>37589.1</v>
      </c>
      <c r="BA44" s="17">
        <f>IF(Tableau2[[#This Row],[STATUT]]="Soldée",0,Tableau2[[#This Row],[Montant participation à signature]]-Tableau2[[#This Row],[Total CP payés]])</f>
        <v>87707.9</v>
      </c>
      <c r="BB44" s="17">
        <f>IF(Tableau2[[#This Row],[SOLDE VERSE]]&lt;0,-Tableau2[[#This Row],[SOLDE VERSE]],0)</f>
        <v>0</v>
      </c>
      <c r="BC44" s="17">
        <f>IF(Tableau2[[#This Row],[STATUT]]="Soldée",Tableau2[[#This Row],[Montant participation à signature]]-Tableau2[[#This Row],[Total CP payés]],0)</f>
        <v>0</v>
      </c>
      <c r="BD44" s="17">
        <f>IF(Tableau2[[#This Row],[Montant participation voté au CA]]="",0,Tableau2[[#This Row],[Réfaction]]+Tableau2[[#This Row],[Montant des crédits non engagés]])</f>
        <v>0</v>
      </c>
    </row>
    <row r="45" spans="1:80" ht="15" customHeight="1" x14ac:dyDescent="0.25">
      <c r="A45" s="4">
        <v>44</v>
      </c>
      <c r="B45" s="36">
        <v>2794</v>
      </c>
      <c r="C45" s="39">
        <v>42327</v>
      </c>
      <c r="D45" s="73" t="s">
        <v>154</v>
      </c>
      <c r="E45" s="38" t="s">
        <v>51</v>
      </c>
      <c r="F45" s="38" t="s">
        <v>69</v>
      </c>
      <c r="G45" s="96" t="s">
        <v>143</v>
      </c>
      <c r="H45" s="96" t="s">
        <v>144</v>
      </c>
      <c r="I45" s="40" t="s">
        <v>48</v>
      </c>
      <c r="J45" s="77"/>
      <c r="K45" s="70"/>
      <c r="L45" s="34"/>
      <c r="M45" s="35"/>
      <c r="N45" s="38">
        <v>12</v>
      </c>
      <c r="O45" s="37">
        <v>6</v>
      </c>
      <c r="P45" s="37">
        <f>IF(Tableau2[[#This Row],[Durée du projet]]="","-",Tableau2[[#This Row],[Durée du projet]]+Tableau2[[#This Row],[Durée suppl'' pour pièces]])</f>
        <v>18</v>
      </c>
      <c r="Q45" s="39">
        <v>42562</v>
      </c>
      <c r="R45" s="60">
        <v>42370</v>
      </c>
      <c r="S45" s="6">
        <f>IF(Tableau2[[#This Row],[Date signature ]]="","",EOMONTH((EDATE(Tableau2[[#This Row],[Début éligibilité dépenses]],Tableau2[[#This Row],[Durée du projet]])),-1))</f>
        <v>42735</v>
      </c>
      <c r="T45" s="6">
        <f>IF(Tableau2[[#This Row],[Fin éligibilité dépenses]]="","",EDATE(Tableau2[[#This Row],[Fin éligibilité dépenses]],-6))</f>
        <v>42551</v>
      </c>
      <c r="U45" s="6">
        <f>IF(Tableau2[[#This Row],[Début éligibilité dépenses]]="","",EOMONTH(EDATE(Tableau2[[#This Row],[Début éligibilité dépenses]],Tableau2[[#This Row],[Durée du projet]]/2),0))</f>
        <v>42582</v>
      </c>
      <c r="V45" s="59">
        <f>IF(Tableau2[[#This Row],[Date signature ]]="","",EDATE(Tableau2[[#This Row],[Date signature ]],Tableau2[[#This Row],[Durée totale conv'' ]])-1)</f>
        <v>43110</v>
      </c>
      <c r="W45" s="40" t="s">
        <v>21</v>
      </c>
      <c r="X45" s="2"/>
      <c r="Y45" s="40" t="s">
        <v>145</v>
      </c>
      <c r="Z45" s="2"/>
      <c r="AA45" s="2"/>
      <c r="AB45" s="19"/>
      <c r="AC45" s="21">
        <f>IF(Tableau2[[#This Row],[PORTEUR
DE
PROJET]]="",0,IF(COUNTIF(Tableau2[[#This Row],[PORTEUR
DE
PROJET]],"CRA*")=1,Tableau2[[#This Row],[Montant participation à signature]]/2,Tableau2[[#This Row],[Montant participation à signature]]*0.3))</f>
        <v>39909.599999999999</v>
      </c>
      <c r="AD45" s="6">
        <f>IF(Tableau2[[#This Row],[Date signature ]]="","",EDATE(Tableau2[[#This Row],[Date signature ]],1))</f>
        <v>42593</v>
      </c>
      <c r="AE45" s="21">
        <f>IF(Tableau2[[#This Row],[PORTEUR
DE
PROJET]]="",0,IF(COUNTIF(Tableau2[[#This Row],[PORTEUR
DE
PROJET]],"CRA*")=1,,Tableau2[[#This Row],[Montant participation à signature]]*0.4))</f>
        <v>53212.800000000003</v>
      </c>
      <c r="AF45" s="6">
        <f>IF(Tableau2[[#This Row],[Date signature ]]="","",IF(Tableau2[[#This Row],[ACOMPTE PREVU]]=0,"",EOMONTH(EDATE(Tableau2[[#This Row],[Date signature ]],Tableau2[[#This Row],[Durée du projet]]/2),0)))</f>
        <v>42766</v>
      </c>
      <c r="AG45" s="21">
        <f>IF(Tableau2[[#This Row],[PORTEUR
DE
PROJET]]="",0,IF(COUNTIF(Tableau2[[#This Row],[PORTEUR
DE
PROJET]],"CRA*")=1,Tableau2[[#This Row],[Montant participation à signature]]/2,Tableau2[[#This Row],[Montant participation à signature]]*0.3))</f>
        <v>39909.599999999999</v>
      </c>
      <c r="AH45" s="6">
        <f>IF(Tableau2[[#This Row],[Date signature ]]="","",EOMONTH(EDATE(Tableau2[[#This Row],[Date signature ]],Tableau2[[#This Row],[Durée du projet]]),0))</f>
        <v>42947</v>
      </c>
      <c r="AI45" s="29">
        <f>IF(COUNTBLANK(Tableau2[[#This Row],[Date du mandat Avance]])=1,,Tableau2[[#This Row],[AVANCE PREVUE]])</f>
        <v>39909.599999999999</v>
      </c>
      <c r="AJ45" s="64">
        <v>42564</v>
      </c>
      <c r="AK45" s="2"/>
      <c r="AL45" s="6"/>
      <c r="AM45" s="6"/>
      <c r="AN45" s="17">
        <f>IF(COUNTBLANK(Tableau2[[#This Row],[Date envoi ASF Acompte]])=1,,Tableau2[[#This Row],[ACOMPTE PREVU]])</f>
        <v>0</v>
      </c>
      <c r="AO45" s="17"/>
      <c r="AP45" s="2"/>
      <c r="AQ45" s="6"/>
      <c r="AR45" s="6"/>
      <c r="AS45" s="17"/>
      <c r="AT45" s="17"/>
      <c r="AU45" s="20"/>
      <c r="AV45" s="17"/>
      <c r="AW45" s="17"/>
      <c r="AX45" s="17">
        <f>IF(Tableau2[[#This Row],[Montant participation voté au CA]]="",0,Tableau2[[#This Row],[Montant participation voté au CA]]-Tableau2[[#This Row],[Montant participation à signature]])</f>
        <v>0</v>
      </c>
      <c r="AY45" s="45">
        <v>133032</v>
      </c>
      <c r="AZ45" s="17">
        <f>Tableau2[[#This Row],[AVANCE VERSEE]]+Tableau2[[#This Row],[ACOMPTE VERSE]]+Tableau2[[#This Row],[SOLDE VERSE]]</f>
        <v>39909.599999999999</v>
      </c>
      <c r="BA45" s="17">
        <f>IF(Tableau2[[#This Row],[STATUT]]="Soldée",0,Tableau2[[#This Row],[Montant participation à signature]]-Tableau2[[#This Row],[Total CP payés]])</f>
        <v>93122.4</v>
      </c>
      <c r="BB45" s="17">
        <f>IF(Tableau2[[#This Row],[SOLDE VERSE]]&lt;0,-Tableau2[[#This Row],[SOLDE VERSE]],0)</f>
        <v>0</v>
      </c>
      <c r="BC45" s="17">
        <f>IF(Tableau2[[#This Row],[STATUT]]="Soldée",Tableau2[[#This Row],[Montant participation à signature]]-Tableau2[[#This Row],[Total CP payés]],0)</f>
        <v>0</v>
      </c>
      <c r="BD45" s="17">
        <f>IF(Tableau2[[#This Row],[Montant participation voté au CA]]="",0,Tableau2[[#This Row],[Réfaction]]+Tableau2[[#This Row],[Montant des crédits non engagés]])</f>
        <v>0</v>
      </c>
      <c r="BF45"/>
      <c r="BJ45"/>
      <c r="BK45"/>
      <c r="BL45"/>
      <c r="BM45"/>
      <c r="BP45"/>
      <c r="BQ45"/>
      <c r="BR45"/>
      <c r="BS45"/>
      <c r="BT45"/>
      <c r="BU45"/>
      <c r="BV45"/>
      <c r="BW45"/>
      <c r="BX45"/>
      <c r="BY45"/>
      <c r="CA45"/>
      <c r="CB45"/>
    </row>
    <row r="46" spans="1:80" s="2" customFormat="1" ht="15" customHeight="1" x14ac:dyDescent="0.25">
      <c r="A46" s="4">
        <v>45</v>
      </c>
      <c r="B46" s="36">
        <v>2795</v>
      </c>
      <c r="C46" s="39">
        <v>42327</v>
      </c>
      <c r="D46" s="73" t="s">
        <v>154</v>
      </c>
      <c r="E46" s="38" t="s">
        <v>51</v>
      </c>
      <c r="F46" s="38" t="s">
        <v>69</v>
      </c>
      <c r="G46" s="96" t="s">
        <v>143</v>
      </c>
      <c r="H46" s="96" t="s">
        <v>144</v>
      </c>
      <c r="I46" s="40" t="s">
        <v>48</v>
      </c>
      <c r="J46" s="77"/>
      <c r="K46" s="70"/>
      <c r="L46" s="34"/>
      <c r="M46" s="35"/>
      <c r="N46" s="38">
        <v>12</v>
      </c>
      <c r="O46" s="37">
        <v>6</v>
      </c>
      <c r="P46" s="37">
        <f>IF(Tableau2[[#This Row],[Durée du projet]]="","-",Tableau2[[#This Row],[Durée du projet]]+Tableau2[[#This Row],[Durée suppl'' pour pièces]])</f>
        <v>18</v>
      </c>
      <c r="Q46" s="39">
        <v>42563</v>
      </c>
      <c r="R46" s="60">
        <v>42370</v>
      </c>
      <c r="S46" s="6">
        <f>IF(Tableau2[[#This Row],[Date signature ]]="","",EOMONTH((EDATE(Tableau2[[#This Row],[Début éligibilité dépenses]],Tableau2[[#This Row],[Durée du projet]])),-1))</f>
        <v>42735</v>
      </c>
      <c r="T46" s="6">
        <f>IF(Tableau2[[#This Row],[Fin éligibilité dépenses]]="","",EDATE(Tableau2[[#This Row],[Fin éligibilité dépenses]],-6))</f>
        <v>42551</v>
      </c>
      <c r="U46" s="6">
        <f>IF(Tableau2[[#This Row],[Début éligibilité dépenses]]="","",EOMONTH(EDATE(Tableau2[[#This Row],[Début éligibilité dépenses]],Tableau2[[#This Row],[Durée du projet]]/2),0))</f>
        <v>42582</v>
      </c>
      <c r="V46" s="59">
        <f>IF(Tableau2[[#This Row],[Date signature ]]="","",EDATE(Tableau2[[#This Row],[Date signature ]],Tableau2[[#This Row],[Durée totale conv'' ]])-1)</f>
        <v>43111</v>
      </c>
      <c r="W46" s="40" t="s">
        <v>21</v>
      </c>
      <c r="Y46" s="40" t="s">
        <v>145</v>
      </c>
      <c r="AB46" s="19"/>
      <c r="AC46" s="21">
        <f>IF(Tableau2[[#This Row],[PORTEUR
DE
PROJET]]="",0,IF(COUNTIF(Tableau2[[#This Row],[PORTEUR
DE
PROJET]],"CRA*")=1,Tableau2[[#This Row],[Montant participation à signature]]/2,Tableau2[[#This Row],[Montant participation à signature]]*0.3))</f>
        <v>30627</v>
      </c>
      <c r="AD46" s="6">
        <f>IF(Tableau2[[#This Row],[Date signature ]]="","",EDATE(Tableau2[[#This Row],[Date signature ]],1))</f>
        <v>42594</v>
      </c>
      <c r="AE46" s="21">
        <f>IF(Tableau2[[#This Row],[PORTEUR
DE
PROJET]]="",0,IF(COUNTIF(Tableau2[[#This Row],[PORTEUR
DE
PROJET]],"CRA*")=1,,Tableau2[[#This Row],[Montant participation à signature]]*0.4))</f>
        <v>40836</v>
      </c>
      <c r="AF46" s="6">
        <f>IF(Tableau2[[#This Row],[Date signature ]]="","",IF(Tableau2[[#This Row],[ACOMPTE PREVU]]=0,"",EOMONTH(EDATE(Tableau2[[#This Row],[Date signature ]],Tableau2[[#This Row],[Durée du projet]]/2),0)))</f>
        <v>42766</v>
      </c>
      <c r="AG46" s="21">
        <f>IF(Tableau2[[#This Row],[PORTEUR
DE
PROJET]]="",0,IF(COUNTIF(Tableau2[[#This Row],[PORTEUR
DE
PROJET]],"CRA*")=1,Tableau2[[#This Row],[Montant participation à signature]]/2,Tableau2[[#This Row],[Montant participation à signature]]*0.3))</f>
        <v>30627</v>
      </c>
      <c r="AH46" s="6">
        <f>IF(Tableau2[[#This Row],[Date signature ]]="","",EOMONTH(EDATE(Tableau2[[#This Row],[Date signature ]],Tableau2[[#This Row],[Durée du projet]]),0))</f>
        <v>42947</v>
      </c>
      <c r="AI46" s="29">
        <f>IF(COUNTBLANK(Tableau2[[#This Row],[Date du mandat Avance]])=1,,Tableau2[[#This Row],[AVANCE PREVUE]])</f>
        <v>30627</v>
      </c>
      <c r="AJ46" s="64">
        <v>42564</v>
      </c>
      <c r="AL46" s="6"/>
      <c r="AM46" s="6"/>
      <c r="AN46" s="17">
        <f>IF(COUNTBLANK(Tableau2[[#This Row],[Date envoi ASF Acompte]])=1,,Tableau2[[#This Row],[ACOMPTE PREVU]])</f>
        <v>0</v>
      </c>
      <c r="AO46" s="17"/>
      <c r="AQ46" s="6"/>
      <c r="AR46" s="6"/>
      <c r="AS46" s="17"/>
      <c r="AT46" s="17"/>
      <c r="AU46" s="20"/>
      <c r="AV46" s="17"/>
      <c r="AW46" s="17"/>
      <c r="AX46" s="17">
        <f>IF(Tableau2[[#This Row],[Montant participation voté au CA]]="",0,Tableau2[[#This Row],[Montant participation voté au CA]]-Tableau2[[#This Row],[Montant participation à signature]])</f>
        <v>0</v>
      </c>
      <c r="AY46" s="45">
        <v>102090</v>
      </c>
      <c r="AZ46" s="17">
        <f>Tableau2[[#This Row],[AVANCE VERSEE]]+Tableau2[[#This Row],[ACOMPTE VERSE]]+Tableau2[[#This Row],[SOLDE VERSE]]</f>
        <v>30627</v>
      </c>
      <c r="BA46" s="17">
        <f>IF(Tableau2[[#This Row],[STATUT]]="Soldée",0,Tableau2[[#This Row],[Montant participation à signature]]-Tableau2[[#This Row],[Total CP payés]])</f>
        <v>71463</v>
      </c>
      <c r="BB46" s="17">
        <f>IF(Tableau2[[#This Row],[SOLDE VERSE]]&lt;0,-Tableau2[[#This Row],[SOLDE VERSE]],0)</f>
        <v>0</v>
      </c>
      <c r="BC46" s="17">
        <f>IF(Tableau2[[#This Row],[STATUT]]="Soldée",Tableau2[[#This Row],[Montant participation à signature]]-Tableau2[[#This Row],[Total CP payés]],0)</f>
        <v>0</v>
      </c>
      <c r="BD46" s="17">
        <f>IF(Tableau2[[#This Row],[Montant participation voté au CA]]="",0,Tableau2[[#This Row],[Réfaction]]+Tableau2[[#This Row],[Montant des crédits non engagés]])</f>
        <v>0</v>
      </c>
    </row>
    <row r="47" spans="1:80" ht="15" customHeight="1" x14ac:dyDescent="0.25">
      <c r="A47" s="4">
        <v>46</v>
      </c>
      <c r="B47" s="36">
        <v>2796</v>
      </c>
      <c r="C47" s="39">
        <v>42327</v>
      </c>
      <c r="D47" s="73" t="s">
        <v>154</v>
      </c>
      <c r="E47" s="38" t="s">
        <v>51</v>
      </c>
      <c r="F47" s="38" t="s">
        <v>69</v>
      </c>
      <c r="G47" s="96" t="s">
        <v>143</v>
      </c>
      <c r="H47" s="96" t="s">
        <v>144</v>
      </c>
      <c r="I47" s="40" t="s">
        <v>48</v>
      </c>
      <c r="J47" s="77"/>
      <c r="K47" s="70"/>
      <c r="L47" s="34"/>
      <c r="M47" s="35"/>
      <c r="N47" s="38">
        <v>12</v>
      </c>
      <c r="O47" s="37">
        <v>6</v>
      </c>
      <c r="P47" s="37">
        <f>IF(Tableau2[[#This Row],[Durée du projet]]="","-",Tableau2[[#This Row],[Durée du projet]]+Tableau2[[#This Row],[Durée suppl'' pour pièces]])</f>
        <v>18</v>
      </c>
      <c r="Q47" s="39">
        <v>42570</v>
      </c>
      <c r="R47" s="60">
        <v>42370</v>
      </c>
      <c r="S47" s="6">
        <f>IF(Tableau2[[#This Row],[Date signature ]]="","",EOMONTH((EDATE(Tableau2[[#This Row],[Début éligibilité dépenses]],Tableau2[[#This Row],[Durée du projet]])),-1))</f>
        <v>42735</v>
      </c>
      <c r="T47" s="6">
        <f>IF(Tableau2[[#This Row],[Fin éligibilité dépenses]]="","",EDATE(Tableau2[[#This Row],[Fin éligibilité dépenses]],-6))</f>
        <v>42551</v>
      </c>
      <c r="U47" s="6">
        <f>IF(Tableau2[[#This Row],[Début éligibilité dépenses]]="","",EOMONTH(EDATE(Tableau2[[#This Row],[Début éligibilité dépenses]],Tableau2[[#This Row],[Durée du projet]]/2),0))</f>
        <v>42582</v>
      </c>
      <c r="V47" s="59">
        <f>IF(Tableau2[[#This Row],[Date signature ]]="","",EDATE(Tableau2[[#This Row],[Date signature ]],Tableau2[[#This Row],[Durée totale conv'' ]])-1)</f>
        <v>43118</v>
      </c>
      <c r="W47" s="40" t="s">
        <v>21</v>
      </c>
      <c r="X47" s="2"/>
      <c r="Y47" s="40" t="s">
        <v>145</v>
      </c>
      <c r="Z47" s="2"/>
      <c r="AA47" s="2"/>
      <c r="AB47" s="19"/>
      <c r="AC47" s="21">
        <f>IF(Tableau2[[#This Row],[PORTEUR
DE
PROJET]]="",0,IF(COUNTIF(Tableau2[[#This Row],[PORTEUR
DE
PROJET]],"CRA*")=1,Tableau2[[#This Row],[Montant participation à signature]]/2,Tableau2[[#This Row],[Montant participation à signature]]*0.3))</f>
        <v>28306.5</v>
      </c>
      <c r="AD47" s="6">
        <f>IF(Tableau2[[#This Row],[Date signature ]]="","",EDATE(Tableau2[[#This Row],[Date signature ]],1))</f>
        <v>42601</v>
      </c>
      <c r="AE47" s="21">
        <f>IF(Tableau2[[#This Row],[PORTEUR
DE
PROJET]]="",0,IF(COUNTIF(Tableau2[[#This Row],[PORTEUR
DE
PROJET]],"CRA*")=1,,Tableau2[[#This Row],[Montant participation à signature]]*0.4))</f>
        <v>37742</v>
      </c>
      <c r="AF47" s="6">
        <f>IF(Tableau2[[#This Row],[Date signature ]]="","",IF(Tableau2[[#This Row],[ACOMPTE PREVU]]=0,"",EOMONTH(EDATE(Tableau2[[#This Row],[Date signature ]],Tableau2[[#This Row],[Durée du projet]]/2),0)))</f>
        <v>42766</v>
      </c>
      <c r="AG47" s="21">
        <f>IF(Tableau2[[#This Row],[PORTEUR
DE
PROJET]]="",0,IF(COUNTIF(Tableau2[[#This Row],[PORTEUR
DE
PROJET]],"CRA*")=1,Tableau2[[#This Row],[Montant participation à signature]]/2,Tableau2[[#This Row],[Montant participation à signature]]*0.3))</f>
        <v>28306.5</v>
      </c>
      <c r="AH47" s="6">
        <f>IF(Tableau2[[#This Row],[Date signature ]]="","",EOMONTH(EDATE(Tableau2[[#This Row],[Date signature ]],Tableau2[[#This Row],[Durée du projet]]),0))</f>
        <v>42947</v>
      </c>
      <c r="AI47" s="29">
        <f>IF(COUNTBLANK(Tableau2[[#This Row],[Date du mandat Avance]])=1,,Tableau2[[#This Row],[AVANCE PREVUE]])</f>
        <v>28306.5</v>
      </c>
      <c r="AJ47" s="64">
        <v>42573</v>
      </c>
      <c r="AK47" s="2"/>
      <c r="AL47" s="6"/>
      <c r="AM47" s="6"/>
      <c r="AN47" s="17">
        <f>IF(COUNTBLANK(Tableau2[[#This Row],[Date envoi ASF Acompte]])=1,,Tableau2[[#This Row],[ACOMPTE PREVU]])</f>
        <v>0</v>
      </c>
      <c r="AO47" s="17"/>
      <c r="AP47" s="2"/>
      <c r="AQ47" s="6"/>
      <c r="AR47" s="6"/>
      <c r="AS47" s="17"/>
      <c r="AT47" s="17"/>
      <c r="AU47" s="20"/>
      <c r="AV47" s="17"/>
      <c r="AW47" s="17"/>
      <c r="AX47" s="17">
        <f>IF(Tableau2[[#This Row],[Montant participation voté au CA]]="",0,Tableau2[[#This Row],[Montant participation voté au CA]]-Tableau2[[#This Row],[Montant participation à signature]])</f>
        <v>0</v>
      </c>
      <c r="AY47" s="45">
        <v>94355</v>
      </c>
      <c r="AZ47" s="17">
        <f>Tableau2[[#This Row],[AVANCE VERSEE]]+Tableau2[[#This Row],[ACOMPTE VERSE]]+Tableau2[[#This Row],[SOLDE VERSE]]</f>
        <v>28306.5</v>
      </c>
      <c r="BA47" s="17">
        <f>IF(Tableau2[[#This Row],[STATUT]]="Soldée",0,Tableau2[[#This Row],[Montant participation à signature]]-Tableau2[[#This Row],[Total CP payés]])</f>
        <v>66048.5</v>
      </c>
      <c r="BB47" s="17">
        <f>IF(Tableau2[[#This Row],[SOLDE VERSE]]&lt;0,-Tableau2[[#This Row],[SOLDE VERSE]],0)</f>
        <v>0</v>
      </c>
      <c r="BC47" s="17">
        <f>IF(Tableau2[[#This Row],[STATUT]]="Soldée",Tableau2[[#This Row],[Montant participation à signature]]-Tableau2[[#This Row],[Total CP payés]],0)</f>
        <v>0</v>
      </c>
      <c r="BD47" s="17">
        <f>IF(Tableau2[[#This Row],[Montant participation voté au CA]]="",0,Tableau2[[#This Row],[Réfaction]]+Tableau2[[#This Row],[Montant des crédits non engagés]])</f>
        <v>0</v>
      </c>
      <c r="BF47"/>
      <c r="BJ47"/>
      <c r="BK47"/>
      <c r="BL47"/>
      <c r="BM47"/>
      <c r="BP47"/>
      <c r="BQ47"/>
      <c r="BR47"/>
      <c r="BS47"/>
      <c r="BT47"/>
      <c r="BU47"/>
      <c r="BV47"/>
      <c r="BW47"/>
      <c r="BX47"/>
      <c r="BY47"/>
      <c r="CA47"/>
      <c r="CB47"/>
    </row>
    <row r="48" spans="1:80" ht="15" customHeight="1" x14ac:dyDescent="0.25">
      <c r="A48" s="4">
        <v>47</v>
      </c>
      <c r="B48" s="36">
        <v>2797</v>
      </c>
      <c r="C48" s="39">
        <v>42327</v>
      </c>
      <c r="D48" s="73" t="s">
        <v>154</v>
      </c>
      <c r="E48" s="38" t="s">
        <v>51</v>
      </c>
      <c r="F48" s="38" t="s">
        <v>69</v>
      </c>
      <c r="G48" s="96" t="s">
        <v>143</v>
      </c>
      <c r="H48" s="96" t="s">
        <v>144</v>
      </c>
      <c r="I48" s="40" t="s">
        <v>48</v>
      </c>
      <c r="J48" s="77"/>
      <c r="K48" s="70"/>
      <c r="L48" s="34"/>
      <c r="M48" s="35"/>
      <c r="N48" s="3">
        <v>12</v>
      </c>
      <c r="O48" s="37">
        <v>6</v>
      </c>
      <c r="P48" s="37">
        <f>IF(Tableau2[[#This Row],[Durée du projet]]="","-",Tableau2[[#This Row],[Durée du projet]]+Tableau2[[#This Row],[Durée suppl'' pour pièces]])</f>
        <v>18</v>
      </c>
      <c r="Q48" s="39">
        <v>42570</v>
      </c>
      <c r="R48" s="60">
        <v>42370</v>
      </c>
      <c r="S48" s="6">
        <f>IF(Tableau2[[#This Row],[Date signature ]]="","",EOMONTH((EDATE(Tableau2[[#This Row],[Début éligibilité dépenses]],Tableau2[[#This Row],[Durée du projet]])),-1))</f>
        <v>42735</v>
      </c>
      <c r="T48" s="6">
        <f>IF(Tableau2[[#This Row],[Fin éligibilité dépenses]]="","",EDATE(Tableau2[[#This Row],[Fin éligibilité dépenses]],-6))</f>
        <v>42551</v>
      </c>
      <c r="U48" s="6">
        <f>IF(Tableau2[[#This Row],[Début éligibilité dépenses]]="","",EOMONTH(EDATE(Tableau2[[#This Row],[Début éligibilité dépenses]],Tableau2[[#This Row],[Durée du projet]]/2),0))</f>
        <v>42582</v>
      </c>
      <c r="V48" s="59">
        <f>IF(Tableau2[[#This Row],[Date signature ]]="","",EDATE(Tableau2[[#This Row],[Date signature ]],Tableau2[[#This Row],[Durée totale conv'' ]])-1)</f>
        <v>43118</v>
      </c>
      <c r="W48" s="40" t="s">
        <v>21</v>
      </c>
      <c r="X48" s="2"/>
      <c r="Y48" s="40" t="s">
        <v>145</v>
      </c>
      <c r="Z48" s="2"/>
      <c r="AA48" s="2"/>
      <c r="AB48" s="19"/>
      <c r="AC48" s="21">
        <f>IF(Tableau2[[#This Row],[PORTEUR
DE
PROJET]]="",0,IF(COUNTIF(Tableau2[[#This Row],[PORTEUR
DE
PROJET]],"CRA*")=1,Tableau2[[#This Row],[Montant participation à signature]]/2,Tableau2[[#This Row],[Montant participation à signature]]*0.3))</f>
        <v>28306.5</v>
      </c>
      <c r="AD48" s="6">
        <f>IF(Tableau2[[#This Row],[Date signature ]]="","",EDATE(Tableau2[[#This Row],[Date signature ]],1))</f>
        <v>42601</v>
      </c>
      <c r="AE48" s="21">
        <f>IF(Tableau2[[#This Row],[PORTEUR
DE
PROJET]]="",0,IF(COUNTIF(Tableau2[[#This Row],[PORTEUR
DE
PROJET]],"CRA*")=1,,Tableau2[[#This Row],[Montant participation à signature]]*0.4))</f>
        <v>37742</v>
      </c>
      <c r="AF48" s="6">
        <f>IF(Tableau2[[#This Row],[Date signature ]]="","",IF(Tableau2[[#This Row],[ACOMPTE PREVU]]=0,"",EOMONTH(EDATE(Tableau2[[#This Row],[Date signature ]],Tableau2[[#This Row],[Durée du projet]]/2),0)))</f>
        <v>42766</v>
      </c>
      <c r="AG48" s="21">
        <f>IF(Tableau2[[#This Row],[PORTEUR
DE
PROJET]]="",0,IF(COUNTIF(Tableau2[[#This Row],[PORTEUR
DE
PROJET]],"CRA*")=1,Tableau2[[#This Row],[Montant participation à signature]]/2,Tableau2[[#This Row],[Montant participation à signature]]*0.3))</f>
        <v>28306.5</v>
      </c>
      <c r="AH48" s="6">
        <f>IF(Tableau2[[#This Row],[Date signature ]]="","",EOMONTH(EDATE(Tableau2[[#This Row],[Date signature ]],Tableau2[[#This Row],[Durée du projet]]),0))</f>
        <v>42947</v>
      </c>
      <c r="AI48" s="29">
        <f>IF(COUNTBLANK(Tableau2[[#This Row],[Date du mandat Avance]])=1,,Tableau2[[#This Row],[AVANCE PREVUE]])</f>
        <v>28306.5</v>
      </c>
      <c r="AJ48" s="64">
        <v>42573</v>
      </c>
      <c r="AK48" s="2"/>
      <c r="AL48" s="6"/>
      <c r="AM48" s="6"/>
      <c r="AN48" s="17">
        <f>IF(COUNTBLANK(Tableau2[[#This Row],[Date envoi ASF Acompte]])=1,,Tableau2[[#This Row],[ACOMPTE PREVU]])</f>
        <v>0</v>
      </c>
      <c r="AO48" s="17"/>
      <c r="AP48" s="2"/>
      <c r="AQ48" s="6"/>
      <c r="AR48" s="6"/>
      <c r="AS48" s="17"/>
      <c r="AT48" s="17"/>
      <c r="AU48" s="20"/>
      <c r="AV48" s="17"/>
      <c r="AW48" s="17"/>
      <c r="AX48" s="17">
        <f>IF(Tableau2[[#This Row],[Montant participation voté au CA]]="",0,Tableau2[[#This Row],[Montant participation voté au CA]]-Tableau2[[#This Row],[Montant participation à signature]])</f>
        <v>0</v>
      </c>
      <c r="AY48" s="45">
        <v>94355</v>
      </c>
      <c r="AZ48" s="17">
        <f>Tableau2[[#This Row],[AVANCE VERSEE]]+Tableau2[[#This Row],[ACOMPTE VERSE]]+Tableau2[[#This Row],[SOLDE VERSE]]</f>
        <v>28306.5</v>
      </c>
      <c r="BA48" s="17">
        <f>IF(Tableau2[[#This Row],[STATUT]]="Soldée",0,Tableau2[[#This Row],[Montant participation à signature]]-Tableau2[[#This Row],[Total CP payés]])</f>
        <v>66048.5</v>
      </c>
      <c r="BB48" s="17">
        <f>IF(Tableau2[[#This Row],[SOLDE VERSE]]&lt;0,-Tableau2[[#This Row],[SOLDE VERSE]],0)</f>
        <v>0</v>
      </c>
      <c r="BC48" s="17">
        <f>IF(Tableau2[[#This Row],[STATUT]]="Soldée",Tableau2[[#This Row],[Montant participation à signature]]-Tableau2[[#This Row],[Total CP payés]],0)</f>
        <v>0</v>
      </c>
      <c r="BD48" s="17">
        <f>IF(Tableau2[[#This Row],[Montant participation voté au CA]]="",0,Tableau2[[#This Row],[Réfaction]]+Tableau2[[#This Row],[Montant des crédits non engagés]])</f>
        <v>0</v>
      </c>
      <c r="BF48"/>
      <c r="BJ48"/>
      <c r="BK48"/>
      <c r="BL48"/>
      <c r="BM48"/>
      <c r="BP48"/>
      <c r="BQ48"/>
      <c r="BR48"/>
      <c r="BS48"/>
      <c r="BT48"/>
      <c r="BU48"/>
      <c r="BV48"/>
      <c r="BW48"/>
      <c r="BX48"/>
      <c r="BY48"/>
      <c r="CA48"/>
      <c r="CB48"/>
    </row>
    <row r="49" spans="1:80" ht="15" customHeight="1" x14ac:dyDescent="0.25">
      <c r="A49" s="4">
        <v>48</v>
      </c>
      <c r="B49" s="36">
        <v>2798</v>
      </c>
      <c r="C49" s="39">
        <v>42327</v>
      </c>
      <c r="D49" s="73" t="s">
        <v>154</v>
      </c>
      <c r="E49" s="38" t="s">
        <v>51</v>
      </c>
      <c r="F49" s="38" t="s">
        <v>69</v>
      </c>
      <c r="G49" s="96" t="s">
        <v>143</v>
      </c>
      <c r="H49" s="96" t="s">
        <v>144</v>
      </c>
      <c r="I49" s="40" t="s">
        <v>48</v>
      </c>
      <c r="J49" s="77"/>
      <c r="K49" s="70"/>
      <c r="L49" s="34"/>
      <c r="M49" s="35"/>
      <c r="N49" s="38">
        <v>12</v>
      </c>
      <c r="O49" s="37">
        <v>6</v>
      </c>
      <c r="P49" s="37">
        <f>IF(Tableau2[[#This Row],[Durée du projet]]="","-",Tableau2[[#This Row],[Durée du projet]]+Tableau2[[#This Row],[Durée suppl'' pour pièces]])</f>
        <v>18</v>
      </c>
      <c r="Q49" s="39">
        <v>42570</v>
      </c>
      <c r="R49" s="60">
        <v>42370</v>
      </c>
      <c r="S49" s="6">
        <f>IF(Tableau2[[#This Row],[Date signature ]]="","",EOMONTH((EDATE(Tableau2[[#This Row],[Début éligibilité dépenses]],Tableau2[[#This Row],[Durée du projet]])),-1))</f>
        <v>42735</v>
      </c>
      <c r="T49" s="6">
        <f>IF(Tableau2[[#This Row],[Fin éligibilité dépenses]]="","",EDATE(Tableau2[[#This Row],[Fin éligibilité dépenses]],-6))</f>
        <v>42551</v>
      </c>
      <c r="U49" s="6">
        <f>IF(Tableau2[[#This Row],[Début éligibilité dépenses]]="","",EOMONTH(EDATE(Tableau2[[#This Row],[Début éligibilité dépenses]],Tableau2[[#This Row],[Durée du projet]]/2),0))</f>
        <v>42582</v>
      </c>
      <c r="V49" s="59">
        <f>IF(Tableau2[[#This Row],[Date signature ]]="","",EDATE(Tableau2[[#This Row],[Date signature ]],Tableau2[[#This Row],[Durée totale conv'' ]])-1)</f>
        <v>43118</v>
      </c>
      <c r="W49" s="40" t="s">
        <v>21</v>
      </c>
      <c r="X49" s="2"/>
      <c r="Y49" s="40" t="s">
        <v>145</v>
      </c>
      <c r="Z49" s="2"/>
      <c r="AA49" s="2"/>
      <c r="AB49" s="19"/>
      <c r="AC49" s="21">
        <f>IF(Tableau2[[#This Row],[PORTEUR
DE
PROJET]]="",0,IF(COUNTIF(Tableau2[[#This Row],[PORTEUR
DE
PROJET]],"CRA*")=1,Tableau2[[#This Row],[Montant participation à signature]]/2,Tableau2[[#This Row],[Montant participation à signature]]*0.3))</f>
        <v>28306.5</v>
      </c>
      <c r="AD49" s="6">
        <f>IF(Tableau2[[#This Row],[Date signature ]]="","",EDATE(Tableau2[[#This Row],[Date signature ]],1))</f>
        <v>42601</v>
      </c>
      <c r="AE49" s="21">
        <f>IF(Tableau2[[#This Row],[PORTEUR
DE
PROJET]]="",0,IF(COUNTIF(Tableau2[[#This Row],[PORTEUR
DE
PROJET]],"CRA*")=1,,Tableau2[[#This Row],[Montant participation à signature]]*0.4))</f>
        <v>37742</v>
      </c>
      <c r="AF49" s="6">
        <f>IF(Tableau2[[#This Row],[Date signature ]]="","",IF(Tableau2[[#This Row],[ACOMPTE PREVU]]=0,"",EOMONTH(EDATE(Tableau2[[#This Row],[Date signature ]],Tableau2[[#This Row],[Durée du projet]]/2),0)))</f>
        <v>42766</v>
      </c>
      <c r="AG49" s="21">
        <f>IF(Tableau2[[#This Row],[PORTEUR
DE
PROJET]]="",0,IF(COUNTIF(Tableau2[[#This Row],[PORTEUR
DE
PROJET]],"CRA*")=1,Tableau2[[#This Row],[Montant participation à signature]]/2,Tableau2[[#This Row],[Montant participation à signature]]*0.3))</f>
        <v>28306.5</v>
      </c>
      <c r="AH49" s="6">
        <f>IF(Tableau2[[#This Row],[Date signature ]]="","",EOMONTH(EDATE(Tableau2[[#This Row],[Date signature ]],Tableau2[[#This Row],[Durée du projet]]),0))</f>
        <v>42947</v>
      </c>
      <c r="AI49" s="29">
        <f>IF(COUNTBLANK(Tableau2[[#This Row],[Date du mandat Avance]])=1,,Tableau2[[#This Row],[AVANCE PREVUE]])</f>
        <v>28306.5</v>
      </c>
      <c r="AJ49" s="64">
        <v>42573</v>
      </c>
      <c r="AK49" s="2"/>
      <c r="AL49" s="6"/>
      <c r="AM49" s="6"/>
      <c r="AN49" s="17">
        <f>IF(COUNTBLANK(Tableau2[[#This Row],[Date envoi ASF Acompte]])=1,,Tableau2[[#This Row],[ACOMPTE PREVU]])</f>
        <v>0</v>
      </c>
      <c r="AO49" s="17"/>
      <c r="AP49" s="2"/>
      <c r="AQ49" s="6"/>
      <c r="AR49" s="6"/>
      <c r="AS49" s="17"/>
      <c r="AT49" s="17"/>
      <c r="AU49" s="20"/>
      <c r="AV49" s="17"/>
      <c r="AW49" s="17"/>
      <c r="AX49" s="17">
        <f>IF(Tableau2[[#This Row],[Montant participation voté au CA]]="",0,Tableau2[[#This Row],[Montant participation voté au CA]]-Tableau2[[#This Row],[Montant participation à signature]])</f>
        <v>0</v>
      </c>
      <c r="AY49" s="45">
        <v>94355</v>
      </c>
      <c r="AZ49" s="17">
        <f>Tableau2[[#This Row],[AVANCE VERSEE]]+Tableau2[[#This Row],[ACOMPTE VERSE]]+Tableau2[[#This Row],[SOLDE VERSE]]</f>
        <v>28306.5</v>
      </c>
      <c r="BA49" s="17">
        <f>IF(Tableau2[[#This Row],[STATUT]]="Soldée",0,Tableau2[[#This Row],[Montant participation à signature]]-Tableau2[[#This Row],[Total CP payés]])</f>
        <v>66048.5</v>
      </c>
      <c r="BB49" s="17">
        <f>IF(Tableau2[[#This Row],[SOLDE VERSE]]&lt;0,-Tableau2[[#This Row],[SOLDE VERSE]],0)</f>
        <v>0</v>
      </c>
      <c r="BC49" s="17">
        <f>IF(Tableau2[[#This Row],[STATUT]]="Soldée",Tableau2[[#This Row],[Montant participation à signature]]-Tableau2[[#This Row],[Total CP payés]],0)</f>
        <v>0</v>
      </c>
      <c r="BD49" s="17">
        <f>IF(Tableau2[[#This Row],[Montant participation voté au CA]]="",0,Tableau2[[#This Row],[Réfaction]]+Tableau2[[#This Row],[Montant des crédits non engagés]])</f>
        <v>0</v>
      </c>
      <c r="BF49"/>
      <c r="BJ49"/>
      <c r="BK49"/>
      <c r="BL49"/>
      <c r="BM49"/>
      <c r="BP49"/>
      <c r="BQ49"/>
      <c r="BR49"/>
      <c r="BS49"/>
      <c r="BT49"/>
      <c r="BU49"/>
      <c r="BV49"/>
      <c r="BW49"/>
      <c r="BX49"/>
      <c r="BY49"/>
      <c r="CA49"/>
      <c r="CB49"/>
    </row>
    <row r="50" spans="1:80" s="2" customFormat="1" ht="15" customHeight="1" x14ac:dyDescent="0.25">
      <c r="A50" s="4">
        <v>49</v>
      </c>
      <c r="B50" s="36">
        <v>2800</v>
      </c>
      <c r="C50" s="39">
        <v>42327</v>
      </c>
      <c r="D50" s="73" t="s">
        <v>154</v>
      </c>
      <c r="E50" s="38" t="s">
        <v>51</v>
      </c>
      <c r="F50" s="38" t="s">
        <v>69</v>
      </c>
      <c r="G50" s="96" t="s">
        <v>143</v>
      </c>
      <c r="H50" s="96" t="s">
        <v>144</v>
      </c>
      <c r="I50" s="40" t="s">
        <v>48</v>
      </c>
      <c r="J50" s="77"/>
      <c r="K50" s="70"/>
      <c r="L50" s="34"/>
      <c r="M50" s="35"/>
      <c r="N50" s="38">
        <v>12</v>
      </c>
      <c r="O50" s="37">
        <v>6</v>
      </c>
      <c r="P50" s="37">
        <f>IF(Tableau2[[#This Row],[Durée du projet]]="","-",Tableau2[[#This Row],[Durée du projet]]+Tableau2[[#This Row],[Durée suppl'' pour pièces]])</f>
        <v>18</v>
      </c>
      <c r="Q50" s="39">
        <v>42571</v>
      </c>
      <c r="R50" s="60">
        <v>42370</v>
      </c>
      <c r="S50" s="6">
        <f>IF(Tableau2[[#This Row],[Date signature ]]="","",EOMONTH((EDATE(Tableau2[[#This Row],[Début éligibilité dépenses]],Tableau2[[#This Row],[Durée du projet]])),-1))</f>
        <v>42735</v>
      </c>
      <c r="T50" s="6">
        <f>IF(Tableau2[[#This Row],[Fin éligibilité dépenses]]="","",EDATE(Tableau2[[#This Row],[Fin éligibilité dépenses]],-6))</f>
        <v>42551</v>
      </c>
      <c r="U50" s="6">
        <f>IF(Tableau2[[#This Row],[Début éligibilité dépenses]]="","",EOMONTH(EDATE(Tableau2[[#This Row],[Début éligibilité dépenses]],Tableau2[[#This Row],[Durée du projet]]/2),0))</f>
        <v>42582</v>
      </c>
      <c r="V50" s="59">
        <f>IF(Tableau2[[#This Row],[Date signature ]]="","",EDATE(Tableau2[[#This Row],[Date signature ]],Tableau2[[#This Row],[Durée totale conv'' ]])-1)</f>
        <v>43119</v>
      </c>
      <c r="W50" s="40" t="s">
        <v>21</v>
      </c>
      <c r="Y50" s="40" t="s">
        <v>145</v>
      </c>
      <c r="AB50" s="19"/>
      <c r="AC50" s="21">
        <f>IF(Tableau2[[#This Row],[PORTEUR
DE
PROJET]]="",0,IF(COUNTIF(Tableau2[[#This Row],[PORTEUR
DE
PROJET]],"CRA*")=1,Tableau2[[#This Row],[Montant participation à signature]]/2,Tableau2[[#This Row],[Montant participation à signature]]*0.3))</f>
        <v>28306.5</v>
      </c>
      <c r="AD50" s="6">
        <f>IF(Tableau2[[#This Row],[Date signature ]]="","",EDATE(Tableau2[[#This Row],[Date signature ]],1))</f>
        <v>42602</v>
      </c>
      <c r="AE50" s="21">
        <f>IF(Tableau2[[#This Row],[PORTEUR
DE
PROJET]]="",0,IF(COUNTIF(Tableau2[[#This Row],[PORTEUR
DE
PROJET]],"CRA*")=1,,Tableau2[[#This Row],[Montant participation à signature]]*0.4))</f>
        <v>37742</v>
      </c>
      <c r="AF50" s="6">
        <f>IF(Tableau2[[#This Row],[Date signature ]]="","",IF(Tableau2[[#This Row],[ACOMPTE PREVU]]=0,"",EOMONTH(EDATE(Tableau2[[#This Row],[Date signature ]],Tableau2[[#This Row],[Durée du projet]]/2),0)))</f>
        <v>42766</v>
      </c>
      <c r="AG50" s="21">
        <f>IF(Tableau2[[#This Row],[PORTEUR
DE
PROJET]]="",0,IF(COUNTIF(Tableau2[[#This Row],[PORTEUR
DE
PROJET]],"CRA*")=1,Tableau2[[#This Row],[Montant participation à signature]]/2,Tableau2[[#This Row],[Montant participation à signature]]*0.3))</f>
        <v>28306.5</v>
      </c>
      <c r="AH50" s="6">
        <f>IF(Tableau2[[#This Row],[Date signature ]]="","",EOMONTH(EDATE(Tableau2[[#This Row],[Date signature ]],Tableau2[[#This Row],[Durée du projet]]),0))</f>
        <v>42947</v>
      </c>
      <c r="AI50" s="29">
        <f>IF(COUNTBLANK(Tableau2[[#This Row],[Date du mandat Avance]])=1,,Tableau2[[#This Row],[AVANCE PREVUE]])</f>
        <v>28306.5</v>
      </c>
      <c r="AJ50" s="64">
        <v>42573</v>
      </c>
      <c r="AL50" s="6"/>
      <c r="AM50" s="6"/>
      <c r="AN50" s="17">
        <f>IF(COUNTBLANK(Tableau2[[#This Row],[Date envoi ASF Acompte]])=1,,Tableau2[[#This Row],[ACOMPTE PREVU]])</f>
        <v>0</v>
      </c>
      <c r="AO50" s="17"/>
      <c r="AQ50" s="6"/>
      <c r="AR50" s="6"/>
      <c r="AS50" s="17"/>
      <c r="AT50" s="17"/>
      <c r="AU50" s="20"/>
      <c r="AV50" s="17"/>
      <c r="AW50" s="17"/>
      <c r="AX50" s="17">
        <f>IF(Tableau2[[#This Row],[Montant participation voté au CA]]="",0,Tableau2[[#This Row],[Montant participation voté au CA]]-Tableau2[[#This Row],[Montant participation à signature]])</f>
        <v>0</v>
      </c>
      <c r="AY50" s="45">
        <v>94355</v>
      </c>
      <c r="AZ50" s="17">
        <f>Tableau2[[#This Row],[AVANCE VERSEE]]+Tableau2[[#This Row],[ACOMPTE VERSE]]+Tableau2[[#This Row],[SOLDE VERSE]]</f>
        <v>28306.5</v>
      </c>
      <c r="BA50" s="17">
        <f>IF(Tableau2[[#This Row],[STATUT]]="Soldée",0,Tableau2[[#This Row],[Montant participation à signature]]-Tableau2[[#This Row],[Total CP payés]])</f>
        <v>66048.5</v>
      </c>
      <c r="BB50" s="17">
        <f>IF(Tableau2[[#This Row],[SOLDE VERSE]]&lt;0,-Tableau2[[#This Row],[SOLDE VERSE]],0)</f>
        <v>0</v>
      </c>
      <c r="BC50" s="17">
        <f>IF(Tableau2[[#This Row],[STATUT]]="Soldée",Tableau2[[#This Row],[Montant participation à signature]]-Tableau2[[#This Row],[Total CP payés]],0)</f>
        <v>0</v>
      </c>
      <c r="BD50" s="17">
        <f>IF(Tableau2[[#This Row],[Montant participation voté au CA]]="",0,Tableau2[[#This Row],[Réfaction]]+Tableau2[[#This Row],[Montant des crédits non engagés]])</f>
        <v>0</v>
      </c>
    </row>
    <row r="51" spans="1:80" ht="15" customHeight="1" x14ac:dyDescent="0.25">
      <c r="A51" s="4">
        <v>50</v>
      </c>
      <c r="B51" s="36">
        <v>2801</v>
      </c>
      <c r="C51" s="39">
        <v>42327</v>
      </c>
      <c r="D51" s="73" t="s">
        <v>154</v>
      </c>
      <c r="E51" s="38" t="s">
        <v>51</v>
      </c>
      <c r="F51" s="38" t="s">
        <v>69</v>
      </c>
      <c r="G51" s="96" t="s">
        <v>143</v>
      </c>
      <c r="H51" s="96" t="s">
        <v>144</v>
      </c>
      <c r="I51" s="40" t="s">
        <v>48</v>
      </c>
      <c r="J51" s="77"/>
      <c r="K51" s="70"/>
      <c r="L51" s="34"/>
      <c r="M51" s="35"/>
      <c r="N51" s="38">
        <v>12</v>
      </c>
      <c r="O51" s="37">
        <v>6</v>
      </c>
      <c r="P51" s="37">
        <f>IF(Tableau2[[#This Row],[Durée du projet]]="","-",Tableau2[[#This Row],[Durée du projet]]+Tableau2[[#This Row],[Durée suppl'' pour pièces]])</f>
        <v>18</v>
      </c>
      <c r="Q51" s="39">
        <v>42572</v>
      </c>
      <c r="R51" s="60">
        <v>42370</v>
      </c>
      <c r="S51" s="6">
        <f>IF(Tableau2[[#This Row],[Date signature ]]="","",EOMONTH((EDATE(Tableau2[[#This Row],[Début éligibilité dépenses]],Tableau2[[#This Row],[Durée du projet]])),-1))</f>
        <v>42735</v>
      </c>
      <c r="T51" s="6">
        <f>IF(Tableau2[[#This Row],[Fin éligibilité dépenses]]="","",EDATE(Tableau2[[#This Row],[Fin éligibilité dépenses]],-6))</f>
        <v>42551</v>
      </c>
      <c r="U51" s="6">
        <f>IF(Tableau2[[#This Row],[Début éligibilité dépenses]]="","",EOMONTH(EDATE(Tableau2[[#This Row],[Début éligibilité dépenses]],Tableau2[[#This Row],[Durée du projet]]/2),0))</f>
        <v>42582</v>
      </c>
      <c r="V51" s="59">
        <f>IF(Tableau2[[#This Row],[Date signature ]]="","",EDATE(Tableau2[[#This Row],[Date signature ]],Tableau2[[#This Row],[Durée totale conv'' ]])-1)</f>
        <v>43120</v>
      </c>
      <c r="W51" s="40" t="s">
        <v>21</v>
      </c>
      <c r="X51" s="2"/>
      <c r="Y51" s="40" t="s">
        <v>145</v>
      </c>
      <c r="Z51" s="2"/>
      <c r="AA51" s="2"/>
      <c r="AB51" s="19"/>
      <c r="AC51" s="21">
        <f>IF(Tableau2[[#This Row],[PORTEUR
DE
PROJET]]="",0,IF(COUNTIF(Tableau2[[#This Row],[PORTEUR
DE
PROJET]],"CRA*")=1,Tableau2[[#This Row],[Montant participation à signature]]/2,Tableau2[[#This Row],[Montant participation à signature]]*0.3))</f>
        <v>39909.599999999999</v>
      </c>
      <c r="AD51" s="6">
        <f>IF(Tableau2[[#This Row],[Date signature ]]="","",EDATE(Tableau2[[#This Row],[Date signature ]],1))</f>
        <v>42603</v>
      </c>
      <c r="AE51" s="21">
        <f>IF(Tableau2[[#This Row],[PORTEUR
DE
PROJET]]="",0,IF(COUNTIF(Tableau2[[#This Row],[PORTEUR
DE
PROJET]],"CRA*")=1,,Tableau2[[#This Row],[Montant participation à signature]]*0.4))</f>
        <v>53212.800000000003</v>
      </c>
      <c r="AF51" s="6">
        <f>IF(Tableau2[[#This Row],[Date signature ]]="","",IF(Tableau2[[#This Row],[ACOMPTE PREVU]]=0,"",EOMONTH(EDATE(Tableau2[[#This Row],[Date signature ]],Tableau2[[#This Row],[Durée du projet]]/2),0)))</f>
        <v>42766</v>
      </c>
      <c r="AG51" s="21">
        <f>IF(Tableau2[[#This Row],[PORTEUR
DE
PROJET]]="",0,IF(COUNTIF(Tableau2[[#This Row],[PORTEUR
DE
PROJET]],"CRA*")=1,Tableau2[[#This Row],[Montant participation à signature]]/2,Tableau2[[#This Row],[Montant participation à signature]]*0.3))</f>
        <v>39909.599999999999</v>
      </c>
      <c r="AH51" s="6">
        <f>IF(Tableau2[[#This Row],[Date signature ]]="","",EOMONTH(EDATE(Tableau2[[#This Row],[Date signature ]],Tableau2[[#This Row],[Durée du projet]]),0))</f>
        <v>42947</v>
      </c>
      <c r="AI51" s="29">
        <f>IF(COUNTBLANK(Tableau2[[#This Row],[Date du mandat Avance]])=1,,Tableau2[[#This Row],[AVANCE PREVUE]])</f>
        <v>39909.599999999999</v>
      </c>
      <c r="AJ51" s="64">
        <v>42573</v>
      </c>
      <c r="AK51" s="2"/>
      <c r="AL51" s="6"/>
      <c r="AM51" s="6"/>
      <c r="AN51" s="17">
        <f>IF(COUNTBLANK(Tableau2[[#This Row],[Date envoi ASF Acompte]])=1,,Tableau2[[#This Row],[ACOMPTE PREVU]])</f>
        <v>0</v>
      </c>
      <c r="AO51" s="17"/>
      <c r="AP51" s="2"/>
      <c r="AQ51" s="6"/>
      <c r="AR51" s="6"/>
      <c r="AS51" s="17"/>
      <c r="AT51" s="17"/>
      <c r="AU51" s="20"/>
      <c r="AV51" s="17"/>
      <c r="AW51" s="17"/>
      <c r="AX51" s="17">
        <f>IF(Tableau2[[#This Row],[Montant participation voté au CA]]="",0,Tableau2[[#This Row],[Montant participation voté au CA]]-Tableau2[[#This Row],[Montant participation à signature]])</f>
        <v>0</v>
      </c>
      <c r="AY51" s="45">
        <v>133032</v>
      </c>
      <c r="AZ51" s="17">
        <f>Tableau2[[#This Row],[AVANCE VERSEE]]+Tableau2[[#This Row],[ACOMPTE VERSE]]+Tableau2[[#This Row],[SOLDE VERSE]]</f>
        <v>39909.599999999999</v>
      </c>
      <c r="BA51" s="17">
        <f>IF(Tableau2[[#This Row],[STATUT]]="Soldée",0,Tableau2[[#This Row],[Montant participation à signature]]-Tableau2[[#This Row],[Total CP payés]])</f>
        <v>93122.4</v>
      </c>
      <c r="BB51" s="17">
        <f>IF(Tableau2[[#This Row],[SOLDE VERSE]]&lt;0,-Tableau2[[#This Row],[SOLDE VERSE]],0)</f>
        <v>0</v>
      </c>
      <c r="BC51" s="17">
        <f>IF(Tableau2[[#This Row],[STATUT]]="Soldée",Tableau2[[#This Row],[Montant participation à signature]]-Tableau2[[#This Row],[Total CP payés]],0)</f>
        <v>0</v>
      </c>
      <c r="BD51" s="17">
        <f>IF(Tableau2[[#This Row],[Montant participation voté au CA]]="",0,Tableau2[[#This Row],[Réfaction]]+Tableau2[[#This Row],[Montant des crédits non engagés]])</f>
        <v>0</v>
      </c>
      <c r="BF51"/>
      <c r="BJ51"/>
      <c r="BK51"/>
      <c r="BL51"/>
      <c r="BM51"/>
      <c r="BP51"/>
      <c r="BQ51"/>
      <c r="BR51"/>
      <c r="BS51"/>
      <c r="BT51"/>
      <c r="BU51"/>
      <c r="BV51"/>
      <c r="BW51"/>
      <c r="BX51"/>
      <c r="BY51"/>
      <c r="CA51"/>
      <c r="CB51"/>
    </row>
    <row r="52" spans="1:80" ht="15" customHeight="1" x14ac:dyDescent="0.25">
      <c r="A52" s="4">
        <v>51</v>
      </c>
      <c r="B52" s="36">
        <v>2809</v>
      </c>
      <c r="C52" s="39">
        <v>42327</v>
      </c>
      <c r="D52" s="73" t="s">
        <v>154</v>
      </c>
      <c r="E52" s="38">
        <v>1</v>
      </c>
      <c r="F52" s="38">
        <v>2</v>
      </c>
      <c r="G52" s="96" t="s">
        <v>143</v>
      </c>
      <c r="H52" s="96" t="s">
        <v>144</v>
      </c>
      <c r="I52" s="40" t="s">
        <v>48</v>
      </c>
      <c r="J52" s="77"/>
      <c r="K52" s="70"/>
      <c r="L52" s="34"/>
      <c r="M52" s="35"/>
      <c r="N52" s="38">
        <v>12</v>
      </c>
      <c r="O52" s="37">
        <v>6</v>
      </c>
      <c r="P52" s="37">
        <f>IF(Tableau2[[#This Row],[Durée du projet]]="","-",Tableau2[[#This Row],[Durée du projet]]+Tableau2[[#This Row],[Durée suppl'' pour pièces]])</f>
        <v>18</v>
      </c>
      <c r="Q52" s="39">
        <v>42592</v>
      </c>
      <c r="R52" s="60">
        <v>42370</v>
      </c>
      <c r="S52" s="6">
        <f>IF(Tableau2[[#This Row],[Date signature ]]="","",EOMONTH((EDATE(Tableau2[[#This Row],[Début éligibilité dépenses]],Tableau2[[#This Row],[Durée du projet]])),-1))</f>
        <v>42735</v>
      </c>
      <c r="T52" s="6">
        <f>IF(Tableau2[[#This Row],[Fin éligibilité dépenses]]="","",EDATE(Tableau2[[#This Row],[Fin éligibilité dépenses]],-6))</f>
        <v>42551</v>
      </c>
      <c r="U52" s="6">
        <f>IF(Tableau2[[#This Row],[Début éligibilité dépenses]]="","",EOMONTH(EDATE(Tableau2[[#This Row],[Début éligibilité dépenses]],Tableau2[[#This Row],[Durée du projet]]/2),0))</f>
        <v>42582</v>
      </c>
      <c r="V52" s="59">
        <f>IF(Tableau2[[#This Row],[Date signature ]]="","",EDATE(Tableau2[[#This Row],[Date signature ]],Tableau2[[#This Row],[Durée totale conv'' ]])-1)</f>
        <v>43140</v>
      </c>
      <c r="W52" s="40" t="s">
        <v>21</v>
      </c>
      <c r="X52" s="2"/>
      <c r="Y52" s="40" t="s">
        <v>145</v>
      </c>
      <c r="Z52" s="2"/>
      <c r="AA52" s="2"/>
      <c r="AB52" s="19"/>
      <c r="AC52" s="21">
        <f>IF(Tableau2[[#This Row],[PORTEUR
DE
PROJET]]="",0,IF(COUNTIF(Tableau2[[#This Row],[PORTEUR
DE
PROJET]],"CRA*")=1,Tableau2[[#This Row],[Montant participation à signature]]/2,Tableau2[[#This Row],[Montant participation à signature]]*0.3))</f>
        <v>175889.25</v>
      </c>
      <c r="AD52" s="6">
        <f>IF(Tableau2[[#This Row],[Date signature ]]="","",EDATE(Tableau2[[#This Row],[Date signature ]],1))</f>
        <v>42623</v>
      </c>
      <c r="AE52" s="21">
        <f>IF(Tableau2[[#This Row],[PORTEUR
DE
PROJET]]="",0,IF(COUNTIF(Tableau2[[#This Row],[PORTEUR
DE
PROJET]],"CRA*")=1,,Tableau2[[#This Row],[Montant participation à signature]]*0.4))</f>
        <v>234519</v>
      </c>
      <c r="AF52" s="6">
        <f>IF(Tableau2[[#This Row],[Date signature ]]="","",IF(Tableau2[[#This Row],[ACOMPTE PREVU]]=0,"",EOMONTH(EDATE(Tableau2[[#This Row],[Date signature ]],Tableau2[[#This Row],[Durée du projet]]/2),0)))</f>
        <v>42794</v>
      </c>
      <c r="AG52" s="21">
        <f>IF(Tableau2[[#This Row],[PORTEUR
DE
PROJET]]="",0,IF(COUNTIF(Tableau2[[#This Row],[PORTEUR
DE
PROJET]],"CRA*")=1,Tableau2[[#This Row],[Montant participation à signature]]/2,Tableau2[[#This Row],[Montant participation à signature]]*0.3))</f>
        <v>175889.25</v>
      </c>
      <c r="AH52" s="6">
        <f>IF(Tableau2[[#This Row],[Date signature ]]="","",EOMONTH(EDATE(Tableau2[[#This Row],[Date signature ]],Tableau2[[#This Row],[Durée du projet]]),0))</f>
        <v>42978</v>
      </c>
      <c r="AI52" s="29">
        <f>IF(COUNTBLANK(Tableau2[[#This Row],[Date du mandat Avance]])=1,,Tableau2[[#This Row],[AVANCE PREVUE]])</f>
        <v>175889.25</v>
      </c>
      <c r="AJ52" s="64">
        <v>42578</v>
      </c>
      <c r="AK52" s="2"/>
      <c r="AL52" s="6"/>
      <c r="AM52" s="6"/>
      <c r="AN52" s="17">
        <f>IF(COUNTBLANK(Tableau2[[#This Row],[Date envoi ASF Acompte]])=1,,Tableau2[[#This Row],[ACOMPTE PREVU]])</f>
        <v>0</v>
      </c>
      <c r="AO52" s="17"/>
      <c r="AP52" s="2"/>
      <c r="AQ52" s="6"/>
      <c r="AR52" s="6"/>
      <c r="AS52" s="17"/>
      <c r="AT52" s="17"/>
      <c r="AU52" s="20"/>
      <c r="AV52" s="17"/>
      <c r="AW52" s="17"/>
      <c r="AX52" s="17">
        <f>IF(Tableau2[[#This Row],[Montant participation voté au CA]]="",0,Tableau2[[#This Row],[Montant participation voté au CA]]-Tableau2[[#This Row],[Montant participation à signature]])</f>
        <v>0</v>
      </c>
      <c r="AY52" s="45">
        <v>586297.5</v>
      </c>
      <c r="AZ52" s="17">
        <f>Tableau2[[#This Row],[AVANCE VERSEE]]+Tableau2[[#This Row],[ACOMPTE VERSE]]+Tableau2[[#This Row],[SOLDE VERSE]]</f>
        <v>175889.25</v>
      </c>
      <c r="BA52" s="17">
        <f>IF(Tableau2[[#This Row],[STATUT]]="Soldée",0,Tableau2[[#This Row],[Montant participation à signature]]-Tableau2[[#This Row],[Total CP payés]])</f>
        <v>410408.25</v>
      </c>
      <c r="BB52" s="17">
        <f>IF(Tableau2[[#This Row],[SOLDE VERSE]]&lt;0,-Tableau2[[#This Row],[SOLDE VERSE]],0)</f>
        <v>0</v>
      </c>
      <c r="BC52" s="17">
        <f>IF(Tableau2[[#This Row],[STATUT]]="Soldée",Tableau2[[#This Row],[Montant participation à signature]]-Tableau2[[#This Row],[Total CP payés]],0)</f>
        <v>0</v>
      </c>
      <c r="BD52" s="17">
        <f>IF(Tableau2[[#This Row],[Montant participation voté au CA]]="",0,Tableau2[[#This Row],[Réfaction]]+Tableau2[[#This Row],[Montant des crédits non engagés]])</f>
        <v>0</v>
      </c>
      <c r="BF52"/>
      <c r="BJ52"/>
      <c r="BK52"/>
      <c r="BL52"/>
      <c r="BM52"/>
      <c r="BP52"/>
      <c r="BQ52"/>
      <c r="BR52"/>
      <c r="BS52"/>
      <c r="BT52"/>
      <c r="BU52"/>
      <c r="BV52"/>
      <c r="BW52"/>
      <c r="BX52"/>
      <c r="BY52"/>
      <c r="CA52"/>
      <c r="CB52"/>
    </row>
    <row r="53" spans="1:80" ht="15" customHeight="1" x14ac:dyDescent="0.25">
      <c r="A53" s="4">
        <v>52</v>
      </c>
      <c r="B53" s="36">
        <v>2811</v>
      </c>
      <c r="C53" s="39">
        <v>42327</v>
      </c>
      <c r="D53" s="73" t="s">
        <v>154</v>
      </c>
      <c r="E53" s="38">
        <v>1</v>
      </c>
      <c r="F53" s="38">
        <v>2</v>
      </c>
      <c r="G53" s="96" t="s">
        <v>143</v>
      </c>
      <c r="H53" s="96" t="s">
        <v>144</v>
      </c>
      <c r="I53" s="40" t="s">
        <v>48</v>
      </c>
      <c r="J53" s="77"/>
      <c r="K53" s="70"/>
      <c r="L53" s="34"/>
      <c r="M53" s="35"/>
      <c r="N53" s="38">
        <v>12</v>
      </c>
      <c r="O53" s="37">
        <v>6</v>
      </c>
      <c r="P53" s="37">
        <f>IF(Tableau2[[#This Row],[Durée du projet]]="","-",Tableau2[[#This Row],[Durée du projet]]+Tableau2[[#This Row],[Durée suppl'' pour pièces]])</f>
        <v>18</v>
      </c>
      <c r="Q53" s="39">
        <v>42578</v>
      </c>
      <c r="R53" s="60">
        <v>42370</v>
      </c>
      <c r="S53" s="6">
        <f>IF(Tableau2[[#This Row],[Date signature ]]="","",EOMONTH((EDATE(Tableau2[[#This Row],[Début éligibilité dépenses]],Tableau2[[#This Row],[Durée du projet]])),-1))</f>
        <v>42735</v>
      </c>
      <c r="T53" s="6">
        <f>IF(Tableau2[[#This Row],[Fin éligibilité dépenses]]="","",EDATE(Tableau2[[#This Row],[Fin éligibilité dépenses]],-6))</f>
        <v>42551</v>
      </c>
      <c r="U53" s="6">
        <f>IF(Tableau2[[#This Row],[Début éligibilité dépenses]]="","",EOMONTH(EDATE(Tableau2[[#This Row],[Début éligibilité dépenses]],Tableau2[[#This Row],[Durée du projet]]/2),0))</f>
        <v>42582</v>
      </c>
      <c r="V53" s="59">
        <f>IF(Tableau2[[#This Row],[Date signature ]]="","",EDATE(Tableau2[[#This Row],[Date signature ]],Tableau2[[#This Row],[Durée totale conv'' ]])-1)</f>
        <v>43126</v>
      </c>
      <c r="W53" s="40" t="s">
        <v>21</v>
      </c>
      <c r="X53" s="2"/>
      <c r="Y53" s="40" t="s">
        <v>145</v>
      </c>
      <c r="Z53" s="2"/>
      <c r="AA53" s="2"/>
      <c r="AB53" s="19"/>
      <c r="AC53" s="21">
        <f>IF(Tableau2[[#This Row],[PORTEUR
DE
PROJET]]="",0,IF(COUNTIF(Tableau2[[#This Row],[PORTEUR
DE
PROJET]],"CRA*")=1,Tableau2[[#This Row],[Montant participation à signature]]/2,Tableau2[[#This Row],[Montant participation à signature]]*0.3))</f>
        <v>117970.62899999999</v>
      </c>
      <c r="AD53" s="6">
        <f>IF(Tableau2[[#This Row],[Date signature ]]="","",EDATE(Tableau2[[#This Row],[Date signature ]],1))</f>
        <v>42609</v>
      </c>
      <c r="AE53" s="21">
        <f>IF(Tableau2[[#This Row],[PORTEUR
DE
PROJET]]="",0,IF(COUNTIF(Tableau2[[#This Row],[PORTEUR
DE
PROJET]],"CRA*")=1,,Tableau2[[#This Row],[Montant participation à signature]]*0.4))</f>
        <v>157294.17200000002</v>
      </c>
      <c r="AF53" s="6">
        <f>IF(Tableau2[[#This Row],[Date signature ]]="","",IF(Tableau2[[#This Row],[ACOMPTE PREVU]]=0,"",EOMONTH(EDATE(Tableau2[[#This Row],[Date signature ]],Tableau2[[#This Row],[Durée du projet]]/2),0)))</f>
        <v>42766</v>
      </c>
      <c r="AG53" s="21">
        <f>IF(Tableau2[[#This Row],[PORTEUR
DE
PROJET]]="",0,IF(COUNTIF(Tableau2[[#This Row],[PORTEUR
DE
PROJET]],"CRA*")=1,Tableau2[[#This Row],[Montant participation à signature]]/2,Tableau2[[#This Row],[Montant participation à signature]]*0.3))</f>
        <v>117970.62899999999</v>
      </c>
      <c r="AH53" s="6">
        <f>IF(Tableau2[[#This Row],[Date signature ]]="","",EOMONTH(EDATE(Tableau2[[#This Row],[Date signature ]],Tableau2[[#This Row],[Durée du projet]]),0))</f>
        <v>42947</v>
      </c>
      <c r="AI53" s="29">
        <f>IF(COUNTBLANK(Tableau2[[#This Row],[Date du mandat Avance]])=1,,Tableau2[[#This Row],[AVANCE PREVUE]])</f>
        <v>117970.62899999999</v>
      </c>
      <c r="AJ53" s="64">
        <v>42580</v>
      </c>
      <c r="AK53" s="2"/>
      <c r="AL53" s="6"/>
      <c r="AM53" s="6"/>
      <c r="AN53" s="17">
        <f>IF(COUNTBLANK(Tableau2[[#This Row],[Date envoi ASF Acompte]])=1,,Tableau2[[#This Row],[ACOMPTE PREVU]])</f>
        <v>0</v>
      </c>
      <c r="AO53" s="17"/>
      <c r="AP53" s="2"/>
      <c r="AQ53" s="6"/>
      <c r="AR53" s="6"/>
      <c r="AS53" s="17"/>
      <c r="AT53" s="17"/>
      <c r="AU53" s="20"/>
      <c r="AV53" s="17"/>
      <c r="AW53" s="17"/>
      <c r="AX53" s="17">
        <f>IF(Tableau2[[#This Row],[Montant participation voté au CA]]="",0,Tableau2[[#This Row],[Montant participation voté au CA]]-Tableau2[[#This Row],[Montant participation à signature]])</f>
        <v>0</v>
      </c>
      <c r="AY53" s="45">
        <v>393235.43</v>
      </c>
      <c r="AZ53" s="17">
        <f>Tableau2[[#This Row],[AVANCE VERSEE]]+Tableau2[[#This Row],[ACOMPTE VERSE]]+Tableau2[[#This Row],[SOLDE VERSE]]</f>
        <v>117970.62899999999</v>
      </c>
      <c r="BA53" s="17">
        <f>IF(Tableau2[[#This Row],[STATUT]]="Soldée",0,Tableau2[[#This Row],[Montant participation à signature]]-Tableau2[[#This Row],[Total CP payés]])</f>
        <v>275264.80099999998</v>
      </c>
      <c r="BB53" s="17">
        <f>IF(Tableau2[[#This Row],[SOLDE VERSE]]&lt;0,-Tableau2[[#This Row],[SOLDE VERSE]],0)</f>
        <v>0</v>
      </c>
      <c r="BC53" s="17">
        <f>IF(Tableau2[[#This Row],[STATUT]]="Soldée",Tableau2[[#This Row],[Montant participation à signature]]-Tableau2[[#This Row],[Total CP payés]],0)</f>
        <v>0</v>
      </c>
      <c r="BD53" s="17">
        <f>IF(Tableau2[[#This Row],[Montant participation voté au CA]]="",0,Tableau2[[#This Row],[Réfaction]]+Tableau2[[#This Row],[Montant des crédits non engagés]])</f>
        <v>0</v>
      </c>
      <c r="BF53"/>
      <c r="BJ53"/>
      <c r="BK53"/>
      <c r="BL53"/>
      <c r="BM53"/>
      <c r="BP53"/>
      <c r="BQ53"/>
      <c r="BR53"/>
      <c r="BS53"/>
      <c r="BT53"/>
      <c r="BU53"/>
      <c r="BV53"/>
      <c r="BW53"/>
      <c r="BX53"/>
      <c r="BY53"/>
      <c r="CA53"/>
      <c r="CB53"/>
    </row>
    <row r="54" spans="1:80" ht="15" customHeight="1" x14ac:dyDescent="0.25">
      <c r="A54" s="4">
        <v>53</v>
      </c>
      <c r="B54" s="36">
        <v>2812</v>
      </c>
      <c r="C54" s="39">
        <v>42327</v>
      </c>
      <c r="D54" s="73" t="s">
        <v>154</v>
      </c>
      <c r="E54" s="38">
        <v>1</v>
      </c>
      <c r="F54" s="38">
        <v>2</v>
      </c>
      <c r="G54" s="96" t="s">
        <v>143</v>
      </c>
      <c r="H54" s="96" t="s">
        <v>144</v>
      </c>
      <c r="I54" s="40" t="s">
        <v>48</v>
      </c>
      <c r="J54" s="77"/>
      <c r="K54" s="70"/>
      <c r="L54" s="34"/>
      <c r="M54" s="35"/>
      <c r="N54" s="38">
        <v>12</v>
      </c>
      <c r="O54" s="37">
        <v>6</v>
      </c>
      <c r="P54" s="37">
        <f>IF(Tableau2[[#This Row],[Durée du projet]]="","-",Tableau2[[#This Row],[Durée du projet]]+Tableau2[[#This Row],[Durée suppl'' pour pièces]])</f>
        <v>18</v>
      </c>
      <c r="Q54" s="39">
        <v>42578</v>
      </c>
      <c r="R54" s="60">
        <v>42370</v>
      </c>
      <c r="S54" s="6">
        <f>IF(Tableau2[[#This Row],[Date signature ]]="","",EOMONTH((EDATE(Tableau2[[#This Row],[Début éligibilité dépenses]],Tableau2[[#This Row],[Durée du projet]])),-1))</f>
        <v>42735</v>
      </c>
      <c r="T54" s="6">
        <f>IF(Tableau2[[#This Row],[Fin éligibilité dépenses]]="","",EDATE(Tableau2[[#This Row],[Fin éligibilité dépenses]],-6))</f>
        <v>42551</v>
      </c>
      <c r="U54" s="6">
        <f>IF(Tableau2[[#This Row],[Début éligibilité dépenses]]="","",EOMONTH(EDATE(Tableau2[[#This Row],[Début éligibilité dépenses]],Tableau2[[#This Row],[Durée du projet]]/2),0))</f>
        <v>42582</v>
      </c>
      <c r="V54" s="59">
        <f>IF(Tableau2[[#This Row],[Date signature ]]="","",EDATE(Tableau2[[#This Row],[Date signature ]],Tableau2[[#This Row],[Durée totale conv'' ]])-1)</f>
        <v>43126</v>
      </c>
      <c r="W54" s="40" t="s">
        <v>21</v>
      </c>
      <c r="X54" s="2"/>
      <c r="Y54" s="40" t="s">
        <v>145</v>
      </c>
      <c r="Z54" s="2"/>
      <c r="AA54" s="2"/>
      <c r="AB54" s="19"/>
      <c r="AC54" s="21">
        <f>IF(Tableau2[[#This Row],[PORTEUR
DE
PROJET]]="",0,IF(COUNTIF(Tableau2[[#This Row],[PORTEUR
DE
PROJET]],"CRA*")=1,Tableau2[[#This Row],[Montant participation à signature]]/2,Tableau2[[#This Row],[Montant participation à signature]]*0.3))</f>
        <v>10877.625</v>
      </c>
      <c r="AD54" s="6">
        <f>IF(Tableau2[[#This Row],[Date signature ]]="","",EDATE(Tableau2[[#This Row],[Date signature ]],1))</f>
        <v>42609</v>
      </c>
      <c r="AE54" s="21">
        <f>IF(Tableau2[[#This Row],[PORTEUR
DE
PROJET]]="",0,IF(COUNTIF(Tableau2[[#This Row],[PORTEUR
DE
PROJET]],"CRA*")=1,,Tableau2[[#This Row],[Montant participation à signature]]*0.4))</f>
        <v>14503.5</v>
      </c>
      <c r="AF54" s="6">
        <f>IF(Tableau2[[#This Row],[Date signature ]]="","",IF(Tableau2[[#This Row],[ACOMPTE PREVU]]=0,"",EOMONTH(EDATE(Tableau2[[#This Row],[Date signature ]],Tableau2[[#This Row],[Durée du projet]]/2),0)))</f>
        <v>42766</v>
      </c>
      <c r="AG54" s="21">
        <f>IF(Tableau2[[#This Row],[PORTEUR
DE
PROJET]]="",0,IF(COUNTIF(Tableau2[[#This Row],[PORTEUR
DE
PROJET]],"CRA*")=1,Tableau2[[#This Row],[Montant participation à signature]]/2,Tableau2[[#This Row],[Montant participation à signature]]*0.3))</f>
        <v>10877.625</v>
      </c>
      <c r="AH54" s="6">
        <f>IF(Tableau2[[#This Row],[Date signature ]]="","",EOMONTH(EDATE(Tableau2[[#This Row],[Date signature ]],Tableau2[[#This Row],[Durée du projet]]),0))</f>
        <v>42947</v>
      </c>
      <c r="AI54" s="29">
        <f>IF(COUNTBLANK(Tableau2[[#This Row],[Date du mandat Avance]])=1,,Tableau2[[#This Row],[AVANCE PREVUE]])</f>
        <v>10877.625</v>
      </c>
      <c r="AJ54" s="64">
        <v>42580</v>
      </c>
      <c r="AK54" s="2"/>
      <c r="AL54" s="6"/>
      <c r="AM54" s="6"/>
      <c r="AN54" s="17">
        <f>IF(COUNTBLANK(Tableau2[[#This Row],[Date envoi ASF Acompte]])=1,,Tableau2[[#This Row],[ACOMPTE PREVU]])</f>
        <v>0</v>
      </c>
      <c r="AO54" s="17"/>
      <c r="AP54" s="2"/>
      <c r="AQ54" s="6"/>
      <c r="AR54" s="6"/>
      <c r="AS54" s="17"/>
      <c r="AT54" s="17"/>
      <c r="AU54" s="20"/>
      <c r="AV54" s="17"/>
      <c r="AW54" s="17"/>
      <c r="AX54" s="17">
        <f>IF(Tableau2[[#This Row],[Montant participation voté au CA]]="",0,Tableau2[[#This Row],[Montant participation voté au CA]]-Tableau2[[#This Row],[Montant participation à signature]])</f>
        <v>0</v>
      </c>
      <c r="AY54" s="45">
        <v>36258.75</v>
      </c>
      <c r="AZ54" s="17">
        <f>Tableau2[[#This Row],[AVANCE VERSEE]]+Tableau2[[#This Row],[ACOMPTE VERSE]]+Tableau2[[#This Row],[SOLDE VERSE]]</f>
        <v>10877.625</v>
      </c>
      <c r="BA54" s="17">
        <f>IF(Tableau2[[#This Row],[STATUT]]="Soldée",0,Tableau2[[#This Row],[Montant participation à signature]]-Tableau2[[#This Row],[Total CP payés]])</f>
        <v>25381.125</v>
      </c>
      <c r="BB54" s="17">
        <f>IF(Tableau2[[#This Row],[SOLDE VERSE]]&lt;0,-Tableau2[[#This Row],[SOLDE VERSE]],0)</f>
        <v>0</v>
      </c>
      <c r="BC54" s="17">
        <f>IF(Tableau2[[#This Row],[STATUT]]="Soldée",Tableau2[[#This Row],[Montant participation à signature]]-Tableau2[[#This Row],[Total CP payés]],0)</f>
        <v>0</v>
      </c>
      <c r="BD54" s="17">
        <f>IF(Tableau2[[#This Row],[Montant participation voté au CA]]="",0,Tableau2[[#This Row],[Réfaction]]+Tableau2[[#This Row],[Montant des crédits non engagés]])</f>
        <v>0</v>
      </c>
      <c r="BF54"/>
      <c r="BJ54"/>
      <c r="BK54"/>
      <c r="BL54"/>
      <c r="BM54"/>
      <c r="BP54"/>
      <c r="BQ54"/>
      <c r="BR54"/>
      <c r="BS54"/>
      <c r="BT54"/>
      <c r="BU54"/>
      <c r="BV54"/>
      <c r="BW54"/>
      <c r="BX54"/>
      <c r="BY54"/>
      <c r="CA54"/>
      <c r="CB54"/>
    </row>
    <row r="55" spans="1:80" ht="15" customHeight="1" x14ac:dyDescent="0.25">
      <c r="A55" s="4">
        <v>54</v>
      </c>
      <c r="B55" s="36">
        <v>2813</v>
      </c>
      <c r="C55" s="39">
        <v>42327</v>
      </c>
      <c r="D55" s="73" t="s">
        <v>154</v>
      </c>
      <c r="E55" s="38">
        <v>1</v>
      </c>
      <c r="F55" s="38">
        <v>2</v>
      </c>
      <c r="G55" s="96" t="s">
        <v>143</v>
      </c>
      <c r="H55" s="96" t="s">
        <v>144</v>
      </c>
      <c r="I55" s="40" t="s">
        <v>48</v>
      </c>
      <c r="J55" s="77">
        <v>42718</v>
      </c>
      <c r="K55" s="70" t="s">
        <v>153</v>
      </c>
      <c r="L55" s="34"/>
      <c r="M55" s="35"/>
      <c r="N55" s="38">
        <v>12</v>
      </c>
      <c r="O55" s="37">
        <v>6</v>
      </c>
      <c r="P55" s="37">
        <f>IF(Tableau2[[#This Row],[Durée du projet]]="","-",Tableau2[[#This Row],[Durée du projet]]+Tableau2[[#This Row],[Durée suppl'' pour pièces]])</f>
        <v>18</v>
      </c>
      <c r="Q55" s="39">
        <v>42578</v>
      </c>
      <c r="R55" s="60">
        <v>42370</v>
      </c>
      <c r="S55" s="6">
        <f>IF(Tableau2[[#This Row],[Date signature ]]="","",EOMONTH((EDATE(Tableau2[[#This Row],[Début éligibilité dépenses]],Tableau2[[#This Row],[Durée du projet]])),-1))</f>
        <v>42735</v>
      </c>
      <c r="T55" s="6">
        <f>IF(Tableau2[[#This Row],[Fin éligibilité dépenses]]="","",EDATE(Tableau2[[#This Row],[Fin éligibilité dépenses]],-6))</f>
        <v>42551</v>
      </c>
      <c r="U55" s="6">
        <f>IF(Tableau2[[#This Row],[Début éligibilité dépenses]]="","",EOMONTH(EDATE(Tableau2[[#This Row],[Début éligibilité dépenses]],Tableau2[[#This Row],[Durée du projet]]/2),0))</f>
        <v>42582</v>
      </c>
      <c r="V55" s="59">
        <f>IF(Tableau2[[#This Row],[Date signature ]]="","",EDATE(Tableau2[[#This Row],[Date signature ]],Tableau2[[#This Row],[Durée totale conv'' ]])-1)</f>
        <v>43126</v>
      </c>
      <c r="W55" s="40" t="s">
        <v>21</v>
      </c>
      <c r="X55" s="2"/>
      <c r="Y55" s="40" t="s">
        <v>145</v>
      </c>
      <c r="Z55" s="2"/>
      <c r="AA55" s="2"/>
      <c r="AB55" s="19"/>
      <c r="AC55" s="21">
        <f>IF(Tableau2[[#This Row],[PORTEUR
DE
PROJET]]="",0,IF(COUNTIF(Tableau2[[#This Row],[PORTEUR
DE
PROJET]],"CRA*")=1,Tableau2[[#This Row],[Montant participation à signature]]/2,Tableau2[[#This Row],[Montant participation à signature]]*0.3))</f>
        <v>37315.799999999996</v>
      </c>
      <c r="AD55" s="6">
        <f>IF(Tableau2[[#This Row],[Date signature ]]="","",EDATE(Tableau2[[#This Row],[Date signature ]],1))</f>
        <v>42609</v>
      </c>
      <c r="AE55" s="21">
        <f>IF(Tableau2[[#This Row],[PORTEUR
DE
PROJET]]="",0,IF(COUNTIF(Tableau2[[#This Row],[PORTEUR
DE
PROJET]],"CRA*")=1,,Tableau2[[#This Row],[Montant participation à signature]]*0.4))</f>
        <v>49754.400000000001</v>
      </c>
      <c r="AF55" s="6">
        <f>IF(Tableau2[[#This Row],[Date signature ]]="","",IF(Tableau2[[#This Row],[ACOMPTE PREVU]]=0,"",EOMONTH(EDATE(Tableau2[[#This Row],[Date signature ]],Tableau2[[#This Row],[Durée du projet]]/2),0)))</f>
        <v>42766</v>
      </c>
      <c r="AG55" s="21">
        <f>IF(Tableau2[[#This Row],[PORTEUR
DE
PROJET]]="",0,IF(COUNTIF(Tableau2[[#This Row],[PORTEUR
DE
PROJET]],"CRA*")=1,Tableau2[[#This Row],[Montant participation à signature]]/2,Tableau2[[#This Row],[Montant participation à signature]]*0.3))</f>
        <v>37315.799999999996</v>
      </c>
      <c r="AH55" s="6">
        <f>IF(Tableau2[[#This Row],[Date signature ]]="","",EOMONTH(EDATE(Tableau2[[#This Row],[Date signature ]],Tableau2[[#This Row],[Durée du projet]]),0))</f>
        <v>42947</v>
      </c>
      <c r="AI55" s="29">
        <f>IF(COUNTBLANK(Tableau2[[#This Row],[Date du mandat Avance]])=1,,Tableau2[[#This Row],[AVANCE PREVUE]])</f>
        <v>37315.799999999996</v>
      </c>
      <c r="AJ55" s="64">
        <v>42580</v>
      </c>
      <c r="AK55" s="2"/>
      <c r="AL55" s="6"/>
      <c r="AM55" s="6"/>
      <c r="AN55" s="17">
        <f>IF(COUNTBLANK(Tableau2[[#This Row],[Date envoi ASF Acompte]])=1,,Tableau2[[#This Row],[ACOMPTE PREVU]])</f>
        <v>0</v>
      </c>
      <c r="AO55" s="17"/>
      <c r="AP55" s="2"/>
      <c r="AQ55" s="6"/>
      <c r="AR55" s="6"/>
      <c r="AS55" s="17"/>
      <c r="AT55" s="17"/>
      <c r="AU55" s="20"/>
      <c r="AV55" s="17"/>
      <c r="AW55" s="17"/>
      <c r="AX55" s="17">
        <f>IF(Tableau2[[#This Row],[Montant participation voté au CA]]="",0,Tableau2[[#This Row],[Montant participation voté au CA]]-Tableau2[[#This Row],[Montant participation à signature]])</f>
        <v>0</v>
      </c>
      <c r="AY55" s="45">
        <v>124386</v>
      </c>
      <c r="AZ55" s="17">
        <f>Tableau2[[#This Row],[AVANCE VERSEE]]+Tableau2[[#This Row],[ACOMPTE VERSE]]+Tableau2[[#This Row],[SOLDE VERSE]]</f>
        <v>37315.799999999996</v>
      </c>
      <c r="BA55" s="17">
        <f>IF(Tableau2[[#This Row],[STATUT]]="Soldée",0,Tableau2[[#This Row],[Montant participation à signature]]-Tableau2[[#This Row],[Total CP payés]])</f>
        <v>87070.200000000012</v>
      </c>
      <c r="BB55" s="17">
        <f>IF(Tableau2[[#This Row],[SOLDE VERSE]]&lt;0,-Tableau2[[#This Row],[SOLDE VERSE]],0)</f>
        <v>0</v>
      </c>
      <c r="BC55" s="17">
        <f>IF(Tableau2[[#This Row],[STATUT]]="Soldée",Tableau2[[#This Row],[Montant participation à signature]]-Tableau2[[#This Row],[Total CP payés]],0)</f>
        <v>0</v>
      </c>
      <c r="BD55" s="17">
        <f>IF(Tableau2[[#This Row],[Montant participation voté au CA]]="",0,Tableau2[[#This Row],[Réfaction]]+Tableau2[[#This Row],[Montant des crédits non engagés]])</f>
        <v>0</v>
      </c>
      <c r="BF55"/>
      <c r="BJ55"/>
      <c r="BK55"/>
      <c r="BL55"/>
      <c r="BM55"/>
      <c r="BP55"/>
      <c r="BQ55"/>
      <c r="BR55"/>
      <c r="BS55"/>
      <c r="BT55"/>
      <c r="BU55"/>
      <c r="BV55"/>
      <c r="BW55"/>
      <c r="BX55"/>
      <c r="BY55"/>
      <c r="CA55"/>
      <c r="CB55"/>
    </row>
    <row r="56" spans="1:80" ht="15" customHeight="1" x14ac:dyDescent="0.25">
      <c r="A56" s="4">
        <v>55</v>
      </c>
      <c r="B56" s="36">
        <v>2816</v>
      </c>
      <c r="C56" s="39">
        <v>42327</v>
      </c>
      <c r="D56" s="73" t="s">
        <v>154</v>
      </c>
      <c r="E56" s="38" t="s">
        <v>51</v>
      </c>
      <c r="F56" s="38" t="s">
        <v>69</v>
      </c>
      <c r="G56" s="96" t="s">
        <v>143</v>
      </c>
      <c r="H56" s="96" t="s">
        <v>144</v>
      </c>
      <c r="I56" s="40" t="s">
        <v>48</v>
      </c>
      <c r="J56" s="77"/>
      <c r="K56" s="70"/>
      <c r="L56" s="34"/>
      <c r="M56" s="35"/>
      <c r="N56" s="38">
        <v>12</v>
      </c>
      <c r="O56" s="37">
        <v>6</v>
      </c>
      <c r="P56" s="37">
        <f>IF(Tableau2[[#This Row],[Durée du projet]]="","-",Tableau2[[#This Row],[Durée du projet]]+Tableau2[[#This Row],[Durée suppl'' pour pièces]])</f>
        <v>18</v>
      </c>
      <c r="Q56" s="39">
        <v>42586</v>
      </c>
      <c r="R56" s="60">
        <v>42370</v>
      </c>
      <c r="S56" s="6">
        <f>IF(Tableau2[[#This Row],[Date signature ]]="","",EOMONTH((EDATE(Tableau2[[#This Row],[Début éligibilité dépenses]],Tableau2[[#This Row],[Durée du projet]])),-1))</f>
        <v>42735</v>
      </c>
      <c r="T56" s="6">
        <f>IF(Tableau2[[#This Row],[Fin éligibilité dépenses]]="","",EDATE(Tableau2[[#This Row],[Fin éligibilité dépenses]],-6))</f>
        <v>42551</v>
      </c>
      <c r="U56" s="6">
        <f>IF(Tableau2[[#This Row],[Début éligibilité dépenses]]="","",EOMONTH(EDATE(Tableau2[[#This Row],[Début éligibilité dépenses]],Tableau2[[#This Row],[Durée du projet]]/2),0))</f>
        <v>42582</v>
      </c>
      <c r="V56" s="59">
        <f>IF(Tableau2[[#This Row],[Date signature ]]="","",EDATE(Tableau2[[#This Row],[Date signature ]],Tableau2[[#This Row],[Durée totale conv'' ]])-1)</f>
        <v>43134</v>
      </c>
      <c r="W56" s="40" t="s">
        <v>21</v>
      </c>
      <c r="X56" s="2"/>
      <c r="Y56" s="40" t="s">
        <v>145</v>
      </c>
      <c r="Z56" s="2"/>
      <c r="AA56" s="2"/>
      <c r="AB56" s="19"/>
      <c r="AC56" s="21">
        <f>IF(Tableau2[[#This Row],[PORTEUR
DE
PROJET]]="",0,IF(COUNTIF(Tableau2[[#This Row],[PORTEUR
DE
PROJET]],"CRA*")=1,Tableau2[[#This Row],[Montant participation à signature]]/2,Tableau2[[#This Row],[Montant participation à signature]]*0.3))</f>
        <v>35268.299999999996</v>
      </c>
      <c r="AD56" s="6">
        <f>IF(Tableau2[[#This Row],[Date signature ]]="","",EDATE(Tableau2[[#This Row],[Date signature ]],1))</f>
        <v>42617</v>
      </c>
      <c r="AE56" s="21">
        <f>IF(Tableau2[[#This Row],[PORTEUR
DE
PROJET]]="",0,IF(COUNTIF(Tableau2[[#This Row],[PORTEUR
DE
PROJET]],"CRA*")=1,,Tableau2[[#This Row],[Montant participation à signature]]*0.4))</f>
        <v>47024.4</v>
      </c>
      <c r="AF56" s="6">
        <f>IF(Tableau2[[#This Row],[Date signature ]]="","",IF(Tableau2[[#This Row],[ACOMPTE PREVU]]=0,"",EOMONTH(EDATE(Tableau2[[#This Row],[Date signature ]],Tableau2[[#This Row],[Durée du projet]]/2),0)))</f>
        <v>42794</v>
      </c>
      <c r="AG56" s="21">
        <f>IF(Tableau2[[#This Row],[PORTEUR
DE
PROJET]]="",0,IF(COUNTIF(Tableau2[[#This Row],[PORTEUR
DE
PROJET]],"CRA*")=1,Tableau2[[#This Row],[Montant participation à signature]]/2,Tableau2[[#This Row],[Montant participation à signature]]*0.3))</f>
        <v>35268.299999999996</v>
      </c>
      <c r="AH56" s="6">
        <f>IF(Tableau2[[#This Row],[Date signature ]]="","",EOMONTH(EDATE(Tableau2[[#This Row],[Date signature ]],Tableau2[[#This Row],[Durée du projet]]),0))</f>
        <v>42978</v>
      </c>
      <c r="AI56" s="29">
        <f>IF(COUNTBLANK(Tableau2[[#This Row],[Date du mandat Avance]])=1,,Tableau2[[#This Row],[AVANCE PREVUE]])</f>
        <v>35268.299999999996</v>
      </c>
      <c r="AJ56" s="64">
        <v>42591</v>
      </c>
      <c r="AK56" s="2"/>
      <c r="AL56" s="6"/>
      <c r="AM56" s="6"/>
      <c r="AN56" s="17">
        <f>IF(COUNTBLANK(Tableau2[[#This Row],[Date envoi ASF Acompte]])=1,,Tableau2[[#This Row],[ACOMPTE PREVU]])</f>
        <v>0</v>
      </c>
      <c r="AO56" s="17"/>
      <c r="AP56" s="2"/>
      <c r="AQ56" s="6"/>
      <c r="AR56" s="6"/>
      <c r="AS56" s="17"/>
      <c r="AT56" s="17"/>
      <c r="AU56" s="20"/>
      <c r="AV56" s="17"/>
      <c r="AW56" s="17"/>
      <c r="AX56" s="17">
        <f>IF(Tableau2[[#This Row],[Montant participation voté au CA]]="",0,Tableau2[[#This Row],[Montant participation voté au CA]]-Tableau2[[#This Row],[Montant participation à signature]])</f>
        <v>0</v>
      </c>
      <c r="AY56" s="45">
        <v>117561</v>
      </c>
      <c r="AZ56" s="17">
        <f>Tableau2[[#This Row],[AVANCE VERSEE]]+Tableau2[[#This Row],[ACOMPTE VERSE]]+Tableau2[[#This Row],[SOLDE VERSE]]</f>
        <v>35268.299999999996</v>
      </c>
      <c r="BA56" s="17">
        <f>IF(Tableau2[[#This Row],[STATUT]]="Soldée",0,Tableau2[[#This Row],[Montant participation à signature]]-Tableau2[[#This Row],[Total CP payés]])</f>
        <v>82292.700000000012</v>
      </c>
      <c r="BB56" s="17">
        <f>IF(Tableau2[[#This Row],[SOLDE VERSE]]&lt;0,-Tableau2[[#This Row],[SOLDE VERSE]],0)</f>
        <v>0</v>
      </c>
      <c r="BC56" s="17">
        <f>IF(Tableau2[[#This Row],[STATUT]]="Soldée",Tableau2[[#This Row],[Montant participation à signature]]-Tableau2[[#This Row],[Total CP payés]],0)</f>
        <v>0</v>
      </c>
      <c r="BD56" s="17">
        <f>IF(Tableau2[[#This Row],[Montant participation voté au CA]]="",0,Tableau2[[#This Row],[Réfaction]]+Tableau2[[#This Row],[Montant des crédits non engagés]])</f>
        <v>0</v>
      </c>
      <c r="BF56"/>
      <c r="BJ56"/>
      <c r="BK56"/>
      <c r="BL56"/>
      <c r="BM56"/>
      <c r="BP56"/>
      <c r="BQ56"/>
      <c r="BR56"/>
      <c r="BS56"/>
      <c r="BT56"/>
      <c r="BU56"/>
      <c r="BV56"/>
      <c r="BW56"/>
      <c r="BX56"/>
      <c r="BY56"/>
      <c r="CA56"/>
      <c r="CB56"/>
    </row>
    <row r="57" spans="1:80" ht="15" customHeight="1" x14ac:dyDescent="0.25">
      <c r="A57" s="4">
        <v>56</v>
      </c>
      <c r="B57" s="36">
        <v>2817</v>
      </c>
      <c r="C57" s="39">
        <v>42327</v>
      </c>
      <c r="D57" s="73" t="s">
        <v>154</v>
      </c>
      <c r="E57" s="38">
        <v>1</v>
      </c>
      <c r="F57" s="38">
        <v>2</v>
      </c>
      <c r="G57" s="96" t="s">
        <v>143</v>
      </c>
      <c r="H57" s="96" t="s">
        <v>144</v>
      </c>
      <c r="I57" s="40" t="s">
        <v>48</v>
      </c>
      <c r="J57" s="77"/>
      <c r="K57" s="70"/>
      <c r="L57" s="34"/>
      <c r="M57" s="35"/>
      <c r="N57" s="38">
        <v>12</v>
      </c>
      <c r="O57" s="37">
        <v>6</v>
      </c>
      <c r="P57" s="37">
        <f>IF(Tableau2[[#This Row],[Durée du projet]]="","-",Tableau2[[#This Row],[Durée du projet]]+Tableau2[[#This Row],[Durée suppl'' pour pièces]])</f>
        <v>18</v>
      </c>
      <c r="Q57" s="39">
        <v>42495</v>
      </c>
      <c r="R57" s="60">
        <v>42370</v>
      </c>
      <c r="S57" s="6">
        <f>IF(Tableau2[[#This Row],[Date signature ]]="","",EOMONTH((EDATE(Tableau2[[#This Row],[Début éligibilité dépenses]],Tableau2[[#This Row],[Durée du projet]])),-1))</f>
        <v>42735</v>
      </c>
      <c r="T57" s="6">
        <f>IF(Tableau2[[#This Row],[Fin éligibilité dépenses]]="","",EDATE(Tableau2[[#This Row],[Fin éligibilité dépenses]],-6))</f>
        <v>42551</v>
      </c>
      <c r="U57" s="6">
        <f>IF(Tableau2[[#This Row],[Début éligibilité dépenses]]="","",EOMONTH(EDATE(Tableau2[[#This Row],[Début éligibilité dépenses]],Tableau2[[#This Row],[Durée du projet]]/2),0))</f>
        <v>42582</v>
      </c>
      <c r="V57" s="59">
        <f>IF(Tableau2[[#This Row],[Date signature ]]="","",EDATE(Tableau2[[#This Row],[Date signature ]],Tableau2[[#This Row],[Durée totale conv'' ]])-1)</f>
        <v>43043</v>
      </c>
      <c r="W57" s="40" t="s">
        <v>21</v>
      </c>
      <c r="X57" s="2"/>
      <c r="Y57" s="40" t="s">
        <v>145</v>
      </c>
      <c r="Z57" s="2"/>
      <c r="AA57" s="2"/>
      <c r="AB57" s="19"/>
      <c r="AC57" s="21">
        <f>IF(Tableau2[[#This Row],[PORTEUR
DE
PROJET]]="",0,IF(COUNTIF(Tableau2[[#This Row],[PORTEUR
DE
PROJET]],"CRA*")=1,Tableau2[[#This Row],[Montant participation à signature]]/2,Tableau2[[#This Row],[Montant participation à signature]]*0.3))</f>
        <v>108718.27499999999</v>
      </c>
      <c r="AD57" s="6">
        <f>IF(Tableau2[[#This Row],[Date signature ]]="","",EDATE(Tableau2[[#This Row],[Date signature ]],1))</f>
        <v>42526</v>
      </c>
      <c r="AE57" s="21">
        <f>IF(Tableau2[[#This Row],[PORTEUR
DE
PROJET]]="",0,IF(COUNTIF(Tableau2[[#This Row],[PORTEUR
DE
PROJET]],"CRA*")=1,,Tableau2[[#This Row],[Montant participation à signature]]*0.4))</f>
        <v>144957.70000000001</v>
      </c>
      <c r="AF57" s="6">
        <f>IF(Tableau2[[#This Row],[Date signature ]]="","",IF(Tableau2[[#This Row],[ACOMPTE PREVU]]=0,"",EOMONTH(EDATE(Tableau2[[#This Row],[Date signature ]],Tableau2[[#This Row],[Durée du projet]]/2),0)))</f>
        <v>42704</v>
      </c>
      <c r="AG57" s="21">
        <f>IF(Tableau2[[#This Row],[PORTEUR
DE
PROJET]]="",0,IF(COUNTIF(Tableau2[[#This Row],[PORTEUR
DE
PROJET]],"CRA*")=1,Tableau2[[#This Row],[Montant participation à signature]]/2,Tableau2[[#This Row],[Montant participation à signature]]*0.3))</f>
        <v>108718.27499999999</v>
      </c>
      <c r="AH57" s="6">
        <f>IF(Tableau2[[#This Row],[Date signature ]]="","",EOMONTH(EDATE(Tableau2[[#This Row],[Date signature ]],Tableau2[[#This Row],[Durée du projet]]),0))</f>
        <v>42886</v>
      </c>
      <c r="AI57" s="29">
        <f>IF(COUNTBLANK(Tableau2[[#This Row],[Date du mandat Avance]])=1,,Tableau2[[#This Row],[AVANCE PREVUE]])</f>
        <v>108718.27499999999</v>
      </c>
      <c r="AJ57" s="64">
        <v>42598</v>
      </c>
      <c r="AK57" s="2"/>
      <c r="AL57" s="6"/>
      <c r="AM57" s="6"/>
      <c r="AN57" s="17">
        <f>IF(COUNTBLANK(Tableau2[[#This Row],[Date envoi ASF Acompte]])=1,,Tableau2[[#This Row],[ACOMPTE PREVU]])</f>
        <v>0</v>
      </c>
      <c r="AO57" s="17"/>
      <c r="AP57" s="2"/>
      <c r="AQ57" s="6"/>
      <c r="AR57" s="6"/>
      <c r="AS57" s="17"/>
      <c r="AT57" s="17"/>
      <c r="AU57" s="20"/>
      <c r="AV57" s="17"/>
      <c r="AW57" s="17"/>
      <c r="AX57" s="17">
        <f>IF(Tableau2[[#This Row],[Montant participation voté au CA]]="",0,Tableau2[[#This Row],[Montant participation voté au CA]]-Tableau2[[#This Row],[Montant participation à signature]])</f>
        <v>0</v>
      </c>
      <c r="AY57" s="45">
        <v>362394.25</v>
      </c>
      <c r="AZ57" s="17">
        <f>Tableau2[[#This Row],[AVANCE VERSEE]]+Tableau2[[#This Row],[ACOMPTE VERSE]]+Tableau2[[#This Row],[SOLDE VERSE]]</f>
        <v>108718.27499999999</v>
      </c>
      <c r="BA57" s="17">
        <f>IF(Tableau2[[#This Row],[STATUT]]="Soldée",0,Tableau2[[#This Row],[Montant participation à signature]]-Tableau2[[#This Row],[Total CP payés]])</f>
        <v>253675.97500000001</v>
      </c>
      <c r="BB57" s="17">
        <f>IF(Tableau2[[#This Row],[SOLDE VERSE]]&lt;0,-Tableau2[[#This Row],[SOLDE VERSE]],0)</f>
        <v>0</v>
      </c>
      <c r="BC57" s="17">
        <f>IF(Tableau2[[#This Row],[STATUT]]="Soldée",Tableau2[[#This Row],[Montant participation à signature]]-Tableau2[[#This Row],[Total CP payés]],0)</f>
        <v>0</v>
      </c>
      <c r="BD57" s="17">
        <f>IF(Tableau2[[#This Row],[Montant participation voté au CA]]="",0,Tableau2[[#This Row],[Réfaction]]+Tableau2[[#This Row],[Montant des crédits non engagés]])</f>
        <v>0</v>
      </c>
      <c r="BF57"/>
      <c r="BJ57"/>
      <c r="BK57"/>
      <c r="BL57"/>
      <c r="BM57"/>
      <c r="BP57"/>
      <c r="BQ57"/>
      <c r="BR57"/>
      <c r="BS57"/>
      <c r="BT57"/>
      <c r="BU57"/>
      <c r="BV57"/>
      <c r="BW57"/>
      <c r="BX57"/>
      <c r="BY57"/>
      <c r="CA57"/>
      <c r="CB57"/>
    </row>
    <row r="58" spans="1:80" ht="15" customHeight="1" x14ac:dyDescent="0.25">
      <c r="A58" s="4">
        <v>57</v>
      </c>
      <c r="B58" s="36">
        <v>2818</v>
      </c>
      <c r="C58" s="39">
        <v>42327</v>
      </c>
      <c r="D58" s="73" t="s">
        <v>154</v>
      </c>
      <c r="E58" s="38">
        <v>1</v>
      </c>
      <c r="F58" s="38">
        <v>2</v>
      </c>
      <c r="G58" s="96" t="s">
        <v>143</v>
      </c>
      <c r="H58" s="96" t="s">
        <v>144</v>
      </c>
      <c r="I58" s="40" t="s">
        <v>48</v>
      </c>
      <c r="J58" s="77">
        <v>42718</v>
      </c>
      <c r="K58" s="70" t="s">
        <v>153</v>
      </c>
      <c r="L58" s="34"/>
      <c r="M58" s="35"/>
      <c r="N58" s="38">
        <v>12</v>
      </c>
      <c r="O58" s="37">
        <v>6</v>
      </c>
      <c r="P58" s="37">
        <f>IF(Tableau2[[#This Row],[Durée du projet]]="","-",Tableau2[[#This Row],[Durée du projet]]+Tableau2[[#This Row],[Durée suppl'' pour pièces]])</f>
        <v>18</v>
      </c>
      <c r="Q58" s="39">
        <v>42587</v>
      </c>
      <c r="R58" s="60">
        <v>42370</v>
      </c>
      <c r="S58" s="6">
        <f>IF(Tableau2[[#This Row],[Date signature ]]="","",EOMONTH((EDATE(Tableau2[[#This Row],[Début éligibilité dépenses]],Tableau2[[#This Row],[Durée du projet]])),-1))</f>
        <v>42735</v>
      </c>
      <c r="T58" s="6">
        <f>IF(Tableau2[[#This Row],[Fin éligibilité dépenses]]="","",EDATE(Tableau2[[#This Row],[Fin éligibilité dépenses]],-6))</f>
        <v>42551</v>
      </c>
      <c r="U58" s="6">
        <f>IF(Tableau2[[#This Row],[Début éligibilité dépenses]]="","",EOMONTH(EDATE(Tableau2[[#This Row],[Début éligibilité dépenses]],Tableau2[[#This Row],[Durée du projet]]/2),0))</f>
        <v>42582</v>
      </c>
      <c r="V58" s="59">
        <f>IF(Tableau2[[#This Row],[Date signature ]]="","",EDATE(Tableau2[[#This Row],[Date signature ]],Tableau2[[#This Row],[Durée totale conv'' ]])-1)</f>
        <v>43135</v>
      </c>
      <c r="W58" s="40" t="s">
        <v>21</v>
      </c>
      <c r="X58" s="2"/>
      <c r="Y58" s="40" t="s">
        <v>145</v>
      </c>
      <c r="Z58" s="2"/>
      <c r="AA58" s="2"/>
      <c r="AB58" s="19"/>
      <c r="AC58" s="21">
        <f>IF(Tableau2[[#This Row],[PORTEUR
DE
PROJET]]="",0,IF(COUNTIF(Tableau2[[#This Row],[PORTEUR
DE
PROJET]],"CRA*")=1,Tableau2[[#This Row],[Montant participation à signature]]/2,Tableau2[[#This Row],[Montant participation à signature]]*0.3))</f>
        <v>42621.75</v>
      </c>
      <c r="AD58" s="6">
        <f>IF(Tableau2[[#This Row],[Date signature ]]="","",EDATE(Tableau2[[#This Row],[Date signature ]],1))</f>
        <v>42618</v>
      </c>
      <c r="AE58" s="21">
        <f>IF(Tableau2[[#This Row],[PORTEUR
DE
PROJET]]="",0,IF(COUNTIF(Tableau2[[#This Row],[PORTEUR
DE
PROJET]],"CRA*")=1,,Tableau2[[#This Row],[Montant participation à signature]]*0.4))</f>
        <v>56829</v>
      </c>
      <c r="AF58" s="6">
        <f>IF(Tableau2[[#This Row],[Date signature ]]="","",IF(Tableau2[[#This Row],[ACOMPTE PREVU]]=0,"",EOMONTH(EDATE(Tableau2[[#This Row],[Date signature ]],Tableau2[[#This Row],[Durée du projet]]/2),0)))</f>
        <v>42794</v>
      </c>
      <c r="AG58" s="21">
        <f>IF(Tableau2[[#This Row],[PORTEUR
DE
PROJET]]="",0,IF(COUNTIF(Tableau2[[#This Row],[PORTEUR
DE
PROJET]],"CRA*")=1,Tableau2[[#This Row],[Montant participation à signature]]/2,Tableau2[[#This Row],[Montant participation à signature]]*0.3))</f>
        <v>42621.75</v>
      </c>
      <c r="AH58" s="6">
        <f>IF(Tableau2[[#This Row],[Date signature ]]="","",EOMONTH(EDATE(Tableau2[[#This Row],[Date signature ]],Tableau2[[#This Row],[Durée du projet]]),0))</f>
        <v>42978</v>
      </c>
      <c r="AI58" s="29">
        <f>IF(COUNTBLANK(Tableau2[[#This Row],[Date du mandat Avance]])=1,,Tableau2[[#This Row],[AVANCE PREVUE]])</f>
        <v>42621.75</v>
      </c>
      <c r="AJ58" s="64">
        <v>42598</v>
      </c>
      <c r="AK58" s="2"/>
      <c r="AL58" s="6"/>
      <c r="AM58" s="6"/>
      <c r="AN58" s="17">
        <f>IF(COUNTBLANK(Tableau2[[#This Row],[Date envoi ASF Acompte]])=1,,Tableau2[[#This Row],[ACOMPTE PREVU]])</f>
        <v>0</v>
      </c>
      <c r="AO58" s="17"/>
      <c r="AP58" s="2"/>
      <c r="AQ58" s="6"/>
      <c r="AR58" s="6"/>
      <c r="AS58" s="17"/>
      <c r="AT58" s="17"/>
      <c r="AU58" s="20"/>
      <c r="AV58" s="17"/>
      <c r="AW58" s="17"/>
      <c r="AX58" s="17">
        <f>IF(Tableau2[[#This Row],[Montant participation voté au CA]]="",0,Tableau2[[#This Row],[Montant participation voté au CA]]-Tableau2[[#This Row],[Montant participation à signature]])</f>
        <v>0</v>
      </c>
      <c r="AY58" s="45">
        <v>142072.5</v>
      </c>
      <c r="AZ58" s="17">
        <f>Tableau2[[#This Row],[AVANCE VERSEE]]+Tableau2[[#This Row],[ACOMPTE VERSE]]+Tableau2[[#This Row],[SOLDE VERSE]]</f>
        <v>42621.75</v>
      </c>
      <c r="BA58" s="17">
        <f>IF(Tableau2[[#This Row],[STATUT]]="Soldée",0,Tableau2[[#This Row],[Montant participation à signature]]-Tableau2[[#This Row],[Total CP payés]])</f>
        <v>99450.75</v>
      </c>
      <c r="BB58" s="17">
        <f>IF(Tableau2[[#This Row],[SOLDE VERSE]]&lt;0,-Tableau2[[#This Row],[SOLDE VERSE]],0)</f>
        <v>0</v>
      </c>
      <c r="BC58" s="17">
        <f>IF(Tableau2[[#This Row],[STATUT]]="Soldée",Tableau2[[#This Row],[Montant participation à signature]]-Tableau2[[#This Row],[Total CP payés]],0)</f>
        <v>0</v>
      </c>
      <c r="BD58" s="17">
        <f>IF(Tableau2[[#This Row],[Montant participation voté au CA]]="",0,Tableau2[[#This Row],[Réfaction]]+Tableau2[[#This Row],[Montant des crédits non engagés]])</f>
        <v>0</v>
      </c>
      <c r="BF58"/>
      <c r="BJ58"/>
      <c r="BK58"/>
      <c r="BL58"/>
      <c r="BM58"/>
      <c r="BP58"/>
      <c r="BQ58"/>
      <c r="BR58"/>
      <c r="BS58"/>
      <c r="BT58"/>
      <c r="BU58"/>
      <c r="BV58"/>
      <c r="BW58"/>
      <c r="BX58"/>
      <c r="BY58"/>
      <c r="CA58"/>
      <c r="CB58"/>
    </row>
    <row r="59" spans="1:80" ht="15" customHeight="1" x14ac:dyDescent="0.25">
      <c r="A59" s="4">
        <v>58</v>
      </c>
      <c r="B59" s="89">
        <v>2824</v>
      </c>
      <c r="C59" s="39">
        <v>42327</v>
      </c>
      <c r="D59" s="73" t="s">
        <v>154</v>
      </c>
      <c r="E59" s="38">
        <v>1</v>
      </c>
      <c r="F59" s="38">
        <v>2</v>
      </c>
      <c r="G59" s="96" t="s">
        <v>143</v>
      </c>
      <c r="H59" s="96" t="s">
        <v>144</v>
      </c>
      <c r="I59" s="40" t="s">
        <v>48</v>
      </c>
      <c r="J59" s="77"/>
      <c r="K59" s="70"/>
      <c r="L59" s="34"/>
      <c r="M59" s="35"/>
      <c r="N59" s="38">
        <v>12</v>
      </c>
      <c r="O59" s="37">
        <v>6</v>
      </c>
      <c r="P59" s="37">
        <f>IF(Tableau2[[#This Row],[Durée du projet]]="","-",Tableau2[[#This Row],[Durée du projet]]+Tableau2[[#This Row],[Durée suppl'' pour pièces]])</f>
        <v>18</v>
      </c>
      <c r="Q59" s="39">
        <v>42587</v>
      </c>
      <c r="R59" s="60">
        <v>42370</v>
      </c>
      <c r="S59" s="6">
        <f>IF(Tableau2[[#This Row],[Date signature ]]="","",EOMONTH((EDATE(Tableau2[[#This Row],[Début éligibilité dépenses]],Tableau2[[#This Row],[Durée du projet]])),-1))</f>
        <v>42735</v>
      </c>
      <c r="T59" s="6">
        <f>IF(Tableau2[[#This Row],[Fin éligibilité dépenses]]="","",EDATE(Tableau2[[#This Row],[Fin éligibilité dépenses]],-6))</f>
        <v>42551</v>
      </c>
      <c r="U59" s="6">
        <f>IF(Tableau2[[#This Row],[Début éligibilité dépenses]]="","",EOMONTH(EDATE(Tableau2[[#This Row],[Début éligibilité dépenses]],Tableau2[[#This Row],[Durée du projet]]/2),0))</f>
        <v>42582</v>
      </c>
      <c r="V59" s="59">
        <f>IF(Tableau2[[#This Row],[Date signature ]]="","",EDATE(Tableau2[[#This Row],[Date signature ]],Tableau2[[#This Row],[Durée totale conv'' ]])-1)</f>
        <v>43135</v>
      </c>
      <c r="W59" s="40" t="s">
        <v>21</v>
      </c>
      <c r="X59" s="2"/>
      <c r="Y59" s="40" t="s">
        <v>145</v>
      </c>
      <c r="Z59" s="2"/>
      <c r="AA59" s="2"/>
      <c r="AB59" s="19"/>
      <c r="AC59" s="21">
        <f>IF(Tableau2[[#This Row],[PORTEUR
DE
PROJET]]="",0,IF(COUNTIF(Tableau2[[#This Row],[PORTEUR
DE
PROJET]],"CRA*")=1,Tableau2[[#This Row],[Montant participation à signature]]/2,Tableau2[[#This Row],[Montant participation à signature]]*0.3))</f>
        <v>23724</v>
      </c>
      <c r="AD59" s="6">
        <f>IF(Tableau2[[#This Row],[Date signature ]]="","",EDATE(Tableau2[[#This Row],[Date signature ]],1))</f>
        <v>42618</v>
      </c>
      <c r="AE59" s="21">
        <f>IF(Tableau2[[#This Row],[PORTEUR
DE
PROJET]]="",0,IF(COUNTIF(Tableau2[[#This Row],[PORTEUR
DE
PROJET]],"CRA*")=1,,Tableau2[[#This Row],[Montant participation à signature]]*0.4))</f>
        <v>31632</v>
      </c>
      <c r="AF59" s="6">
        <f>IF(Tableau2[[#This Row],[Date signature ]]="","",IF(Tableau2[[#This Row],[ACOMPTE PREVU]]=0,"",EOMONTH(EDATE(Tableau2[[#This Row],[Date signature ]],Tableau2[[#This Row],[Durée du projet]]/2),0)))</f>
        <v>42794</v>
      </c>
      <c r="AG59" s="21">
        <f>IF(Tableau2[[#This Row],[PORTEUR
DE
PROJET]]="",0,IF(COUNTIF(Tableau2[[#This Row],[PORTEUR
DE
PROJET]],"CRA*")=1,Tableau2[[#This Row],[Montant participation à signature]]/2,Tableau2[[#This Row],[Montant participation à signature]]*0.3))</f>
        <v>23724</v>
      </c>
      <c r="AH59" s="6">
        <f>IF(Tableau2[[#This Row],[Date signature ]]="","",EOMONTH(EDATE(Tableau2[[#This Row],[Date signature ]],Tableau2[[#This Row],[Durée du projet]]),0))</f>
        <v>42978</v>
      </c>
      <c r="AI59" s="29">
        <f>IF(COUNTBLANK(Tableau2[[#This Row],[Date du mandat Avance]])=1,,Tableau2[[#This Row],[AVANCE PREVUE]])</f>
        <v>23724</v>
      </c>
      <c r="AJ59" s="64">
        <v>42598</v>
      </c>
      <c r="AK59" s="2"/>
      <c r="AL59" s="6"/>
      <c r="AM59" s="6"/>
      <c r="AN59" s="17">
        <f>IF(COUNTBLANK(Tableau2[[#This Row],[Date envoi ASF Acompte]])=1,,Tableau2[[#This Row],[ACOMPTE PREVU]])</f>
        <v>0</v>
      </c>
      <c r="AO59" s="17"/>
      <c r="AP59" s="2"/>
      <c r="AQ59" s="6"/>
      <c r="AR59" s="6"/>
      <c r="AS59" s="17"/>
      <c r="AT59" s="17"/>
      <c r="AU59" s="20"/>
      <c r="AV59" s="17"/>
      <c r="AW59" s="17"/>
      <c r="AX59" s="17">
        <f>IF(Tableau2[[#This Row],[Montant participation voté au CA]]="",0,Tableau2[[#This Row],[Montant participation voté au CA]]-Tableau2[[#This Row],[Montant participation à signature]])</f>
        <v>0</v>
      </c>
      <c r="AY59" s="45">
        <v>79080</v>
      </c>
      <c r="AZ59" s="17">
        <f>Tableau2[[#This Row],[AVANCE VERSEE]]+Tableau2[[#This Row],[ACOMPTE VERSE]]+Tableau2[[#This Row],[SOLDE VERSE]]</f>
        <v>23724</v>
      </c>
      <c r="BA59" s="17">
        <f>IF(Tableau2[[#This Row],[STATUT]]="Soldée",0,Tableau2[[#This Row],[Montant participation à signature]]-Tableau2[[#This Row],[Total CP payés]])</f>
        <v>55356</v>
      </c>
      <c r="BB59" s="17">
        <f>IF(Tableau2[[#This Row],[SOLDE VERSE]]&lt;0,-Tableau2[[#This Row],[SOLDE VERSE]],0)</f>
        <v>0</v>
      </c>
      <c r="BC59" s="17">
        <f>IF(Tableau2[[#This Row],[STATUT]]="Soldée",Tableau2[[#This Row],[Montant participation à signature]]-Tableau2[[#This Row],[Total CP payés]],0)</f>
        <v>0</v>
      </c>
      <c r="BD59" s="17">
        <f>IF(Tableau2[[#This Row],[Montant participation voté au CA]]="",0,Tableau2[[#This Row],[Réfaction]]+Tableau2[[#This Row],[Montant des crédits non engagés]])</f>
        <v>0</v>
      </c>
      <c r="BF59"/>
      <c r="BJ59"/>
      <c r="BK59"/>
      <c r="BL59"/>
      <c r="BM59"/>
      <c r="BP59"/>
      <c r="BQ59"/>
      <c r="BR59"/>
      <c r="BS59"/>
      <c r="BT59"/>
      <c r="BU59"/>
      <c r="BV59"/>
      <c r="BW59"/>
      <c r="BX59"/>
      <c r="BY59"/>
      <c r="CA59"/>
      <c r="CB59"/>
    </row>
    <row r="60" spans="1:80" ht="15" customHeight="1" x14ac:dyDescent="0.25">
      <c r="A60" s="4">
        <v>59</v>
      </c>
      <c r="B60" s="36">
        <v>2827</v>
      </c>
      <c r="C60" s="39">
        <v>42327</v>
      </c>
      <c r="D60" s="73" t="s">
        <v>154</v>
      </c>
      <c r="E60" s="38" t="s">
        <v>51</v>
      </c>
      <c r="F60" s="38" t="s">
        <v>69</v>
      </c>
      <c r="G60" s="96" t="s">
        <v>143</v>
      </c>
      <c r="H60" s="96" t="s">
        <v>144</v>
      </c>
      <c r="I60" s="40" t="s">
        <v>48</v>
      </c>
      <c r="J60" s="77"/>
      <c r="K60" s="70"/>
      <c r="L60" s="34"/>
      <c r="M60" s="35"/>
      <c r="N60" s="38">
        <v>12</v>
      </c>
      <c r="O60" s="37">
        <v>6</v>
      </c>
      <c r="P60" s="37">
        <f>IF(Tableau2[[#This Row],[Durée du projet]]="","-",Tableau2[[#This Row],[Durée du projet]]+Tableau2[[#This Row],[Durée suppl'' pour pièces]])</f>
        <v>18</v>
      </c>
      <c r="Q60" s="39">
        <v>42591</v>
      </c>
      <c r="R60" s="60">
        <v>42370</v>
      </c>
      <c r="S60" s="6">
        <f>IF(Tableau2[[#This Row],[Date signature ]]="","",EOMONTH((EDATE(Tableau2[[#This Row],[Début éligibilité dépenses]],Tableau2[[#This Row],[Durée du projet]])),-1))</f>
        <v>42735</v>
      </c>
      <c r="T60" s="6">
        <f>IF(Tableau2[[#This Row],[Fin éligibilité dépenses]]="","",EDATE(Tableau2[[#This Row],[Fin éligibilité dépenses]],-6))</f>
        <v>42551</v>
      </c>
      <c r="U60" s="6">
        <f>IF(Tableau2[[#This Row],[Début éligibilité dépenses]]="","",EOMONTH(EDATE(Tableau2[[#This Row],[Début éligibilité dépenses]],Tableau2[[#This Row],[Durée du projet]]/2),0))</f>
        <v>42582</v>
      </c>
      <c r="V60" s="59">
        <f>IF(Tableau2[[#This Row],[Date signature ]]="","",EDATE(Tableau2[[#This Row],[Date signature ]],Tableau2[[#This Row],[Durée totale conv'' ]])-1)</f>
        <v>43139</v>
      </c>
      <c r="W60" s="40" t="s">
        <v>21</v>
      </c>
      <c r="X60" s="2"/>
      <c r="Y60" s="40" t="s">
        <v>145</v>
      </c>
      <c r="Z60" s="2"/>
      <c r="AA60" s="2"/>
      <c r="AB60" s="19"/>
      <c r="AC60" s="21">
        <f>IF(Tableau2[[#This Row],[PORTEUR
DE
PROJET]]="",0,IF(COUNTIF(Tableau2[[#This Row],[PORTEUR
DE
PROJET]],"CRA*")=1,Tableau2[[#This Row],[Montant participation à signature]]/2,Tableau2[[#This Row],[Montant participation à signature]]*0.3))</f>
        <v>28306.5</v>
      </c>
      <c r="AD60" s="6">
        <f>IF(Tableau2[[#This Row],[Date signature ]]="","",EDATE(Tableau2[[#This Row],[Date signature ]],1))</f>
        <v>42622</v>
      </c>
      <c r="AE60" s="21">
        <f>IF(Tableau2[[#This Row],[PORTEUR
DE
PROJET]]="",0,IF(COUNTIF(Tableau2[[#This Row],[PORTEUR
DE
PROJET]],"CRA*")=1,,Tableau2[[#This Row],[Montant participation à signature]]*0.4))</f>
        <v>37742</v>
      </c>
      <c r="AF60" s="6">
        <f>IF(Tableau2[[#This Row],[Date signature ]]="","",IF(Tableau2[[#This Row],[ACOMPTE PREVU]]=0,"",EOMONTH(EDATE(Tableau2[[#This Row],[Date signature ]],Tableau2[[#This Row],[Durée du projet]]/2),0)))</f>
        <v>42794</v>
      </c>
      <c r="AG60" s="21">
        <f>IF(Tableau2[[#This Row],[PORTEUR
DE
PROJET]]="",0,IF(COUNTIF(Tableau2[[#This Row],[PORTEUR
DE
PROJET]],"CRA*")=1,Tableau2[[#This Row],[Montant participation à signature]]/2,Tableau2[[#This Row],[Montant participation à signature]]*0.3))</f>
        <v>28306.5</v>
      </c>
      <c r="AH60" s="6">
        <f>IF(Tableau2[[#This Row],[Date signature ]]="","",EOMONTH(EDATE(Tableau2[[#This Row],[Date signature ]],Tableau2[[#This Row],[Durée du projet]]),0))</f>
        <v>42978</v>
      </c>
      <c r="AI60" s="29">
        <f>IF(COUNTBLANK(Tableau2[[#This Row],[Date du mandat Avance]])=1,,Tableau2[[#This Row],[AVANCE PREVUE]])</f>
        <v>28306.5</v>
      </c>
      <c r="AJ60" s="64">
        <v>42601</v>
      </c>
      <c r="AK60" s="2"/>
      <c r="AL60" s="6"/>
      <c r="AM60" s="6"/>
      <c r="AN60" s="17">
        <f>IF(COUNTBLANK(Tableau2[[#This Row],[Date envoi ASF Acompte]])=1,,Tableau2[[#This Row],[ACOMPTE PREVU]])</f>
        <v>0</v>
      </c>
      <c r="AO60" s="17"/>
      <c r="AP60" s="2"/>
      <c r="AQ60" s="6"/>
      <c r="AR60" s="6"/>
      <c r="AS60" s="17"/>
      <c r="AT60" s="17"/>
      <c r="AU60" s="20"/>
      <c r="AV60" s="17"/>
      <c r="AW60" s="17"/>
      <c r="AX60" s="17">
        <f>IF(Tableau2[[#This Row],[Montant participation voté au CA]]="",0,Tableau2[[#This Row],[Montant participation voté au CA]]-Tableau2[[#This Row],[Montant participation à signature]])</f>
        <v>0</v>
      </c>
      <c r="AY60" s="45">
        <v>94355</v>
      </c>
      <c r="AZ60" s="17">
        <f>Tableau2[[#This Row],[AVANCE VERSEE]]+Tableau2[[#This Row],[ACOMPTE VERSE]]+Tableau2[[#This Row],[SOLDE VERSE]]</f>
        <v>28306.5</v>
      </c>
      <c r="BA60" s="17">
        <f>IF(Tableau2[[#This Row],[STATUT]]="Soldée",0,Tableau2[[#This Row],[Montant participation à signature]]-Tableau2[[#This Row],[Total CP payés]])</f>
        <v>66048.5</v>
      </c>
      <c r="BB60" s="17">
        <f>IF(Tableau2[[#This Row],[SOLDE VERSE]]&lt;0,-Tableau2[[#This Row],[SOLDE VERSE]],0)</f>
        <v>0</v>
      </c>
      <c r="BC60" s="17">
        <f>IF(Tableau2[[#This Row],[STATUT]]="Soldée",Tableau2[[#This Row],[Montant participation à signature]]-Tableau2[[#This Row],[Total CP payés]],0)</f>
        <v>0</v>
      </c>
      <c r="BD60" s="17">
        <f>IF(Tableau2[[#This Row],[Montant participation voté au CA]]="",0,Tableau2[[#This Row],[Réfaction]]+Tableau2[[#This Row],[Montant des crédits non engagés]])</f>
        <v>0</v>
      </c>
      <c r="BF60"/>
      <c r="BJ60"/>
      <c r="BK60"/>
      <c r="BL60"/>
      <c r="BM60"/>
      <c r="BP60"/>
      <c r="BQ60"/>
      <c r="BR60"/>
      <c r="BS60"/>
      <c r="BT60"/>
      <c r="BU60"/>
      <c r="BV60"/>
      <c r="BW60"/>
      <c r="BX60"/>
      <c r="BY60"/>
      <c r="CA60"/>
      <c r="CB60"/>
    </row>
    <row r="61" spans="1:80" ht="15" customHeight="1" x14ac:dyDescent="0.25">
      <c r="A61" s="4">
        <v>60</v>
      </c>
      <c r="B61" s="36">
        <v>2830</v>
      </c>
      <c r="C61" s="39">
        <v>42327</v>
      </c>
      <c r="D61" s="73" t="s">
        <v>154</v>
      </c>
      <c r="E61" s="38">
        <v>1</v>
      </c>
      <c r="F61" s="38">
        <v>2</v>
      </c>
      <c r="G61" s="96" t="s">
        <v>143</v>
      </c>
      <c r="H61" s="96" t="s">
        <v>144</v>
      </c>
      <c r="I61" s="40" t="s">
        <v>48</v>
      </c>
      <c r="J61" s="77"/>
      <c r="K61" s="70"/>
      <c r="L61" s="34"/>
      <c r="M61" s="35"/>
      <c r="N61" s="38">
        <v>12</v>
      </c>
      <c r="O61" s="37">
        <v>6</v>
      </c>
      <c r="P61" s="37">
        <f>IF(Tableau2[[#This Row],[Durée du projet]]="","-",Tableau2[[#This Row],[Durée du projet]]+Tableau2[[#This Row],[Durée suppl'' pour pièces]])</f>
        <v>18</v>
      </c>
      <c r="Q61" s="39">
        <v>42607</v>
      </c>
      <c r="R61" s="60">
        <v>42370</v>
      </c>
      <c r="S61" s="6">
        <f>IF(Tableau2[[#This Row],[Date signature ]]="","",EOMONTH((EDATE(Tableau2[[#This Row],[Début éligibilité dépenses]],Tableau2[[#This Row],[Durée du projet]])),-1))</f>
        <v>42735</v>
      </c>
      <c r="T61" s="6">
        <f>IF(Tableau2[[#This Row],[Fin éligibilité dépenses]]="","",EDATE(Tableau2[[#This Row],[Fin éligibilité dépenses]],-6))</f>
        <v>42551</v>
      </c>
      <c r="U61" s="6">
        <f>IF(Tableau2[[#This Row],[Début éligibilité dépenses]]="","",EOMONTH(EDATE(Tableau2[[#This Row],[Début éligibilité dépenses]],Tableau2[[#This Row],[Durée du projet]]/2),0))</f>
        <v>42582</v>
      </c>
      <c r="V61" s="59">
        <f>IF(Tableau2[[#This Row],[Date signature ]]="","",EDATE(Tableau2[[#This Row],[Date signature ]],Tableau2[[#This Row],[Durée totale conv'' ]])-1)</f>
        <v>43155</v>
      </c>
      <c r="W61" s="40" t="s">
        <v>21</v>
      </c>
      <c r="X61" s="2"/>
      <c r="Y61" s="40" t="s">
        <v>145</v>
      </c>
      <c r="Z61" s="2"/>
      <c r="AA61" s="2"/>
      <c r="AB61" s="19"/>
      <c r="AC61" s="21">
        <f>IF(Tableau2[[#This Row],[PORTEUR
DE
PROJET]]="",0,IF(COUNTIF(Tableau2[[#This Row],[PORTEUR
DE
PROJET]],"CRA*")=1,Tableau2[[#This Row],[Montant participation à signature]]/2,Tableau2[[#This Row],[Montant participation à signature]]*0.3))</f>
        <v>247599</v>
      </c>
      <c r="AD61" s="6">
        <f>IF(Tableau2[[#This Row],[Date signature ]]="","",EDATE(Tableau2[[#This Row],[Date signature ]],1))</f>
        <v>42638</v>
      </c>
      <c r="AE61" s="21">
        <f>IF(Tableau2[[#This Row],[PORTEUR
DE
PROJET]]="",0,IF(COUNTIF(Tableau2[[#This Row],[PORTEUR
DE
PROJET]],"CRA*")=1,,Tableau2[[#This Row],[Montant participation à signature]]*0.4))</f>
        <v>330132</v>
      </c>
      <c r="AF61" s="6">
        <f>IF(Tableau2[[#This Row],[Date signature ]]="","",IF(Tableau2[[#This Row],[ACOMPTE PREVU]]=0,"",EOMONTH(EDATE(Tableau2[[#This Row],[Date signature ]],Tableau2[[#This Row],[Durée du projet]]/2),0)))</f>
        <v>42794</v>
      </c>
      <c r="AG61" s="21">
        <f>IF(Tableau2[[#This Row],[PORTEUR
DE
PROJET]]="",0,IF(COUNTIF(Tableau2[[#This Row],[PORTEUR
DE
PROJET]],"CRA*")=1,Tableau2[[#This Row],[Montant participation à signature]]/2,Tableau2[[#This Row],[Montant participation à signature]]*0.3))</f>
        <v>247599</v>
      </c>
      <c r="AH61" s="6">
        <f>IF(Tableau2[[#This Row],[Date signature ]]="","",EOMONTH(EDATE(Tableau2[[#This Row],[Date signature ]],Tableau2[[#This Row],[Durée du projet]]),0))</f>
        <v>42978</v>
      </c>
      <c r="AI61" s="29">
        <f>IF(COUNTBLANK(Tableau2[[#This Row],[Date du mandat Avance]])=1,,Tableau2[[#This Row],[AVANCE PREVUE]])</f>
        <v>247599</v>
      </c>
      <c r="AJ61" s="64">
        <v>42612</v>
      </c>
      <c r="AK61" s="2"/>
      <c r="AL61" s="6"/>
      <c r="AM61" s="6"/>
      <c r="AN61" s="17">
        <f>IF(COUNTBLANK(Tableau2[[#This Row],[Date envoi ASF Acompte]])=1,,Tableau2[[#This Row],[ACOMPTE PREVU]])</f>
        <v>0</v>
      </c>
      <c r="AO61" s="17"/>
      <c r="AP61" s="2"/>
      <c r="AQ61" s="6"/>
      <c r="AR61" s="6"/>
      <c r="AS61" s="17"/>
      <c r="AT61" s="17"/>
      <c r="AU61" s="20"/>
      <c r="AV61" s="17"/>
      <c r="AW61" s="17"/>
      <c r="AX61" s="17">
        <f>IF(Tableau2[[#This Row],[Montant participation voté au CA]]="",0,Tableau2[[#This Row],[Montant participation voté au CA]]-Tableau2[[#This Row],[Montant participation à signature]])</f>
        <v>0</v>
      </c>
      <c r="AY61" s="45">
        <v>825330</v>
      </c>
      <c r="AZ61" s="17">
        <f>Tableau2[[#This Row],[AVANCE VERSEE]]+Tableau2[[#This Row],[ACOMPTE VERSE]]+Tableau2[[#This Row],[SOLDE VERSE]]</f>
        <v>247599</v>
      </c>
      <c r="BA61" s="17">
        <f>IF(Tableau2[[#This Row],[STATUT]]="Soldée",0,Tableau2[[#This Row],[Montant participation à signature]]-Tableau2[[#This Row],[Total CP payés]])</f>
        <v>577731</v>
      </c>
      <c r="BB61" s="17">
        <f>IF(Tableau2[[#This Row],[SOLDE VERSE]]&lt;0,-Tableau2[[#This Row],[SOLDE VERSE]],0)</f>
        <v>0</v>
      </c>
      <c r="BC61" s="17">
        <f>IF(Tableau2[[#This Row],[STATUT]]="Soldée",Tableau2[[#This Row],[Montant participation à signature]]-Tableau2[[#This Row],[Total CP payés]],0)</f>
        <v>0</v>
      </c>
      <c r="BD61" s="17">
        <f>IF(Tableau2[[#This Row],[Montant participation voté au CA]]="",0,Tableau2[[#This Row],[Réfaction]]+Tableau2[[#This Row],[Montant des crédits non engagés]])</f>
        <v>0</v>
      </c>
      <c r="BF61"/>
      <c r="BJ61"/>
      <c r="BK61"/>
      <c r="BL61"/>
      <c r="BM61"/>
      <c r="BP61"/>
      <c r="BQ61"/>
      <c r="BR61"/>
      <c r="BS61"/>
      <c r="BT61"/>
      <c r="BU61"/>
      <c r="BV61"/>
      <c r="BW61"/>
      <c r="BX61"/>
      <c r="BY61"/>
      <c r="CA61"/>
      <c r="CB61"/>
    </row>
    <row r="62" spans="1:80" ht="15" customHeight="1" x14ac:dyDescent="0.25">
      <c r="A62" s="4">
        <v>61</v>
      </c>
      <c r="B62" s="36">
        <v>2835</v>
      </c>
      <c r="C62" s="39">
        <v>42327</v>
      </c>
      <c r="D62" s="73" t="s">
        <v>154</v>
      </c>
      <c r="E62" s="38">
        <v>1</v>
      </c>
      <c r="F62" s="38">
        <v>2</v>
      </c>
      <c r="G62" s="96" t="s">
        <v>143</v>
      </c>
      <c r="H62" s="96" t="s">
        <v>144</v>
      </c>
      <c r="I62" s="40" t="s">
        <v>48</v>
      </c>
      <c r="J62" s="77">
        <v>42716</v>
      </c>
      <c r="K62" s="70" t="s">
        <v>153</v>
      </c>
      <c r="L62" s="34"/>
      <c r="M62" s="35"/>
      <c r="N62" s="38">
        <v>12</v>
      </c>
      <c r="O62" s="37">
        <v>6</v>
      </c>
      <c r="P62" s="37">
        <f>IF(Tableau2[[#This Row],[Durée du projet]]="","-",Tableau2[[#This Row],[Durée du projet]]+Tableau2[[#This Row],[Durée suppl'' pour pièces]])</f>
        <v>18</v>
      </c>
      <c r="Q62" s="39">
        <v>42615</v>
      </c>
      <c r="R62" s="60">
        <v>42370</v>
      </c>
      <c r="S62" s="6">
        <f>IF(Tableau2[[#This Row],[Date signature ]]="","",EOMONTH((EDATE(Tableau2[[#This Row],[Début éligibilité dépenses]],Tableau2[[#This Row],[Durée du projet]])),-1))</f>
        <v>42735</v>
      </c>
      <c r="T62" s="6">
        <f>IF(Tableau2[[#This Row],[Fin éligibilité dépenses]]="","",EDATE(Tableau2[[#This Row],[Fin éligibilité dépenses]],-6))</f>
        <v>42551</v>
      </c>
      <c r="U62" s="6">
        <f>IF(Tableau2[[#This Row],[Début éligibilité dépenses]]="","",EOMONTH(EDATE(Tableau2[[#This Row],[Début éligibilité dépenses]],Tableau2[[#This Row],[Durée du projet]]/2),0))</f>
        <v>42582</v>
      </c>
      <c r="V62" s="59">
        <f>IF(Tableau2[[#This Row],[Date signature ]]="","",EDATE(Tableau2[[#This Row],[Date signature ]],Tableau2[[#This Row],[Durée totale conv'' ]])-1)</f>
        <v>43160</v>
      </c>
      <c r="W62" s="40" t="s">
        <v>21</v>
      </c>
      <c r="X62" s="2"/>
      <c r="Y62" s="40" t="s">
        <v>145</v>
      </c>
      <c r="Z62" s="2"/>
      <c r="AA62" s="2"/>
      <c r="AB62" s="19"/>
      <c r="AC62" s="21">
        <f>IF(Tableau2[[#This Row],[PORTEUR
DE
PROJET]]="",0,IF(COUNTIF(Tableau2[[#This Row],[PORTEUR
DE
PROJET]],"CRA*")=1,Tableau2[[#This Row],[Montant participation à signature]]/2,Tableau2[[#This Row],[Montant participation à signature]]*0.3))</f>
        <v>375157.12799999997</v>
      </c>
      <c r="AD62" s="6">
        <f>IF(Tableau2[[#This Row],[Date signature ]]="","",EDATE(Tableau2[[#This Row],[Date signature ]],1))</f>
        <v>42645</v>
      </c>
      <c r="AE62" s="21">
        <f>IF(Tableau2[[#This Row],[PORTEUR
DE
PROJET]]="",0,IF(COUNTIF(Tableau2[[#This Row],[PORTEUR
DE
PROJET]],"CRA*")=1,,Tableau2[[#This Row],[Montant participation à signature]]*0.4))</f>
        <v>500209.50400000002</v>
      </c>
      <c r="AF62" s="6">
        <f>IF(Tableau2[[#This Row],[Date signature ]]="","",IF(Tableau2[[#This Row],[ACOMPTE PREVU]]=0,"",EOMONTH(EDATE(Tableau2[[#This Row],[Date signature ]],Tableau2[[#This Row],[Durée du projet]]/2),0)))</f>
        <v>42825</v>
      </c>
      <c r="AG62" s="21">
        <f>IF(Tableau2[[#This Row],[PORTEUR
DE
PROJET]]="",0,IF(COUNTIF(Tableau2[[#This Row],[PORTEUR
DE
PROJET]],"CRA*")=1,Tableau2[[#This Row],[Montant participation à signature]]/2,Tableau2[[#This Row],[Montant participation à signature]]*0.3))</f>
        <v>375157.12799999997</v>
      </c>
      <c r="AH62" s="6">
        <f>IF(Tableau2[[#This Row],[Date signature ]]="","",EOMONTH(EDATE(Tableau2[[#This Row],[Date signature ]],Tableau2[[#This Row],[Durée du projet]]),0))</f>
        <v>43008</v>
      </c>
      <c r="AI62" s="29">
        <f>IF(COUNTBLANK(Tableau2[[#This Row],[Date du mandat Avance]])=1,,Tableau2[[#This Row],[AVANCE PREVUE]])</f>
        <v>375157.12799999997</v>
      </c>
      <c r="AJ62" s="64">
        <v>42626</v>
      </c>
      <c r="AK62" s="2"/>
      <c r="AL62" s="6"/>
      <c r="AM62" s="6"/>
      <c r="AN62" s="17">
        <f>IF(COUNTBLANK(Tableau2[[#This Row],[Date envoi ASF Acompte]])=1,,Tableau2[[#This Row],[ACOMPTE PREVU]])</f>
        <v>0</v>
      </c>
      <c r="AO62" s="17"/>
      <c r="AP62" s="2"/>
      <c r="AQ62" s="6"/>
      <c r="AR62" s="6"/>
      <c r="AS62" s="17"/>
      <c r="AT62" s="17"/>
      <c r="AU62" s="20"/>
      <c r="AV62" s="17"/>
      <c r="AW62" s="17"/>
      <c r="AX62" s="17">
        <f>IF(Tableau2[[#This Row],[Montant participation voté au CA]]="",0,Tableau2[[#This Row],[Montant participation voté au CA]]-Tableau2[[#This Row],[Montant participation à signature]])</f>
        <v>0</v>
      </c>
      <c r="AY62" s="52">
        <v>1250523.76</v>
      </c>
      <c r="AZ62" s="17">
        <f>Tableau2[[#This Row],[AVANCE VERSEE]]+Tableau2[[#This Row],[ACOMPTE VERSE]]+Tableau2[[#This Row],[SOLDE VERSE]]</f>
        <v>375157.12799999997</v>
      </c>
      <c r="BA62" s="17">
        <f>IF(Tableau2[[#This Row],[STATUT]]="Soldée",0,Tableau2[[#This Row],[Montant participation à signature]]-Tableau2[[#This Row],[Total CP payés]])</f>
        <v>875366.63199999998</v>
      </c>
      <c r="BB62" s="17">
        <f>IF(Tableau2[[#This Row],[SOLDE VERSE]]&lt;0,-Tableau2[[#This Row],[SOLDE VERSE]],0)</f>
        <v>0</v>
      </c>
      <c r="BC62" s="17">
        <f>IF(Tableau2[[#This Row],[STATUT]]="Soldée",Tableau2[[#This Row],[Montant participation à signature]]-Tableau2[[#This Row],[Total CP payés]],0)</f>
        <v>0</v>
      </c>
      <c r="BD62" s="17">
        <f>IF(Tableau2[[#This Row],[Montant participation voté au CA]]="",0,Tableau2[[#This Row],[Réfaction]]+Tableau2[[#This Row],[Montant des crédits non engagés]])</f>
        <v>0</v>
      </c>
      <c r="BF62"/>
      <c r="BJ62"/>
      <c r="BK62"/>
      <c r="BL62"/>
      <c r="BM62"/>
      <c r="BP62"/>
      <c r="BQ62"/>
      <c r="BR62"/>
      <c r="BS62"/>
      <c r="BT62"/>
      <c r="BU62"/>
      <c r="BV62"/>
      <c r="BW62"/>
      <c r="BX62"/>
      <c r="BY62"/>
      <c r="CA62"/>
      <c r="CB62"/>
    </row>
    <row r="63" spans="1:80" ht="15" customHeight="1" x14ac:dyDescent="0.25">
      <c r="A63" s="4">
        <v>62</v>
      </c>
      <c r="B63" s="36">
        <v>2836</v>
      </c>
      <c r="C63" s="39">
        <v>42327</v>
      </c>
      <c r="D63" s="73" t="s">
        <v>154</v>
      </c>
      <c r="E63" s="38">
        <v>1</v>
      </c>
      <c r="F63" s="38">
        <v>2</v>
      </c>
      <c r="G63" s="96" t="s">
        <v>143</v>
      </c>
      <c r="H63" s="96" t="s">
        <v>144</v>
      </c>
      <c r="I63" s="40" t="s">
        <v>48</v>
      </c>
      <c r="J63" s="77"/>
      <c r="K63" s="70"/>
      <c r="L63" s="34"/>
      <c r="M63" s="35"/>
      <c r="N63" s="38">
        <v>12</v>
      </c>
      <c r="O63" s="37">
        <v>6</v>
      </c>
      <c r="P63" s="37">
        <f>IF(Tableau2[[#This Row],[Durée du projet]]="","-",Tableau2[[#This Row],[Durée du projet]]+Tableau2[[#This Row],[Durée suppl'' pour pièces]])</f>
        <v>18</v>
      </c>
      <c r="Q63" s="39">
        <v>42620</v>
      </c>
      <c r="R63" s="60">
        <v>42370</v>
      </c>
      <c r="S63" s="6">
        <f>IF(Tableau2[[#This Row],[Date signature ]]="","",EOMONTH((EDATE(Tableau2[[#This Row],[Début éligibilité dépenses]],Tableau2[[#This Row],[Durée du projet]])),-1))</f>
        <v>42735</v>
      </c>
      <c r="T63" s="6">
        <f>IF(Tableau2[[#This Row],[Fin éligibilité dépenses]]="","",EDATE(Tableau2[[#This Row],[Fin éligibilité dépenses]],-6))</f>
        <v>42551</v>
      </c>
      <c r="U63" s="6">
        <f>IF(Tableau2[[#This Row],[Début éligibilité dépenses]]="","",EOMONTH(EDATE(Tableau2[[#This Row],[Début éligibilité dépenses]],Tableau2[[#This Row],[Durée du projet]]/2),0))</f>
        <v>42582</v>
      </c>
      <c r="V63" s="59">
        <f>IF(Tableau2[[#This Row],[Date signature ]]="","",EDATE(Tableau2[[#This Row],[Date signature ]],Tableau2[[#This Row],[Durée totale conv'' ]])-1)</f>
        <v>43165</v>
      </c>
      <c r="W63" s="40" t="s">
        <v>21</v>
      </c>
      <c r="X63" s="2"/>
      <c r="Y63" s="40" t="s">
        <v>145</v>
      </c>
      <c r="Z63" s="2"/>
      <c r="AA63" s="2"/>
      <c r="AB63" s="19"/>
      <c r="AC63" s="21">
        <f>IF(Tableau2[[#This Row],[PORTEUR
DE
PROJET]]="",0,IF(COUNTIF(Tableau2[[#This Row],[PORTEUR
DE
PROJET]],"CRA*")=1,Tableau2[[#This Row],[Montant participation à signature]]/2,Tableau2[[#This Row],[Montant participation à signature]]*0.3))</f>
        <v>107165.25</v>
      </c>
      <c r="AD63" s="6">
        <f>IF(Tableau2[[#This Row],[Date signature ]]="","",EDATE(Tableau2[[#This Row],[Date signature ]],1))</f>
        <v>42650</v>
      </c>
      <c r="AE63" s="21">
        <f>IF(Tableau2[[#This Row],[PORTEUR
DE
PROJET]]="",0,IF(COUNTIF(Tableau2[[#This Row],[PORTEUR
DE
PROJET]],"CRA*")=1,,Tableau2[[#This Row],[Montant participation à signature]]*0.4))</f>
        <v>142887</v>
      </c>
      <c r="AF63" s="6">
        <f>IF(Tableau2[[#This Row],[Date signature ]]="","",IF(Tableau2[[#This Row],[ACOMPTE PREVU]]=0,"",EOMONTH(EDATE(Tableau2[[#This Row],[Date signature ]],Tableau2[[#This Row],[Durée du projet]]/2),0)))</f>
        <v>42825</v>
      </c>
      <c r="AG63" s="21">
        <f>IF(Tableau2[[#This Row],[PORTEUR
DE
PROJET]]="",0,IF(COUNTIF(Tableau2[[#This Row],[PORTEUR
DE
PROJET]],"CRA*")=1,Tableau2[[#This Row],[Montant participation à signature]]/2,Tableau2[[#This Row],[Montant participation à signature]]*0.3))</f>
        <v>107165.25</v>
      </c>
      <c r="AH63" s="6">
        <f>IF(Tableau2[[#This Row],[Date signature ]]="","",EOMONTH(EDATE(Tableau2[[#This Row],[Date signature ]],Tableau2[[#This Row],[Durée du projet]]),0))</f>
        <v>43008</v>
      </c>
      <c r="AI63" s="29">
        <f>IF(COUNTBLANK(Tableau2[[#This Row],[Date du mandat Avance]])=1,,Tableau2[[#This Row],[AVANCE PREVUE]])</f>
        <v>107165.25</v>
      </c>
      <c r="AJ63" s="64">
        <v>42626</v>
      </c>
      <c r="AK63" s="2"/>
      <c r="AL63" s="6"/>
      <c r="AM63" s="6"/>
      <c r="AN63" s="17">
        <f>IF(COUNTBLANK(Tableau2[[#This Row],[Date envoi ASF Acompte]])=1,,Tableau2[[#This Row],[ACOMPTE PREVU]])</f>
        <v>0</v>
      </c>
      <c r="AO63" s="17"/>
      <c r="AP63" s="2"/>
      <c r="AQ63" s="6"/>
      <c r="AR63" s="6"/>
      <c r="AS63" s="17"/>
      <c r="AT63" s="17"/>
      <c r="AU63" s="20"/>
      <c r="AV63" s="17"/>
      <c r="AW63" s="17"/>
      <c r="AX63" s="17">
        <f>IF(Tableau2[[#This Row],[Montant participation voté au CA]]="",0,Tableau2[[#This Row],[Montant participation voté au CA]]-Tableau2[[#This Row],[Montant participation à signature]])</f>
        <v>0</v>
      </c>
      <c r="AY63" s="45">
        <v>357217.5</v>
      </c>
      <c r="AZ63" s="17">
        <f>Tableau2[[#This Row],[AVANCE VERSEE]]+Tableau2[[#This Row],[ACOMPTE VERSE]]+Tableau2[[#This Row],[SOLDE VERSE]]</f>
        <v>107165.25</v>
      </c>
      <c r="BA63" s="17">
        <f>IF(Tableau2[[#This Row],[STATUT]]="Soldée",0,Tableau2[[#This Row],[Montant participation à signature]]-Tableau2[[#This Row],[Total CP payés]])</f>
        <v>250052.25</v>
      </c>
      <c r="BB63" s="17">
        <f>IF(Tableau2[[#This Row],[SOLDE VERSE]]&lt;0,-Tableau2[[#This Row],[SOLDE VERSE]],0)</f>
        <v>0</v>
      </c>
      <c r="BC63" s="17">
        <f>IF(Tableau2[[#This Row],[STATUT]]="Soldée",Tableau2[[#This Row],[Montant participation à signature]]-Tableau2[[#This Row],[Total CP payés]],0)</f>
        <v>0</v>
      </c>
      <c r="BD63" s="17">
        <f>IF(Tableau2[[#This Row],[Montant participation voté au CA]]="",0,Tableau2[[#This Row],[Réfaction]]+Tableau2[[#This Row],[Montant des crédits non engagés]])</f>
        <v>0</v>
      </c>
      <c r="BF63"/>
      <c r="BJ63"/>
      <c r="BK63"/>
      <c r="BL63"/>
      <c r="BM63"/>
      <c r="BP63"/>
      <c r="BQ63"/>
      <c r="BR63"/>
      <c r="BS63"/>
      <c r="BT63"/>
      <c r="BU63"/>
      <c r="BV63"/>
      <c r="BW63"/>
      <c r="BX63"/>
      <c r="BY63"/>
      <c r="CA63"/>
      <c r="CB63"/>
    </row>
    <row r="64" spans="1:80" ht="15" customHeight="1" x14ac:dyDescent="0.25">
      <c r="A64" s="4">
        <v>63</v>
      </c>
      <c r="B64" s="36">
        <v>2837</v>
      </c>
      <c r="C64" s="39">
        <v>42327</v>
      </c>
      <c r="D64" s="73" t="s">
        <v>154</v>
      </c>
      <c r="E64" s="38" t="s">
        <v>51</v>
      </c>
      <c r="F64" s="38" t="s">
        <v>69</v>
      </c>
      <c r="G64" s="96" t="s">
        <v>143</v>
      </c>
      <c r="H64" s="96" t="s">
        <v>144</v>
      </c>
      <c r="I64" s="40" t="s">
        <v>48</v>
      </c>
      <c r="J64" s="77"/>
      <c r="K64" s="70"/>
      <c r="L64" s="34"/>
      <c r="M64" s="35"/>
      <c r="N64" s="38">
        <v>12</v>
      </c>
      <c r="O64" s="37">
        <v>6</v>
      </c>
      <c r="P64" s="37">
        <f>IF(Tableau2[[#This Row],[Durée du projet]]="","-",Tableau2[[#This Row],[Durée du projet]]+Tableau2[[#This Row],[Durée suppl'' pour pièces]])</f>
        <v>18</v>
      </c>
      <c r="Q64" s="39">
        <v>42620</v>
      </c>
      <c r="R64" s="60">
        <v>42370</v>
      </c>
      <c r="S64" s="6">
        <f>IF(Tableau2[[#This Row],[Date signature ]]="","",EOMONTH((EDATE(Tableau2[[#This Row],[Début éligibilité dépenses]],Tableau2[[#This Row],[Durée du projet]])),-1))</f>
        <v>42735</v>
      </c>
      <c r="T64" s="6">
        <f>IF(Tableau2[[#This Row],[Fin éligibilité dépenses]]="","",EDATE(Tableau2[[#This Row],[Fin éligibilité dépenses]],-6))</f>
        <v>42551</v>
      </c>
      <c r="U64" s="6">
        <f>IF(Tableau2[[#This Row],[Début éligibilité dépenses]]="","",EOMONTH(EDATE(Tableau2[[#This Row],[Début éligibilité dépenses]],Tableau2[[#This Row],[Durée du projet]]/2),0))</f>
        <v>42582</v>
      </c>
      <c r="V64" s="59">
        <f>IF(Tableau2[[#This Row],[Date signature ]]="","",EDATE(Tableau2[[#This Row],[Date signature ]],Tableau2[[#This Row],[Durée totale conv'' ]])-1)</f>
        <v>43165</v>
      </c>
      <c r="W64" s="40" t="s">
        <v>21</v>
      </c>
      <c r="X64" s="2"/>
      <c r="Y64" s="40" t="s">
        <v>145</v>
      </c>
      <c r="Z64" s="2"/>
      <c r="AA64" s="2"/>
      <c r="AB64" s="19"/>
      <c r="AC64" s="21">
        <f>IF(Tableau2[[#This Row],[PORTEUR
DE
PROJET]]="",0,IF(COUNTIF(Tableau2[[#This Row],[PORTEUR
DE
PROJET]],"CRA*")=1,Tableau2[[#This Row],[Montant participation à signature]]/2,Tableau2[[#This Row],[Montant participation à signature]]*0.3))</f>
        <v>54575.1</v>
      </c>
      <c r="AD64" s="6">
        <f>IF(Tableau2[[#This Row],[Date signature ]]="","",EDATE(Tableau2[[#This Row],[Date signature ]],1))</f>
        <v>42650</v>
      </c>
      <c r="AE64" s="21">
        <f>IF(Tableau2[[#This Row],[PORTEUR
DE
PROJET]]="",0,IF(COUNTIF(Tableau2[[#This Row],[PORTEUR
DE
PROJET]],"CRA*")=1,,Tableau2[[#This Row],[Montant participation à signature]]*0.4))</f>
        <v>72766.8</v>
      </c>
      <c r="AF64" s="6">
        <f>IF(Tableau2[[#This Row],[Date signature ]]="","",IF(Tableau2[[#This Row],[ACOMPTE PREVU]]=0,"",EOMONTH(EDATE(Tableau2[[#This Row],[Date signature ]],Tableau2[[#This Row],[Durée du projet]]/2),0)))</f>
        <v>42825</v>
      </c>
      <c r="AG64" s="21">
        <f>IF(Tableau2[[#This Row],[PORTEUR
DE
PROJET]]="",0,IF(COUNTIF(Tableau2[[#This Row],[PORTEUR
DE
PROJET]],"CRA*")=1,Tableau2[[#This Row],[Montant participation à signature]]/2,Tableau2[[#This Row],[Montant participation à signature]]*0.3))</f>
        <v>54575.1</v>
      </c>
      <c r="AH64" s="6">
        <f>IF(Tableau2[[#This Row],[Date signature ]]="","",EOMONTH(EDATE(Tableau2[[#This Row],[Date signature ]],Tableau2[[#This Row],[Durée du projet]]),0))</f>
        <v>43008</v>
      </c>
      <c r="AI64" s="29">
        <f>IF(COUNTBLANK(Tableau2[[#This Row],[Date du mandat Avance]])=1,,Tableau2[[#This Row],[AVANCE PREVUE]])</f>
        <v>54575.1</v>
      </c>
      <c r="AJ64" s="64">
        <v>42626</v>
      </c>
      <c r="AK64" s="2"/>
      <c r="AL64" s="6"/>
      <c r="AM64" s="6"/>
      <c r="AN64" s="17">
        <f>IF(COUNTBLANK(Tableau2[[#This Row],[Date envoi ASF Acompte]])=1,,Tableau2[[#This Row],[ACOMPTE PREVU]])</f>
        <v>0</v>
      </c>
      <c r="AO64" s="17"/>
      <c r="AP64" s="2"/>
      <c r="AQ64" s="6"/>
      <c r="AR64" s="6"/>
      <c r="AS64" s="17"/>
      <c r="AT64" s="17"/>
      <c r="AU64" s="20"/>
      <c r="AV64" s="17"/>
      <c r="AW64" s="17"/>
      <c r="AX64" s="17">
        <f>IF(Tableau2[[#This Row],[Montant participation voté au CA]]="",0,Tableau2[[#This Row],[Montant participation voté au CA]]-Tableau2[[#This Row],[Montant participation à signature]])</f>
        <v>0</v>
      </c>
      <c r="AY64" s="45">
        <v>181917</v>
      </c>
      <c r="AZ64" s="17">
        <f>Tableau2[[#This Row],[AVANCE VERSEE]]+Tableau2[[#This Row],[ACOMPTE VERSE]]+Tableau2[[#This Row],[SOLDE VERSE]]</f>
        <v>54575.1</v>
      </c>
      <c r="BA64" s="17">
        <f>IF(Tableau2[[#This Row],[STATUT]]="Soldée",0,Tableau2[[#This Row],[Montant participation à signature]]-Tableau2[[#This Row],[Total CP payés]])</f>
        <v>127341.9</v>
      </c>
      <c r="BB64" s="17">
        <f>IF(Tableau2[[#This Row],[SOLDE VERSE]]&lt;0,-Tableau2[[#This Row],[SOLDE VERSE]],0)</f>
        <v>0</v>
      </c>
      <c r="BC64" s="17">
        <f>IF(Tableau2[[#This Row],[STATUT]]="Soldée",Tableau2[[#This Row],[Montant participation à signature]]-Tableau2[[#This Row],[Total CP payés]],0)</f>
        <v>0</v>
      </c>
      <c r="BD64" s="17">
        <f>IF(Tableau2[[#This Row],[Montant participation voté au CA]]="",0,Tableau2[[#This Row],[Réfaction]]+Tableau2[[#This Row],[Montant des crédits non engagés]])</f>
        <v>0</v>
      </c>
      <c r="BF64"/>
      <c r="BJ64"/>
      <c r="BK64"/>
      <c r="BL64"/>
      <c r="BM64"/>
      <c r="BP64"/>
      <c r="BQ64"/>
      <c r="BR64"/>
      <c r="BS64"/>
      <c r="BT64"/>
      <c r="BU64"/>
      <c r="BV64"/>
      <c r="BW64"/>
      <c r="BX64"/>
      <c r="BY64"/>
      <c r="CA64"/>
      <c r="CB64"/>
    </row>
    <row r="65" spans="1:80" ht="15" customHeight="1" x14ac:dyDescent="0.25">
      <c r="A65" s="4">
        <v>64</v>
      </c>
      <c r="B65" s="36">
        <v>2838</v>
      </c>
      <c r="C65" s="39">
        <v>42327</v>
      </c>
      <c r="D65" s="73" t="s">
        <v>154</v>
      </c>
      <c r="E65" s="38" t="s">
        <v>51</v>
      </c>
      <c r="F65" s="38" t="s">
        <v>69</v>
      </c>
      <c r="G65" s="96" t="s">
        <v>143</v>
      </c>
      <c r="H65" s="96" t="s">
        <v>144</v>
      </c>
      <c r="I65" s="40" t="s">
        <v>48</v>
      </c>
      <c r="J65" s="77"/>
      <c r="K65" s="70"/>
      <c r="L65" s="34"/>
      <c r="M65" s="35"/>
      <c r="N65" s="38">
        <v>12</v>
      </c>
      <c r="O65" s="37">
        <v>6</v>
      </c>
      <c r="P65" s="37">
        <f>IF(Tableau2[[#This Row],[Durée du projet]]="","-",Tableau2[[#This Row],[Durée du projet]]+Tableau2[[#This Row],[Durée suppl'' pour pièces]])</f>
        <v>18</v>
      </c>
      <c r="Q65" s="39">
        <v>42620</v>
      </c>
      <c r="R65" s="60">
        <v>42370</v>
      </c>
      <c r="S65" s="6">
        <f>IF(Tableau2[[#This Row],[Date signature ]]="","",EOMONTH((EDATE(Tableau2[[#This Row],[Début éligibilité dépenses]],Tableau2[[#This Row],[Durée du projet]])),-1))</f>
        <v>42735</v>
      </c>
      <c r="T65" s="6">
        <f>IF(Tableau2[[#This Row],[Fin éligibilité dépenses]]="","",EDATE(Tableau2[[#This Row],[Fin éligibilité dépenses]],-6))</f>
        <v>42551</v>
      </c>
      <c r="U65" s="6">
        <f>IF(Tableau2[[#This Row],[Début éligibilité dépenses]]="","",EOMONTH(EDATE(Tableau2[[#This Row],[Début éligibilité dépenses]],Tableau2[[#This Row],[Durée du projet]]/2),0))</f>
        <v>42582</v>
      </c>
      <c r="V65" s="59">
        <f>IF(Tableau2[[#This Row],[Date signature ]]="","",EDATE(Tableau2[[#This Row],[Date signature ]],Tableau2[[#This Row],[Durée totale conv'' ]])-1)</f>
        <v>43165</v>
      </c>
      <c r="W65" s="40" t="s">
        <v>21</v>
      </c>
      <c r="X65" s="2"/>
      <c r="Y65" s="40" t="s">
        <v>145</v>
      </c>
      <c r="Z65" s="2"/>
      <c r="AA65" s="2"/>
      <c r="AB65" s="19"/>
      <c r="AC65" s="21">
        <f>IF(Tableau2[[#This Row],[PORTEUR
DE
PROJET]]="",0,IF(COUNTIF(Tableau2[[#This Row],[PORTEUR
DE
PROJET]],"CRA*")=1,Tableau2[[#This Row],[Montant participation à signature]]/2,Tableau2[[#This Row],[Montant participation à signature]]*0.3))</f>
        <v>82140</v>
      </c>
      <c r="AD65" s="6">
        <f>IF(Tableau2[[#This Row],[Date signature ]]="","",EDATE(Tableau2[[#This Row],[Date signature ]],1))</f>
        <v>42650</v>
      </c>
      <c r="AE65" s="21">
        <f>IF(Tableau2[[#This Row],[PORTEUR
DE
PROJET]]="",0,IF(COUNTIF(Tableau2[[#This Row],[PORTEUR
DE
PROJET]],"CRA*")=1,,Tableau2[[#This Row],[Montant participation à signature]]*0.4))</f>
        <v>109520</v>
      </c>
      <c r="AF65" s="6">
        <f>IF(Tableau2[[#This Row],[Date signature ]]="","",IF(Tableau2[[#This Row],[ACOMPTE PREVU]]=0,"",EOMONTH(EDATE(Tableau2[[#This Row],[Date signature ]],Tableau2[[#This Row],[Durée du projet]]/2),0)))</f>
        <v>42825</v>
      </c>
      <c r="AG65" s="21">
        <f>IF(Tableau2[[#This Row],[PORTEUR
DE
PROJET]]="",0,IF(COUNTIF(Tableau2[[#This Row],[PORTEUR
DE
PROJET]],"CRA*")=1,Tableau2[[#This Row],[Montant participation à signature]]/2,Tableau2[[#This Row],[Montant participation à signature]]*0.3))</f>
        <v>82140</v>
      </c>
      <c r="AH65" s="6">
        <f>IF(Tableau2[[#This Row],[Date signature ]]="","",EOMONTH(EDATE(Tableau2[[#This Row],[Date signature ]],Tableau2[[#This Row],[Durée du projet]]),0))</f>
        <v>43008</v>
      </c>
      <c r="AI65" s="29">
        <f>IF(COUNTBLANK(Tableau2[[#This Row],[Date du mandat Avance]])=1,,Tableau2[[#This Row],[AVANCE PREVUE]])</f>
        <v>82140</v>
      </c>
      <c r="AJ65" s="64">
        <v>42626</v>
      </c>
      <c r="AK65" s="2"/>
      <c r="AL65" s="6"/>
      <c r="AM65" s="6"/>
      <c r="AN65" s="17">
        <f>IF(COUNTBLANK(Tableau2[[#This Row],[Date envoi ASF Acompte]])=1,,Tableau2[[#This Row],[ACOMPTE PREVU]])</f>
        <v>0</v>
      </c>
      <c r="AO65" s="17"/>
      <c r="AP65" s="2"/>
      <c r="AQ65" s="6"/>
      <c r="AR65" s="6"/>
      <c r="AS65" s="17"/>
      <c r="AT65" s="17"/>
      <c r="AU65" s="20"/>
      <c r="AV65" s="17"/>
      <c r="AW65" s="17"/>
      <c r="AX65" s="17">
        <f>IF(Tableau2[[#This Row],[Montant participation voté au CA]]="",0,Tableau2[[#This Row],[Montant participation voté au CA]]-Tableau2[[#This Row],[Montant participation à signature]])</f>
        <v>0</v>
      </c>
      <c r="AY65" s="45">
        <v>273800</v>
      </c>
      <c r="AZ65" s="17">
        <f>Tableau2[[#This Row],[AVANCE VERSEE]]+Tableau2[[#This Row],[ACOMPTE VERSE]]+Tableau2[[#This Row],[SOLDE VERSE]]</f>
        <v>82140</v>
      </c>
      <c r="BA65" s="17">
        <f>IF(Tableau2[[#This Row],[STATUT]]="Soldée",0,Tableau2[[#This Row],[Montant participation à signature]]-Tableau2[[#This Row],[Total CP payés]])</f>
        <v>191660</v>
      </c>
      <c r="BB65" s="17">
        <f>IF(Tableau2[[#This Row],[SOLDE VERSE]]&lt;0,-Tableau2[[#This Row],[SOLDE VERSE]],0)</f>
        <v>0</v>
      </c>
      <c r="BC65" s="17">
        <f>IF(Tableau2[[#This Row],[STATUT]]="Soldée",Tableau2[[#This Row],[Montant participation à signature]]-Tableau2[[#This Row],[Total CP payés]],0)</f>
        <v>0</v>
      </c>
      <c r="BD65" s="17">
        <f>IF(Tableau2[[#This Row],[Montant participation voté au CA]]="",0,Tableau2[[#This Row],[Réfaction]]+Tableau2[[#This Row],[Montant des crédits non engagés]])</f>
        <v>0</v>
      </c>
      <c r="BF65"/>
      <c r="BJ65"/>
      <c r="BK65"/>
      <c r="BL65"/>
      <c r="BM65"/>
      <c r="BP65"/>
      <c r="BQ65"/>
      <c r="BR65"/>
      <c r="BS65"/>
      <c r="BT65"/>
      <c r="BU65"/>
      <c r="BV65"/>
      <c r="BW65"/>
      <c r="BX65"/>
      <c r="BY65"/>
      <c r="CA65"/>
      <c r="CB65"/>
    </row>
    <row r="66" spans="1:80" ht="15" customHeight="1" x14ac:dyDescent="0.25">
      <c r="A66" s="4">
        <v>65</v>
      </c>
      <c r="B66" s="36">
        <v>2839</v>
      </c>
      <c r="C66" s="39">
        <v>42327</v>
      </c>
      <c r="D66" s="73" t="s">
        <v>154</v>
      </c>
      <c r="E66" s="38">
        <v>1</v>
      </c>
      <c r="F66" s="38">
        <v>2</v>
      </c>
      <c r="G66" s="96" t="s">
        <v>143</v>
      </c>
      <c r="H66" s="96" t="s">
        <v>144</v>
      </c>
      <c r="I66" s="40" t="s">
        <v>48</v>
      </c>
      <c r="J66" s="77" t="s">
        <v>98</v>
      </c>
      <c r="K66" s="70" t="s">
        <v>153</v>
      </c>
      <c r="L66" s="34"/>
      <c r="M66" s="35"/>
      <c r="N66" s="38">
        <v>12</v>
      </c>
      <c r="O66" s="37">
        <v>6</v>
      </c>
      <c r="P66" s="37">
        <f>IF(Tableau2[[#This Row],[Durée du projet]]="","-",Tableau2[[#This Row],[Durée du projet]]+Tableau2[[#This Row],[Durée suppl'' pour pièces]])</f>
        <v>18</v>
      </c>
      <c r="Q66" s="46">
        <v>42620</v>
      </c>
      <c r="R66" s="60">
        <v>42370</v>
      </c>
      <c r="S66" s="6">
        <f>IF(Tableau2[[#This Row],[Date signature ]]="","",EOMONTH((EDATE(Tableau2[[#This Row],[Début éligibilité dépenses]],Tableau2[[#This Row],[Durée du projet]])),-1))</f>
        <v>42735</v>
      </c>
      <c r="T66" s="6">
        <f>IF(Tableau2[[#This Row],[Fin éligibilité dépenses]]="","",EDATE(Tableau2[[#This Row],[Fin éligibilité dépenses]],-6))</f>
        <v>42551</v>
      </c>
      <c r="U66" s="6">
        <f>IF(Tableau2[[#This Row],[Début éligibilité dépenses]]="","",EOMONTH(EDATE(Tableau2[[#This Row],[Début éligibilité dépenses]],Tableau2[[#This Row],[Durée du projet]]/2),0))</f>
        <v>42582</v>
      </c>
      <c r="V66" s="59">
        <f>IF(Tableau2[[#This Row],[Date signature ]]="","",EDATE(Tableau2[[#This Row],[Date signature ]],Tableau2[[#This Row],[Durée totale conv'' ]])-1)</f>
        <v>43165</v>
      </c>
      <c r="W66" s="40" t="s">
        <v>21</v>
      </c>
      <c r="X66" s="2"/>
      <c r="Y66" s="40" t="s">
        <v>145</v>
      </c>
      <c r="Z66" s="2"/>
      <c r="AA66" s="2"/>
      <c r="AB66" s="19"/>
      <c r="AC66" s="21">
        <f>IF(Tableau2[[#This Row],[PORTEUR
DE
PROJET]]="",0,IF(COUNTIF(Tableau2[[#This Row],[PORTEUR
DE
PROJET]],"CRA*")=1,Tableau2[[#This Row],[Montant participation à signature]]/2,Tableau2[[#This Row],[Montant participation à signature]]*0.3))</f>
        <v>123119.09999999999</v>
      </c>
      <c r="AD66" s="6">
        <f>IF(Tableau2[[#This Row],[Date signature ]]="","",EDATE(Tableau2[[#This Row],[Date signature ]],1))</f>
        <v>42650</v>
      </c>
      <c r="AE66" s="21">
        <f>IF(Tableau2[[#This Row],[PORTEUR
DE
PROJET]]="",0,IF(COUNTIF(Tableau2[[#This Row],[PORTEUR
DE
PROJET]],"CRA*")=1,,Tableau2[[#This Row],[Montant participation à signature]]*0.4))</f>
        <v>164158.80000000002</v>
      </c>
      <c r="AF66" s="6">
        <f>IF(Tableau2[[#This Row],[Date signature ]]="","",IF(Tableau2[[#This Row],[ACOMPTE PREVU]]=0,"",EOMONTH(EDATE(Tableau2[[#This Row],[Date signature ]],Tableau2[[#This Row],[Durée du projet]]/2),0)))</f>
        <v>42825</v>
      </c>
      <c r="AG66" s="21">
        <f>IF(Tableau2[[#This Row],[PORTEUR
DE
PROJET]]="",0,IF(COUNTIF(Tableau2[[#This Row],[PORTEUR
DE
PROJET]],"CRA*")=1,Tableau2[[#This Row],[Montant participation à signature]]/2,Tableau2[[#This Row],[Montant participation à signature]]*0.3))</f>
        <v>123119.09999999999</v>
      </c>
      <c r="AH66" s="6">
        <f>IF(Tableau2[[#This Row],[Date signature ]]="","",EOMONTH(EDATE(Tableau2[[#This Row],[Date signature ]],Tableau2[[#This Row],[Durée du projet]]),0))</f>
        <v>43008</v>
      </c>
      <c r="AI66" s="29">
        <f>IF(COUNTBLANK(Tableau2[[#This Row],[Date du mandat Avance]])=1,,Tableau2[[#This Row],[AVANCE PREVUE]])</f>
        <v>123119.09999999999</v>
      </c>
      <c r="AJ66" s="64">
        <v>42626</v>
      </c>
      <c r="AK66" s="2"/>
      <c r="AL66" s="6"/>
      <c r="AM66" s="6"/>
      <c r="AN66" s="17">
        <f>IF(COUNTBLANK(Tableau2[[#This Row],[Date envoi ASF Acompte]])=1,,Tableau2[[#This Row],[ACOMPTE PREVU]])</f>
        <v>0</v>
      </c>
      <c r="AO66" s="17"/>
      <c r="AP66" s="2"/>
      <c r="AQ66" s="6"/>
      <c r="AR66" s="6"/>
      <c r="AS66" s="17"/>
      <c r="AT66" s="17"/>
      <c r="AU66" s="20"/>
      <c r="AV66" s="17"/>
      <c r="AW66" s="17"/>
      <c r="AX66" s="17">
        <f>IF(Tableau2[[#This Row],[Montant participation voté au CA]]="",0,Tableau2[[#This Row],[Montant participation voté au CA]]-Tableau2[[#This Row],[Montant participation à signature]])</f>
        <v>0</v>
      </c>
      <c r="AY66" s="45">
        <v>410397</v>
      </c>
      <c r="AZ66" s="17">
        <f>Tableau2[[#This Row],[AVANCE VERSEE]]+Tableau2[[#This Row],[ACOMPTE VERSE]]+Tableau2[[#This Row],[SOLDE VERSE]]</f>
        <v>123119.09999999999</v>
      </c>
      <c r="BA66" s="17">
        <f>IF(Tableau2[[#This Row],[STATUT]]="Soldée",0,Tableau2[[#This Row],[Montant participation à signature]]-Tableau2[[#This Row],[Total CP payés]])</f>
        <v>287277.90000000002</v>
      </c>
      <c r="BB66" s="17">
        <f>IF(Tableau2[[#This Row],[SOLDE VERSE]]&lt;0,-Tableau2[[#This Row],[SOLDE VERSE]],0)</f>
        <v>0</v>
      </c>
      <c r="BC66" s="17">
        <f>IF(Tableau2[[#This Row],[STATUT]]="Soldée",Tableau2[[#This Row],[Montant participation à signature]]-Tableau2[[#This Row],[Total CP payés]],0)</f>
        <v>0</v>
      </c>
      <c r="BD66" s="17">
        <f>IF(Tableau2[[#This Row],[Montant participation voté au CA]]="",0,Tableau2[[#This Row],[Réfaction]]+Tableau2[[#This Row],[Montant des crédits non engagés]])</f>
        <v>0</v>
      </c>
      <c r="BF66"/>
      <c r="BJ66"/>
      <c r="BK66"/>
      <c r="BL66"/>
      <c r="BM66"/>
      <c r="BP66"/>
      <c r="BQ66"/>
      <c r="BR66"/>
      <c r="BS66"/>
      <c r="BT66"/>
      <c r="BU66"/>
      <c r="BV66"/>
      <c r="BW66"/>
      <c r="BX66"/>
      <c r="BY66"/>
      <c r="CA66"/>
      <c r="CB66"/>
    </row>
    <row r="67" spans="1:80" ht="15" customHeight="1" x14ac:dyDescent="0.25">
      <c r="A67" s="4">
        <v>66</v>
      </c>
      <c r="B67" s="91">
        <v>2840</v>
      </c>
      <c r="C67" s="39">
        <v>42327</v>
      </c>
      <c r="D67" s="73" t="s">
        <v>154</v>
      </c>
      <c r="E67" s="38" t="s">
        <v>51</v>
      </c>
      <c r="F67" s="38" t="s">
        <v>69</v>
      </c>
      <c r="G67" s="96" t="s">
        <v>143</v>
      </c>
      <c r="H67" s="96" t="s">
        <v>144</v>
      </c>
      <c r="I67" s="40" t="s">
        <v>48</v>
      </c>
      <c r="J67" s="77"/>
      <c r="K67" s="70"/>
      <c r="L67" s="34"/>
      <c r="M67" s="35"/>
      <c r="N67" s="38">
        <v>12</v>
      </c>
      <c r="O67" s="37">
        <v>6</v>
      </c>
      <c r="P67" s="37">
        <f>IF(Tableau2[[#This Row],[Durée du projet]]="","-",Tableau2[[#This Row],[Durée du projet]]+Tableau2[[#This Row],[Durée suppl'' pour pièces]])</f>
        <v>18</v>
      </c>
      <c r="Q67" s="39">
        <v>42620</v>
      </c>
      <c r="R67" s="60">
        <v>42370</v>
      </c>
      <c r="S67" s="6">
        <f>IF(Tableau2[[#This Row],[Date signature ]]="","",EOMONTH((EDATE(Tableau2[[#This Row],[Début éligibilité dépenses]],Tableau2[[#This Row],[Durée du projet]])),-1))</f>
        <v>42735</v>
      </c>
      <c r="T67" s="6">
        <f>IF(Tableau2[[#This Row],[Fin éligibilité dépenses]]="","",EDATE(Tableau2[[#This Row],[Fin éligibilité dépenses]],-6))</f>
        <v>42551</v>
      </c>
      <c r="U67" s="6">
        <f>IF(Tableau2[[#This Row],[Début éligibilité dépenses]]="","",EOMONTH(EDATE(Tableau2[[#This Row],[Début éligibilité dépenses]],Tableau2[[#This Row],[Durée du projet]]/2),0))</f>
        <v>42582</v>
      </c>
      <c r="V67" s="59">
        <f>IF(Tableau2[[#This Row],[Date signature ]]="","",EDATE(Tableau2[[#This Row],[Date signature ]],Tableau2[[#This Row],[Durée totale conv'' ]])-1)</f>
        <v>43165</v>
      </c>
      <c r="W67" s="40" t="s">
        <v>21</v>
      </c>
      <c r="X67" s="2"/>
      <c r="Y67" s="40" t="s">
        <v>145</v>
      </c>
      <c r="Z67" s="2"/>
      <c r="AA67" s="2"/>
      <c r="AB67" s="19"/>
      <c r="AC67" s="21">
        <v>30000</v>
      </c>
      <c r="AD67" s="6">
        <f>IF(Tableau2[[#This Row],[Date signature ]]="","",EDATE(Tableau2[[#This Row],[Date signature ]],1))</f>
        <v>42650</v>
      </c>
      <c r="AE67" s="21">
        <v>0</v>
      </c>
      <c r="AF67" s="6" t="str">
        <f>IF(Tableau2[[#This Row],[Date signature ]]="","",IF(Tableau2[[#This Row],[ACOMPTE PREVU]]=0,"",EOMONTH(EDATE(Tableau2[[#This Row],[Date signature ]],Tableau2[[#This Row],[Durée du projet]]/2),0)))</f>
        <v/>
      </c>
      <c r="AG67" s="21">
        <v>30000</v>
      </c>
      <c r="AH67" s="6">
        <f>IF(Tableau2[[#This Row],[Date signature ]]="","",EOMONTH(EDATE(Tableau2[[#This Row],[Date signature ]],Tableau2[[#This Row],[Durée du projet]]),0))</f>
        <v>43008</v>
      </c>
      <c r="AI67" s="29">
        <f>IF(COUNTBLANK(Tableau2[[#This Row],[Date du mandat Avance]])=1,,Tableau2[[#This Row],[AVANCE PREVUE]])</f>
        <v>30000</v>
      </c>
      <c r="AJ67" s="64">
        <v>42626</v>
      </c>
      <c r="AK67" s="2"/>
      <c r="AL67" s="6"/>
      <c r="AM67" s="6"/>
      <c r="AN67" s="17">
        <f>IF(COUNTBLANK(Tableau2[[#This Row],[Date envoi ASF Acompte]])=1,,Tableau2[[#This Row],[ACOMPTE PREVU]])</f>
        <v>0</v>
      </c>
      <c r="AO67" s="17"/>
      <c r="AP67" s="2"/>
      <c r="AQ67" s="6"/>
      <c r="AR67" s="6"/>
      <c r="AS67" s="17"/>
      <c r="AT67" s="17"/>
      <c r="AU67" s="20"/>
      <c r="AV67" s="17"/>
      <c r="AW67" s="17"/>
      <c r="AX67" s="17">
        <f>IF(Tableau2[[#This Row],[Montant participation voté au CA]]="",0,Tableau2[[#This Row],[Montant participation voté au CA]]-Tableau2[[#This Row],[Montant participation à signature]])</f>
        <v>0</v>
      </c>
      <c r="AY67" s="45">
        <v>60000</v>
      </c>
      <c r="AZ67" s="17">
        <f>Tableau2[[#This Row],[AVANCE VERSEE]]+Tableau2[[#This Row],[ACOMPTE VERSE]]+Tableau2[[#This Row],[SOLDE VERSE]]</f>
        <v>30000</v>
      </c>
      <c r="BA67" s="17">
        <f>IF(Tableau2[[#This Row],[STATUT]]="Soldée",0,Tableau2[[#This Row],[Montant participation à signature]]-Tableau2[[#This Row],[Total CP payés]])</f>
        <v>30000</v>
      </c>
      <c r="BB67" s="17">
        <f>IF(Tableau2[[#This Row],[SOLDE VERSE]]&lt;0,-Tableau2[[#This Row],[SOLDE VERSE]],0)</f>
        <v>0</v>
      </c>
      <c r="BC67" s="17">
        <f>IF(Tableau2[[#This Row],[STATUT]]="Soldée",Tableau2[[#This Row],[Montant participation à signature]]-Tableau2[[#This Row],[Total CP payés]],0)</f>
        <v>0</v>
      </c>
      <c r="BD67" s="17">
        <f>IF(Tableau2[[#This Row],[Montant participation voté au CA]]="",0,Tableau2[[#This Row],[Réfaction]]+Tableau2[[#This Row],[Montant des crédits non engagés]])</f>
        <v>0</v>
      </c>
      <c r="BF67"/>
      <c r="BJ67"/>
      <c r="BK67"/>
      <c r="BL67"/>
      <c r="BM67"/>
      <c r="BP67"/>
      <c r="BQ67"/>
      <c r="BR67"/>
      <c r="BS67"/>
      <c r="BT67"/>
      <c r="BU67"/>
      <c r="BV67"/>
      <c r="BW67"/>
      <c r="BX67"/>
      <c r="BY67"/>
      <c r="CA67"/>
      <c r="CB67"/>
    </row>
    <row r="68" spans="1:80" ht="15" customHeight="1" x14ac:dyDescent="0.25">
      <c r="A68" s="4">
        <v>67</v>
      </c>
      <c r="B68" s="36">
        <v>2841</v>
      </c>
      <c r="C68" s="39">
        <v>42327</v>
      </c>
      <c r="D68" s="73" t="s">
        <v>154</v>
      </c>
      <c r="E68" s="38" t="s">
        <v>51</v>
      </c>
      <c r="F68" s="38" t="s">
        <v>69</v>
      </c>
      <c r="G68" s="96" t="s">
        <v>143</v>
      </c>
      <c r="H68" s="96" t="s">
        <v>144</v>
      </c>
      <c r="I68" s="40" t="s">
        <v>48</v>
      </c>
      <c r="J68" s="77"/>
      <c r="K68" s="70"/>
      <c r="L68" s="34"/>
      <c r="M68" s="35"/>
      <c r="N68" s="38">
        <v>12</v>
      </c>
      <c r="O68" s="37">
        <v>6</v>
      </c>
      <c r="P68" s="37">
        <f>IF(Tableau2[[#This Row],[Durée du projet]]="","-",Tableau2[[#This Row],[Durée du projet]]+Tableau2[[#This Row],[Durée suppl'' pour pièces]])</f>
        <v>18</v>
      </c>
      <c r="Q68" s="39">
        <v>42627</v>
      </c>
      <c r="R68" s="60">
        <v>42370</v>
      </c>
      <c r="S68" s="6">
        <f>IF(Tableau2[[#This Row],[Date signature ]]="","",EOMONTH((EDATE(Tableau2[[#This Row],[Début éligibilité dépenses]],Tableau2[[#This Row],[Durée du projet]])),-1))</f>
        <v>42735</v>
      </c>
      <c r="T68" s="6">
        <f>IF(Tableau2[[#This Row],[Fin éligibilité dépenses]]="","",EDATE(Tableau2[[#This Row],[Fin éligibilité dépenses]],-6))</f>
        <v>42551</v>
      </c>
      <c r="U68" s="6">
        <f>IF(Tableau2[[#This Row],[Début éligibilité dépenses]]="","",EOMONTH(EDATE(Tableau2[[#This Row],[Début éligibilité dépenses]],Tableau2[[#This Row],[Durée du projet]]/2),0))</f>
        <v>42582</v>
      </c>
      <c r="V68" s="59">
        <f>IF(Tableau2[[#This Row],[Date signature ]]="","",EDATE(Tableau2[[#This Row],[Date signature ]],Tableau2[[#This Row],[Durée totale conv'' ]])-1)</f>
        <v>43172</v>
      </c>
      <c r="W68" s="40" t="s">
        <v>21</v>
      </c>
      <c r="X68" s="2"/>
      <c r="Y68" s="40" t="s">
        <v>145</v>
      </c>
      <c r="Z68" s="2"/>
      <c r="AA68" s="2"/>
      <c r="AB68" s="19"/>
      <c r="AC68" s="21">
        <f>IF(Tableau2[[#This Row],[PORTEUR
DE
PROJET]]="",0,IF(COUNTIF(Tableau2[[#This Row],[PORTEUR
DE
PROJET]],"CRA*")=1,Tableau2[[#This Row],[Montant participation à signature]]/2,Tableau2[[#This Row],[Montant participation à signature]]*0.3))</f>
        <v>79819.199999999997</v>
      </c>
      <c r="AD68" s="6">
        <f>IF(Tableau2[[#This Row],[Date signature ]]="","",EDATE(Tableau2[[#This Row],[Date signature ]],1))</f>
        <v>42657</v>
      </c>
      <c r="AE68" s="21">
        <f>IF(Tableau2[[#This Row],[PORTEUR
DE
PROJET]]="",0,IF(COUNTIF(Tableau2[[#This Row],[PORTEUR
DE
PROJET]],"CRA*")=1,,Tableau2[[#This Row],[Montant participation à signature]]*0.4))</f>
        <v>106425.60000000001</v>
      </c>
      <c r="AF68" s="6">
        <f>IF(Tableau2[[#This Row],[Date signature ]]="","",IF(Tableau2[[#This Row],[ACOMPTE PREVU]]=0,"",EOMONTH(EDATE(Tableau2[[#This Row],[Date signature ]],Tableau2[[#This Row],[Durée du projet]]/2),0)))</f>
        <v>42825</v>
      </c>
      <c r="AG68" s="21">
        <f>IF(Tableau2[[#This Row],[PORTEUR
DE
PROJET]]="",0,IF(COUNTIF(Tableau2[[#This Row],[PORTEUR
DE
PROJET]],"CRA*")=1,Tableau2[[#This Row],[Montant participation à signature]]/2,Tableau2[[#This Row],[Montant participation à signature]]*0.3))</f>
        <v>79819.199999999997</v>
      </c>
      <c r="AH68" s="6">
        <f>IF(Tableau2[[#This Row],[Date signature ]]="","",EOMONTH(EDATE(Tableau2[[#This Row],[Date signature ]],Tableau2[[#This Row],[Durée du projet]]),0))</f>
        <v>43008</v>
      </c>
      <c r="AI68" s="29">
        <f>IF(COUNTBLANK(Tableau2[[#This Row],[Date du mandat Avance]])=1,,Tableau2[[#This Row],[AVANCE PREVUE]])</f>
        <v>79819.199999999997</v>
      </c>
      <c r="AJ68" s="64">
        <v>42633</v>
      </c>
      <c r="AK68" s="2"/>
      <c r="AL68" s="6"/>
      <c r="AM68" s="6"/>
      <c r="AN68" s="17">
        <f>IF(COUNTBLANK(Tableau2[[#This Row],[Date envoi ASF Acompte]])=1,,Tableau2[[#This Row],[ACOMPTE PREVU]])</f>
        <v>0</v>
      </c>
      <c r="AO68" s="17"/>
      <c r="AP68" s="2"/>
      <c r="AQ68" s="6"/>
      <c r="AR68" s="6"/>
      <c r="AS68" s="17"/>
      <c r="AT68" s="17"/>
      <c r="AU68" s="20"/>
      <c r="AV68" s="17"/>
      <c r="AW68" s="17"/>
      <c r="AX68" s="17">
        <f>IF(Tableau2[[#This Row],[Montant participation voté au CA]]="",0,Tableau2[[#This Row],[Montant participation voté au CA]]-Tableau2[[#This Row],[Montant participation à signature]])</f>
        <v>0</v>
      </c>
      <c r="AY68" s="45">
        <v>266064</v>
      </c>
      <c r="AZ68" s="17">
        <f>Tableau2[[#This Row],[AVANCE VERSEE]]+Tableau2[[#This Row],[ACOMPTE VERSE]]+Tableau2[[#This Row],[SOLDE VERSE]]</f>
        <v>79819.199999999997</v>
      </c>
      <c r="BA68" s="17">
        <f>IF(Tableau2[[#This Row],[STATUT]]="Soldée",0,Tableau2[[#This Row],[Montant participation à signature]]-Tableau2[[#This Row],[Total CP payés]])</f>
        <v>186244.8</v>
      </c>
      <c r="BB68" s="17">
        <f>IF(Tableau2[[#This Row],[SOLDE VERSE]]&lt;0,-Tableau2[[#This Row],[SOLDE VERSE]],0)</f>
        <v>0</v>
      </c>
      <c r="BC68" s="17">
        <f>IF(Tableau2[[#This Row],[STATUT]]="Soldée",Tableau2[[#This Row],[Montant participation à signature]]-Tableau2[[#This Row],[Total CP payés]],0)</f>
        <v>0</v>
      </c>
      <c r="BD68" s="17">
        <f>IF(Tableau2[[#This Row],[Montant participation voté au CA]]="",0,Tableau2[[#This Row],[Réfaction]]+Tableau2[[#This Row],[Montant des crédits non engagés]])</f>
        <v>0</v>
      </c>
      <c r="BF68"/>
      <c r="BJ68"/>
      <c r="BK68"/>
      <c r="BL68"/>
      <c r="BM68"/>
      <c r="BP68"/>
      <c r="BQ68"/>
      <c r="BR68"/>
      <c r="BS68"/>
      <c r="BT68"/>
      <c r="BU68"/>
      <c r="BV68"/>
      <c r="BW68"/>
      <c r="BX68"/>
      <c r="BY68"/>
      <c r="CA68"/>
      <c r="CB68"/>
    </row>
    <row r="69" spans="1:80" ht="15" customHeight="1" x14ac:dyDescent="0.25">
      <c r="A69" s="4">
        <v>68</v>
      </c>
      <c r="B69" s="36">
        <v>2846</v>
      </c>
      <c r="C69" s="39">
        <v>42327</v>
      </c>
      <c r="D69" s="73" t="s">
        <v>154</v>
      </c>
      <c r="E69" s="38">
        <v>1</v>
      </c>
      <c r="F69" s="38">
        <v>2</v>
      </c>
      <c r="G69" s="96" t="s">
        <v>143</v>
      </c>
      <c r="H69" s="96" t="s">
        <v>144</v>
      </c>
      <c r="I69" s="40" t="s">
        <v>48</v>
      </c>
      <c r="J69" s="77"/>
      <c r="K69" s="70"/>
      <c r="L69" s="34"/>
      <c r="M69" s="35"/>
      <c r="N69" s="38">
        <v>12</v>
      </c>
      <c r="O69" s="37">
        <v>6</v>
      </c>
      <c r="P69" s="37">
        <f>IF(Tableau2[[#This Row],[Durée du projet]]="","-",Tableau2[[#This Row],[Durée du projet]]+Tableau2[[#This Row],[Durée suppl'' pour pièces]])</f>
        <v>18</v>
      </c>
      <c r="Q69" s="39">
        <v>42634</v>
      </c>
      <c r="R69" s="60">
        <v>42370</v>
      </c>
      <c r="S69" s="6">
        <f>IF(Tableau2[[#This Row],[Date signature ]]="","",EOMONTH((EDATE(Tableau2[[#This Row],[Début éligibilité dépenses]],Tableau2[[#This Row],[Durée du projet]])),-1))</f>
        <v>42735</v>
      </c>
      <c r="T69" s="6">
        <f>IF(Tableau2[[#This Row],[Fin éligibilité dépenses]]="","",EDATE(Tableau2[[#This Row],[Fin éligibilité dépenses]],-6))</f>
        <v>42551</v>
      </c>
      <c r="U69" s="6">
        <f>IF(Tableau2[[#This Row],[Début éligibilité dépenses]]="","",EOMONTH(EDATE(Tableau2[[#This Row],[Début éligibilité dépenses]],Tableau2[[#This Row],[Durée du projet]]/2),0))</f>
        <v>42582</v>
      </c>
      <c r="V69" s="59">
        <f>IF(Tableau2[[#This Row],[Date signature ]]="","",EDATE(Tableau2[[#This Row],[Date signature ]],Tableau2[[#This Row],[Durée totale conv'' ]])-1)</f>
        <v>43179</v>
      </c>
      <c r="W69" s="40" t="s">
        <v>21</v>
      </c>
      <c r="X69" s="2"/>
      <c r="Y69" s="40" t="s">
        <v>145</v>
      </c>
      <c r="Z69" s="2"/>
      <c r="AA69" s="2"/>
      <c r="AB69" s="19"/>
      <c r="AC69" s="21">
        <f>IF(Tableau2[[#This Row],[PORTEUR
DE
PROJET]]="",0,IF(COUNTIF(Tableau2[[#This Row],[PORTEUR
DE
PROJET]],"CRA*")=1,Tableau2[[#This Row],[Montant participation à signature]]/2,Tableau2[[#This Row],[Montant participation à signature]]*0.3))</f>
        <v>156422.47500000001</v>
      </c>
      <c r="AD69" s="6">
        <f>IF(Tableau2[[#This Row],[Date signature ]]="","",EDATE(Tableau2[[#This Row],[Date signature ]],1))</f>
        <v>42664</v>
      </c>
      <c r="AE69" s="21">
        <f>IF(Tableau2[[#This Row],[PORTEUR
DE
PROJET]]="",0,IF(COUNTIF(Tableau2[[#This Row],[PORTEUR
DE
PROJET]],"CRA*")=1,,Tableau2[[#This Row],[Montant participation à signature]]*0.4))</f>
        <v>208563.30000000002</v>
      </c>
      <c r="AF69" s="6">
        <f>IF(Tableau2[[#This Row],[Date signature ]]="","",IF(Tableau2[[#This Row],[ACOMPTE PREVU]]=0,"",EOMONTH(EDATE(Tableau2[[#This Row],[Date signature ]],Tableau2[[#This Row],[Durée du projet]]/2),0)))</f>
        <v>42825</v>
      </c>
      <c r="AG69" s="21">
        <f>IF(Tableau2[[#This Row],[PORTEUR
DE
PROJET]]="",0,IF(COUNTIF(Tableau2[[#This Row],[PORTEUR
DE
PROJET]],"CRA*")=1,Tableau2[[#This Row],[Montant participation à signature]]/2,Tableau2[[#This Row],[Montant participation à signature]]*0.3))</f>
        <v>156422.47500000001</v>
      </c>
      <c r="AH69" s="6">
        <f>IF(Tableau2[[#This Row],[Date signature ]]="","",EOMONTH(EDATE(Tableau2[[#This Row],[Date signature ]],Tableau2[[#This Row],[Durée du projet]]),0))</f>
        <v>43008</v>
      </c>
      <c r="AI69" s="29">
        <f>IF(COUNTBLANK(Tableau2[[#This Row],[Date du mandat Avance]])=1,,Tableau2[[#This Row],[AVANCE PREVUE]])</f>
        <v>156422.47500000001</v>
      </c>
      <c r="AJ69" s="64">
        <v>42642</v>
      </c>
      <c r="AK69" s="2"/>
      <c r="AL69" s="6"/>
      <c r="AM69" s="6"/>
      <c r="AN69" s="17">
        <f>IF(COUNTBLANK(Tableau2[[#This Row],[Date envoi ASF Acompte]])=1,,Tableau2[[#This Row],[ACOMPTE PREVU]])</f>
        <v>0</v>
      </c>
      <c r="AO69" s="17"/>
      <c r="AP69" s="2"/>
      <c r="AQ69" s="6"/>
      <c r="AR69" s="6"/>
      <c r="AS69" s="17"/>
      <c r="AT69" s="17"/>
      <c r="AU69" s="20"/>
      <c r="AV69" s="17"/>
      <c r="AW69" s="17"/>
      <c r="AX69" s="17">
        <f>IF(Tableau2[[#This Row],[Montant participation voté au CA]]="",0,Tableau2[[#This Row],[Montant participation voté au CA]]-Tableau2[[#This Row],[Montant participation à signature]])</f>
        <v>0</v>
      </c>
      <c r="AY69" s="45">
        <v>521408.25</v>
      </c>
      <c r="AZ69" s="17">
        <f>Tableau2[[#This Row],[AVANCE VERSEE]]+Tableau2[[#This Row],[ACOMPTE VERSE]]+Tableau2[[#This Row],[SOLDE VERSE]]</f>
        <v>156422.47500000001</v>
      </c>
      <c r="BA69" s="17">
        <f>IF(Tableau2[[#This Row],[STATUT]]="Soldée",0,Tableau2[[#This Row],[Montant participation à signature]]-Tableau2[[#This Row],[Total CP payés]])</f>
        <v>364985.77500000002</v>
      </c>
      <c r="BB69" s="17">
        <f>IF(Tableau2[[#This Row],[SOLDE VERSE]]&lt;0,-Tableau2[[#This Row],[SOLDE VERSE]],0)</f>
        <v>0</v>
      </c>
      <c r="BC69" s="17">
        <f>IF(Tableau2[[#This Row],[STATUT]]="Soldée",Tableau2[[#This Row],[Montant participation à signature]]-Tableau2[[#This Row],[Total CP payés]],0)</f>
        <v>0</v>
      </c>
      <c r="BD69" s="17">
        <f>IF(Tableau2[[#This Row],[Montant participation voté au CA]]="",0,Tableau2[[#This Row],[Réfaction]]+Tableau2[[#This Row],[Montant des crédits non engagés]])</f>
        <v>0</v>
      </c>
      <c r="BF69"/>
      <c r="BJ69"/>
      <c r="BK69"/>
      <c r="BL69"/>
      <c r="BM69"/>
      <c r="BP69"/>
      <c r="BQ69"/>
      <c r="BR69"/>
      <c r="BS69"/>
      <c r="BT69"/>
      <c r="BU69"/>
      <c r="BV69"/>
      <c r="BW69"/>
      <c r="BX69"/>
      <c r="BY69"/>
      <c r="CA69"/>
      <c r="CB69"/>
    </row>
    <row r="70" spans="1:80" ht="15" customHeight="1" x14ac:dyDescent="0.25">
      <c r="A70" s="4">
        <v>69</v>
      </c>
      <c r="B70" s="36">
        <v>2847</v>
      </c>
      <c r="C70" s="39">
        <v>42327</v>
      </c>
      <c r="D70" s="73" t="s">
        <v>154</v>
      </c>
      <c r="E70" s="38" t="s">
        <v>51</v>
      </c>
      <c r="F70" s="38" t="s">
        <v>69</v>
      </c>
      <c r="G70" s="96" t="s">
        <v>143</v>
      </c>
      <c r="H70" s="96" t="s">
        <v>144</v>
      </c>
      <c r="I70" s="40" t="s">
        <v>48</v>
      </c>
      <c r="J70" s="77"/>
      <c r="K70" s="70"/>
      <c r="L70" s="34"/>
      <c r="M70" s="35"/>
      <c r="N70" s="38">
        <v>12</v>
      </c>
      <c r="O70" s="37">
        <v>6</v>
      </c>
      <c r="P70" s="37">
        <f>IF(Tableau2[[#This Row],[Durée du projet]]="","-",Tableau2[[#This Row],[Durée du projet]]+Tableau2[[#This Row],[Durée suppl'' pour pièces]])</f>
        <v>18</v>
      </c>
      <c r="Q70" s="39">
        <v>42634</v>
      </c>
      <c r="R70" s="60">
        <v>42370</v>
      </c>
      <c r="S70" s="6">
        <f>IF(Tableau2[[#This Row],[Date signature ]]="","",EOMONTH((EDATE(Tableau2[[#This Row],[Début éligibilité dépenses]],Tableau2[[#This Row],[Durée du projet]])),-1))</f>
        <v>42735</v>
      </c>
      <c r="T70" s="6">
        <f>IF(Tableau2[[#This Row],[Fin éligibilité dépenses]]="","",EDATE(Tableau2[[#This Row],[Fin éligibilité dépenses]],-6))</f>
        <v>42551</v>
      </c>
      <c r="U70" s="6">
        <f>IF(Tableau2[[#This Row],[Début éligibilité dépenses]]="","",EOMONTH(EDATE(Tableau2[[#This Row],[Début éligibilité dépenses]],Tableau2[[#This Row],[Durée du projet]]/2),0))</f>
        <v>42582</v>
      </c>
      <c r="V70" s="59">
        <f>IF(Tableau2[[#This Row],[Date signature ]]="","",EDATE(Tableau2[[#This Row],[Date signature ]],Tableau2[[#This Row],[Durée totale conv'' ]])-1)</f>
        <v>43179</v>
      </c>
      <c r="W70" s="40" t="s">
        <v>21</v>
      </c>
      <c r="X70" s="2"/>
      <c r="Y70" s="40" t="s">
        <v>145</v>
      </c>
      <c r="Z70" s="2"/>
      <c r="AA70" s="2"/>
      <c r="AB70" s="19"/>
      <c r="AC70" s="21">
        <f>IF(Tableau2[[#This Row],[PORTEUR
DE
PROJET]]="",0,IF(COUNTIF(Tableau2[[#This Row],[PORTEUR
DE
PROJET]],"CRA*")=1,Tableau2[[#This Row],[Montant participation à signature]]/2,Tableau2[[#This Row],[Montant participation à signature]]*0.3))</f>
        <v>70536.599999999991</v>
      </c>
      <c r="AD70" s="6">
        <f>IF(Tableau2[[#This Row],[Date signature ]]="","",EDATE(Tableau2[[#This Row],[Date signature ]],1))</f>
        <v>42664</v>
      </c>
      <c r="AE70" s="21">
        <f>IF(Tableau2[[#This Row],[PORTEUR
DE
PROJET]]="",0,IF(COUNTIF(Tableau2[[#This Row],[PORTEUR
DE
PROJET]],"CRA*")=1,,Tableau2[[#This Row],[Montant participation à signature]]*0.4))</f>
        <v>94048.8</v>
      </c>
      <c r="AF70" s="6">
        <f>IF(Tableau2[[#This Row],[Date signature ]]="","",IF(Tableau2[[#This Row],[ACOMPTE PREVU]]=0,"",EOMONTH(EDATE(Tableau2[[#This Row],[Date signature ]],Tableau2[[#This Row],[Durée du projet]]/2),0)))</f>
        <v>42825</v>
      </c>
      <c r="AG70" s="21">
        <f>IF(Tableau2[[#This Row],[PORTEUR
DE
PROJET]]="",0,IF(COUNTIF(Tableau2[[#This Row],[PORTEUR
DE
PROJET]],"CRA*")=1,Tableau2[[#This Row],[Montant participation à signature]]/2,Tableau2[[#This Row],[Montant participation à signature]]*0.3))</f>
        <v>70536.599999999991</v>
      </c>
      <c r="AH70" s="6">
        <f>IF(Tableau2[[#This Row],[Date signature ]]="","",EOMONTH(EDATE(Tableau2[[#This Row],[Date signature ]],Tableau2[[#This Row],[Durée du projet]]),0))</f>
        <v>43008</v>
      </c>
      <c r="AI70" s="29">
        <f>IF(COUNTBLANK(Tableau2[[#This Row],[Date du mandat Avance]])=1,,Tableau2[[#This Row],[AVANCE PREVUE]])</f>
        <v>70536.599999999991</v>
      </c>
      <c r="AJ70" s="64">
        <v>42642</v>
      </c>
      <c r="AK70" s="2"/>
      <c r="AL70" s="6"/>
      <c r="AM70" s="6"/>
      <c r="AN70" s="17">
        <f>IF(COUNTBLANK(Tableau2[[#This Row],[Date envoi ASF Acompte]])=1,,Tableau2[[#This Row],[ACOMPTE PREVU]])</f>
        <v>0</v>
      </c>
      <c r="AO70" s="17"/>
      <c r="AP70" s="2"/>
      <c r="AQ70" s="6"/>
      <c r="AR70" s="6"/>
      <c r="AS70" s="17"/>
      <c r="AT70" s="17"/>
      <c r="AU70" s="20"/>
      <c r="AV70" s="17"/>
      <c r="AW70" s="17"/>
      <c r="AX70" s="17">
        <f>IF(Tableau2[[#This Row],[Montant participation voté au CA]]="",0,Tableau2[[#This Row],[Montant participation voté au CA]]-Tableau2[[#This Row],[Montant participation à signature]])</f>
        <v>0</v>
      </c>
      <c r="AY70" s="45">
        <v>235122</v>
      </c>
      <c r="AZ70" s="17">
        <f>Tableau2[[#This Row],[AVANCE VERSEE]]+Tableau2[[#This Row],[ACOMPTE VERSE]]+Tableau2[[#This Row],[SOLDE VERSE]]</f>
        <v>70536.599999999991</v>
      </c>
      <c r="BA70" s="17">
        <f>IF(Tableau2[[#This Row],[STATUT]]="Soldée",0,Tableau2[[#This Row],[Montant participation à signature]]-Tableau2[[#This Row],[Total CP payés]])</f>
        <v>164585.40000000002</v>
      </c>
      <c r="BB70" s="17">
        <f>IF(Tableau2[[#This Row],[SOLDE VERSE]]&lt;0,-Tableau2[[#This Row],[SOLDE VERSE]],0)</f>
        <v>0</v>
      </c>
      <c r="BC70" s="17">
        <f>IF(Tableau2[[#This Row],[STATUT]]="Soldée",Tableau2[[#This Row],[Montant participation à signature]]-Tableau2[[#This Row],[Total CP payés]],0)</f>
        <v>0</v>
      </c>
      <c r="BD70" s="17">
        <f>IF(Tableau2[[#This Row],[Montant participation voté au CA]]="",0,Tableau2[[#This Row],[Réfaction]]+Tableau2[[#This Row],[Montant des crédits non engagés]])</f>
        <v>0</v>
      </c>
      <c r="BF70"/>
      <c r="BJ70"/>
      <c r="BK70"/>
      <c r="BL70"/>
      <c r="BM70"/>
      <c r="BP70"/>
      <c r="BQ70"/>
      <c r="BR70"/>
      <c r="BS70"/>
      <c r="BT70"/>
      <c r="BU70"/>
      <c r="BV70"/>
      <c r="BW70"/>
      <c r="BX70"/>
      <c r="BY70"/>
      <c r="CA70"/>
      <c r="CB70"/>
    </row>
    <row r="71" spans="1:80" ht="15" customHeight="1" x14ac:dyDescent="0.25">
      <c r="A71" s="4">
        <v>70</v>
      </c>
      <c r="B71" s="36">
        <v>2849</v>
      </c>
      <c r="C71" s="39">
        <v>42327</v>
      </c>
      <c r="D71" s="73" t="s">
        <v>154</v>
      </c>
      <c r="E71" s="38" t="s">
        <v>51</v>
      </c>
      <c r="F71" s="38" t="s">
        <v>69</v>
      </c>
      <c r="G71" s="96" t="s">
        <v>143</v>
      </c>
      <c r="H71" s="96" t="s">
        <v>144</v>
      </c>
      <c r="I71" s="40" t="s">
        <v>48</v>
      </c>
      <c r="J71" s="77"/>
      <c r="K71" s="70"/>
      <c r="L71" s="34"/>
      <c r="M71" s="35"/>
      <c r="N71" s="38">
        <v>12</v>
      </c>
      <c r="O71" s="37">
        <v>6</v>
      </c>
      <c r="P71" s="37">
        <f>IF(Tableau2[[#This Row],[Durée du projet]]="","-",Tableau2[[#This Row],[Durée du projet]]+Tableau2[[#This Row],[Durée suppl'' pour pièces]])</f>
        <v>18</v>
      </c>
      <c r="Q71" s="39">
        <v>42634</v>
      </c>
      <c r="R71" s="60">
        <v>42370</v>
      </c>
      <c r="S71" s="6">
        <f>IF(Tableau2[[#This Row],[Date signature ]]="","",EOMONTH((EDATE(Tableau2[[#This Row],[Début éligibilité dépenses]],Tableau2[[#This Row],[Durée du projet]])),-1))</f>
        <v>42735</v>
      </c>
      <c r="T71" s="6">
        <f>IF(Tableau2[[#This Row],[Fin éligibilité dépenses]]="","",EDATE(Tableau2[[#This Row],[Fin éligibilité dépenses]],-6))</f>
        <v>42551</v>
      </c>
      <c r="U71" s="6">
        <f>IF(Tableau2[[#This Row],[Début éligibilité dépenses]]="","",EOMONTH(EDATE(Tableau2[[#This Row],[Début éligibilité dépenses]],Tableau2[[#This Row],[Durée du projet]]/2),0))</f>
        <v>42582</v>
      </c>
      <c r="V71" s="59">
        <f>IF(Tableau2[[#This Row],[Date signature ]]="","",EDATE(Tableau2[[#This Row],[Date signature ]],Tableau2[[#This Row],[Durée totale conv'' ]])-1)</f>
        <v>43179</v>
      </c>
      <c r="W71" s="40" t="s">
        <v>21</v>
      </c>
      <c r="X71" s="2"/>
      <c r="Y71" s="40" t="s">
        <v>145</v>
      </c>
      <c r="Z71" s="2"/>
      <c r="AA71" s="2"/>
      <c r="AB71" s="19"/>
      <c r="AC71" s="21">
        <f>IF(Tableau2[[#This Row],[PORTEUR
DE
PROJET]]="",0,IF(COUNTIF(Tableau2[[#This Row],[PORTEUR
DE
PROJET]],"CRA*")=1,Tableau2[[#This Row],[Montant participation à signature]]/2,Tableau2[[#This Row],[Montant participation à signature]]*0.3))</f>
        <v>63574.799999999996</v>
      </c>
      <c r="AD71" s="6">
        <f>IF(Tableau2[[#This Row],[Date signature ]]="","",EDATE(Tableau2[[#This Row],[Date signature ]],1))</f>
        <v>42664</v>
      </c>
      <c r="AE71" s="21">
        <f>IF(Tableau2[[#This Row],[PORTEUR
DE
PROJET]]="",0,IF(COUNTIF(Tableau2[[#This Row],[PORTEUR
DE
PROJET]],"CRA*")=1,,Tableau2[[#This Row],[Montant participation à signature]]*0.4))</f>
        <v>84766.400000000009</v>
      </c>
      <c r="AF71" s="6">
        <f>IF(Tableau2[[#This Row],[Date signature ]]="","",IF(Tableau2[[#This Row],[ACOMPTE PREVU]]=0,"",EOMONTH(EDATE(Tableau2[[#This Row],[Date signature ]],Tableau2[[#This Row],[Durée du projet]]/2),0)))</f>
        <v>42825</v>
      </c>
      <c r="AG71" s="21">
        <f>IF(Tableau2[[#This Row],[PORTEUR
DE
PROJET]]="",0,IF(COUNTIF(Tableau2[[#This Row],[PORTEUR
DE
PROJET]],"CRA*")=1,Tableau2[[#This Row],[Montant participation à signature]]/2,Tableau2[[#This Row],[Montant participation à signature]]*0.3))</f>
        <v>63574.799999999996</v>
      </c>
      <c r="AH71" s="6">
        <f>IF(Tableau2[[#This Row],[Date signature ]]="","",EOMONTH(EDATE(Tableau2[[#This Row],[Date signature ]],Tableau2[[#This Row],[Durée du projet]]),0))</f>
        <v>43008</v>
      </c>
      <c r="AI71" s="29">
        <f>IF(COUNTBLANK(Tableau2[[#This Row],[Date du mandat Avance]])=1,,Tableau2[[#This Row],[AVANCE PREVUE]])</f>
        <v>63574.799999999996</v>
      </c>
      <c r="AJ71" s="64">
        <v>42642</v>
      </c>
      <c r="AK71" s="2"/>
      <c r="AL71" s="6"/>
      <c r="AM71" s="6"/>
      <c r="AN71" s="17">
        <f>IF(COUNTBLANK(Tableau2[[#This Row],[Date envoi ASF Acompte]])=1,,Tableau2[[#This Row],[ACOMPTE PREVU]])</f>
        <v>0</v>
      </c>
      <c r="AO71" s="17"/>
      <c r="AP71" s="2"/>
      <c r="AQ71" s="6"/>
      <c r="AR71" s="6"/>
      <c r="AS71" s="17"/>
      <c r="AT71" s="17"/>
      <c r="AU71" s="20"/>
      <c r="AV71" s="17"/>
      <c r="AW71" s="17"/>
      <c r="AX71" s="17">
        <f>IF(Tableau2[[#This Row],[Montant participation voté au CA]]="",0,Tableau2[[#This Row],[Montant participation voté au CA]]-Tableau2[[#This Row],[Montant participation à signature]])</f>
        <v>0</v>
      </c>
      <c r="AY71" s="45">
        <v>211916</v>
      </c>
      <c r="AZ71" s="17">
        <f>Tableau2[[#This Row],[AVANCE VERSEE]]+Tableau2[[#This Row],[ACOMPTE VERSE]]+Tableau2[[#This Row],[SOLDE VERSE]]</f>
        <v>63574.799999999996</v>
      </c>
      <c r="BA71" s="17">
        <f>IF(Tableau2[[#This Row],[STATUT]]="Soldée",0,Tableau2[[#This Row],[Montant participation à signature]]-Tableau2[[#This Row],[Total CP payés]])</f>
        <v>148341.20000000001</v>
      </c>
      <c r="BB71" s="17">
        <f>IF(Tableau2[[#This Row],[SOLDE VERSE]]&lt;0,-Tableau2[[#This Row],[SOLDE VERSE]],0)</f>
        <v>0</v>
      </c>
      <c r="BC71" s="17">
        <f>IF(Tableau2[[#This Row],[STATUT]]="Soldée",Tableau2[[#This Row],[Montant participation à signature]]-Tableau2[[#This Row],[Total CP payés]],0)</f>
        <v>0</v>
      </c>
      <c r="BD71" s="17">
        <f>IF(Tableau2[[#This Row],[Montant participation voté au CA]]="",0,Tableau2[[#This Row],[Réfaction]]+Tableau2[[#This Row],[Montant des crédits non engagés]])</f>
        <v>0</v>
      </c>
      <c r="BF71"/>
      <c r="BJ71"/>
      <c r="BK71"/>
      <c r="BL71"/>
      <c r="BM71"/>
      <c r="BP71"/>
      <c r="BQ71"/>
      <c r="BR71"/>
      <c r="BS71"/>
      <c r="BT71"/>
      <c r="BU71"/>
      <c r="BV71"/>
      <c r="BW71"/>
      <c r="BX71"/>
      <c r="BY71"/>
      <c r="CA71"/>
      <c r="CB71"/>
    </row>
    <row r="72" spans="1:80" ht="15" customHeight="1" x14ac:dyDescent="0.25">
      <c r="A72" s="4">
        <v>71</v>
      </c>
      <c r="B72" s="89">
        <v>2857</v>
      </c>
      <c r="C72" s="39">
        <v>42327</v>
      </c>
      <c r="D72" s="73" t="s">
        <v>154</v>
      </c>
      <c r="E72" s="38">
        <v>2</v>
      </c>
      <c r="F72" s="38" t="s">
        <v>40</v>
      </c>
      <c r="G72" s="96" t="s">
        <v>143</v>
      </c>
      <c r="H72" s="96" t="s">
        <v>144</v>
      </c>
      <c r="I72" s="40" t="s">
        <v>48</v>
      </c>
      <c r="J72" s="77"/>
      <c r="K72" s="70"/>
      <c r="L72" s="34"/>
      <c r="M72" s="35"/>
      <c r="N72" s="38">
        <v>36</v>
      </c>
      <c r="O72" s="37">
        <v>6</v>
      </c>
      <c r="P72" s="37">
        <f>IF(Tableau2[[#This Row],[Durée du projet]]="","-",Tableau2[[#This Row],[Durée du projet]]+Tableau2[[#This Row],[Durée suppl'' pour pièces]])</f>
        <v>42</v>
      </c>
      <c r="Q72" s="39">
        <v>42643</v>
      </c>
      <c r="R72" s="60">
        <v>42370</v>
      </c>
      <c r="S72" s="6">
        <f>IF(Tableau2[[#This Row],[Date signature ]]="","",EOMONTH((EDATE(Tableau2[[#This Row],[Début éligibilité dépenses]],Tableau2[[#This Row],[Durée du projet]])),-1))</f>
        <v>43465</v>
      </c>
      <c r="T72" s="6">
        <f>IF(Tableau2[[#This Row],[Fin éligibilité dépenses]]="","",EDATE(Tableau2[[#This Row],[Fin éligibilité dépenses]],-6))</f>
        <v>43281</v>
      </c>
      <c r="U72" s="6">
        <f>IF(Tableau2[[#This Row],[Début éligibilité dépenses]]="","",EOMONTH(EDATE(Tableau2[[#This Row],[Début éligibilité dépenses]],Tableau2[[#This Row],[Durée du projet]]/2),0))</f>
        <v>42947</v>
      </c>
      <c r="V72" s="59">
        <f>IF(Tableau2[[#This Row],[Date signature ]]="","",EDATE(Tableau2[[#This Row],[Date signature ]],Tableau2[[#This Row],[Durée totale conv'' ]])-1)</f>
        <v>43919</v>
      </c>
      <c r="W72" s="40" t="s">
        <v>21</v>
      </c>
      <c r="X72" s="2"/>
      <c r="Y72" s="40" t="s">
        <v>145</v>
      </c>
      <c r="Z72" s="2"/>
      <c r="AA72" s="2"/>
      <c r="AB72" s="19"/>
      <c r="AC72" s="21">
        <f>IF(Tableau2[[#This Row],[PORTEUR
DE
PROJET]]="",0,IF(COUNTIF(Tableau2[[#This Row],[PORTEUR
DE
PROJET]],"CRA*")=1,Tableau2[[#This Row],[Montant participation à signature]]/2,Tableau2[[#This Row],[Montant participation à signature]]*0.3))</f>
        <v>59889.299999999996</v>
      </c>
      <c r="AD72" s="6">
        <f>IF(Tableau2[[#This Row],[Date signature ]]="","",EDATE(Tableau2[[#This Row],[Date signature ]],1))</f>
        <v>42673</v>
      </c>
      <c r="AE72" s="21">
        <f>IF(Tableau2[[#This Row],[PORTEUR
DE
PROJET]]="",0,IF(COUNTIF(Tableau2[[#This Row],[PORTEUR
DE
PROJET]],"CRA*")=1,,Tableau2[[#This Row],[Montant participation à signature]]*0.4))</f>
        <v>79852.400000000009</v>
      </c>
      <c r="AF72" s="6">
        <f>IF(Tableau2[[#This Row],[Date signature ]]="","",IF(Tableau2[[#This Row],[ACOMPTE PREVU]]=0,"",EOMONTH(EDATE(Tableau2[[#This Row],[Date signature ]],Tableau2[[#This Row],[Durée du projet]]/2),0)))</f>
        <v>43190</v>
      </c>
      <c r="AG72" s="21">
        <f>IF(Tableau2[[#This Row],[PORTEUR
DE
PROJET]]="",0,IF(COUNTIF(Tableau2[[#This Row],[PORTEUR
DE
PROJET]],"CRA*")=1,Tableau2[[#This Row],[Montant participation à signature]]/2,Tableau2[[#This Row],[Montant participation à signature]]*0.3))</f>
        <v>59889.299999999996</v>
      </c>
      <c r="AH72" s="6">
        <f>IF(Tableau2[[#This Row],[Date signature ]]="","",EOMONTH(EDATE(Tableau2[[#This Row],[Date signature ]],Tableau2[[#This Row],[Durée du projet]]),0))</f>
        <v>43738</v>
      </c>
      <c r="AI72" s="29">
        <f>IF(COUNTBLANK(Tableau2[[#This Row],[Date du mandat Avance]])=1,,Tableau2[[#This Row],[AVANCE PREVUE]])</f>
        <v>59889.299999999996</v>
      </c>
      <c r="AJ72" s="64">
        <v>42654</v>
      </c>
      <c r="AK72" s="2"/>
      <c r="AL72" s="6"/>
      <c r="AM72" s="6"/>
      <c r="AN72" s="17">
        <f>IF(COUNTBLANK(Tableau2[[#This Row],[Date envoi ASF Acompte]])=1,,Tableau2[[#This Row],[ACOMPTE PREVU]])</f>
        <v>0</v>
      </c>
      <c r="AO72" s="17"/>
      <c r="AP72" s="2"/>
      <c r="AQ72" s="6"/>
      <c r="AR72" s="6"/>
      <c r="AS72" s="17"/>
      <c r="AT72" s="17"/>
      <c r="AU72" s="20"/>
      <c r="AV72" s="17"/>
      <c r="AW72" s="17"/>
      <c r="AX72" s="17">
        <f>IF(Tableau2[[#This Row],[Montant participation voté au CA]]="",0,Tableau2[[#This Row],[Montant participation voté au CA]]-Tableau2[[#This Row],[Montant participation à signature]])</f>
        <v>0</v>
      </c>
      <c r="AY72" s="45">
        <v>199631</v>
      </c>
      <c r="AZ72" s="17">
        <f>Tableau2[[#This Row],[AVANCE VERSEE]]+Tableau2[[#This Row],[ACOMPTE VERSE]]+Tableau2[[#This Row],[SOLDE VERSE]]</f>
        <v>59889.299999999996</v>
      </c>
      <c r="BA72" s="17">
        <f>IF(Tableau2[[#This Row],[STATUT]]="Soldée",0,Tableau2[[#This Row],[Montant participation à signature]]-Tableau2[[#This Row],[Total CP payés]])</f>
        <v>139741.70000000001</v>
      </c>
      <c r="BB72" s="17">
        <f>IF(Tableau2[[#This Row],[SOLDE VERSE]]&lt;0,-Tableau2[[#This Row],[SOLDE VERSE]],0)</f>
        <v>0</v>
      </c>
      <c r="BC72" s="17">
        <f>IF(Tableau2[[#This Row],[STATUT]]="Soldée",Tableau2[[#This Row],[Montant participation à signature]]-Tableau2[[#This Row],[Total CP payés]],0)</f>
        <v>0</v>
      </c>
      <c r="BD72" s="17">
        <f>IF(Tableau2[[#This Row],[Montant participation voté au CA]]="",0,Tableau2[[#This Row],[Réfaction]]+Tableau2[[#This Row],[Montant des crédits non engagés]])</f>
        <v>0</v>
      </c>
      <c r="BF72"/>
      <c r="BJ72"/>
      <c r="BK72"/>
      <c r="BL72"/>
      <c r="BM72"/>
      <c r="BP72"/>
      <c r="BQ72"/>
      <c r="BR72"/>
      <c r="BS72"/>
      <c r="BT72"/>
      <c r="BU72"/>
      <c r="BV72"/>
      <c r="BW72"/>
      <c r="BX72"/>
      <c r="BY72"/>
      <c r="CA72"/>
      <c r="CB72"/>
    </row>
    <row r="73" spans="1:80" ht="15" customHeight="1" x14ac:dyDescent="0.25">
      <c r="A73" s="4">
        <v>72</v>
      </c>
      <c r="B73" s="36">
        <v>2867</v>
      </c>
      <c r="C73" s="39">
        <v>42327</v>
      </c>
      <c r="D73" s="73" t="s">
        <v>154</v>
      </c>
      <c r="E73" s="38">
        <v>1</v>
      </c>
      <c r="F73" s="38">
        <v>2</v>
      </c>
      <c r="G73" s="96" t="s">
        <v>143</v>
      </c>
      <c r="H73" s="96" t="s">
        <v>144</v>
      </c>
      <c r="I73" s="40" t="s">
        <v>48</v>
      </c>
      <c r="J73" s="77"/>
      <c r="K73" s="70"/>
      <c r="L73" s="34"/>
      <c r="M73" s="35"/>
      <c r="N73" s="38">
        <v>12</v>
      </c>
      <c r="O73" s="37">
        <v>6</v>
      </c>
      <c r="P73" s="37">
        <f>IF(Tableau2[[#This Row],[Durée du projet]]="","-",Tableau2[[#This Row],[Durée du projet]]+Tableau2[[#This Row],[Durée suppl'' pour pièces]])</f>
        <v>18</v>
      </c>
      <c r="Q73" s="39">
        <v>42660</v>
      </c>
      <c r="R73" s="60">
        <v>42370</v>
      </c>
      <c r="S73" s="6">
        <f>IF(Tableau2[[#This Row],[Date signature ]]="","",EOMONTH((EDATE(Tableau2[[#This Row],[Début éligibilité dépenses]],Tableau2[[#This Row],[Durée du projet]])),-1))</f>
        <v>42735</v>
      </c>
      <c r="T73" s="6">
        <f>IF(Tableau2[[#This Row],[Fin éligibilité dépenses]]="","",EDATE(Tableau2[[#This Row],[Fin éligibilité dépenses]],-6))</f>
        <v>42551</v>
      </c>
      <c r="U73" s="6">
        <f>IF(Tableau2[[#This Row],[Début éligibilité dépenses]]="","",EOMONTH(EDATE(Tableau2[[#This Row],[Début éligibilité dépenses]],Tableau2[[#This Row],[Durée du projet]]/2),0))</f>
        <v>42582</v>
      </c>
      <c r="V73" s="59">
        <f>IF(Tableau2[[#This Row],[Date signature ]]="","",EDATE(Tableau2[[#This Row],[Date signature ]],Tableau2[[#This Row],[Durée totale conv'' ]])-1)</f>
        <v>43206</v>
      </c>
      <c r="W73" s="40" t="s">
        <v>21</v>
      </c>
      <c r="X73" s="2"/>
      <c r="Y73" s="40" t="s">
        <v>145</v>
      </c>
      <c r="Z73" s="2"/>
      <c r="AA73" s="2"/>
      <c r="AB73" s="19"/>
      <c r="AC73" s="21">
        <f>IF(Tableau2[[#This Row],[PORTEUR
DE
PROJET]]="",0,IF(COUNTIF(Tableau2[[#This Row],[PORTEUR
DE
PROJET]],"CRA*")=1,Tableau2[[#This Row],[Montant participation à signature]]/2,Tableau2[[#This Row],[Montant participation à signature]]*0.3))</f>
        <v>233925.47099999999</v>
      </c>
      <c r="AD73" s="6">
        <f>IF(Tableau2[[#This Row],[Date signature ]]="","",EDATE(Tableau2[[#This Row],[Date signature ]],1))</f>
        <v>42691</v>
      </c>
      <c r="AE73" s="21">
        <f>IF(Tableau2[[#This Row],[PORTEUR
DE
PROJET]]="",0,IF(COUNTIF(Tableau2[[#This Row],[PORTEUR
DE
PROJET]],"CRA*")=1,,Tableau2[[#This Row],[Montant participation à signature]]*0.4))</f>
        <v>311900.62799999997</v>
      </c>
      <c r="AF73" s="6">
        <f>IF(Tableau2[[#This Row],[Date signature ]]="","",IF(Tableau2[[#This Row],[ACOMPTE PREVU]]=0,"",EOMONTH(EDATE(Tableau2[[#This Row],[Date signature ]],Tableau2[[#This Row],[Durée du projet]]/2),0)))</f>
        <v>42855</v>
      </c>
      <c r="AG73" s="21">
        <f>IF(Tableau2[[#This Row],[PORTEUR
DE
PROJET]]="",0,IF(COUNTIF(Tableau2[[#This Row],[PORTEUR
DE
PROJET]],"CRA*")=1,Tableau2[[#This Row],[Montant participation à signature]]/2,Tableau2[[#This Row],[Montant participation à signature]]*0.3))</f>
        <v>233925.47099999999</v>
      </c>
      <c r="AH73" s="6">
        <f>IF(Tableau2[[#This Row],[Date signature ]]="","",EOMONTH(EDATE(Tableau2[[#This Row],[Date signature ]],Tableau2[[#This Row],[Durée du projet]]),0))</f>
        <v>43039</v>
      </c>
      <c r="AI73" s="29">
        <f>IF(COUNTBLANK(Tableau2[[#This Row],[Date du mandat Avance]])=1,,Tableau2[[#This Row],[AVANCE PREVUE]])</f>
        <v>233925.47099999999</v>
      </c>
      <c r="AJ73" s="64">
        <v>42663</v>
      </c>
      <c r="AK73" s="2"/>
      <c r="AL73" s="6"/>
      <c r="AM73" s="6"/>
      <c r="AN73" s="17">
        <f>IF(COUNTBLANK(Tableau2[[#This Row],[Date envoi ASF Acompte]])=1,,Tableau2[[#This Row],[ACOMPTE PREVU]])</f>
        <v>0</v>
      </c>
      <c r="AO73" s="17"/>
      <c r="AP73" s="2"/>
      <c r="AQ73" s="6"/>
      <c r="AR73" s="6"/>
      <c r="AS73" s="17"/>
      <c r="AT73" s="17"/>
      <c r="AU73" s="20"/>
      <c r="AV73" s="17"/>
      <c r="AW73" s="17"/>
      <c r="AX73" s="17">
        <f>IF(Tableau2[[#This Row],[Montant participation voté au CA]]="",0,Tableau2[[#This Row],[Montant participation voté au CA]]-Tableau2[[#This Row],[Montant participation à signature]])</f>
        <v>0</v>
      </c>
      <c r="AY73" s="45">
        <v>779751.57</v>
      </c>
      <c r="AZ73" s="17">
        <f>Tableau2[[#This Row],[AVANCE VERSEE]]+Tableau2[[#This Row],[ACOMPTE VERSE]]+Tableau2[[#This Row],[SOLDE VERSE]]</f>
        <v>233925.47099999999</v>
      </c>
      <c r="BA73" s="17">
        <f>IF(Tableau2[[#This Row],[STATUT]]="Soldée",0,Tableau2[[#This Row],[Montant participation à signature]]-Tableau2[[#This Row],[Total CP payés]])</f>
        <v>545826.09899999993</v>
      </c>
      <c r="BB73" s="17">
        <f>IF(Tableau2[[#This Row],[SOLDE VERSE]]&lt;0,-Tableau2[[#This Row],[SOLDE VERSE]],0)</f>
        <v>0</v>
      </c>
      <c r="BC73" s="17">
        <f>IF(Tableau2[[#This Row],[STATUT]]="Soldée",Tableau2[[#This Row],[Montant participation à signature]]-Tableau2[[#This Row],[Total CP payés]],0)</f>
        <v>0</v>
      </c>
      <c r="BD73" s="17">
        <f>IF(Tableau2[[#This Row],[Montant participation voté au CA]]="",0,Tableau2[[#This Row],[Réfaction]]+Tableau2[[#This Row],[Montant des crédits non engagés]])</f>
        <v>0</v>
      </c>
      <c r="BF73"/>
      <c r="BJ73"/>
      <c r="BK73"/>
      <c r="BL73"/>
      <c r="BM73"/>
      <c r="BP73"/>
      <c r="BQ73"/>
      <c r="BR73"/>
      <c r="BS73"/>
      <c r="BT73"/>
      <c r="BU73"/>
      <c r="BV73"/>
      <c r="BW73"/>
      <c r="BX73"/>
      <c r="BY73"/>
      <c r="CA73"/>
      <c r="CB73"/>
    </row>
    <row r="74" spans="1:80" ht="15" customHeight="1" x14ac:dyDescent="0.25">
      <c r="A74" s="4">
        <v>73</v>
      </c>
      <c r="B74" s="89">
        <v>2871</v>
      </c>
      <c r="C74" s="39">
        <v>42327</v>
      </c>
      <c r="D74" s="73" t="s">
        <v>154</v>
      </c>
      <c r="E74" s="38">
        <v>1</v>
      </c>
      <c r="F74" s="38" t="s">
        <v>52</v>
      </c>
      <c r="G74" s="96" t="s">
        <v>143</v>
      </c>
      <c r="H74" s="96" t="s">
        <v>144</v>
      </c>
      <c r="I74" s="40" t="s">
        <v>48</v>
      </c>
      <c r="J74" s="77"/>
      <c r="K74" s="70"/>
      <c r="L74" s="34"/>
      <c r="M74" s="35"/>
      <c r="N74" s="38">
        <v>12</v>
      </c>
      <c r="O74" s="37">
        <v>6</v>
      </c>
      <c r="P74" s="37">
        <f>IF(Tableau2[[#This Row],[Durée du projet]]="","-",Tableau2[[#This Row],[Durée du projet]]+Tableau2[[#This Row],[Durée suppl'' pour pièces]])</f>
        <v>18</v>
      </c>
      <c r="Q74" s="39">
        <v>42572</v>
      </c>
      <c r="R74" s="39">
        <v>42572</v>
      </c>
      <c r="S74" s="6">
        <f>IF(Tableau2[[#This Row],[Date signature ]]="","",EOMONTH((EDATE(Tableau2[[#This Row],[Début éligibilité dépenses]],Tableau2[[#This Row],[Durée du projet]])),-1))</f>
        <v>42916</v>
      </c>
      <c r="T74" s="6">
        <f>IF(Tableau2[[#This Row],[Fin éligibilité dépenses]]="","",EDATE(Tableau2[[#This Row],[Fin éligibilité dépenses]],-6))</f>
        <v>42734</v>
      </c>
      <c r="U74" s="6">
        <f>IF(Tableau2[[#This Row],[Début éligibilité dépenses]]="","",EOMONTH(EDATE(Tableau2[[#This Row],[Début éligibilité dépenses]],Tableau2[[#This Row],[Durée du projet]]/2),0))</f>
        <v>42766</v>
      </c>
      <c r="V74" s="59">
        <f>IF(Tableau2[[#This Row],[Date signature ]]="","",EDATE(Tableau2[[#This Row],[Date signature ]],Tableau2[[#This Row],[Durée totale conv'' ]])-1)</f>
        <v>43120</v>
      </c>
      <c r="W74" s="40" t="s">
        <v>21</v>
      </c>
      <c r="X74" s="2"/>
      <c r="Y74" s="40" t="s">
        <v>145</v>
      </c>
      <c r="Z74" s="2"/>
      <c r="AA74" s="2"/>
      <c r="AB74" s="19"/>
      <c r="AC74" s="21">
        <f>IF(Tableau2[[#This Row],[PORTEUR
DE
PROJET]]="",0,IF(COUNTIF(Tableau2[[#This Row],[PORTEUR
DE
PROJET]],"CRA*")=1,Tableau2[[#This Row],[Montant participation à signature]]/2,Tableau2[[#This Row],[Montant participation à signature]]*0.3))</f>
        <v>184200</v>
      </c>
      <c r="AD74" s="6">
        <f>IF(Tableau2[[#This Row],[Date signature ]]="","",EDATE(Tableau2[[#This Row],[Date signature ]],1))</f>
        <v>42603</v>
      </c>
      <c r="AE74" s="21">
        <f>IF(Tableau2[[#This Row],[PORTEUR
DE
PROJET]]="",0,IF(COUNTIF(Tableau2[[#This Row],[PORTEUR
DE
PROJET]],"CRA*")=1,,Tableau2[[#This Row],[Montant participation à signature]]*0.4))</f>
        <v>245600</v>
      </c>
      <c r="AF74" s="6">
        <f>IF(Tableau2[[#This Row],[Date signature ]]="","",IF(Tableau2[[#This Row],[ACOMPTE PREVU]]=0,"",EOMONTH(EDATE(Tableau2[[#This Row],[Date signature ]],Tableau2[[#This Row],[Durée du projet]]/2),0)))</f>
        <v>42766</v>
      </c>
      <c r="AG74" s="21">
        <f>IF(Tableau2[[#This Row],[PORTEUR
DE
PROJET]]="",0,IF(COUNTIF(Tableau2[[#This Row],[PORTEUR
DE
PROJET]],"CRA*")=1,Tableau2[[#This Row],[Montant participation à signature]]/2,Tableau2[[#This Row],[Montant participation à signature]]*0.3))</f>
        <v>184200</v>
      </c>
      <c r="AH74" s="6">
        <f>IF(Tableau2[[#This Row],[Date signature ]]="","",EOMONTH(EDATE(Tableau2[[#This Row],[Date signature ]],Tableau2[[#This Row],[Durée du projet]]),0))</f>
        <v>42947</v>
      </c>
      <c r="AI74" s="29">
        <f>IF(COUNTBLANK(Tableau2[[#This Row],[Date du mandat Avance]])=1,,Tableau2[[#This Row],[AVANCE PREVUE]])</f>
        <v>184200</v>
      </c>
      <c r="AJ74" s="66" t="s">
        <v>71</v>
      </c>
      <c r="AK74" s="2"/>
      <c r="AL74" s="6"/>
      <c r="AM74" s="6"/>
      <c r="AN74" s="17">
        <f>IF(COUNTBLANK(Tableau2[[#This Row],[Date envoi ASF Acompte]])=1,,Tableau2[[#This Row],[ACOMPTE PREVU]])</f>
        <v>0</v>
      </c>
      <c r="AO74" s="17"/>
      <c r="AP74" s="2"/>
      <c r="AQ74" s="6"/>
      <c r="AR74" s="6"/>
      <c r="AS74" s="17"/>
      <c r="AT74" s="17"/>
      <c r="AU74" s="20"/>
      <c r="AV74" s="17"/>
      <c r="AW74" s="17"/>
      <c r="AX74" s="17">
        <f>IF(Tableau2[[#This Row],[Montant participation voté au CA]]="",0,Tableau2[[#This Row],[Montant participation voté au CA]]-Tableau2[[#This Row],[Montant participation à signature]])</f>
        <v>0</v>
      </c>
      <c r="AY74" s="45">
        <v>614000</v>
      </c>
      <c r="AZ74" s="17">
        <f>Tableau2[[#This Row],[AVANCE VERSEE]]+Tableau2[[#This Row],[ACOMPTE VERSE]]+Tableau2[[#This Row],[SOLDE VERSE]]</f>
        <v>184200</v>
      </c>
      <c r="BA74" s="17">
        <f>IF(Tableau2[[#This Row],[STATUT]]="Soldée",0,Tableau2[[#This Row],[Montant participation à signature]]-Tableau2[[#This Row],[Total CP payés]])</f>
        <v>429800</v>
      </c>
      <c r="BB74" s="17">
        <f>IF(Tableau2[[#This Row],[SOLDE VERSE]]&lt;0,-Tableau2[[#This Row],[SOLDE VERSE]],0)</f>
        <v>0</v>
      </c>
      <c r="BC74" s="17">
        <f>IF(Tableau2[[#This Row],[STATUT]]="Soldée",Tableau2[[#This Row],[Montant participation à signature]]-Tableau2[[#This Row],[Total CP payés]],0)</f>
        <v>0</v>
      </c>
      <c r="BD74" s="17">
        <f>IF(Tableau2[[#This Row],[Montant participation voté au CA]]="",0,Tableau2[[#This Row],[Réfaction]]+Tableau2[[#This Row],[Montant des crédits non engagés]])</f>
        <v>0</v>
      </c>
      <c r="BF74"/>
      <c r="BJ74"/>
      <c r="BK74"/>
      <c r="BL74"/>
      <c r="BM74"/>
      <c r="BP74"/>
      <c r="BQ74"/>
      <c r="BR74"/>
      <c r="BS74"/>
      <c r="BT74"/>
      <c r="BU74"/>
      <c r="BV74"/>
      <c r="BW74"/>
      <c r="BX74"/>
      <c r="BY74"/>
      <c r="CA74"/>
      <c r="CB74"/>
    </row>
    <row r="75" spans="1:80" ht="15" customHeight="1" x14ac:dyDescent="0.25">
      <c r="A75" s="4">
        <v>74</v>
      </c>
      <c r="B75" s="36">
        <v>2879</v>
      </c>
      <c r="C75" s="39">
        <v>42327</v>
      </c>
      <c r="D75" s="73" t="s">
        <v>154</v>
      </c>
      <c r="E75" s="38" t="s">
        <v>51</v>
      </c>
      <c r="F75" s="38" t="s">
        <v>69</v>
      </c>
      <c r="G75" s="96" t="s">
        <v>143</v>
      </c>
      <c r="H75" s="96" t="s">
        <v>144</v>
      </c>
      <c r="I75" s="40" t="s">
        <v>48</v>
      </c>
      <c r="J75" s="77"/>
      <c r="K75" s="70"/>
      <c r="L75" s="34"/>
      <c r="M75" s="35"/>
      <c r="N75" s="38">
        <v>12</v>
      </c>
      <c r="O75" s="37">
        <v>6</v>
      </c>
      <c r="P75" s="37">
        <f>IF(Tableau2[[#This Row],[Durée du projet]]="","-",Tableau2[[#This Row],[Durée du projet]]+Tableau2[[#This Row],[Durée suppl'' pour pièces]])</f>
        <v>18</v>
      </c>
      <c r="Q75" s="39">
        <v>42683</v>
      </c>
      <c r="R75" s="60">
        <v>42370</v>
      </c>
      <c r="S75" s="6">
        <f>IF(Tableau2[[#This Row],[Date signature ]]="","",EOMONTH((EDATE(Tableau2[[#This Row],[Début éligibilité dépenses]],Tableau2[[#This Row],[Durée du projet]])),-1))</f>
        <v>42735</v>
      </c>
      <c r="T75" s="6">
        <f>IF(Tableau2[[#This Row],[Fin éligibilité dépenses]]="","",EDATE(Tableau2[[#This Row],[Fin éligibilité dépenses]],-6))</f>
        <v>42551</v>
      </c>
      <c r="U75" s="6">
        <f>IF(Tableau2[[#This Row],[Début éligibilité dépenses]]="","",EOMONTH(EDATE(Tableau2[[#This Row],[Début éligibilité dépenses]],Tableau2[[#This Row],[Durée du projet]]/2),0))</f>
        <v>42582</v>
      </c>
      <c r="V75" s="59">
        <f>IF(Tableau2[[#This Row],[Date signature ]]="","",EDATE(Tableau2[[#This Row],[Date signature ]],Tableau2[[#This Row],[Durée totale conv'' ]])-1)</f>
        <v>43228</v>
      </c>
      <c r="W75" s="40" t="s">
        <v>21</v>
      </c>
      <c r="X75" s="2"/>
      <c r="Y75" s="40" t="s">
        <v>145</v>
      </c>
      <c r="Z75" s="2"/>
      <c r="AA75" s="2"/>
      <c r="AB75" s="19"/>
      <c r="AC75" s="21">
        <f>IF(Tableau2[[#This Row],[PORTEUR
DE
PROJET]]="",0,IF(COUNTIF(Tableau2[[#This Row],[PORTEUR
DE
PROJET]],"CRA*")=1,Tableau2[[#This Row],[Montant participation à signature]]/2,Tableau2[[#This Row],[Montant participation à signature]]*0.3))</f>
        <v>101163.59999999999</v>
      </c>
      <c r="AD75" s="6">
        <f>IF(Tableau2[[#This Row],[Date signature ]]="","",EDATE(Tableau2[[#This Row],[Date signature ]],1))</f>
        <v>42713</v>
      </c>
      <c r="AE75" s="21">
        <f>IF(Tableau2[[#This Row],[PORTEUR
DE
PROJET]]="",0,IF(COUNTIF(Tableau2[[#This Row],[PORTEUR
DE
PROJET]],"CRA*")=1,,Tableau2[[#This Row],[Montant participation à signature]]*0.4))</f>
        <v>134884.80000000002</v>
      </c>
      <c r="AF75" s="6">
        <f>IF(Tableau2[[#This Row],[Date signature ]]="","",IF(Tableau2[[#This Row],[ACOMPTE PREVU]]=0,"",EOMONTH(EDATE(Tableau2[[#This Row],[Date signature ]],Tableau2[[#This Row],[Durée du projet]]/2),0)))</f>
        <v>42886</v>
      </c>
      <c r="AG75" s="21">
        <f>IF(Tableau2[[#This Row],[PORTEUR
DE
PROJET]]="",0,IF(COUNTIF(Tableau2[[#This Row],[PORTEUR
DE
PROJET]],"CRA*")=1,Tableau2[[#This Row],[Montant participation à signature]]/2,Tableau2[[#This Row],[Montant participation à signature]]*0.3))</f>
        <v>101163.59999999999</v>
      </c>
      <c r="AH75" s="6">
        <f>IF(Tableau2[[#This Row],[Date signature ]]="","",EOMONTH(EDATE(Tableau2[[#This Row],[Date signature ]],Tableau2[[#This Row],[Durée du projet]]),0))</f>
        <v>43069</v>
      </c>
      <c r="AI75" s="29">
        <f>IF(COUNTBLANK(Tableau2[[#This Row],[Date du mandat Avance]])=1,,Tableau2[[#This Row],[AVANCE PREVUE]])</f>
        <v>0</v>
      </c>
      <c r="AJ75" s="64"/>
      <c r="AK75" s="2"/>
      <c r="AL75" s="6"/>
      <c r="AM75" s="6"/>
      <c r="AN75" s="17">
        <f>IF(COUNTBLANK(Tableau2[[#This Row],[Date envoi ASF Acompte]])=1,,Tableau2[[#This Row],[ACOMPTE PREVU]])</f>
        <v>0</v>
      </c>
      <c r="AO75" s="17"/>
      <c r="AP75" s="2"/>
      <c r="AQ75" s="6"/>
      <c r="AR75" s="6"/>
      <c r="AS75" s="17"/>
      <c r="AT75" s="17"/>
      <c r="AU75" s="20"/>
      <c r="AV75" s="17"/>
      <c r="AW75" s="17"/>
      <c r="AX75" s="17">
        <f>IF(Tableau2[[#This Row],[Montant participation voté au CA]]="",0,Tableau2[[#This Row],[Montant participation voté au CA]]-Tableau2[[#This Row],[Montant participation à signature]])</f>
        <v>0</v>
      </c>
      <c r="AY75" s="45">
        <v>337212</v>
      </c>
      <c r="AZ75" s="17">
        <f>Tableau2[[#This Row],[AVANCE VERSEE]]+Tableau2[[#This Row],[ACOMPTE VERSE]]+Tableau2[[#This Row],[SOLDE VERSE]]</f>
        <v>0</v>
      </c>
      <c r="BA75" s="17">
        <f>IF(Tableau2[[#This Row],[STATUT]]="Soldée",0,Tableau2[[#This Row],[Montant participation à signature]]-Tableau2[[#This Row],[Total CP payés]])</f>
        <v>337212</v>
      </c>
      <c r="BB75" s="17">
        <f>IF(Tableau2[[#This Row],[SOLDE VERSE]]&lt;0,-Tableau2[[#This Row],[SOLDE VERSE]],0)</f>
        <v>0</v>
      </c>
      <c r="BC75" s="17">
        <f>IF(Tableau2[[#This Row],[STATUT]]="Soldée",Tableau2[[#This Row],[Montant participation à signature]]-Tableau2[[#This Row],[Total CP payés]],0)</f>
        <v>0</v>
      </c>
      <c r="BD75" s="17">
        <f>IF(Tableau2[[#This Row],[Montant participation voté au CA]]="",0,Tableau2[[#This Row],[Réfaction]]+Tableau2[[#This Row],[Montant des crédits non engagés]])</f>
        <v>0</v>
      </c>
      <c r="BF75"/>
      <c r="BJ75"/>
      <c r="BK75"/>
      <c r="BL75"/>
      <c r="BM75"/>
      <c r="BP75"/>
      <c r="BQ75"/>
      <c r="BR75"/>
      <c r="BS75"/>
      <c r="BT75"/>
      <c r="BU75"/>
      <c r="BV75"/>
      <c r="BW75"/>
      <c r="BX75"/>
      <c r="BY75"/>
      <c r="CA75"/>
      <c r="CB75"/>
    </row>
    <row r="76" spans="1:80" ht="15" customHeight="1" x14ac:dyDescent="0.25">
      <c r="A76" s="4">
        <v>75</v>
      </c>
      <c r="B76" s="36">
        <v>2886</v>
      </c>
      <c r="C76" s="39">
        <v>42327</v>
      </c>
      <c r="D76" s="73" t="s">
        <v>154</v>
      </c>
      <c r="E76" s="38" t="s">
        <v>51</v>
      </c>
      <c r="F76" s="38" t="s">
        <v>69</v>
      </c>
      <c r="G76" s="96" t="s">
        <v>143</v>
      </c>
      <c r="H76" s="96" t="s">
        <v>144</v>
      </c>
      <c r="I76" s="40" t="s">
        <v>48</v>
      </c>
      <c r="J76" s="77"/>
      <c r="K76" s="70"/>
      <c r="L76" s="34"/>
      <c r="M76" s="35"/>
      <c r="N76" s="38">
        <v>12</v>
      </c>
      <c r="O76" s="37">
        <v>6</v>
      </c>
      <c r="P76" s="37">
        <f>IF(Tableau2[[#This Row],[Durée du projet]]="","-",Tableau2[[#This Row],[Durée du projet]]+Tableau2[[#This Row],[Durée suppl'' pour pièces]])</f>
        <v>18</v>
      </c>
      <c r="Q76" s="39">
        <v>42683</v>
      </c>
      <c r="R76" s="60">
        <v>42370</v>
      </c>
      <c r="S76" s="6">
        <f>IF(Tableau2[[#This Row],[Date signature ]]="","",EOMONTH((EDATE(Tableau2[[#This Row],[Début éligibilité dépenses]],Tableau2[[#This Row],[Durée du projet]])),-1))</f>
        <v>42735</v>
      </c>
      <c r="T76" s="6">
        <f>IF(Tableau2[[#This Row],[Fin éligibilité dépenses]]="","",EDATE(Tableau2[[#This Row],[Fin éligibilité dépenses]],-6))</f>
        <v>42551</v>
      </c>
      <c r="U76" s="6">
        <f>IF(Tableau2[[#This Row],[Début éligibilité dépenses]]="","",EOMONTH(EDATE(Tableau2[[#This Row],[Début éligibilité dépenses]],Tableau2[[#This Row],[Durée du projet]]/2),0))</f>
        <v>42582</v>
      </c>
      <c r="V76" s="59">
        <f>IF(Tableau2[[#This Row],[Date signature ]]="","",EDATE(Tableau2[[#This Row],[Date signature ]],Tableau2[[#This Row],[Durée totale conv'' ]])-1)</f>
        <v>43228</v>
      </c>
      <c r="W76" s="40" t="s">
        <v>21</v>
      </c>
      <c r="X76" s="2"/>
      <c r="Y76" s="40" t="s">
        <v>145</v>
      </c>
      <c r="Z76" s="2"/>
      <c r="AA76" s="2"/>
      <c r="AB76" s="19"/>
      <c r="AC76" s="21">
        <f>IF(Tableau2[[#This Row],[PORTEUR
DE
PROJET]]="",0,IF(COUNTIF(Tableau2[[#This Row],[PORTEUR
DE
PROJET]],"CRA*")=1,Tableau2[[#This Row],[Montant participation à signature]]/2,Tableau2[[#This Row],[Montant participation à signature]]*0.3))</f>
        <v>105805.2</v>
      </c>
      <c r="AD76" s="6">
        <f>IF(Tableau2[[#This Row],[Date signature ]]="","",EDATE(Tableau2[[#This Row],[Date signature ]],1))</f>
        <v>42713</v>
      </c>
      <c r="AE76" s="21">
        <f>IF(Tableau2[[#This Row],[PORTEUR
DE
PROJET]]="",0,IF(COUNTIF(Tableau2[[#This Row],[PORTEUR
DE
PROJET]],"CRA*")=1,,Tableau2[[#This Row],[Montant participation à signature]]*0.4))</f>
        <v>141073.60000000001</v>
      </c>
      <c r="AF76" s="6">
        <f>IF(Tableau2[[#This Row],[Date signature ]]="","",IF(Tableau2[[#This Row],[ACOMPTE PREVU]]=0,"",EOMONTH(EDATE(Tableau2[[#This Row],[Date signature ]],Tableau2[[#This Row],[Durée du projet]]/2),0)))</f>
        <v>42886</v>
      </c>
      <c r="AG76" s="21">
        <f>IF(Tableau2[[#This Row],[PORTEUR
DE
PROJET]]="",0,IF(COUNTIF(Tableau2[[#This Row],[PORTEUR
DE
PROJET]],"CRA*")=1,Tableau2[[#This Row],[Montant participation à signature]]/2,Tableau2[[#This Row],[Montant participation à signature]]*0.3))</f>
        <v>105805.2</v>
      </c>
      <c r="AH76" s="6">
        <f>IF(Tableau2[[#This Row],[Date signature ]]="","",EOMONTH(EDATE(Tableau2[[#This Row],[Date signature ]],Tableau2[[#This Row],[Durée du projet]]),0))</f>
        <v>43069</v>
      </c>
      <c r="AI76" s="29">
        <f>IF(COUNTBLANK(Tableau2[[#This Row],[Date du mandat Avance]])=1,,Tableau2[[#This Row],[AVANCE PREVUE]])</f>
        <v>0</v>
      </c>
      <c r="AJ76" s="64"/>
      <c r="AK76" s="2"/>
      <c r="AL76" s="6"/>
      <c r="AM76" s="6"/>
      <c r="AN76" s="17">
        <f>IF(COUNTBLANK(Tableau2[[#This Row],[Date envoi ASF Acompte]])=1,,Tableau2[[#This Row],[ACOMPTE PREVU]])</f>
        <v>0</v>
      </c>
      <c r="AO76" s="17"/>
      <c r="AP76" s="2"/>
      <c r="AQ76" s="6"/>
      <c r="AR76" s="6"/>
      <c r="AS76" s="17"/>
      <c r="AT76" s="17"/>
      <c r="AU76" s="20"/>
      <c r="AV76" s="17"/>
      <c r="AW76" s="17"/>
      <c r="AX76" s="17">
        <f>IF(Tableau2[[#This Row],[Montant participation voté au CA]]="",0,Tableau2[[#This Row],[Montant participation voté au CA]]-Tableau2[[#This Row],[Montant participation à signature]])</f>
        <v>0</v>
      </c>
      <c r="AY76" s="52">
        <v>352684</v>
      </c>
      <c r="AZ76" s="17">
        <f>Tableau2[[#This Row],[AVANCE VERSEE]]+Tableau2[[#This Row],[ACOMPTE VERSE]]+Tableau2[[#This Row],[SOLDE VERSE]]</f>
        <v>0</v>
      </c>
      <c r="BA76" s="17">
        <f>IF(Tableau2[[#This Row],[STATUT]]="Soldée",0,Tableau2[[#This Row],[Montant participation à signature]]-Tableau2[[#This Row],[Total CP payés]])</f>
        <v>352684</v>
      </c>
      <c r="BB76" s="17">
        <f>IF(Tableau2[[#This Row],[SOLDE VERSE]]&lt;0,-Tableau2[[#This Row],[SOLDE VERSE]],0)</f>
        <v>0</v>
      </c>
      <c r="BC76" s="17">
        <f>IF(Tableau2[[#This Row],[STATUT]]="Soldée",Tableau2[[#This Row],[Montant participation à signature]]-Tableau2[[#This Row],[Total CP payés]],0)</f>
        <v>0</v>
      </c>
      <c r="BD76" s="17">
        <f>IF(Tableau2[[#This Row],[Montant participation voté au CA]]="",0,Tableau2[[#This Row],[Réfaction]]+Tableau2[[#This Row],[Montant des crédits non engagés]])</f>
        <v>0</v>
      </c>
      <c r="BF76"/>
      <c r="BJ76"/>
      <c r="BK76"/>
      <c r="BL76"/>
      <c r="BM76"/>
      <c r="BP76"/>
      <c r="BQ76"/>
      <c r="BR76"/>
      <c r="BS76"/>
      <c r="BT76"/>
      <c r="BU76"/>
      <c r="BV76"/>
      <c r="BW76"/>
      <c r="BX76"/>
      <c r="BY76"/>
      <c r="CA76"/>
      <c r="CB76"/>
    </row>
    <row r="77" spans="1:80" ht="15" customHeight="1" x14ac:dyDescent="0.25">
      <c r="A77" s="4">
        <v>76</v>
      </c>
      <c r="B77" s="36">
        <v>2894</v>
      </c>
      <c r="C77" s="39">
        <v>42327</v>
      </c>
      <c r="D77" s="73" t="s">
        <v>154</v>
      </c>
      <c r="E77" s="38">
        <v>1</v>
      </c>
      <c r="F77" s="38">
        <v>2</v>
      </c>
      <c r="G77" s="96" t="s">
        <v>143</v>
      </c>
      <c r="H77" s="96" t="s">
        <v>144</v>
      </c>
      <c r="I77" s="40" t="s">
        <v>48</v>
      </c>
      <c r="J77" s="77" t="s">
        <v>98</v>
      </c>
      <c r="K77" s="70" t="s">
        <v>153</v>
      </c>
      <c r="L77" s="34"/>
      <c r="M77" s="35"/>
      <c r="N77" s="38">
        <v>12</v>
      </c>
      <c r="O77" s="37">
        <v>6</v>
      </c>
      <c r="P77" s="37">
        <f>IF(Tableau2[[#This Row],[Durée du projet]]="","-",Tableau2[[#This Row],[Durée du projet]]+Tableau2[[#This Row],[Durée suppl'' pour pièces]])</f>
        <v>18</v>
      </c>
      <c r="Q77" s="39">
        <v>42684</v>
      </c>
      <c r="R77" s="60">
        <v>42370</v>
      </c>
      <c r="S77" s="6">
        <f>IF(Tableau2[[#This Row],[Date signature ]]="","",EOMONTH((EDATE(Tableau2[[#This Row],[Début éligibilité dépenses]],Tableau2[[#This Row],[Durée du projet]])),-1))</f>
        <v>42735</v>
      </c>
      <c r="T77" s="6">
        <f>IF(Tableau2[[#This Row],[Fin éligibilité dépenses]]="","",EDATE(Tableau2[[#This Row],[Fin éligibilité dépenses]],-6))</f>
        <v>42551</v>
      </c>
      <c r="U77" s="6">
        <f>IF(Tableau2[[#This Row],[Début éligibilité dépenses]]="","",EOMONTH(EDATE(Tableau2[[#This Row],[Début éligibilité dépenses]],Tableau2[[#This Row],[Durée du projet]]/2),0))</f>
        <v>42582</v>
      </c>
      <c r="V77" s="59">
        <f>IF(Tableau2[[#This Row],[Date signature ]]="","",EDATE(Tableau2[[#This Row],[Date signature ]],Tableau2[[#This Row],[Durée totale conv'' ]])-1)</f>
        <v>43229</v>
      </c>
      <c r="W77" s="40" t="s">
        <v>21</v>
      </c>
      <c r="X77" s="2"/>
      <c r="Y77" s="40" t="s">
        <v>145</v>
      </c>
      <c r="Z77" s="2"/>
      <c r="AA77" s="2"/>
      <c r="AB77" s="19"/>
      <c r="AC77" s="21">
        <f>IF(Tableau2[[#This Row],[PORTEUR
DE
PROJET]]="",0,IF(COUNTIF(Tableau2[[#This Row],[PORTEUR
DE
PROJET]],"CRA*")=1,Tableau2[[#This Row],[Montant participation à signature]]/2,Tableau2[[#This Row],[Montant participation à signature]]*0.3))</f>
        <v>269251.875</v>
      </c>
      <c r="AD77" s="6">
        <f>IF(Tableau2[[#This Row],[Date signature ]]="","",EDATE(Tableau2[[#This Row],[Date signature ]],1))</f>
        <v>42714</v>
      </c>
      <c r="AE77" s="21">
        <f>IF(Tableau2[[#This Row],[PORTEUR
DE
PROJET]]="",0,IF(COUNTIF(Tableau2[[#This Row],[PORTEUR
DE
PROJET]],"CRA*")=1,,Tableau2[[#This Row],[Montant participation à signature]]*0.4))</f>
        <v>359002.5</v>
      </c>
      <c r="AF77" s="6">
        <f>IF(Tableau2[[#This Row],[Date signature ]]="","",IF(Tableau2[[#This Row],[ACOMPTE PREVU]]=0,"",EOMONTH(EDATE(Tableau2[[#This Row],[Date signature ]],Tableau2[[#This Row],[Durée du projet]]/2),0)))</f>
        <v>42886</v>
      </c>
      <c r="AG77" s="21">
        <f>IF(Tableau2[[#This Row],[PORTEUR
DE
PROJET]]="",0,IF(COUNTIF(Tableau2[[#This Row],[PORTEUR
DE
PROJET]],"CRA*")=1,Tableau2[[#This Row],[Montant participation à signature]]/2,Tableau2[[#This Row],[Montant participation à signature]]*0.3))</f>
        <v>269251.875</v>
      </c>
      <c r="AH77" s="6">
        <f>IF(Tableau2[[#This Row],[Date signature ]]="","",EOMONTH(EDATE(Tableau2[[#This Row],[Date signature ]],Tableau2[[#This Row],[Durée du projet]]),0))</f>
        <v>43069</v>
      </c>
      <c r="AI77" s="29">
        <f>IF(COUNTBLANK(Tableau2[[#This Row],[Date du mandat Avance]])=1,,Tableau2[[#This Row],[AVANCE PREVUE]])</f>
        <v>269251.875</v>
      </c>
      <c r="AJ77" s="64">
        <v>42690</v>
      </c>
      <c r="AK77" s="2"/>
      <c r="AL77" s="6"/>
      <c r="AM77" s="6"/>
      <c r="AN77" s="17">
        <f>IF(COUNTBLANK(Tableau2[[#This Row],[Date envoi ASF Acompte]])=1,,Tableau2[[#This Row],[ACOMPTE PREVU]])</f>
        <v>0</v>
      </c>
      <c r="AO77" s="17"/>
      <c r="AP77" s="2"/>
      <c r="AQ77" s="6"/>
      <c r="AR77" s="6"/>
      <c r="AS77" s="17"/>
      <c r="AT77" s="17"/>
      <c r="AU77" s="20"/>
      <c r="AV77" s="17"/>
      <c r="AW77" s="17"/>
      <c r="AX77" s="17">
        <f>IF(Tableau2[[#This Row],[Montant participation voté au CA]]="",0,Tableau2[[#This Row],[Montant participation voté au CA]]-Tableau2[[#This Row],[Montant participation à signature]])</f>
        <v>0</v>
      </c>
      <c r="AY77" s="45">
        <v>897506.25</v>
      </c>
      <c r="AZ77" s="17">
        <f>Tableau2[[#This Row],[AVANCE VERSEE]]+Tableau2[[#This Row],[ACOMPTE VERSE]]+Tableau2[[#This Row],[SOLDE VERSE]]</f>
        <v>269251.875</v>
      </c>
      <c r="BA77" s="17">
        <f>IF(Tableau2[[#This Row],[STATUT]]="Soldée",0,Tableau2[[#This Row],[Montant participation à signature]]-Tableau2[[#This Row],[Total CP payés]])</f>
        <v>628254.375</v>
      </c>
      <c r="BB77" s="17">
        <f>IF(Tableau2[[#This Row],[SOLDE VERSE]]&lt;0,-Tableau2[[#This Row],[SOLDE VERSE]],0)</f>
        <v>0</v>
      </c>
      <c r="BC77" s="17">
        <f>IF(Tableau2[[#This Row],[STATUT]]="Soldée",Tableau2[[#This Row],[Montant participation à signature]]-Tableau2[[#This Row],[Total CP payés]],0)</f>
        <v>0</v>
      </c>
      <c r="BD77" s="17">
        <f>IF(Tableau2[[#This Row],[Montant participation voté au CA]]="",0,Tableau2[[#This Row],[Réfaction]]+Tableau2[[#This Row],[Montant des crédits non engagés]])</f>
        <v>0</v>
      </c>
      <c r="BF77"/>
      <c r="BJ77"/>
      <c r="BK77"/>
      <c r="BL77"/>
      <c r="BM77"/>
      <c r="BP77"/>
      <c r="BQ77"/>
      <c r="BR77"/>
      <c r="BS77"/>
      <c r="BT77"/>
      <c r="BU77"/>
      <c r="BV77"/>
      <c r="BW77"/>
      <c r="BX77"/>
      <c r="BY77"/>
      <c r="CA77"/>
      <c r="CB77"/>
    </row>
    <row r="78" spans="1:80" ht="15" customHeight="1" x14ac:dyDescent="0.25">
      <c r="A78" s="4">
        <v>77</v>
      </c>
      <c r="B78" s="36">
        <v>2912</v>
      </c>
      <c r="C78" s="39">
        <v>42327</v>
      </c>
      <c r="D78" s="73" t="s">
        <v>154</v>
      </c>
      <c r="E78" s="38">
        <v>1</v>
      </c>
      <c r="F78" s="38">
        <v>2</v>
      </c>
      <c r="G78" s="96" t="s">
        <v>143</v>
      </c>
      <c r="H78" s="96" t="s">
        <v>144</v>
      </c>
      <c r="I78" s="40" t="s">
        <v>48</v>
      </c>
      <c r="J78" s="77"/>
      <c r="K78" s="70"/>
      <c r="L78" s="34"/>
      <c r="M78" s="35"/>
      <c r="N78" s="43">
        <v>12</v>
      </c>
      <c r="O78" s="37">
        <v>6</v>
      </c>
      <c r="P78" s="37">
        <f>IF(Tableau2[[#This Row],[Durée du projet]]="","-",Tableau2[[#This Row],[Durée du projet]]+Tableau2[[#This Row],[Durée suppl'' pour pièces]])</f>
        <v>18</v>
      </c>
      <c r="Q78" s="39">
        <v>42690</v>
      </c>
      <c r="R78" s="60">
        <v>42370</v>
      </c>
      <c r="S78" s="6">
        <f>IF(Tableau2[[#This Row],[Date signature ]]="","",EOMONTH((EDATE(Tableau2[[#This Row],[Début éligibilité dépenses]],Tableau2[[#This Row],[Durée du projet]])),-1))</f>
        <v>42735</v>
      </c>
      <c r="T78" s="6">
        <f>IF(Tableau2[[#This Row],[Fin éligibilité dépenses]]="","",EDATE(Tableau2[[#This Row],[Fin éligibilité dépenses]],-6))</f>
        <v>42551</v>
      </c>
      <c r="U78" s="6">
        <f>IF(Tableau2[[#This Row],[Début éligibilité dépenses]]="","",EOMONTH(EDATE(Tableau2[[#This Row],[Début éligibilité dépenses]],Tableau2[[#This Row],[Durée du projet]]/2),0))</f>
        <v>42582</v>
      </c>
      <c r="V78" s="59">
        <f>IF(Tableau2[[#This Row],[Date signature ]]="","",EDATE(Tableau2[[#This Row],[Date signature ]],Tableau2[[#This Row],[Durée totale conv'' ]])-1)</f>
        <v>43235</v>
      </c>
      <c r="W78" s="40" t="s">
        <v>21</v>
      </c>
      <c r="X78" s="2"/>
      <c r="Y78" s="40" t="s">
        <v>145</v>
      </c>
      <c r="Z78" s="2"/>
      <c r="AA78" s="2"/>
      <c r="AB78" s="19"/>
      <c r="AC78" s="21">
        <f>IF(Tableau2[[#This Row],[PORTEUR
DE
PROJET]]="",0,IF(COUNTIF(Tableau2[[#This Row],[PORTEUR
DE
PROJET]],"CRA*")=1,Tableau2[[#This Row],[Montant participation à signature]]/2,Tableau2[[#This Row],[Montant participation à signature]]*0.3))</f>
        <v>12087</v>
      </c>
      <c r="AD78" s="6">
        <f>IF(Tableau2[[#This Row],[Date signature ]]="","",EDATE(Tableau2[[#This Row],[Date signature ]],1))</f>
        <v>42720</v>
      </c>
      <c r="AE78" s="21">
        <f>IF(Tableau2[[#This Row],[PORTEUR
DE
PROJET]]="",0,IF(COUNTIF(Tableau2[[#This Row],[PORTEUR
DE
PROJET]],"CRA*")=1,,Tableau2[[#This Row],[Montant participation à signature]]*0.4))</f>
        <v>16116</v>
      </c>
      <c r="AF78" s="6">
        <f>IF(Tableau2[[#This Row],[Date signature ]]="","",IF(Tableau2[[#This Row],[ACOMPTE PREVU]]=0,"",EOMONTH(EDATE(Tableau2[[#This Row],[Date signature ]],Tableau2[[#This Row],[Durée du projet]]/2),0)))</f>
        <v>42886</v>
      </c>
      <c r="AG78" s="21">
        <f>IF(Tableau2[[#This Row],[PORTEUR
DE
PROJET]]="",0,IF(COUNTIF(Tableau2[[#This Row],[PORTEUR
DE
PROJET]],"CRA*")=1,Tableau2[[#This Row],[Montant participation à signature]]/2,Tableau2[[#This Row],[Montant participation à signature]]*0.3))</f>
        <v>12087</v>
      </c>
      <c r="AH78" s="6">
        <f>IF(Tableau2[[#This Row],[Date signature ]]="","",EOMONTH(EDATE(Tableau2[[#This Row],[Date signature ]],Tableau2[[#This Row],[Durée du projet]]),0))</f>
        <v>43069</v>
      </c>
      <c r="AI78" s="29">
        <f>IF(COUNTBLANK(Tableau2[[#This Row],[Date du mandat Avance]])=1,,Tableau2[[#This Row],[AVANCE PREVUE]])</f>
        <v>0</v>
      </c>
      <c r="AJ78" s="56"/>
      <c r="AK78" s="2"/>
      <c r="AL78" s="6"/>
      <c r="AM78" s="6"/>
      <c r="AN78" s="17">
        <f>IF(COUNTBLANK(Tableau2[[#This Row],[Date envoi ASF Acompte]])=1,,Tableau2[[#This Row],[ACOMPTE PREVU]])</f>
        <v>0</v>
      </c>
      <c r="AO78" s="17"/>
      <c r="AP78" s="2"/>
      <c r="AQ78" s="6"/>
      <c r="AR78" s="6"/>
      <c r="AS78" s="17"/>
      <c r="AT78" s="17"/>
      <c r="AU78" s="20"/>
      <c r="AV78" s="17"/>
      <c r="AW78" s="17"/>
      <c r="AX78" s="17">
        <f>IF(Tableau2[[#This Row],[Montant participation voté au CA]]="",0,Tableau2[[#This Row],[Montant participation voté au CA]]-Tableau2[[#This Row],[Montant participation à signature]])</f>
        <v>0</v>
      </c>
      <c r="AY78" s="45">
        <v>40290</v>
      </c>
      <c r="AZ78" s="17">
        <f>Tableau2[[#This Row],[AVANCE VERSEE]]+Tableau2[[#This Row],[ACOMPTE VERSE]]+Tableau2[[#This Row],[SOLDE VERSE]]</f>
        <v>0</v>
      </c>
      <c r="BA78" s="17">
        <f>IF(Tableau2[[#This Row],[STATUT]]="Soldée",0,Tableau2[[#This Row],[Montant participation à signature]]-Tableau2[[#This Row],[Total CP payés]])</f>
        <v>40290</v>
      </c>
      <c r="BB78" s="17">
        <f>IF(Tableau2[[#This Row],[SOLDE VERSE]]&lt;0,-Tableau2[[#This Row],[SOLDE VERSE]],0)</f>
        <v>0</v>
      </c>
      <c r="BC78" s="17">
        <f>IF(Tableau2[[#This Row],[STATUT]]="Soldée",Tableau2[[#This Row],[Montant participation à signature]]-Tableau2[[#This Row],[Total CP payés]],0)</f>
        <v>0</v>
      </c>
      <c r="BD78" s="17">
        <f>IF(Tableau2[[#This Row],[Montant participation voté au CA]]="",0,Tableau2[[#This Row],[Réfaction]]+Tableau2[[#This Row],[Montant des crédits non engagés]])</f>
        <v>0</v>
      </c>
      <c r="BF78"/>
      <c r="BJ78"/>
      <c r="BK78"/>
      <c r="BL78"/>
      <c r="BM78"/>
      <c r="BP78"/>
      <c r="BQ78"/>
      <c r="BR78"/>
      <c r="BS78"/>
      <c r="BT78"/>
      <c r="BU78"/>
      <c r="BV78"/>
      <c r="BW78"/>
      <c r="BX78"/>
      <c r="BY78"/>
      <c r="CA78"/>
      <c r="CB78"/>
    </row>
    <row r="79" spans="1:80" ht="15" customHeight="1" x14ac:dyDescent="0.25">
      <c r="A79" s="4">
        <v>78</v>
      </c>
      <c r="B79" s="89" t="s">
        <v>39</v>
      </c>
      <c r="C79" s="39">
        <v>42327</v>
      </c>
      <c r="D79" s="73" t="s">
        <v>154</v>
      </c>
      <c r="E79" s="102"/>
      <c r="F79" s="102"/>
      <c r="G79" s="96" t="s">
        <v>143</v>
      </c>
      <c r="H79" s="96" t="s">
        <v>144</v>
      </c>
      <c r="I79" s="40" t="s">
        <v>48</v>
      </c>
      <c r="J79" s="77"/>
      <c r="K79" s="70"/>
      <c r="L79" s="34"/>
      <c r="M79" s="35"/>
      <c r="N79" s="38">
        <v>12</v>
      </c>
      <c r="O79" s="37">
        <v>6</v>
      </c>
      <c r="P79" s="37">
        <f>IF(Tableau2[[#This Row],[Durée du projet]]="","-",Tableau2[[#This Row],[Durée du projet]]+Tableau2[[#This Row],[Durée suppl'' pour pièces]])</f>
        <v>18</v>
      </c>
      <c r="Q79" s="39">
        <v>42486</v>
      </c>
      <c r="R79" s="60">
        <v>42370</v>
      </c>
      <c r="S79" s="6">
        <f>IF(Tableau2[[#This Row],[Date signature ]]="","",EOMONTH((EDATE(Tableau2[[#This Row],[Début éligibilité dépenses]],Tableau2[[#This Row],[Durée du projet]])),-1))</f>
        <v>42735</v>
      </c>
      <c r="T79" s="6">
        <f>IF(Tableau2[[#This Row],[Fin éligibilité dépenses]]="","",EDATE(Tableau2[[#This Row],[Fin éligibilité dépenses]],-6))</f>
        <v>42551</v>
      </c>
      <c r="U79" s="6">
        <f>IF(Tableau2[[#This Row],[Début éligibilité dépenses]]="","",EOMONTH(EDATE(Tableau2[[#This Row],[Début éligibilité dépenses]],Tableau2[[#This Row],[Durée du projet]]/2),0))</f>
        <v>42582</v>
      </c>
      <c r="V79" s="59">
        <f>IF(Tableau2[[#This Row],[Date signature ]]="","",EDATE(Tableau2[[#This Row],[Date signature ]],Tableau2[[#This Row],[Durée totale conv'' ]])-1)</f>
        <v>43033</v>
      </c>
      <c r="W79" s="40" t="s">
        <v>21</v>
      </c>
      <c r="X79" s="2"/>
      <c r="Y79" s="40" t="s">
        <v>145</v>
      </c>
      <c r="Z79" s="2"/>
      <c r="AA79" s="2"/>
      <c r="AB79" s="19"/>
      <c r="AC79" s="21">
        <f>IF(Tableau2[[#This Row],[PORTEUR
DE
PROJET]]="",0,IF(COUNTIF(Tableau2[[#This Row],[PORTEUR
DE
PROJET]],"CRA*")=1,Tableau2[[#This Row],[Montant participation à signature]]/2,Tableau2[[#This Row],[Montant participation à signature]]*0.3))</f>
        <v>45225</v>
      </c>
      <c r="AD79" s="6">
        <f>IF(Tableau2[[#This Row],[Date signature ]]="","",EDATE(Tableau2[[#This Row],[Date signature ]],1))</f>
        <v>42516</v>
      </c>
      <c r="AE79" s="21">
        <f>IF(Tableau2[[#This Row],[PORTEUR
DE
PROJET]]="",0,IF(COUNTIF(Tableau2[[#This Row],[PORTEUR
DE
PROJET]],"CRA*")=1,,Tableau2[[#This Row],[Montant participation à signature]]*0.4))</f>
        <v>60300</v>
      </c>
      <c r="AF79" s="6">
        <f>IF(Tableau2[[#This Row],[Date signature ]]="","",IF(Tableau2[[#This Row],[ACOMPTE PREVU]]=0,"",EOMONTH(EDATE(Tableau2[[#This Row],[Date signature ]],Tableau2[[#This Row],[Durée du projet]]/2),0)))</f>
        <v>42674</v>
      </c>
      <c r="AG79" s="21">
        <f>IF(Tableau2[[#This Row],[PORTEUR
DE
PROJET]]="",0,IF(COUNTIF(Tableau2[[#This Row],[PORTEUR
DE
PROJET]],"CRA*")=1,Tableau2[[#This Row],[Montant participation à signature]]/2,Tableau2[[#This Row],[Montant participation à signature]]*0.3))</f>
        <v>45225</v>
      </c>
      <c r="AH79" s="6">
        <f>IF(Tableau2[[#This Row],[Date signature ]]="","",EOMONTH(EDATE(Tableau2[[#This Row],[Date signature ]],Tableau2[[#This Row],[Durée du projet]]),0))</f>
        <v>42855</v>
      </c>
      <c r="AI79" s="29">
        <f>IF(COUNTBLANK(Tableau2[[#This Row],[Date du mandat Avance]])=1,,Tableau2[[#This Row],[AVANCE PREVUE]])</f>
        <v>45225</v>
      </c>
      <c r="AJ79" s="64">
        <v>42502</v>
      </c>
      <c r="AK79" s="2"/>
      <c r="AL79" s="6"/>
      <c r="AM79" s="6"/>
      <c r="AN79" s="17">
        <f>IF(COUNTBLANK(Tableau2[[#This Row],[Date envoi ASF Acompte]])=1,,Tableau2[[#This Row],[ACOMPTE PREVU]])</f>
        <v>0</v>
      </c>
      <c r="AO79" s="17"/>
      <c r="AP79" s="2"/>
      <c r="AQ79" s="6"/>
      <c r="AR79" s="6"/>
      <c r="AS79" s="17"/>
      <c r="AT79" s="17"/>
      <c r="AU79" s="20"/>
      <c r="AV79" s="17"/>
      <c r="AW79" s="17"/>
      <c r="AX79" s="17">
        <f>IF(Tableau2[[#This Row],[Montant participation voté au CA]]="",0,Tableau2[[#This Row],[Montant participation voté au CA]]-Tableau2[[#This Row],[Montant participation à signature]])</f>
        <v>0</v>
      </c>
      <c r="AY79" s="45">
        <v>150750</v>
      </c>
      <c r="AZ79" s="17">
        <f>Tableau2[[#This Row],[AVANCE VERSEE]]+Tableau2[[#This Row],[ACOMPTE VERSE]]+Tableau2[[#This Row],[SOLDE VERSE]]</f>
        <v>45225</v>
      </c>
      <c r="BA79" s="17">
        <f>IF(Tableau2[[#This Row],[STATUT]]="Soldée",0,Tableau2[[#This Row],[Montant participation à signature]]-Tableau2[[#This Row],[Total CP payés]])</f>
        <v>105525</v>
      </c>
      <c r="BB79" s="17">
        <f>IF(Tableau2[[#This Row],[SOLDE VERSE]]&lt;0,-Tableau2[[#This Row],[SOLDE VERSE]],0)</f>
        <v>0</v>
      </c>
      <c r="BC79" s="17">
        <f>IF(Tableau2[[#This Row],[STATUT]]="Soldée",Tableau2[[#This Row],[Montant participation à signature]]-Tableau2[[#This Row],[Total CP payés]],0)</f>
        <v>0</v>
      </c>
      <c r="BD79" s="17">
        <f>IF(Tableau2[[#This Row],[Montant participation voté au CA]]="",0,Tableau2[[#This Row],[Réfaction]]+Tableau2[[#This Row],[Montant des crédits non engagés]])</f>
        <v>0</v>
      </c>
      <c r="BF79"/>
      <c r="BJ79"/>
      <c r="BK79"/>
      <c r="BL79"/>
      <c r="BM79"/>
      <c r="BP79"/>
      <c r="BQ79"/>
      <c r="BR79"/>
      <c r="BS79"/>
      <c r="BT79"/>
      <c r="BU79"/>
      <c r="BV79"/>
      <c r="BW79"/>
      <c r="BX79"/>
      <c r="BY79"/>
      <c r="CA79"/>
      <c r="CB79"/>
    </row>
    <row r="80" spans="1:80" ht="15" customHeight="1" x14ac:dyDescent="0.25">
      <c r="A80" s="4">
        <v>79</v>
      </c>
      <c r="B80" s="89">
        <v>2810</v>
      </c>
      <c r="C80" s="39">
        <v>42327</v>
      </c>
      <c r="D80" s="73" t="s">
        <v>154</v>
      </c>
      <c r="E80" s="38">
        <v>1</v>
      </c>
      <c r="F80" s="38">
        <v>2</v>
      </c>
      <c r="G80" s="96" t="s">
        <v>143</v>
      </c>
      <c r="H80" s="96" t="s">
        <v>144</v>
      </c>
      <c r="I80" s="40" t="s">
        <v>48</v>
      </c>
      <c r="J80" s="77">
        <v>42716</v>
      </c>
      <c r="K80" s="70" t="s">
        <v>153</v>
      </c>
      <c r="L80" s="34"/>
      <c r="M80" s="35"/>
      <c r="N80" s="38">
        <v>12</v>
      </c>
      <c r="O80" s="37">
        <v>6</v>
      </c>
      <c r="P80" s="37">
        <f>IF(Tableau2[[#This Row],[Durée du projet]]="","-",Tableau2[[#This Row],[Durée du projet]]+Tableau2[[#This Row],[Durée suppl'' pour pièces]])</f>
        <v>18</v>
      </c>
      <c r="Q80" s="39">
        <v>42578</v>
      </c>
      <c r="R80" s="60">
        <v>42370</v>
      </c>
      <c r="S80" s="6">
        <f>IF(Tableau2[[#This Row],[Date signature ]]="","",EOMONTH((EDATE(Tableau2[[#This Row],[Début éligibilité dépenses]],Tableau2[[#This Row],[Durée du projet]])),-1))</f>
        <v>42735</v>
      </c>
      <c r="T80" s="6">
        <f>IF(Tableau2[[#This Row],[Fin éligibilité dépenses]]="","",EDATE(Tableau2[[#This Row],[Fin éligibilité dépenses]],-6))</f>
        <v>42551</v>
      </c>
      <c r="U80" s="6">
        <f>IF(Tableau2[[#This Row],[Début éligibilité dépenses]]="","",EOMONTH(EDATE(Tableau2[[#This Row],[Début éligibilité dépenses]],Tableau2[[#This Row],[Durée du projet]]/2),0))</f>
        <v>42582</v>
      </c>
      <c r="V80" s="59">
        <f>IF(Tableau2[[#This Row],[Date signature ]]="","",EDATE(Tableau2[[#This Row],[Date signature ]],Tableau2[[#This Row],[Durée totale conv'' ]])-1)</f>
        <v>43126</v>
      </c>
      <c r="W80" s="40" t="s">
        <v>21</v>
      </c>
      <c r="X80" s="2"/>
      <c r="Y80" s="40" t="s">
        <v>145</v>
      </c>
      <c r="Z80" s="2"/>
      <c r="AA80" s="2"/>
      <c r="AB80" s="19"/>
      <c r="AC80" s="21">
        <f>IF(Tableau2[[#This Row],[PORTEUR
DE
PROJET]]="",0,IF(COUNTIF(Tableau2[[#This Row],[PORTEUR
DE
PROJET]],"CRA*")=1,Tableau2[[#This Row],[Montant participation à signature]]/2,Tableau2[[#This Row],[Montant participation à signature]]*0.3))</f>
        <v>300255.00299999997</v>
      </c>
      <c r="AD80" s="6">
        <f>IF(Tableau2[[#This Row],[Date signature ]]="","",EDATE(Tableau2[[#This Row],[Date signature ]],1))</f>
        <v>42609</v>
      </c>
      <c r="AE80" s="21">
        <f>IF(Tableau2[[#This Row],[PORTEUR
DE
PROJET]]="",0,IF(COUNTIF(Tableau2[[#This Row],[PORTEUR
DE
PROJET]],"CRA*")=1,,Tableau2[[#This Row],[Montant participation à signature]]*0.4))</f>
        <v>400340.00400000002</v>
      </c>
      <c r="AF80" s="6">
        <f>IF(Tableau2[[#This Row],[Date signature ]]="","",IF(Tableau2[[#This Row],[ACOMPTE PREVU]]=0,"",EOMONTH(EDATE(Tableau2[[#This Row],[Date signature ]],Tableau2[[#This Row],[Durée du projet]]/2),0)))</f>
        <v>42766</v>
      </c>
      <c r="AG80" s="21">
        <f>IF(Tableau2[[#This Row],[PORTEUR
DE
PROJET]]="",0,IF(COUNTIF(Tableau2[[#This Row],[PORTEUR
DE
PROJET]],"CRA*")=1,Tableau2[[#This Row],[Montant participation à signature]]/2,Tableau2[[#This Row],[Montant participation à signature]]*0.3))</f>
        <v>300255.00299999997</v>
      </c>
      <c r="AH80" s="6">
        <f>IF(Tableau2[[#This Row],[Date signature ]]="","",EOMONTH(EDATE(Tableau2[[#This Row],[Date signature ]],Tableau2[[#This Row],[Durée du projet]]),0))</f>
        <v>42947</v>
      </c>
      <c r="AI80" s="29">
        <f>IF(COUNTBLANK(Tableau2[[#This Row],[Date du mandat Avance]])=1,,Tableau2[[#This Row],[AVANCE PREVUE]])</f>
        <v>300255.00299999997</v>
      </c>
      <c r="AJ80" s="64">
        <v>42578</v>
      </c>
      <c r="AK80" s="2"/>
      <c r="AL80" s="6"/>
      <c r="AM80" s="6"/>
      <c r="AN80" s="17">
        <f>IF(COUNTBLANK(Tableau2[[#This Row],[Date envoi ASF Acompte]])=1,,Tableau2[[#This Row],[ACOMPTE PREVU]])</f>
        <v>0</v>
      </c>
      <c r="AO80" s="17"/>
      <c r="AP80" s="2"/>
      <c r="AQ80" s="6"/>
      <c r="AR80" s="6"/>
      <c r="AS80" s="17"/>
      <c r="AT80" s="17"/>
      <c r="AU80" s="20"/>
      <c r="AV80" s="17"/>
      <c r="AW80" s="17"/>
      <c r="AX80" s="17">
        <f>IF(Tableau2[[#This Row],[Montant participation voté au CA]]="",0,Tableau2[[#This Row],[Montant participation voté au CA]]-Tableau2[[#This Row],[Montant participation à signature]])</f>
        <v>0</v>
      </c>
      <c r="AY80" s="45">
        <v>1000850.01</v>
      </c>
      <c r="AZ80" s="17">
        <f>Tableau2[[#This Row],[AVANCE VERSEE]]+Tableau2[[#This Row],[ACOMPTE VERSE]]+Tableau2[[#This Row],[SOLDE VERSE]]</f>
        <v>300255.00299999997</v>
      </c>
      <c r="BA80" s="17">
        <f>IF(Tableau2[[#This Row],[STATUT]]="Soldée",0,Tableau2[[#This Row],[Montant participation à signature]]-Tableau2[[#This Row],[Total CP payés]])</f>
        <v>700595.00699999998</v>
      </c>
      <c r="BB80" s="17">
        <f>IF(Tableau2[[#This Row],[SOLDE VERSE]]&lt;0,-Tableau2[[#This Row],[SOLDE VERSE]],0)</f>
        <v>0</v>
      </c>
      <c r="BC80" s="17">
        <f>IF(Tableau2[[#This Row],[STATUT]]="Soldée",Tableau2[[#This Row],[Montant participation à signature]]-Tableau2[[#This Row],[Total CP payés]],0)</f>
        <v>0</v>
      </c>
      <c r="BD80" s="17">
        <f>IF(Tableau2[[#This Row],[Montant participation voté au CA]]="",0,Tableau2[[#This Row],[Réfaction]]+Tableau2[[#This Row],[Montant des crédits non engagés]])</f>
        <v>0</v>
      </c>
      <c r="BF80"/>
      <c r="BJ80"/>
      <c r="BK80"/>
      <c r="BL80"/>
      <c r="BM80"/>
      <c r="BP80"/>
      <c r="BQ80"/>
      <c r="BR80"/>
      <c r="BS80"/>
      <c r="BT80"/>
      <c r="BU80"/>
      <c r="BV80"/>
      <c r="BW80"/>
      <c r="BX80"/>
      <c r="BY80"/>
      <c r="CA80"/>
      <c r="CB80"/>
    </row>
    <row r="81" spans="1:80" ht="15" customHeight="1" x14ac:dyDescent="0.25">
      <c r="A81" s="4">
        <v>80</v>
      </c>
      <c r="B81" s="36">
        <v>2826</v>
      </c>
      <c r="C81" s="39">
        <v>42327</v>
      </c>
      <c r="D81" s="73" t="s">
        <v>154</v>
      </c>
      <c r="E81" s="38">
        <v>1</v>
      </c>
      <c r="F81" s="38">
        <v>2</v>
      </c>
      <c r="G81" s="96" t="s">
        <v>143</v>
      </c>
      <c r="H81" s="96" t="s">
        <v>144</v>
      </c>
      <c r="I81" s="40" t="s">
        <v>48</v>
      </c>
      <c r="J81" s="70"/>
      <c r="K81" s="70"/>
      <c r="L81" s="34"/>
      <c r="M81" s="35"/>
      <c r="N81" s="38">
        <v>12</v>
      </c>
      <c r="O81" s="37">
        <v>6</v>
      </c>
      <c r="P81" s="37">
        <f>IF(Tableau2[[#This Row],[Durée du projet]]="","-",Tableau2[[#This Row],[Durée du projet]]+Tableau2[[#This Row],[Durée suppl'' pour pièces]])</f>
        <v>18</v>
      </c>
      <c r="Q81" s="39">
        <v>42592</v>
      </c>
      <c r="R81" s="60">
        <v>42370</v>
      </c>
      <c r="S81" s="6">
        <f>IF(Tableau2[[#This Row],[Date signature ]]="","",EOMONTH((EDATE(Tableau2[[#This Row],[Début éligibilité dépenses]],Tableau2[[#This Row],[Durée du projet]])),-1))</f>
        <v>42735</v>
      </c>
      <c r="T81" s="6">
        <f>IF(Tableau2[[#This Row],[Fin éligibilité dépenses]]="","",EDATE(Tableau2[[#This Row],[Fin éligibilité dépenses]],-6))</f>
        <v>42551</v>
      </c>
      <c r="U81" s="6">
        <f>IF(Tableau2[[#This Row],[Début éligibilité dépenses]]="","",EOMONTH(EDATE(Tableau2[[#This Row],[Début éligibilité dépenses]],Tableau2[[#This Row],[Durée du projet]]/2),0))</f>
        <v>42582</v>
      </c>
      <c r="V81" s="59">
        <f>IF(Tableau2[[#This Row],[Date signature ]]="","",EDATE(Tableau2[[#This Row],[Date signature ]],Tableau2[[#This Row],[Durée totale conv'' ]])-1)</f>
        <v>43140</v>
      </c>
      <c r="W81" s="40" t="s">
        <v>21</v>
      </c>
      <c r="X81" s="2"/>
      <c r="Y81" s="40" t="s">
        <v>145</v>
      </c>
      <c r="Z81" s="2"/>
      <c r="AA81" s="2"/>
      <c r="AB81" s="19"/>
      <c r="AC81" s="21">
        <f>IF(Tableau2[[#This Row],[PORTEUR
DE
PROJET]]="",0,IF(COUNTIF(Tableau2[[#This Row],[PORTEUR
DE
PROJET]],"CRA*")=1,Tableau2[[#This Row],[Montant participation à signature]]/2,Tableau2[[#This Row],[Montant participation à signature]]*0.3))</f>
        <v>11412</v>
      </c>
      <c r="AD81" s="6">
        <f>IF(Tableau2[[#This Row],[Date signature ]]="","",EDATE(Tableau2[[#This Row],[Date signature ]],1))</f>
        <v>42623</v>
      </c>
      <c r="AE81" s="21">
        <f>IF(Tableau2[[#This Row],[PORTEUR
DE
PROJET]]="",0,IF(COUNTIF(Tableau2[[#This Row],[PORTEUR
DE
PROJET]],"CRA*")=1,,Tableau2[[#This Row],[Montant participation à signature]]*0.4))</f>
        <v>15216</v>
      </c>
      <c r="AF81" s="6">
        <f>IF(Tableau2[[#This Row],[Date signature ]]="","",IF(Tableau2[[#This Row],[ACOMPTE PREVU]]=0,"",EOMONTH(EDATE(Tableau2[[#This Row],[Date signature ]],Tableau2[[#This Row],[Durée du projet]]/2),0)))</f>
        <v>42794</v>
      </c>
      <c r="AG81" s="21">
        <f>IF(Tableau2[[#This Row],[PORTEUR
DE
PROJET]]="",0,IF(COUNTIF(Tableau2[[#This Row],[PORTEUR
DE
PROJET]],"CRA*")=1,Tableau2[[#This Row],[Montant participation à signature]]/2,Tableau2[[#This Row],[Montant participation à signature]]*0.3))</f>
        <v>11412</v>
      </c>
      <c r="AH81" s="6">
        <f>IF(Tableau2[[#This Row],[Date signature ]]="","",EOMONTH(EDATE(Tableau2[[#This Row],[Date signature ]],Tableau2[[#This Row],[Durée du projet]]),0))</f>
        <v>42978</v>
      </c>
      <c r="AI81" s="29">
        <f>IF(COUNTBLANK(Tableau2[[#This Row],[Date du mandat Avance]])=1,,Tableau2[[#This Row],[AVANCE PREVUE]])</f>
        <v>11412</v>
      </c>
      <c r="AJ81" s="64">
        <v>42601</v>
      </c>
      <c r="AK81" s="2"/>
      <c r="AL81" s="6"/>
      <c r="AM81" s="6"/>
      <c r="AN81" s="17">
        <f>IF(COUNTBLANK(Tableau2[[#This Row],[Date envoi ASF Acompte]])=1,,Tableau2[[#This Row],[ACOMPTE PREVU]])</f>
        <v>0</v>
      </c>
      <c r="AO81" s="17"/>
      <c r="AP81" s="2"/>
      <c r="AQ81" s="6"/>
      <c r="AR81" s="6"/>
      <c r="AS81" s="17"/>
      <c r="AT81" s="17"/>
      <c r="AU81" s="20"/>
      <c r="AV81" s="17"/>
      <c r="AW81" s="17"/>
      <c r="AX81" s="17">
        <f>IF(Tableau2[[#This Row],[Montant participation voté au CA]]="",0,Tableau2[[#This Row],[Montant participation voté au CA]]-Tableau2[[#This Row],[Montant participation à signature]])</f>
        <v>0</v>
      </c>
      <c r="AY81" s="45">
        <v>38040</v>
      </c>
      <c r="AZ81" s="17">
        <f>Tableau2[[#This Row],[AVANCE VERSEE]]+Tableau2[[#This Row],[ACOMPTE VERSE]]+Tableau2[[#This Row],[SOLDE VERSE]]</f>
        <v>11412</v>
      </c>
      <c r="BA81" s="17">
        <f>IF(Tableau2[[#This Row],[STATUT]]="Soldée",0,Tableau2[[#This Row],[Montant participation à signature]]-Tableau2[[#This Row],[Total CP payés]])</f>
        <v>26628</v>
      </c>
      <c r="BB81" s="17">
        <f>IF(Tableau2[[#This Row],[SOLDE VERSE]]&lt;0,-Tableau2[[#This Row],[SOLDE VERSE]],0)</f>
        <v>0</v>
      </c>
      <c r="BC81" s="17">
        <f>IF(Tableau2[[#This Row],[STATUT]]="Soldée",Tableau2[[#This Row],[Montant participation à signature]]-Tableau2[[#This Row],[Total CP payés]],0)</f>
        <v>0</v>
      </c>
      <c r="BD81" s="17">
        <f>IF(Tableau2[[#This Row],[Montant participation voté au CA]]="",0,Tableau2[[#This Row],[Réfaction]]+Tableau2[[#This Row],[Montant des crédits non engagés]])</f>
        <v>0</v>
      </c>
      <c r="BF81"/>
      <c r="BJ81"/>
      <c r="BK81"/>
      <c r="BL81"/>
      <c r="BM81"/>
      <c r="BP81"/>
      <c r="BQ81"/>
      <c r="BR81"/>
      <c r="BS81"/>
      <c r="BT81"/>
      <c r="BU81"/>
      <c r="BV81"/>
      <c r="BW81"/>
      <c r="BX81"/>
      <c r="BY81"/>
      <c r="CA81"/>
      <c r="CB81"/>
    </row>
    <row r="82" spans="1:80" ht="15" customHeight="1" x14ac:dyDescent="0.25">
      <c r="A82" s="4">
        <v>81</v>
      </c>
      <c r="B82" s="92" t="s">
        <v>53</v>
      </c>
      <c r="C82" s="48">
        <v>42327</v>
      </c>
      <c r="D82" s="73" t="s">
        <v>154</v>
      </c>
      <c r="E82" s="47" t="s">
        <v>53</v>
      </c>
      <c r="F82" s="47" t="s">
        <v>53</v>
      </c>
      <c r="G82" s="96" t="s">
        <v>143</v>
      </c>
      <c r="H82" s="96" t="s">
        <v>144</v>
      </c>
      <c r="I82" s="49" t="s">
        <v>54</v>
      </c>
      <c r="J82" s="78"/>
      <c r="K82" s="71"/>
      <c r="L82" s="34"/>
      <c r="M82" s="35"/>
      <c r="N82" s="47">
        <v>12</v>
      </c>
      <c r="O82" s="37">
        <v>6</v>
      </c>
      <c r="P82" s="37">
        <f>IF(Tableau2[[#This Row],[Durée du projet]]="","-",Tableau2[[#This Row],[Durée du projet]]+Tableau2[[#This Row],[Durée suppl'' pour pièces]])</f>
        <v>18</v>
      </c>
      <c r="Q82" s="47"/>
      <c r="R82" s="62"/>
      <c r="S82" s="6" t="str">
        <f>IF(Tableau2[[#This Row],[Date signature ]]="","",EOMONTH((EDATE(Tableau2[[#This Row],[Début éligibilité dépenses]],Tableau2[[#This Row],[Durée du projet]])),-1))</f>
        <v/>
      </c>
      <c r="T82" s="6" t="str">
        <f>IF(Tableau2[[#This Row],[Fin éligibilité dépenses]]="","",EDATE(Tableau2[[#This Row],[Fin éligibilité dépenses]],-6))</f>
        <v/>
      </c>
      <c r="U82" s="6" t="str">
        <f>IF(Tableau2[[#This Row],[Début éligibilité dépenses]]="","",EOMONTH(EDATE(Tableau2[[#This Row],[Début éligibilité dépenses]],Tableau2[[#This Row],[Durée du projet]]/2),0))</f>
        <v/>
      </c>
      <c r="V82" s="59" t="str">
        <f>IF(Tableau2[[#This Row],[Date signature ]]="","",EDATE(Tableau2[[#This Row],[Date signature ]],Tableau2[[#This Row],[Durée totale conv'' ]])-1)</f>
        <v/>
      </c>
      <c r="W82" s="40" t="s">
        <v>21</v>
      </c>
      <c r="X82" s="2"/>
      <c r="Y82" s="40" t="s">
        <v>145</v>
      </c>
      <c r="Z82" s="2"/>
      <c r="AA82" s="2"/>
      <c r="AB82" s="19"/>
      <c r="AC82" s="21">
        <f>IF(Tableau2[[#This Row],[PORTEUR
DE
PROJET]]="",0,IF(COUNTIF(Tableau2[[#This Row],[PORTEUR
DE
PROJET]],"CRA*")=1,Tableau2[[#This Row],[Montant participation à signature]]/2,Tableau2[[#This Row],[Montant participation à signature]]*0.3))</f>
        <v>180000</v>
      </c>
      <c r="AD82" s="6" t="str">
        <f>IF(Tableau2[[#This Row],[Date signature ]]="","",EDATE(Tableau2[[#This Row],[Date signature ]],1))</f>
        <v/>
      </c>
      <c r="AE82" s="21">
        <f>IF(Tableau2[[#This Row],[PORTEUR
DE
PROJET]]="",0,IF(COUNTIF(Tableau2[[#This Row],[PORTEUR
DE
PROJET]],"CRA*")=1,,Tableau2[[#This Row],[Montant participation à signature]]*0.4))</f>
        <v>240000</v>
      </c>
      <c r="AF82" s="6" t="str">
        <f>IF(Tableau2[[#This Row],[Date signature ]]="","",IF(Tableau2[[#This Row],[ACOMPTE PREVU]]=0,"",EOMONTH(EDATE(Tableau2[[#This Row],[Date signature ]],Tableau2[[#This Row],[Durée du projet]]/2),0)))</f>
        <v/>
      </c>
      <c r="AG82" s="21">
        <f>IF(Tableau2[[#This Row],[PORTEUR
DE
PROJET]]="",0,IF(COUNTIF(Tableau2[[#This Row],[PORTEUR
DE
PROJET]],"CRA*")=1,Tableau2[[#This Row],[Montant participation à signature]]/2,Tableau2[[#This Row],[Montant participation à signature]]*0.3))</f>
        <v>180000</v>
      </c>
      <c r="AH82" s="6" t="str">
        <f>IF(Tableau2[[#This Row],[Date signature ]]="","",EOMONTH(EDATE(Tableau2[[#This Row],[Date signature ]],Tableau2[[#This Row],[Durée du projet]]),0))</f>
        <v/>
      </c>
      <c r="AI82" s="29">
        <f>IF(COUNTBLANK(Tableau2[[#This Row],[Date du mandat Avance]])=1,,Tableau2[[#This Row],[AVANCE PREVUE]])</f>
        <v>0</v>
      </c>
      <c r="AJ82" s="67"/>
      <c r="AK82" s="2"/>
      <c r="AL82" s="6"/>
      <c r="AM82" s="6"/>
      <c r="AN82" s="17">
        <f>IF(COUNTBLANK(Tableau2[[#This Row],[Date envoi ASF Acompte]])=1,,Tableau2[[#This Row],[ACOMPTE PREVU]])</f>
        <v>0</v>
      </c>
      <c r="AO82" s="17"/>
      <c r="AP82" s="2"/>
      <c r="AQ82" s="6"/>
      <c r="AR82" s="6"/>
      <c r="AS82" s="17"/>
      <c r="AT82" s="17"/>
      <c r="AU82" s="20"/>
      <c r="AV82" s="17"/>
      <c r="AW82" s="17"/>
      <c r="AX82" s="17">
        <f>IF(Tableau2[[#This Row],[Montant participation voté au CA]]="",0,Tableau2[[#This Row],[Montant participation voté au CA]]-Tableau2[[#This Row],[Montant participation à signature]])</f>
        <v>0</v>
      </c>
      <c r="AY82" s="50">
        <v>600000</v>
      </c>
      <c r="AZ82" s="17">
        <f>Tableau2[[#This Row],[AVANCE VERSEE]]+Tableau2[[#This Row],[ACOMPTE VERSE]]+Tableau2[[#This Row],[SOLDE VERSE]]</f>
        <v>0</v>
      </c>
      <c r="BA82" s="17">
        <f>IF(Tableau2[[#This Row],[STATUT]]="Soldée",0,Tableau2[[#This Row],[Montant participation à signature]]-Tableau2[[#This Row],[Total CP payés]])</f>
        <v>600000</v>
      </c>
      <c r="BB82" s="17">
        <f>IF(Tableau2[[#This Row],[SOLDE VERSE]]&lt;0,-Tableau2[[#This Row],[SOLDE VERSE]],0)</f>
        <v>0</v>
      </c>
      <c r="BC82" s="17">
        <f>IF(Tableau2[[#This Row],[STATUT]]="Soldée",Tableau2[[#This Row],[Montant participation à signature]]-Tableau2[[#This Row],[Total CP payés]],0)</f>
        <v>0</v>
      </c>
      <c r="BD82" s="17">
        <f>IF(Tableau2[[#This Row],[Montant participation voté au CA]]="",0,Tableau2[[#This Row],[Réfaction]]+Tableau2[[#This Row],[Montant des crédits non engagés]])</f>
        <v>0</v>
      </c>
      <c r="BF82"/>
      <c r="BJ82"/>
      <c r="BK82"/>
      <c r="BL82"/>
      <c r="BM82"/>
      <c r="BP82"/>
      <c r="BQ82"/>
      <c r="BR82"/>
      <c r="BS82"/>
      <c r="BT82"/>
      <c r="BU82"/>
      <c r="BV82"/>
      <c r="BW82"/>
      <c r="BX82"/>
      <c r="BY82"/>
      <c r="CA82"/>
      <c r="CB82"/>
    </row>
    <row r="83" spans="1:80" ht="15" customHeight="1" x14ac:dyDescent="0.25">
      <c r="A83" s="4">
        <v>82</v>
      </c>
      <c r="B83" s="92" t="s">
        <v>53</v>
      </c>
      <c r="C83" s="48">
        <v>42327</v>
      </c>
      <c r="D83" s="73" t="s">
        <v>154</v>
      </c>
      <c r="E83" s="47" t="s">
        <v>53</v>
      </c>
      <c r="F83" s="47" t="s">
        <v>53</v>
      </c>
      <c r="G83" s="96" t="s">
        <v>143</v>
      </c>
      <c r="H83" s="96" t="s">
        <v>144</v>
      </c>
      <c r="I83" s="49" t="s">
        <v>54</v>
      </c>
      <c r="J83" s="78"/>
      <c r="K83" s="71"/>
      <c r="L83" s="34"/>
      <c r="M83" s="35"/>
      <c r="N83" s="47">
        <v>12</v>
      </c>
      <c r="O83" s="37">
        <v>6</v>
      </c>
      <c r="P83" s="37">
        <f>IF(Tableau2[[#This Row],[Durée du projet]]="","-",Tableau2[[#This Row],[Durée du projet]]+Tableau2[[#This Row],[Durée suppl'' pour pièces]])</f>
        <v>18</v>
      </c>
      <c r="Q83" s="47"/>
      <c r="R83" s="62"/>
      <c r="S83" s="6" t="str">
        <f>IF(Tableau2[[#This Row],[Date signature ]]="","",EOMONTH((EDATE(Tableau2[[#This Row],[Début éligibilité dépenses]],Tableau2[[#This Row],[Durée du projet]])),-1))</f>
        <v/>
      </c>
      <c r="T83" s="6" t="str">
        <f>IF(Tableau2[[#This Row],[Fin éligibilité dépenses]]="","",EDATE(Tableau2[[#This Row],[Fin éligibilité dépenses]],-6))</f>
        <v/>
      </c>
      <c r="U83" s="6" t="str">
        <f>IF(Tableau2[[#This Row],[Début éligibilité dépenses]]="","",EOMONTH(EDATE(Tableau2[[#This Row],[Début éligibilité dépenses]],Tableau2[[#This Row],[Durée du projet]]/2),0))</f>
        <v/>
      </c>
      <c r="V83" s="59" t="str">
        <f>IF(Tableau2[[#This Row],[Date signature ]]="","",EDATE(Tableau2[[#This Row],[Date signature ]],Tableau2[[#This Row],[Durée totale conv'' ]])-1)</f>
        <v/>
      </c>
      <c r="W83" s="40" t="s">
        <v>21</v>
      </c>
      <c r="X83" s="2"/>
      <c r="Y83" s="40" t="s">
        <v>145</v>
      </c>
      <c r="Z83" s="2"/>
      <c r="AA83" s="2"/>
      <c r="AB83" s="19"/>
      <c r="AC83" s="21">
        <f>IF(Tableau2[[#This Row],[PORTEUR
DE
PROJET]]="",0,IF(COUNTIF(Tableau2[[#This Row],[PORTEUR
DE
PROJET]],"CRA*")=1,Tableau2[[#This Row],[Montant participation à signature]]/2,Tableau2[[#This Row],[Montant participation à signature]]*0.3))</f>
        <v>150000</v>
      </c>
      <c r="AD83" s="6" t="str">
        <f>IF(Tableau2[[#This Row],[Date signature ]]="","",EDATE(Tableau2[[#This Row],[Date signature ]],1))</f>
        <v/>
      </c>
      <c r="AE83" s="21">
        <f>IF(Tableau2[[#This Row],[PORTEUR
DE
PROJET]]="",0,IF(COUNTIF(Tableau2[[#This Row],[PORTEUR
DE
PROJET]],"CRA*")=1,,Tableau2[[#This Row],[Montant participation à signature]]*0.4))</f>
        <v>200000</v>
      </c>
      <c r="AF83" s="6" t="str">
        <f>IF(Tableau2[[#This Row],[Date signature ]]="","",IF(Tableau2[[#This Row],[ACOMPTE PREVU]]=0,"",EOMONTH(EDATE(Tableau2[[#This Row],[Date signature ]],Tableau2[[#This Row],[Durée du projet]]/2),0)))</f>
        <v/>
      </c>
      <c r="AG83" s="21">
        <f>IF(Tableau2[[#This Row],[PORTEUR
DE
PROJET]]="",0,IF(COUNTIF(Tableau2[[#This Row],[PORTEUR
DE
PROJET]],"CRA*")=1,Tableau2[[#This Row],[Montant participation à signature]]/2,Tableau2[[#This Row],[Montant participation à signature]]*0.3))</f>
        <v>150000</v>
      </c>
      <c r="AH83" s="6" t="str">
        <f>IF(Tableau2[[#This Row],[Date signature ]]="","",EOMONTH(EDATE(Tableau2[[#This Row],[Date signature ]],Tableau2[[#This Row],[Durée du projet]]),0))</f>
        <v/>
      </c>
      <c r="AI83" s="29">
        <f>IF(COUNTBLANK(Tableau2[[#This Row],[Date du mandat Avance]])=1,,Tableau2[[#This Row],[AVANCE PREVUE]])</f>
        <v>0</v>
      </c>
      <c r="AJ83" s="67"/>
      <c r="AK83" s="2"/>
      <c r="AL83" s="6"/>
      <c r="AM83" s="6"/>
      <c r="AN83" s="17">
        <f>IF(COUNTBLANK(Tableau2[[#This Row],[Date envoi ASF Acompte]])=1,,Tableau2[[#This Row],[ACOMPTE PREVU]])</f>
        <v>0</v>
      </c>
      <c r="AO83" s="17"/>
      <c r="AP83" s="2"/>
      <c r="AQ83" s="6"/>
      <c r="AR83" s="6"/>
      <c r="AS83" s="17"/>
      <c r="AT83" s="17"/>
      <c r="AU83" s="20"/>
      <c r="AV83" s="17"/>
      <c r="AW83" s="17"/>
      <c r="AX83" s="17">
        <f>IF(Tableau2[[#This Row],[Montant participation voté au CA]]="",0,Tableau2[[#This Row],[Montant participation voté au CA]]-Tableau2[[#This Row],[Montant participation à signature]])</f>
        <v>0</v>
      </c>
      <c r="AY83" s="50">
        <v>500000</v>
      </c>
      <c r="AZ83" s="17">
        <f>Tableau2[[#This Row],[AVANCE VERSEE]]+Tableau2[[#This Row],[ACOMPTE VERSE]]+Tableau2[[#This Row],[SOLDE VERSE]]</f>
        <v>0</v>
      </c>
      <c r="BA83" s="17">
        <f>IF(Tableau2[[#This Row],[STATUT]]="Soldée",0,Tableau2[[#This Row],[Montant participation à signature]]-Tableau2[[#This Row],[Total CP payés]])</f>
        <v>500000</v>
      </c>
      <c r="BB83" s="17">
        <f>IF(Tableau2[[#This Row],[SOLDE VERSE]]&lt;0,-Tableau2[[#This Row],[SOLDE VERSE]],0)</f>
        <v>0</v>
      </c>
      <c r="BC83" s="17">
        <f>IF(Tableau2[[#This Row],[STATUT]]="Soldée",Tableau2[[#This Row],[Montant participation à signature]]-Tableau2[[#This Row],[Total CP payés]],0)</f>
        <v>0</v>
      </c>
      <c r="BD83" s="17">
        <f>IF(Tableau2[[#This Row],[Montant participation voté au CA]]="",0,Tableau2[[#This Row],[Réfaction]]+Tableau2[[#This Row],[Montant des crédits non engagés]])</f>
        <v>0</v>
      </c>
      <c r="BF83"/>
      <c r="BJ83"/>
      <c r="BK83"/>
      <c r="BL83"/>
      <c r="BM83"/>
      <c r="BP83"/>
      <c r="BQ83"/>
      <c r="BR83"/>
      <c r="BS83"/>
      <c r="BT83"/>
      <c r="BU83"/>
      <c r="BV83"/>
      <c r="BW83"/>
      <c r="BX83"/>
      <c r="BY83"/>
      <c r="CA83"/>
      <c r="CB83"/>
    </row>
    <row r="84" spans="1:80" ht="15" customHeight="1" x14ac:dyDescent="0.25">
      <c r="A84" s="4">
        <v>83</v>
      </c>
      <c r="B84" s="109"/>
      <c r="C84" s="39">
        <v>42327</v>
      </c>
      <c r="D84" s="73" t="s">
        <v>154</v>
      </c>
      <c r="E84" s="102"/>
      <c r="F84" s="102"/>
      <c r="G84" s="96" t="s">
        <v>143</v>
      </c>
      <c r="H84" s="96" t="s">
        <v>144</v>
      </c>
      <c r="I84" s="101"/>
      <c r="J84" s="70"/>
      <c r="K84" s="70"/>
      <c r="L84" s="34"/>
      <c r="M84" s="35"/>
      <c r="N84" s="38"/>
      <c r="O84" s="37">
        <v>6</v>
      </c>
      <c r="P84" s="37" t="str">
        <f>IF(Tableau2[[#This Row],[Durée du projet]]="","-",Tableau2[[#This Row],[Durée du projet]]+Tableau2[[#This Row],[Durée suppl'' pour pièces]])</f>
        <v>-</v>
      </c>
      <c r="Q84" s="39"/>
      <c r="R84" s="60"/>
      <c r="S84" s="6" t="str">
        <f>IF(Tableau2[[#This Row],[Date signature ]]="","",EOMONTH((EDATE(Tableau2[[#This Row],[Début éligibilité dépenses]],Tableau2[[#This Row],[Durée du projet]])),-1))</f>
        <v/>
      </c>
      <c r="T84" s="6" t="str">
        <f>IF(Tableau2[[#This Row],[Fin éligibilité dépenses]]="","",EDATE(Tableau2[[#This Row],[Fin éligibilité dépenses]],-6))</f>
        <v/>
      </c>
      <c r="U84" s="6" t="str">
        <f>IF(Tableau2[[#This Row],[Début éligibilité dépenses]]="","",EOMONTH(EDATE(Tableau2[[#This Row],[Début éligibilité dépenses]],Tableau2[[#This Row],[Durée du projet]]/2),0))</f>
        <v/>
      </c>
      <c r="V84" s="59" t="str">
        <f>IF(Tableau2[[#This Row],[Date signature ]]="","",EDATE(Tableau2[[#This Row],[Date signature ]],Tableau2[[#This Row],[Durée totale conv'' ]])-1)</f>
        <v/>
      </c>
      <c r="W84" s="40" t="s">
        <v>21</v>
      </c>
      <c r="X84" s="2"/>
      <c r="Y84" s="40" t="s">
        <v>145</v>
      </c>
      <c r="Z84" s="2"/>
      <c r="AA84" s="2"/>
      <c r="AB84" s="19"/>
      <c r="AC84" s="21">
        <f>IF(Tableau2[[#This Row],[PORTEUR
DE
PROJET]]="",0,IF(COUNTIF(Tableau2[[#This Row],[PORTEUR
DE
PROJET]],"CRA*")=1,Tableau2[[#This Row],[Montant participation à signature]]/2,Tableau2[[#This Row],[Montant participation à signature]]*0.3))</f>
        <v>5843.25</v>
      </c>
      <c r="AD84" s="6" t="str">
        <f>IF(Tableau2[[#This Row],[Date signature ]]="","",EDATE(Tableau2[[#This Row],[Date signature ]],1))</f>
        <v/>
      </c>
      <c r="AE84" s="21">
        <f>IF(Tableau2[[#This Row],[PORTEUR
DE
PROJET]]="",0,IF(COUNTIF(Tableau2[[#This Row],[PORTEUR
DE
PROJET]],"CRA*")=1,,Tableau2[[#This Row],[Montant participation à signature]]*0.4))</f>
        <v>7791</v>
      </c>
      <c r="AF84" s="6" t="str">
        <f>IF(Tableau2[[#This Row],[Date signature ]]="","",IF(Tableau2[[#This Row],[ACOMPTE PREVU]]=0,"",EOMONTH(EDATE(Tableau2[[#This Row],[Date signature ]],Tableau2[[#This Row],[Durée du projet]]/2),0)))</f>
        <v/>
      </c>
      <c r="AG84" s="21">
        <f>IF(Tableau2[[#This Row],[PORTEUR
DE
PROJET]]="",0,IF(COUNTIF(Tableau2[[#This Row],[PORTEUR
DE
PROJET]],"CRA*")=1,Tableau2[[#This Row],[Montant participation à signature]]/2,Tableau2[[#This Row],[Montant participation à signature]]*0.3))</f>
        <v>5843.25</v>
      </c>
      <c r="AH84" s="6" t="str">
        <f>IF(Tableau2[[#This Row],[Date signature ]]="","",EOMONTH(EDATE(Tableau2[[#This Row],[Date signature ]],Tableau2[[#This Row],[Durée du projet]]),0))</f>
        <v/>
      </c>
      <c r="AI84" s="29">
        <f>IF(COUNTBLANK(Tableau2[[#This Row],[Date du mandat Avance]])=1,,Tableau2[[#This Row],[AVANCE PREVUE]])</f>
        <v>0</v>
      </c>
      <c r="AJ84" s="56"/>
      <c r="AK84" s="2"/>
      <c r="AL84" s="6"/>
      <c r="AM84" s="6"/>
      <c r="AN84" s="17">
        <f>IF(COUNTBLANK(Tableau2[[#This Row],[Date envoi ASF Acompte]])=1,,Tableau2[[#This Row],[ACOMPTE PREVU]])</f>
        <v>0</v>
      </c>
      <c r="AO84" s="17"/>
      <c r="AP84" s="2"/>
      <c r="AQ84" s="6"/>
      <c r="AR84" s="6"/>
      <c r="AS84" s="17"/>
      <c r="AT84" s="17"/>
      <c r="AU84" s="20"/>
      <c r="AV84" s="17"/>
      <c r="AW84" s="17"/>
      <c r="AX84" s="17">
        <f>IF(Tableau2[[#This Row],[Montant participation voté au CA]]="",0,Tableau2[[#This Row],[Montant participation voté au CA]]-Tableau2[[#This Row],[Montant participation à signature]])</f>
        <v>0</v>
      </c>
      <c r="AY84" s="45">
        <v>19477.5</v>
      </c>
      <c r="AZ84" s="17">
        <f>Tableau2[[#This Row],[AVANCE VERSEE]]+Tableau2[[#This Row],[ACOMPTE VERSE]]+Tableau2[[#This Row],[SOLDE VERSE]]</f>
        <v>0</v>
      </c>
      <c r="BA84" s="17">
        <f>IF(Tableau2[[#This Row],[STATUT]]="Soldée",0,Tableau2[[#This Row],[Montant participation à signature]]-Tableau2[[#This Row],[Total CP payés]])</f>
        <v>19477.5</v>
      </c>
      <c r="BB84" s="17">
        <f>IF(Tableau2[[#This Row],[SOLDE VERSE]]&lt;0,-Tableau2[[#This Row],[SOLDE VERSE]],0)</f>
        <v>0</v>
      </c>
      <c r="BC84" s="17">
        <f>IF(Tableau2[[#This Row],[STATUT]]="Soldée",Tableau2[[#This Row],[Montant participation à signature]]-Tableau2[[#This Row],[Total CP payés]],0)</f>
        <v>0</v>
      </c>
      <c r="BD84" s="17">
        <f>IF(Tableau2[[#This Row],[Montant participation voté au CA]]="",0,Tableau2[[#This Row],[Réfaction]]+Tableau2[[#This Row],[Montant des crédits non engagés]])</f>
        <v>0</v>
      </c>
      <c r="BF84"/>
      <c r="BJ84"/>
      <c r="BK84"/>
      <c r="BL84"/>
      <c r="BM84"/>
      <c r="BP84"/>
      <c r="BQ84"/>
      <c r="BR84"/>
      <c r="BS84"/>
      <c r="BT84"/>
      <c r="BU84"/>
      <c r="BV84"/>
      <c r="BW84"/>
      <c r="BX84"/>
      <c r="BY84"/>
      <c r="CA84"/>
      <c r="CB84"/>
    </row>
    <row r="85" spans="1:80" ht="15" customHeight="1" x14ac:dyDescent="0.25">
      <c r="A85" s="4">
        <v>84</v>
      </c>
      <c r="B85" s="93"/>
      <c r="C85" s="48">
        <v>42327</v>
      </c>
      <c r="D85" s="73" t="s">
        <v>154</v>
      </c>
      <c r="E85" s="47">
        <v>2</v>
      </c>
      <c r="F85" s="38" t="s">
        <v>40</v>
      </c>
      <c r="G85" s="96" t="s">
        <v>143</v>
      </c>
      <c r="H85" s="96" t="s">
        <v>144</v>
      </c>
      <c r="I85" s="49" t="s">
        <v>55</v>
      </c>
      <c r="J85" s="78"/>
      <c r="K85" s="71"/>
      <c r="L85" s="34"/>
      <c r="M85" s="35"/>
      <c r="N85" s="47">
        <v>36</v>
      </c>
      <c r="O85" s="37">
        <v>6</v>
      </c>
      <c r="P85" s="37">
        <f>IF(Tableau2[[#This Row],[Durée du projet]]="","-",Tableau2[[#This Row],[Durée du projet]]+Tableau2[[#This Row],[Durée suppl'' pour pièces]])</f>
        <v>42</v>
      </c>
      <c r="Q85" s="47"/>
      <c r="R85" s="62"/>
      <c r="S85" s="6" t="str">
        <f>IF(Tableau2[[#This Row],[Date signature ]]="","",EOMONTH((EDATE(Tableau2[[#This Row],[Début éligibilité dépenses]],Tableau2[[#This Row],[Durée du projet]])),-1))</f>
        <v/>
      </c>
      <c r="T85" s="6" t="str">
        <f>IF(Tableau2[[#This Row],[Fin éligibilité dépenses]]="","",EDATE(Tableau2[[#This Row],[Fin éligibilité dépenses]],-6))</f>
        <v/>
      </c>
      <c r="U85" s="6" t="str">
        <f>IF(Tableau2[[#This Row],[Début éligibilité dépenses]]="","",EOMONTH(EDATE(Tableau2[[#This Row],[Début éligibilité dépenses]],Tableau2[[#This Row],[Durée du projet]]/2),0))</f>
        <v/>
      </c>
      <c r="V85" s="59" t="str">
        <f>IF(Tableau2[[#This Row],[Date signature ]]="","",EDATE(Tableau2[[#This Row],[Date signature ]],Tableau2[[#This Row],[Durée totale conv'' ]])-1)</f>
        <v/>
      </c>
      <c r="W85" s="40" t="s">
        <v>21</v>
      </c>
      <c r="X85" s="2"/>
      <c r="Y85" s="40" t="s">
        <v>145</v>
      </c>
      <c r="Z85" s="2"/>
      <c r="AA85" s="2"/>
      <c r="AB85" s="19"/>
      <c r="AC85" s="21">
        <f>IF(Tableau2[[#This Row],[PORTEUR
DE
PROJET]]="",0,IF(COUNTIF(Tableau2[[#This Row],[PORTEUR
DE
PROJET]],"CRA*")=1,Tableau2[[#This Row],[Montant participation à signature]]/2,Tableau2[[#This Row],[Montant participation à signature]]*0.3))</f>
        <v>72090</v>
      </c>
      <c r="AD85" s="6" t="str">
        <f>IF(Tableau2[[#This Row],[Date signature ]]="","",EDATE(Tableau2[[#This Row],[Date signature ]],1))</f>
        <v/>
      </c>
      <c r="AE85" s="21">
        <f>IF(Tableau2[[#This Row],[PORTEUR
DE
PROJET]]="",0,IF(COUNTIF(Tableau2[[#This Row],[PORTEUR
DE
PROJET]],"CRA*")=1,,Tableau2[[#This Row],[Montant participation à signature]]*0.4))</f>
        <v>96120</v>
      </c>
      <c r="AF85" s="6" t="str">
        <f>IF(Tableau2[[#This Row],[Date signature ]]="","",IF(Tableau2[[#This Row],[ACOMPTE PREVU]]=0,"",EOMONTH(EDATE(Tableau2[[#This Row],[Date signature ]],Tableau2[[#This Row],[Durée du projet]]/2),0)))</f>
        <v/>
      </c>
      <c r="AG85" s="21">
        <f>IF(Tableau2[[#This Row],[PORTEUR
DE
PROJET]]="",0,IF(COUNTIF(Tableau2[[#This Row],[PORTEUR
DE
PROJET]],"CRA*")=1,Tableau2[[#This Row],[Montant participation à signature]]/2,Tableau2[[#This Row],[Montant participation à signature]]*0.3))</f>
        <v>72090</v>
      </c>
      <c r="AH85" s="6" t="str">
        <f>IF(Tableau2[[#This Row],[Date signature ]]="","",EOMONTH(EDATE(Tableau2[[#This Row],[Date signature ]],Tableau2[[#This Row],[Durée du projet]]),0))</f>
        <v/>
      </c>
      <c r="AI85" s="29">
        <f>IF(COUNTBLANK(Tableau2[[#This Row],[Date du mandat Avance]])=1,,Tableau2[[#This Row],[AVANCE PREVUE]])</f>
        <v>0</v>
      </c>
      <c r="AJ85" s="68"/>
      <c r="AK85" s="2"/>
      <c r="AL85" s="6"/>
      <c r="AM85" s="6"/>
      <c r="AN85" s="17">
        <f>IF(COUNTBLANK(Tableau2[[#This Row],[Date envoi ASF Acompte]])=1,,Tableau2[[#This Row],[ACOMPTE PREVU]])</f>
        <v>0</v>
      </c>
      <c r="AO85" s="17"/>
      <c r="AP85" s="2"/>
      <c r="AQ85" s="6"/>
      <c r="AR85" s="6"/>
      <c r="AS85" s="17"/>
      <c r="AT85" s="17"/>
      <c r="AU85" s="20" t="s">
        <v>76</v>
      </c>
      <c r="AV85" s="17"/>
      <c r="AW85" s="17"/>
      <c r="AX85" s="17">
        <f>IF(Tableau2[[#This Row],[Montant participation voté au CA]]="",0,Tableau2[[#This Row],[Montant participation voté au CA]]-Tableau2[[#This Row],[Montant participation à signature]])</f>
        <v>0</v>
      </c>
      <c r="AY85" s="50">
        <v>240300</v>
      </c>
      <c r="AZ85" s="17">
        <f>Tableau2[[#This Row],[AVANCE VERSEE]]+Tableau2[[#This Row],[ACOMPTE VERSE]]+Tableau2[[#This Row],[SOLDE VERSE]]</f>
        <v>0</v>
      </c>
      <c r="BA85" s="17">
        <f>IF(Tableau2[[#This Row],[STATUT]]="Soldée",0,Tableau2[[#This Row],[Montant participation à signature]]-Tableau2[[#This Row],[Total CP payés]])</f>
        <v>240300</v>
      </c>
      <c r="BB85" s="17">
        <f>IF(Tableau2[[#This Row],[SOLDE VERSE]]&lt;0,-Tableau2[[#This Row],[SOLDE VERSE]],0)</f>
        <v>0</v>
      </c>
      <c r="BC85" s="17">
        <f>IF(Tableau2[[#This Row],[STATUT]]="Soldée",Tableau2[[#This Row],[Montant participation à signature]]-Tableau2[[#This Row],[Total CP payés]],0)</f>
        <v>0</v>
      </c>
      <c r="BD85" s="17">
        <f>IF(Tableau2[[#This Row],[Montant participation voté au CA]]="",0,Tableau2[[#This Row],[Réfaction]]+Tableau2[[#This Row],[Montant des crédits non engagés]])</f>
        <v>0</v>
      </c>
      <c r="BF85"/>
      <c r="BJ85"/>
      <c r="BK85"/>
      <c r="BL85"/>
      <c r="BM85"/>
      <c r="BP85"/>
      <c r="BQ85"/>
      <c r="BR85"/>
      <c r="BS85"/>
      <c r="BT85"/>
      <c r="BU85"/>
      <c r="BV85"/>
      <c r="BW85"/>
      <c r="BX85"/>
      <c r="BY85"/>
      <c r="CA85"/>
      <c r="CB85"/>
    </row>
    <row r="86" spans="1:80" ht="15" customHeight="1" x14ac:dyDescent="0.25">
      <c r="A86" s="4">
        <v>85</v>
      </c>
      <c r="B86" s="36"/>
      <c r="C86" s="39">
        <v>42703</v>
      </c>
      <c r="D86" s="73" t="s">
        <v>154</v>
      </c>
      <c r="E86" s="38">
        <v>1</v>
      </c>
      <c r="F86" s="38">
        <v>2</v>
      </c>
      <c r="G86" s="96" t="s">
        <v>143</v>
      </c>
      <c r="H86" s="96" t="s">
        <v>144</v>
      </c>
      <c r="I86" s="40"/>
      <c r="J86" s="79"/>
      <c r="K86" s="72"/>
      <c r="L86" s="34"/>
      <c r="M86" s="35"/>
      <c r="N86" s="38">
        <v>12</v>
      </c>
      <c r="O86" s="37">
        <v>6</v>
      </c>
      <c r="P86" s="37">
        <f>IF(Tableau2[[#This Row],[Durée du projet]]="","-",Tableau2[[#This Row],[Durée du projet]]+Tableau2[[#This Row],[Durée suppl'' pour pièces]])</f>
        <v>18</v>
      </c>
      <c r="Q86" s="38"/>
      <c r="R86" s="61"/>
      <c r="S86" s="6" t="str">
        <f>IF(Tableau2[[#This Row],[Date signature ]]="","",EOMONTH((EDATE(Tableau2[[#This Row],[Début éligibilité dépenses]],Tableau2[[#This Row],[Durée du projet]])),-1))</f>
        <v/>
      </c>
      <c r="T86" s="6" t="str">
        <f>IF(Tableau2[[#This Row],[Fin éligibilité dépenses]]="","",EDATE(Tableau2[[#This Row],[Fin éligibilité dépenses]],-6))</f>
        <v/>
      </c>
      <c r="U86" s="6" t="str">
        <f>IF(Tableau2[[#This Row],[Début éligibilité dépenses]]="","",EOMONTH(EDATE(Tableau2[[#This Row],[Début éligibilité dépenses]],Tableau2[[#This Row],[Durée du projet]]/2),0))</f>
        <v/>
      </c>
      <c r="V86" s="59" t="str">
        <f>IF(Tableau2[[#This Row],[Date signature ]]="","",EDATE(Tableau2[[#This Row],[Date signature ]],Tableau2[[#This Row],[Durée totale conv'' ]])-1)</f>
        <v/>
      </c>
      <c r="W86" s="40" t="s">
        <v>21</v>
      </c>
      <c r="X86" s="2"/>
      <c r="Y86" s="40" t="s">
        <v>145</v>
      </c>
      <c r="Z86" s="2"/>
      <c r="AA86" s="2"/>
      <c r="AB86" s="19"/>
      <c r="AC86" s="21">
        <f>IF(Tableau2[[#This Row],[PORTEUR
DE
PROJET]]="",0,IF(COUNTIF(Tableau2[[#This Row],[PORTEUR
DE
PROJET]],"CRA*")=1,Tableau2[[#This Row],[Montant participation à signature]]/2,Tableau2[[#This Row],[Montant participation à signature]]*0.3))</f>
        <v>3266001.6</v>
      </c>
      <c r="AD86" s="6" t="str">
        <f>IF(Tableau2[[#This Row],[Date signature ]]="","",EDATE(Tableau2[[#This Row],[Date signature ]],1))</f>
        <v/>
      </c>
      <c r="AE86" s="21">
        <f>IF(Tableau2[[#This Row],[PORTEUR
DE
PROJET]]="",0,IF(COUNTIF(Tableau2[[#This Row],[PORTEUR
DE
PROJET]],"CRA*")=1,,Tableau2[[#This Row],[Montant participation à signature]]*0.4))</f>
        <v>4354668.8</v>
      </c>
      <c r="AF86" s="6" t="str">
        <f>IF(Tableau2[[#This Row],[Date signature ]]="","",IF(Tableau2[[#This Row],[ACOMPTE PREVU]]=0,"",EOMONTH(EDATE(Tableau2[[#This Row],[Date signature ]],Tableau2[[#This Row],[Durée du projet]]/2),0)))</f>
        <v/>
      </c>
      <c r="AG86" s="21">
        <f>IF(Tableau2[[#This Row],[PORTEUR
DE
PROJET]]="",0,IF(COUNTIF(Tableau2[[#This Row],[PORTEUR
DE
PROJET]],"CRA*")=1,Tableau2[[#This Row],[Montant participation à signature]]/2,Tableau2[[#This Row],[Montant participation à signature]]*0.3))</f>
        <v>3266001.6</v>
      </c>
      <c r="AH86" s="6" t="str">
        <f>IF(Tableau2[[#This Row],[Date signature ]]="","",EOMONTH(EDATE(Tableau2[[#This Row],[Date signature ]],Tableau2[[#This Row],[Durée du projet]]),0))</f>
        <v/>
      </c>
      <c r="AI86" s="29">
        <f>IF(COUNTBLANK(Tableau2[[#This Row],[Date du mandat Avance]])=1,,Tableau2[[#This Row],[AVANCE PREVUE]])</f>
        <v>0</v>
      </c>
      <c r="AJ86" s="56"/>
      <c r="AK86" s="2"/>
      <c r="AL86" s="6"/>
      <c r="AM86" s="6"/>
      <c r="AN86" s="17">
        <f>IF(COUNTBLANK(Tableau2[[#This Row],[Date envoi ASF Acompte]])=1,,Tableau2[[#This Row],[ACOMPTE PREVU]])</f>
        <v>0</v>
      </c>
      <c r="AO86" s="17"/>
      <c r="AP86" s="2"/>
      <c r="AQ86" s="6"/>
      <c r="AR86" s="6"/>
      <c r="AS86" s="17"/>
      <c r="AT86" s="17"/>
      <c r="AU86" s="20"/>
      <c r="AV86" s="17"/>
      <c r="AW86" s="17"/>
      <c r="AX86" s="17">
        <f>IF(Tableau2[[#This Row],[Montant participation voté au CA]]="",0,Tableau2[[#This Row],[Montant participation voté au CA]]-Tableau2[[#This Row],[Montant participation à signature]])</f>
        <v>0</v>
      </c>
      <c r="AY86" s="52">
        <v>10886672</v>
      </c>
      <c r="AZ86" s="17">
        <f>Tableau2[[#This Row],[AVANCE VERSEE]]+Tableau2[[#This Row],[ACOMPTE VERSE]]+Tableau2[[#This Row],[SOLDE VERSE]]</f>
        <v>0</v>
      </c>
      <c r="BA86" s="17">
        <f>IF(Tableau2[[#This Row],[STATUT]]="Soldée",0,Tableau2[[#This Row],[Montant participation à signature]]-Tableau2[[#This Row],[Total CP payés]])</f>
        <v>10886672</v>
      </c>
      <c r="BB86" s="17">
        <f>IF(Tableau2[[#This Row],[SOLDE VERSE]]&lt;0,-Tableau2[[#This Row],[SOLDE VERSE]],0)</f>
        <v>0</v>
      </c>
      <c r="BC86" s="17">
        <f>IF(Tableau2[[#This Row],[STATUT]]="Soldée",Tableau2[[#This Row],[Montant participation à signature]]-Tableau2[[#This Row],[Total CP payés]],0)</f>
        <v>0</v>
      </c>
      <c r="BD86" s="17">
        <f>IF(Tableau2[[#This Row],[Montant participation voté au CA]]="",0,Tableau2[[#This Row],[Réfaction]]+Tableau2[[#This Row],[Montant des crédits non engagés]])</f>
        <v>0</v>
      </c>
      <c r="BF86"/>
      <c r="BJ86"/>
      <c r="BK86"/>
      <c r="BL86"/>
      <c r="BM86"/>
      <c r="BP86"/>
      <c r="BQ86"/>
      <c r="BR86"/>
      <c r="BS86"/>
      <c r="BT86"/>
      <c r="BU86"/>
      <c r="BV86"/>
      <c r="BW86"/>
      <c r="BX86"/>
      <c r="BY86"/>
      <c r="CA86"/>
      <c r="CB86"/>
    </row>
    <row r="87" spans="1:80" ht="15" customHeight="1" x14ac:dyDescent="0.25">
      <c r="A87" s="4">
        <v>86</v>
      </c>
      <c r="B87" s="36"/>
      <c r="C87" s="39">
        <v>42703</v>
      </c>
      <c r="D87" s="73" t="s">
        <v>154</v>
      </c>
      <c r="E87" s="38">
        <v>1</v>
      </c>
      <c r="F87" s="38">
        <v>2</v>
      </c>
      <c r="G87" s="96" t="s">
        <v>143</v>
      </c>
      <c r="H87" s="96" t="s">
        <v>144</v>
      </c>
      <c r="I87" s="40"/>
      <c r="J87" s="79"/>
      <c r="K87" s="72"/>
      <c r="L87" s="34"/>
      <c r="M87" s="35"/>
      <c r="N87" s="38">
        <v>6</v>
      </c>
      <c r="O87" s="37">
        <v>6</v>
      </c>
      <c r="P87" s="37">
        <f>IF(Tableau2[[#This Row],[Durée du projet]]="","-",Tableau2[[#This Row],[Durée du projet]]+Tableau2[[#This Row],[Durée suppl'' pour pièces]])</f>
        <v>12</v>
      </c>
      <c r="Q87" s="38"/>
      <c r="R87" s="61"/>
      <c r="S87" s="6" t="str">
        <f>IF(Tableau2[[#This Row],[Date signature ]]="","",EOMONTH((EDATE(Tableau2[[#This Row],[Début éligibilité dépenses]],Tableau2[[#This Row],[Durée du projet]])),-1))</f>
        <v/>
      </c>
      <c r="T87" s="6" t="str">
        <f>IF(Tableau2[[#This Row],[Fin éligibilité dépenses]]="","",EDATE(Tableau2[[#This Row],[Fin éligibilité dépenses]],-6))</f>
        <v/>
      </c>
      <c r="U87" s="6" t="str">
        <f>IF(Tableau2[[#This Row],[Début éligibilité dépenses]]="","",EOMONTH(EDATE(Tableau2[[#This Row],[Début éligibilité dépenses]],Tableau2[[#This Row],[Durée du projet]]/2),0))</f>
        <v/>
      </c>
      <c r="V87" s="59" t="str">
        <f>IF(Tableau2[[#This Row],[Date signature ]]="","",EDATE(Tableau2[[#This Row],[Date signature ]],Tableau2[[#This Row],[Durée totale conv'' ]])-1)</f>
        <v/>
      </c>
      <c r="W87" s="40" t="s">
        <v>21</v>
      </c>
      <c r="X87" s="2"/>
      <c r="Y87" s="40" t="s">
        <v>145</v>
      </c>
      <c r="Z87" s="2"/>
      <c r="AA87" s="2"/>
      <c r="AB87" s="19"/>
      <c r="AC87" s="21">
        <f>IF(Tableau2[[#This Row],[PORTEUR
DE
PROJET]]="",0,IF(COUNTIF(Tableau2[[#This Row],[PORTEUR
DE
PROJET]],"CRA*")=1,Tableau2[[#This Row],[Montant participation à signature]]/2,Tableau2[[#This Row],[Montant participation à signature]]*0.3))</f>
        <v>19968</v>
      </c>
      <c r="AD87" s="6" t="str">
        <f>IF(Tableau2[[#This Row],[Date signature ]]="","",EDATE(Tableau2[[#This Row],[Date signature ]],1))</f>
        <v/>
      </c>
      <c r="AE87" s="21">
        <f>IF(Tableau2[[#This Row],[PORTEUR
DE
PROJET]]="",0,IF(COUNTIF(Tableau2[[#This Row],[PORTEUR
DE
PROJET]],"CRA*")=1,,Tableau2[[#This Row],[Montant participation à signature]]*0.4))</f>
        <v>26624</v>
      </c>
      <c r="AF87" s="6" t="str">
        <f>IF(Tableau2[[#This Row],[Date signature ]]="","",IF(Tableau2[[#This Row],[ACOMPTE PREVU]]=0,"",EOMONTH(EDATE(Tableau2[[#This Row],[Date signature ]],Tableau2[[#This Row],[Durée du projet]]/2),0)))</f>
        <v/>
      </c>
      <c r="AG87" s="21">
        <f>IF(Tableau2[[#This Row],[PORTEUR
DE
PROJET]]="",0,IF(COUNTIF(Tableau2[[#This Row],[PORTEUR
DE
PROJET]],"CRA*")=1,Tableau2[[#This Row],[Montant participation à signature]]/2,Tableau2[[#This Row],[Montant participation à signature]]*0.3))</f>
        <v>19968</v>
      </c>
      <c r="AH87" s="6" t="str">
        <f>IF(Tableau2[[#This Row],[Date signature ]]="","",EOMONTH(EDATE(Tableau2[[#This Row],[Date signature ]],Tableau2[[#This Row],[Durée du projet]]),0))</f>
        <v/>
      </c>
      <c r="AI87" s="29">
        <f>IF(COUNTBLANK(Tableau2[[#This Row],[Date du mandat Avance]])=1,,Tableau2[[#This Row],[AVANCE PREVUE]])</f>
        <v>0</v>
      </c>
      <c r="AJ87" s="56"/>
      <c r="AK87" s="2"/>
      <c r="AL87" s="6"/>
      <c r="AM87" s="6"/>
      <c r="AN87" s="17">
        <f>IF(COUNTBLANK(Tableau2[[#This Row],[Date envoi ASF Acompte]])=1,,Tableau2[[#This Row],[ACOMPTE PREVU]])</f>
        <v>0</v>
      </c>
      <c r="AO87" s="17"/>
      <c r="AP87" s="2"/>
      <c r="AQ87" s="6"/>
      <c r="AR87" s="6"/>
      <c r="AS87" s="17"/>
      <c r="AT87" s="17"/>
      <c r="AU87" s="20"/>
      <c r="AV87" s="17"/>
      <c r="AW87" s="17"/>
      <c r="AX87" s="17">
        <f>IF(Tableau2[[#This Row],[Montant participation voté au CA]]="",0,Tableau2[[#This Row],[Montant participation voté au CA]]-Tableau2[[#This Row],[Montant participation à signature]])</f>
        <v>0</v>
      </c>
      <c r="AY87" s="52">
        <v>66560</v>
      </c>
      <c r="AZ87" s="17">
        <f>Tableau2[[#This Row],[AVANCE VERSEE]]+Tableau2[[#This Row],[ACOMPTE VERSE]]+Tableau2[[#This Row],[SOLDE VERSE]]</f>
        <v>0</v>
      </c>
      <c r="BA87" s="17">
        <f>IF(Tableau2[[#This Row],[STATUT]]="Soldée",0,Tableau2[[#This Row],[Montant participation à signature]]-Tableau2[[#This Row],[Total CP payés]])</f>
        <v>66560</v>
      </c>
      <c r="BB87" s="17">
        <f>IF(Tableau2[[#This Row],[SOLDE VERSE]]&lt;0,-Tableau2[[#This Row],[SOLDE VERSE]],0)</f>
        <v>0</v>
      </c>
      <c r="BC87" s="17">
        <f>IF(Tableau2[[#This Row],[STATUT]]="Soldée",Tableau2[[#This Row],[Montant participation à signature]]-Tableau2[[#This Row],[Total CP payés]],0)</f>
        <v>0</v>
      </c>
      <c r="BD87" s="17">
        <f>IF(Tableau2[[#This Row],[Montant participation voté au CA]]="",0,Tableau2[[#This Row],[Réfaction]]+Tableau2[[#This Row],[Montant des crédits non engagés]])</f>
        <v>0</v>
      </c>
      <c r="BF87"/>
      <c r="BJ87"/>
      <c r="BK87"/>
      <c r="BL87"/>
      <c r="BM87"/>
      <c r="BP87"/>
      <c r="BQ87"/>
      <c r="BR87"/>
      <c r="BS87"/>
      <c r="BT87"/>
      <c r="BU87"/>
      <c r="BV87"/>
      <c r="BW87"/>
      <c r="BX87"/>
      <c r="BY87"/>
      <c r="CA87"/>
      <c r="CB87"/>
    </row>
    <row r="88" spans="1:80" ht="15" customHeight="1" x14ac:dyDescent="0.25">
      <c r="A88" s="4">
        <v>87</v>
      </c>
      <c r="B88" s="36"/>
      <c r="C88" s="39">
        <v>42703</v>
      </c>
      <c r="D88" s="73" t="s">
        <v>154</v>
      </c>
      <c r="E88" s="38">
        <v>1</v>
      </c>
      <c r="F88" s="38">
        <v>3</v>
      </c>
      <c r="G88" s="96" t="s">
        <v>143</v>
      </c>
      <c r="H88" s="96" t="s">
        <v>144</v>
      </c>
      <c r="I88" s="40"/>
      <c r="J88" s="79"/>
      <c r="K88" s="72"/>
      <c r="L88" s="34"/>
      <c r="M88" s="35"/>
      <c r="N88" s="38">
        <v>12</v>
      </c>
      <c r="O88" s="37">
        <v>6</v>
      </c>
      <c r="P88" s="37">
        <f>IF(Tableau2[[#This Row],[Durée du projet]]="","-",Tableau2[[#This Row],[Durée du projet]]+Tableau2[[#This Row],[Durée suppl'' pour pièces]])</f>
        <v>18</v>
      </c>
      <c r="Q88" s="38"/>
      <c r="R88" s="61"/>
      <c r="S88" s="6" t="str">
        <f>IF(Tableau2[[#This Row],[Date signature ]]="","",EOMONTH((EDATE(Tableau2[[#This Row],[Début éligibilité dépenses]],Tableau2[[#This Row],[Durée du projet]])),-1))</f>
        <v/>
      </c>
      <c r="T88" s="6" t="str">
        <f>IF(Tableau2[[#This Row],[Fin éligibilité dépenses]]="","",EDATE(Tableau2[[#This Row],[Fin éligibilité dépenses]],-6))</f>
        <v/>
      </c>
      <c r="U88" s="6" t="str">
        <f>IF(Tableau2[[#This Row],[Début éligibilité dépenses]]="","",EOMONTH(EDATE(Tableau2[[#This Row],[Début éligibilité dépenses]],Tableau2[[#This Row],[Durée du projet]]/2),0))</f>
        <v/>
      </c>
      <c r="V88" s="59" t="str">
        <f>IF(Tableau2[[#This Row],[Date signature ]]="","",EDATE(Tableau2[[#This Row],[Date signature ]],Tableau2[[#This Row],[Durée totale conv'' ]])-1)</f>
        <v/>
      </c>
      <c r="W88" s="40" t="s">
        <v>21</v>
      </c>
      <c r="X88" s="2"/>
      <c r="Y88" s="40" t="s">
        <v>145</v>
      </c>
      <c r="Z88" s="2"/>
      <c r="AA88" s="2"/>
      <c r="AB88" s="19"/>
      <c r="AC88" s="21">
        <f>IF(Tableau2[[#This Row],[PORTEUR
DE
PROJET]]="",0,IF(COUNTIF(Tableau2[[#This Row],[PORTEUR
DE
PROJET]],"CRA*")=1,Tableau2[[#This Row],[Montant participation à signature]]/2,Tableau2[[#This Row],[Montant participation à signature]]*0.3))</f>
        <v>1062225</v>
      </c>
      <c r="AD88" s="6" t="str">
        <f>IF(Tableau2[[#This Row],[Date signature ]]="","",EDATE(Tableau2[[#This Row],[Date signature ]],1))</f>
        <v/>
      </c>
      <c r="AE88" s="21">
        <f>IF(Tableau2[[#This Row],[PORTEUR
DE
PROJET]]="",0,IF(COUNTIF(Tableau2[[#This Row],[PORTEUR
DE
PROJET]],"CRA*")=1,,Tableau2[[#This Row],[Montant participation à signature]]*0.4))</f>
        <v>1416300</v>
      </c>
      <c r="AF88" s="6" t="str">
        <f>IF(Tableau2[[#This Row],[Date signature ]]="","",IF(Tableau2[[#This Row],[ACOMPTE PREVU]]=0,"",EOMONTH(EDATE(Tableau2[[#This Row],[Date signature ]],Tableau2[[#This Row],[Durée du projet]]/2),0)))</f>
        <v/>
      </c>
      <c r="AG88" s="21">
        <f>IF(Tableau2[[#This Row],[PORTEUR
DE
PROJET]]="",0,IF(COUNTIF(Tableau2[[#This Row],[PORTEUR
DE
PROJET]],"CRA*")=1,Tableau2[[#This Row],[Montant participation à signature]]/2,Tableau2[[#This Row],[Montant participation à signature]]*0.3))</f>
        <v>1062225</v>
      </c>
      <c r="AH88" s="6" t="str">
        <f>IF(Tableau2[[#This Row],[Date signature ]]="","",EOMONTH(EDATE(Tableau2[[#This Row],[Date signature ]],Tableau2[[#This Row],[Durée du projet]]),0))</f>
        <v/>
      </c>
      <c r="AI88" s="29">
        <f>IF(COUNTBLANK(Tableau2[[#This Row],[Date du mandat Avance]])=1,,Tableau2[[#This Row],[AVANCE PREVUE]])</f>
        <v>0</v>
      </c>
      <c r="AJ88" s="56"/>
      <c r="AK88" s="2"/>
      <c r="AL88" s="6"/>
      <c r="AM88" s="6"/>
      <c r="AN88" s="17">
        <f>IF(COUNTBLANK(Tableau2[[#This Row],[Date envoi ASF Acompte]])=1,,Tableau2[[#This Row],[ACOMPTE PREVU]])</f>
        <v>0</v>
      </c>
      <c r="AO88" s="17"/>
      <c r="AP88" s="2"/>
      <c r="AQ88" s="6"/>
      <c r="AR88" s="6"/>
      <c r="AS88" s="17"/>
      <c r="AT88" s="17"/>
      <c r="AU88" s="20"/>
      <c r="AV88" s="17"/>
      <c r="AW88" s="17"/>
      <c r="AX88" s="17">
        <f>IF(Tableau2[[#This Row],[Montant participation voté au CA]]="",0,Tableau2[[#This Row],[Montant participation voté au CA]]-Tableau2[[#This Row],[Montant participation à signature]])</f>
        <v>0</v>
      </c>
      <c r="AY88" s="52">
        <v>3540750</v>
      </c>
      <c r="AZ88" s="17">
        <f>Tableau2[[#This Row],[AVANCE VERSEE]]+Tableau2[[#This Row],[ACOMPTE VERSE]]+Tableau2[[#This Row],[SOLDE VERSE]]</f>
        <v>0</v>
      </c>
      <c r="BA88" s="17">
        <f>IF(Tableau2[[#This Row],[STATUT]]="Soldée",0,Tableau2[[#This Row],[Montant participation à signature]]-Tableau2[[#This Row],[Total CP payés]])</f>
        <v>3540750</v>
      </c>
      <c r="BB88" s="17">
        <f>IF(Tableau2[[#This Row],[SOLDE VERSE]]&lt;0,-Tableau2[[#This Row],[SOLDE VERSE]],0)</f>
        <v>0</v>
      </c>
      <c r="BC88" s="17">
        <f>IF(Tableau2[[#This Row],[STATUT]]="Soldée",Tableau2[[#This Row],[Montant participation à signature]]-Tableau2[[#This Row],[Total CP payés]],0)</f>
        <v>0</v>
      </c>
      <c r="BD88" s="17">
        <f>IF(Tableau2[[#This Row],[Montant participation voté au CA]]="",0,Tableau2[[#This Row],[Réfaction]]+Tableau2[[#This Row],[Montant des crédits non engagés]])</f>
        <v>0</v>
      </c>
      <c r="BF88"/>
      <c r="BJ88"/>
      <c r="BK88"/>
      <c r="BL88"/>
      <c r="BM88"/>
      <c r="BP88"/>
      <c r="BQ88"/>
      <c r="BR88"/>
      <c r="BS88"/>
      <c r="BT88"/>
      <c r="BU88"/>
      <c r="BV88"/>
      <c r="BW88"/>
      <c r="BX88"/>
      <c r="BY88"/>
      <c r="CA88"/>
      <c r="CB88"/>
    </row>
    <row r="89" spans="1:80" ht="15" customHeight="1" x14ac:dyDescent="0.25">
      <c r="A89" s="4">
        <v>88</v>
      </c>
      <c r="B89" s="94"/>
      <c r="C89" s="39">
        <v>42703</v>
      </c>
      <c r="D89" s="73" t="s">
        <v>154</v>
      </c>
      <c r="E89" s="38">
        <v>1</v>
      </c>
      <c r="F89" s="38">
        <v>4</v>
      </c>
      <c r="G89" s="96" t="s">
        <v>143</v>
      </c>
      <c r="H89" s="96" t="s">
        <v>144</v>
      </c>
      <c r="I89" s="40"/>
      <c r="J89" s="79"/>
      <c r="K89" s="72"/>
      <c r="L89" s="34"/>
      <c r="M89" s="35"/>
      <c r="N89" s="38">
        <v>24</v>
      </c>
      <c r="O89" s="37">
        <v>6</v>
      </c>
      <c r="P89" s="37">
        <f>IF(Tableau2[[#This Row],[Durée du projet]]="","-",Tableau2[[#This Row],[Durée du projet]]+Tableau2[[#This Row],[Durée suppl'' pour pièces]])</f>
        <v>30</v>
      </c>
      <c r="Q89" s="38"/>
      <c r="R89" s="61"/>
      <c r="S89" s="6" t="str">
        <f>IF(Tableau2[[#This Row],[Date signature ]]="","",EOMONTH((EDATE(Tableau2[[#This Row],[Début éligibilité dépenses]],Tableau2[[#This Row],[Durée du projet]])),-1))</f>
        <v/>
      </c>
      <c r="T89" s="6" t="str">
        <f>IF(Tableau2[[#This Row],[Fin éligibilité dépenses]]="","",EDATE(Tableau2[[#This Row],[Fin éligibilité dépenses]],-6))</f>
        <v/>
      </c>
      <c r="U89" s="6" t="str">
        <f>IF(Tableau2[[#This Row],[Début éligibilité dépenses]]="","",EOMONTH(EDATE(Tableau2[[#This Row],[Début éligibilité dépenses]],Tableau2[[#This Row],[Durée du projet]]/2),0))</f>
        <v/>
      </c>
      <c r="V89" s="59" t="str">
        <f>IF(Tableau2[[#This Row],[Date signature ]]="","",EDATE(Tableau2[[#This Row],[Date signature ]],Tableau2[[#This Row],[Durée totale conv'' ]])-1)</f>
        <v/>
      </c>
      <c r="W89" s="40" t="s">
        <v>21</v>
      </c>
      <c r="X89" s="2"/>
      <c r="Y89" s="40" t="s">
        <v>145</v>
      </c>
      <c r="Z89" s="2"/>
      <c r="AA89" s="2"/>
      <c r="AB89" s="19"/>
      <c r="AC89" s="75">
        <f>IF(Tableau2[[#This Row],[PORTEUR
DE
PROJET]]="",0,IF(COUNTIF(Tableau2[[#This Row],[PORTEUR
DE
PROJET]],"CRA*")=1,Tableau2[[#This Row],[Montant participation à signature]]/2,Tableau2[[#This Row],[Montant participation à signature]]*0.3))</f>
        <v>56812.5</v>
      </c>
      <c r="AD89" s="76" t="str">
        <f>IF(Tableau2[[#This Row],[Date signature ]]="","",EDATE(Tableau2[[#This Row],[Date signature ]],1))</f>
        <v/>
      </c>
      <c r="AE89" s="75">
        <f>IF(Tableau2[[#This Row],[PORTEUR
DE
PROJET]]="",0,IF(COUNTIF(Tableau2[[#This Row],[PORTEUR
DE
PROJET]],"CRA*")=1,,Tableau2[[#This Row],[Montant participation à signature]]*0.4))</f>
        <v>75750</v>
      </c>
      <c r="AF89" s="76" t="str">
        <f>IF(Tableau2[[#This Row],[Date signature ]]="","",IF(Tableau2[[#This Row],[ACOMPTE PREVU]]=0,"",EOMONTH(EDATE(Tableau2[[#This Row],[Date signature ]],Tableau2[[#This Row],[Durée du projet]]/2),0)))</f>
        <v/>
      </c>
      <c r="AG89" s="75">
        <f>IF(Tableau2[[#This Row],[PORTEUR
DE
PROJET]]="",0,IF(COUNTIF(Tableau2[[#This Row],[PORTEUR
DE
PROJET]],"CRA*")=1,Tableau2[[#This Row],[Montant participation à signature]]/2,Tableau2[[#This Row],[Montant participation à signature]]*0.3))</f>
        <v>56812.5</v>
      </c>
      <c r="AH89" s="6" t="str">
        <f>IF(Tableau2[[#This Row],[Date signature ]]="","",EOMONTH(EDATE(Tableau2[[#This Row],[Date signature ]],Tableau2[[#This Row],[Durée du projet]]),0))</f>
        <v/>
      </c>
      <c r="AI89" s="29">
        <f>IF(COUNTBLANK(Tableau2[[#This Row],[Date du mandat Avance]])=1,,Tableau2[[#This Row],[AVANCE PREVUE]])</f>
        <v>0</v>
      </c>
      <c r="AJ89" s="56"/>
      <c r="AK89" s="2"/>
      <c r="AL89" s="6"/>
      <c r="AM89" s="6"/>
      <c r="AN89" s="17">
        <f>IF(COUNTBLANK(Tableau2[[#This Row],[Date envoi ASF Acompte]])=1,,Tableau2[[#This Row],[ACOMPTE PREVU]])</f>
        <v>0</v>
      </c>
      <c r="AO89" s="17"/>
      <c r="AP89" s="2"/>
      <c r="AQ89" s="6"/>
      <c r="AR89" s="6"/>
      <c r="AS89" s="17"/>
      <c r="AT89" s="17"/>
      <c r="AU89" s="20"/>
      <c r="AV89" s="17"/>
      <c r="AW89" s="17"/>
      <c r="AX89" s="17">
        <f>IF(Tableau2[[#This Row],[Montant participation voté au CA]]="",0,Tableau2[[#This Row],[Montant participation voté au CA]]-Tableau2[[#This Row],[Montant participation à signature]])</f>
        <v>0</v>
      </c>
      <c r="AY89" s="52">
        <v>189375</v>
      </c>
      <c r="AZ89" s="17">
        <f>Tableau2[[#This Row],[AVANCE VERSEE]]+Tableau2[[#This Row],[ACOMPTE VERSE]]+Tableau2[[#This Row],[SOLDE VERSE]]</f>
        <v>0</v>
      </c>
      <c r="BA89" s="17">
        <f>IF(Tableau2[[#This Row],[STATUT]]="Soldée",0,Tableau2[[#This Row],[Montant participation à signature]]-Tableau2[[#This Row],[Total CP payés]])</f>
        <v>189375</v>
      </c>
      <c r="BB89" s="17">
        <f>IF(Tableau2[[#This Row],[SOLDE VERSE]]&lt;0,-Tableau2[[#This Row],[SOLDE VERSE]],0)</f>
        <v>0</v>
      </c>
      <c r="BC89" s="17">
        <f>IF(Tableau2[[#This Row],[STATUT]]="Soldée",Tableau2[[#This Row],[Montant participation à signature]]-Tableau2[[#This Row],[Total CP payés]],0)</f>
        <v>0</v>
      </c>
      <c r="BD89" s="17">
        <f>IF(Tableau2[[#This Row],[Montant participation voté au CA]]="",0,Tableau2[[#This Row],[Réfaction]]+Tableau2[[#This Row],[Montant des crédits non engagés]])</f>
        <v>0</v>
      </c>
      <c r="BF89"/>
      <c r="BJ89"/>
      <c r="BK89"/>
      <c r="BL89"/>
      <c r="BM89"/>
      <c r="BP89"/>
      <c r="BQ89"/>
      <c r="BR89"/>
      <c r="BS89"/>
      <c r="BT89"/>
      <c r="BU89"/>
      <c r="BV89"/>
      <c r="BW89"/>
      <c r="BX89"/>
      <c r="BY89"/>
      <c r="CA89"/>
      <c r="CB89"/>
    </row>
    <row r="90" spans="1:80" ht="15" customHeight="1" x14ac:dyDescent="0.25">
      <c r="A90" s="4">
        <v>89</v>
      </c>
      <c r="B90" s="36"/>
      <c r="C90" s="39">
        <v>42703</v>
      </c>
      <c r="D90" s="73" t="s">
        <v>154</v>
      </c>
      <c r="E90" s="38">
        <v>1</v>
      </c>
      <c r="F90" s="38">
        <v>4</v>
      </c>
      <c r="G90" s="96" t="s">
        <v>143</v>
      </c>
      <c r="H90" s="96" t="s">
        <v>144</v>
      </c>
      <c r="I90" s="40"/>
      <c r="J90" s="79"/>
      <c r="K90" s="72"/>
      <c r="L90" s="34"/>
      <c r="M90" s="35"/>
      <c r="N90" s="38">
        <v>12</v>
      </c>
      <c r="O90" s="37">
        <v>6</v>
      </c>
      <c r="P90" s="37">
        <f>IF(Tableau2[[#This Row],[Durée du projet]]="","-",Tableau2[[#This Row],[Durée du projet]]+Tableau2[[#This Row],[Durée suppl'' pour pièces]])</f>
        <v>18</v>
      </c>
      <c r="Q90" s="38"/>
      <c r="R90" s="61"/>
      <c r="S90" s="6" t="str">
        <f>IF(Tableau2[[#This Row],[Date signature ]]="","",EOMONTH((EDATE(Tableau2[[#This Row],[Début éligibilité dépenses]],Tableau2[[#This Row],[Durée du projet]])),-1))</f>
        <v/>
      </c>
      <c r="T90" s="6" t="str">
        <f>IF(Tableau2[[#This Row],[Fin éligibilité dépenses]]="","",EDATE(Tableau2[[#This Row],[Fin éligibilité dépenses]],-6))</f>
        <v/>
      </c>
      <c r="U90" s="6" t="str">
        <f>IF(Tableau2[[#This Row],[Début éligibilité dépenses]]="","",EOMONTH(EDATE(Tableau2[[#This Row],[Début éligibilité dépenses]],Tableau2[[#This Row],[Durée du projet]]/2),0))</f>
        <v/>
      </c>
      <c r="V90" s="59" t="str">
        <f>IF(Tableau2[[#This Row],[Date signature ]]="","",EDATE(Tableau2[[#This Row],[Date signature ]],Tableau2[[#This Row],[Durée totale conv'' ]])-1)</f>
        <v/>
      </c>
      <c r="W90" s="40" t="s">
        <v>21</v>
      </c>
      <c r="X90" s="2"/>
      <c r="Y90" s="40" t="s">
        <v>145</v>
      </c>
      <c r="Z90" s="2"/>
      <c r="AA90" s="2"/>
      <c r="AB90" s="19"/>
      <c r="AC90" s="21">
        <f>IF(Tableau2[[#This Row],[PORTEUR
DE
PROJET]]="",0,IF(COUNTIF(Tableau2[[#This Row],[PORTEUR
DE
PROJET]],"CRA*")=1,Tableau2[[#This Row],[Montant participation à signature]]/2,Tableau2[[#This Row],[Montant participation à signature]]*0.3))</f>
        <v>119925</v>
      </c>
      <c r="AD90" s="6" t="str">
        <f>IF(Tableau2[[#This Row],[Date signature ]]="","",EDATE(Tableau2[[#This Row],[Date signature ]],1))</f>
        <v/>
      </c>
      <c r="AE90" s="21">
        <f>IF(Tableau2[[#This Row],[PORTEUR
DE
PROJET]]="",0,IF(COUNTIF(Tableau2[[#This Row],[PORTEUR
DE
PROJET]],"CRA*")=1,,Tableau2[[#This Row],[Montant participation à signature]]*0.4))</f>
        <v>159900</v>
      </c>
      <c r="AF90" s="6" t="str">
        <f>IF(Tableau2[[#This Row],[Date signature ]]="","",IF(Tableau2[[#This Row],[ACOMPTE PREVU]]=0,"",EOMONTH(EDATE(Tableau2[[#This Row],[Date signature ]],Tableau2[[#This Row],[Durée du projet]]/2),0)))</f>
        <v/>
      </c>
      <c r="AG90" s="21">
        <f>IF(Tableau2[[#This Row],[PORTEUR
DE
PROJET]]="",0,IF(COUNTIF(Tableau2[[#This Row],[PORTEUR
DE
PROJET]],"CRA*")=1,Tableau2[[#This Row],[Montant participation à signature]]/2,Tableau2[[#This Row],[Montant participation à signature]]*0.3))</f>
        <v>119925</v>
      </c>
      <c r="AH90" s="6" t="str">
        <f>IF(Tableau2[[#This Row],[Date signature ]]="","",EOMONTH(EDATE(Tableau2[[#This Row],[Date signature ]],Tableau2[[#This Row],[Durée du projet]]),0))</f>
        <v/>
      </c>
      <c r="AI90" s="29">
        <f>IF(COUNTBLANK(Tableau2[[#This Row],[Date du mandat Avance]])=1,,Tableau2[[#This Row],[AVANCE PREVUE]])</f>
        <v>0</v>
      </c>
      <c r="AJ90" s="56"/>
      <c r="AK90" s="2"/>
      <c r="AL90" s="6"/>
      <c r="AM90" s="6"/>
      <c r="AN90" s="17">
        <f>IF(COUNTBLANK(Tableau2[[#This Row],[Date envoi ASF Acompte]])=1,,Tableau2[[#This Row],[ACOMPTE PREVU]])</f>
        <v>0</v>
      </c>
      <c r="AO90" s="17"/>
      <c r="AP90" s="2"/>
      <c r="AQ90" s="6"/>
      <c r="AR90" s="6"/>
      <c r="AS90" s="17"/>
      <c r="AT90" s="17"/>
      <c r="AU90" s="20"/>
      <c r="AV90" s="17"/>
      <c r="AW90" s="17"/>
      <c r="AX90" s="17">
        <f>IF(Tableau2[[#This Row],[Montant participation voté au CA]]="",0,Tableau2[[#This Row],[Montant participation voté au CA]]-Tableau2[[#This Row],[Montant participation à signature]])</f>
        <v>0</v>
      </c>
      <c r="AY90" s="52">
        <v>399750</v>
      </c>
      <c r="AZ90" s="17">
        <f>Tableau2[[#This Row],[AVANCE VERSEE]]+Tableau2[[#This Row],[ACOMPTE VERSE]]+Tableau2[[#This Row],[SOLDE VERSE]]</f>
        <v>0</v>
      </c>
      <c r="BA90" s="17">
        <f>IF(Tableau2[[#This Row],[STATUT]]="Soldée",0,Tableau2[[#This Row],[Montant participation à signature]]-Tableau2[[#This Row],[Total CP payés]])</f>
        <v>399750</v>
      </c>
      <c r="BB90" s="17">
        <f>IF(Tableau2[[#This Row],[SOLDE VERSE]]&lt;0,-Tableau2[[#This Row],[SOLDE VERSE]],0)</f>
        <v>0</v>
      </c>
      <c r="BC90" s="17">
        <f>IF(Tableau2[[#This Row],[STATUT]]="Soldée",Tableau2[[#This Row],[Montant participation à signature]]-Tableau2[[#This Row],[Total CP payés]],0)</f>
        <v>0</v>
      </c>
      <c r="BD90" s="17">
        <f>IF(Tableau2[[#This Row],[Montant participation voté au CA]]="",0,Tableau2[[#This Row],[Réfaction]]+Tableau2[[#This Row],[Montant des crédits non engagés]])</f>
        <v>0</v>
      </c>
      <c r="BF90"/>
      <c r="BJ90"/>
      <c r="BK90"/>
      <c r="BL90"/>
      <c r="BM90"/>
      <c r="BP90"/>
      <c r="BQ90"/>
      <c r="BR90"/>
      <c r="BS90"/>
      <c r="BT90"/>
      <c r="BU90"/>
      <c r="BV90"/>
      <c r="BW90"/>
      <c r="BX90"/>
      <c r="BY90"/>
      <c r="CA90"/>
      <c r="CB90"/>
    </row>
    <row r="91" spans="1:80" ht="15" customHeight="1" x14ac:dyDescent="0.25">
      <c r="A91" s="4">
        <v>90</v>
      </c>
      <c r="B91" s="36"/>
      <c r="C91" s="39">
        <v>42703</v>
      </c>
      <c r="D91" s="73" t="s">
        <v>154</v>
      </c>
      <c r="E91" s="38">
        <v>1</v>
      </c>
      <c r="F91" s="38">
        <v>4</v>
      </c>
      <c r="G91" s="96" t="s">
        <v>143</v>
      </c>
      <c r="H91" s="96" t="s">
        <v>144</v>
      </c>
      <c r="I91" s="40"/>
      <c r="J91" s="79"/>
      <c r="K91" s="72"/>
      <c r="L91" s="34"/>
      <c r="M91" s="35"/>
      <c r="N91" s="38">
        <v>36</v>
      </c>
      <c r="O91" s="37">
        <v>6</v>
      </c>
      <c r="P91" s="37">
        <f>IF(Tableau2[[#This Row],[Durée du projet]]="","-",Tableau2[[#This Row],[Durée du projet]]+Tableau2[[#This Row],[Durée suppl'' pour pièces]])</f>
        <v>42</v>
      </c>
      <c r="Q91" s="38"/>
      <c r="R91" s="61"/>
      <c r="S91" s="6" t="str">
        <f>IF(Tableau2[[#This Row],[Date signature ]]="","",EOMONTH((EDATE(Tableau2[[#This Row],[Début éligibilité dépenses]],Tableau2[[#This Row],[Durée du projet]])),-1))</f>
        <v/>
      </c>
      <c r="T91" s="6" t="str">
        <f>IF(Tableau2[[#This Row],[Fin éligibilité dépenses]]="","",EDATE(Tableau2[[#This Row],[Fin éligibilité dépenses]],-6))</f>
        <v/>
      </c>
      <c r="U91" s="6" t="str">
        <f>IF(Tableau2[[#This Row],[Début éligibilité dépenses]]="","",EOMONTH(EDATE(Tableau2[[#This Row],[Début éligibilité dépenses]],Tableau2[[#This Row],[Durée du projet]]/2),0))</f>
        <v/>
      </c>
      <c r="V91" s="59" t="str">
        <f>IF(Tableau2[[#This Row],[Date signature ]]="","",EDATE(Tableau2[[#This Row],[Date signature ]],Tableau2[[#This Row],[Durée totale conv'' ]])-1)</f>
        <v/>
      </c>
      <c r="W91" s="40" t="s">
        <v>21</v>
      </c>
      <c r="X91" s="2"/>
      <c r="Y91" s="40" t="s">
        <v>145</v>
      </c>
      <c r="Z91" s="2"/>
      <c r="AA91" s="2"/>
      <c r="AB91" s="19"/>
      <c r="AC91" s="21">
        <f>IF(Tableau2[[#This Row],[PORTEUR
DE
PROJET]]="",0,IF(COUNTIF(Tableau2[[#This Row],[PORTEUR
DE
PROJET]],"CRA*")=1,Tableau2[[#This Row],[Montant participation à signature]]/2,Tableau2[[#This Row],[Montant participation à signature]]*0.3))</f>
        <v>38160</v>
      </c>
      <c r="AD91" s="6" t="str">
        <f>IF(Tableau2[[#This Row],[Date signature ]]="","",EDATE(Tableau2[[#This Row],[Date signature ]],1))</f>
        <v/>
      </c>
      <c r="AE91" s="21">
        <f>IF(Tableau2[[#This Row],[PORTEUR
DE
PROJET]]="",0,IF(COUNTIF(Tableau2[[#This Row],[PORTEUR
DE
PROJET]],"CRA*")=1,,Tableau2[[#This Row],[Montant participation à signature]]*0.4))</f>
        <v>50880</v>
      </c>
      <c r="AF91" s="6" t="str">
        <f>IF(Tableau2[[#This Row],[Date signature ]]="","",IF(Tableau2[[#This Row],[ACOMPTE PREVU]]=0,"",EOMONTH(EDATE(Tableau2[[#This Row],[Date signature ]],Tableau2[[#This Row],[Durée du projet]]/2),0)))</f>
        <v/>
      </c>
      <c r="AG91" s="21">
        <f>IF(Tableau2[[#This Row],[PORTEUR
DE
PROJET]]="",0,IF(COUNTIF(Tableau2[[#This Row],[PORTEUR
DE
PROJET]],"CRA*")=1,Tableau2[[#This Row],[Montant participation à signature]]/2,Tableau2[[#This Row],[Montant participation à signature]]*0.3))</f>
        <v>38160</v>
      </c>
      <c r="AH91" s="6" t="str">
        <f>IF(Tableau2[[#This Row],[Date signature ]]="","",EOMONTH(EDATE(Tableau2[[#This Row],[Date signature ]],Tableau2[[#This Row],[Durée du projet]]),0))</f>
        <v/>
      </c>
      <c r="AI91" s="29">
        <f>IF(COUNTBLANK(Tableau2[[#This Row],[Date du mandat Avance]])=1,,Tableau2[[#This Row],[AVANCE PREVUE]])</f>
        <v>0</v>
      </c>
      <c r="AJ91" s="56"/>
      <c r="AK91" s="2"/>
      <c r="AL91" s="6"/>
      <c r="AM91" s="6"/>
      <c r="AN91" s="17">
        <f>IF(COUNTBLANK(Tableau2[[#This Row],[Date envoi ASF Acompte]])=1,,Tableau2[[#This Row],[ACOMPTE PREVU]])</f>
        <v>0</v>
      </c>
      <c r="AO91" s="17"/>
      <c r="AP91" s="2"/>
      <c r="AQ91" s="6"/>
      <c r="AR91" s="6"/>
      <c r="AS91" s="17"/>
      <c r="AT91" s="17"/>
      <c r="AU91" s="20"/>
      <c r="AV91" s="17"/>
      <c r="AW91" s="17"/>
      <c r="AX91" s="17">
        <f>IF(Tableau2[[#This Row],[Montant participation voté au CA]]="",0,Tableau2[[#This Row],[Montant participation voté au CA]]-Tableau2[[#This Row],[Montant participation à signature]])</f>
        <v>0</v>
      </c>
      <c r="AY91" s="52">
        <v>127200</v>
      </c>
      <c r="AZ91" s="17">
        <f>Tableau2[[#This Row],[AVANCE VERSEE]]+Tableau2[[#This Row],[ACOMPTE VERSE]]+Tableau2[[#This Row],[SOLDE VERSE]]</f>
        <v>0</v>
      </c>
      <c r="BA91" s="17">
        <f>IF(Tableau2[[#This Row],[STATUT]]="Soldée",0,Tableau2[[#This Row],[Montant participation à signature]]-Tableau2[[#This Row],[Total CP payés]])</f>
        <v>127200</v>
      </c>
      <c r="BB91" s="17">
        <f>IF(Tableau2[[#This Row],[SOLDE VERSE]]&lt;0,-Tableau2[[#This Row],[SOLDE VERSE]],0)</f>
        <v>0</v>
      </c>
      <c r="BC91" s="17">
        <f>IF(Tableau2[[#This Row],[STATUT]]="Soldée",Tableau2[[#This Row],[Montant participation à signature]]-Tableau2[[#This Row],[Total CP payés]],0)</f>
        <v>0</v>
      </c>
      <c r="BD91" s="17">
        <f>IF(Tableau2[[#This Row],[Montant participation voté au CA]]="",0,Tableau2[[#This Row],[Réfaction]]+Tableau2[[#This Row],[Montant des crédits non engagés]])</f>
        <v>0</v>
      </c>
      <c r="BF91"/>
      <c r="BJ91"/>
      <c r="BK91"/>
      <c r="BL91"/>
      <c r="BM91"/>
      <c r="BP91"/>
      <c r="BQ91"/>
      <c r="BR91"/>
      <c r="BS91"/>
      <c r="BT91"/>
      <c r="BU91"/>
      <c r="BV91"/>
      <c r="BW91"/>
      <c r="BX91"/>
      <c r="BY91"/>
      <c r="CA91"/>
      <c r="CB91"/>
    </row>
    <row r="92" spans="1:80" ht="15" customHeight="1" x14ac:dyDescent="0.25">
      <c r="A92" s="4">
        <v>91</v>
      </c>
      <c r="B92" s="36"/>
      <c r="C92" s="39">
        <v>42703</v>
      </c>
      <c r="D92" s="73" t="s">
        <v>154</v>
      </c>
      <c r="E92" s="38">
        <v>1</v>
      </c>
      <c r="F92" s="38">
        <v>5</v>
      </c>
      <c r="G92" s="96" t="s">
        <v>143</v>
      </c>
      <c r="H92" s="96" t="s">
        <v>144</v>
      </c>
      <c r="I92" s="40"/>
      <c r="J92" s="79"/>
      <c r="K92" s="72"/>
      <c r="L92" s="34"/>
      <c r="M92" s="35"/>
      <c r="N92" s="38">
        <v>12</v>
      </c>
      <c r="O92" s="37">
        <v>6</v>
      </c>
      <c r="P92" s="37">
        <f>IF(Tableau2[[#This Row],[Durée du projet]]="","-",Tableau2[[#This Row],[Durée du projet]]+Tableau2[[#This Row],[Durée suppl'' pour pièces]])</f>
        <v>18</v>
      </c>
      <c r="Q92" s="38"/>
      <c r="R92" s="61"/>
      <c r="S92" s="6" t="str">
        <f>IF(Tableau2[[#This Row],[Date signature ]]="","",EOMONTH((EDATE(Tableau2[[#This Row],[Début éligibilité dépenses]],Tableau2[[#This Row],[Durée du projet]])),-1))</f>
        <v/>
      </c>
      <c r="T92" s="6" t="str">
        <f>IF(Tableau2[[#This Row],[Fin éligibilité dépenses]]="","",EDATE(Tableau2[[#This Row],[Fin éligibilité dépenses]],-6))</f>
        <v/>
      </c>
      <c r="U92" s="6" t="str">
        <f>IF(Tableau2[[#This Row],[Début éligibilité dépenses]]="","",EOMONTH(EDATE(Tableau2[[#This Row],[Début éligibilité dépenses]],Tableau2[[#This Row],[Durée du projet]]/2),0))</f>
        <v/>
      </c>
      <c r="V92" s="59" t="str">
        <f>IF(Tableau2[[#This Row],[Date signature ]]="","",EDATE(Tableau2[[#This Row],[Date signature ]],Tableau2[[#This Row],[Durée totale conv'' ]])-1)</f>
        <v/>
      </c>
      <c r="W92" s="40" t="s">
        <v>21</v>
      </c>
      <c r="X92" s="2"/>
      <c r="Y92" s="40" t="s">
        <v>145</v>
      </c>
      <c r="Z92" s="2"/>
      <c r="AA92" s="2"/>
      <c r="AB92" s="19"/>
      <c r="AC92" s="21">
        <f>IF(Tableau2[[#This Row],[PORTEUR
DE
PROJET]]="",0,IF(COUNTIF(Tableau2[[#This Row],[PORTEUR
DE
PROJET]],"CRA*")=1,Tableau2[[#This Row],[Montant participation à signature]]/2,Tableau2[[#This Row],[Montant participation à signature]]*0.3))</f>
        <v>2700000</v>
      </c>
      <c r="AD92" s="6" t="str">
        <f>IF(Tableau2[[#This Row],[Date signature ]]="","",EDATE(Tableau2[[#This Row],[Date signature ]],1))</f>
        <v/>
      </c>
      <c r="AE92" s="21">
        <f>IF(Tableau2[[#This Row],[PORTEUR
DE
PROJET]]="",0,IF(COUNTIF(Tableau2[[#This Row],[PORTEUR
DE
PROJET]],"CRA*")=1,,Tableau2[[#This Row],[Montant participation à signature]]*0.4))</f>
        <v>3600000</v>
      </c>
      <c r="AF92" s="6" t="str">
        <f>IF(Tableau2[[#This Row],[Date signature ]]="","",IF(Tableau2[[#This Row],[ACOMPTE PREVU]]=0,"",EOMONTH(EDATE(Tableau2[[#This Row],[Date signature ]],Tableau2[[#This Row],[Durée du projet]]/2),0)))</f>
        <v/>
      </c>
      <c r="AG92" s="21">
        <f>IF(Tableau2[[#This Row],[PORTEUR
DE
PROJET]]="",0,IF(COUNTIF(Tableau2[[#This Row],[PORTEUR
DE
PROJET]],"CRA*")=1,Tableau2[[#This Row],[Montant participation à signature]]/2,Tableau2[[#This Row],[Montant participation à signature]]*0.3))</f>
        <v>2700000</v>
      </c>
      <c r="AH92" s="6" t="str">
        <f>IF(Tableau2[[#This Row],[Date signature ]]="","",EOMONTH(EDATE(Tableau2[[#This Row],[Date signature ]],Tableau2[[#This Row],[Durée du projet]]),0))</f>
        <v/>
      </c>
      <c r="AI92" s="29">
        <f>IF(COUNTBLANK(Tableau2[[#This Row],[Date du mandat Avance]])=1,,Tableau2[[#This Row],[AVANCE PREVUE]])</f>
        <v>0</v>
      </c>
      <c r="AJ92" s="56"/>
      <c r="AK92" s="2"/>
      <c r="AL92" s="6"/>
      <c r="AM92" s="6"/>
      <c r="AN92" s="17">
        <f>IF(COUNTBLANK(Tableau2[[#This Row],[Date envoi ASF Acompte]])=1,,Tableau2[[#This Row],[ACOMPTE PREVU]])</f>
        <v>0</v>
      </c>
      <c r="AO92" s="17"/>
      <c r="AP92" s="2"/>
      <c r="AQ92" s="6"/>
      <c r="AR92" s="6"/>
      <c r="AS92" s="17"/>
      <c r="AT92" s="17"/>
      <c r="AU92" s="20"/>
      <c r="AV92" s="17"/>
      <c r="AW92" s="17"/>
      <c r="AX92" s="17">
        <f>IF(Tableau2[[#This Row],[Montant participation voté au CA]]="",0,Tableau2[[#This Row],[Montant participation voté au CA]]-Tableau2[[#This Row],[Montant participation à signature]])</f>
        <v>0</v>
      </c>
      <c r="AY92" s="52">
        <v>9000000</v>
      </c>
      <c r="AZ92" s="17">
        <f>Tableau2[[#This Row],[AVANCE VERSEE]]+Tableau2[[#This Row],[ACOMPTE VERSE]]+Tableau2[[#This Row],[SOLDE VERSE]]</f>
        <v>0</v>
      </c>
      <c r="BA92" s="17">
        <f>IF(Tableau2[[#This Row],[STATUT]]="Soldée",0,Tableau2[[#This Row],[Montant participation à signature]]-Tableau2[[#This Row],[Total CP payés]])</f>
        <v>9000000</v>
      </c>
      <c r="BB92" s="17">
        <f>IF(Tableau2[[#This Row],[SOLDE VERSE]]&lt;0,-Tableau2[[#This Row],[SOLDE VERSE]],0)</f>
        <v>0</v>
      </c>
      <c r="BC92" s="17">
        <f>IF(Tableau2[[#This Row],[STATUT]]="Soldée",Tableau2[[#This Row],[Montant participation à signature]]-Tableau2[[#This Row],[Total CP payés]],0)</f>
        <v>0</v>
      </c>
      <c r="BD92" s="17">
        <f>IF(Tableau2[[#This Row],[Montant participation voté au CA]]="",0,Tableau2[[#This Row],[Réfaction]]+Tableau2[[#This Row],[Montant des crédits non engagés]])</f>
        <v>0</v>
      </c>
      <c r="BF92"/>
      <c r="BJ92"/>
      <c r="BK92"/>
      <c r="BL92"/>
      <c r="BM92"/>
      <c r="BP92"/>
      <c r="BQ92"/>
      <c r="BR92"/>
      <c r="BS92"/>
      <c r="BT92"/>
      <c r="BU92"/>
      <c r="BV92"/>
      <c r="BW92"/>
      <c r="BX92"/>
      <c r="BY92"/>
      <c r="CA92"/>
      <c r="CB92"/>
    </row>
    <row r="93" spans="1:80" ht="15" customHeight="1" x14ac:dyDescent="0.25">
      <c r="A93" s="4">
        <v>92</v>
      </c>
      <c r="B93" s="36"/>
      <c r="C93" s="39">
        <v>42703</v>
      </c>
      <c r="D93" s="73" t="s">
        <v>154</v>
      </c>
      <c r="E93" s="38">
        <v>1</v>
      </c>
      <c r="F93" s="38" t="s">
        <v>52</v>
      </c>
      <c r="G93" s="96" t="s">
        <v>143</v>
      </c>
      <c r="H93" s="96" t="s">
        <v>144</v>
      </c>
      <c r="I93" s="40"/>
      <c r="J93" s="79"/>
      <c r="K93" s="72"/>
      <c r="L93" s="34"/>
      <c r="M93" s="35"/>
      <c r="N93" s="38">
        <v>12</v>
      </c>
      <c r="O93" s="37">
        <v>6</v>
      </c>
      <c r="P93" s="37">
        <f>IF(Tableau2[[#This Row],[Durée du projet]]="","-",Tableau2[[#This Row],[Durée du projet]]+Tableau2[[#This Row],[Durée suppl'' pour pièces]])</f>
        <v>18</v>
      </c>
      <c r="Q93" s="38"/>
      <c r="R93" s="61"/>
      <c r="S93" s="6" t="str">
        <f>IF(Tableau2[[#This Row],[Date signature ]]="","",EOMONTH((EDATE(Tableau2[[#This Row],[Début éligibilité dépenses]],Tableau2[[#This Row],[Durée du projet]])),-1))</f>
        <v/>
      </c>
      <c r="T93" s="6" t="str">
        <f>IF(Tableau2[[#This Row],[Fin éligibilité dépenses]]="","",EDATE(Tableau2[[#This Row],[Fin éligibilité dépenses]],-6))</f>
        <v/>
      </c>
      <c r="U93" s="6" t="str">
        <f>IF(Tableau2[[#This Row],[Début éligibilité dépenses]]="","",EOMONTH(EDATE(Tableau2[[#This Row],[Début éligibilité dépenses]],Tableau2[[#This Row],[Durée du projet]]/2),0))</f>
        <v/>
      </c>
      <c r="V93" s="59" t="str">
        <f>IF(Tableau2[[#This Row],[Date signature ]]="","",EDATE(Tableau2[[#This Row],[Date signature ]],Tableau2[[#This Row],[Durée totale conv'' ]])-1)</f>
        <v/>
      </c>
      <c r="W93" s="40" t="s">
        <v>21</v>
      </c>
      <c r="X93" s="2"/>
      <c r="Y93" s="40" t="s">
        <v>145</v>
      </c>
      <c r="Z93" s="2"/>
      <c r="AA93" s="2"/>
      <c r="AB93" s="19"/>
      <c r="AC93" s="21">
        <f>IF(Tableau2[[#This Row],[PORTEUR
DE
PROJET]]="",0,IF(COUNTIF(Tableau2[[#This Row],[PORTEUR
DE
PROJET]],"CRA*")=1,Tableau2[[#This Row],[Montant participation à signature]]/2,Tableau2[[#This Row],[Montant participation à signature]]*0.3))</f>
        <v>244200</v>
      </c>
      <c r="AD93" s="6" t="str">
        <f>IF(Tableau2[[#This Row],[Date signature ]]="","",EDATE(Tableau2[[#This Row],[Date signature ]],1))</f>
        <v/>
      </c>
      <c r="AE93" s="21">
        <f>IF(Tableau2[[#This Row],[PORTEUR
DE
PROJET]]="",0,IF(COUNTIF(Tableau2[[#This Row],[PORTEUR
DE
PROJET]],"CRA*")=1,,Tableau2[[#This Row],[Montant participation à signature]]*0.4))</f>
        <v>325600</v>
      </c>
      <c r="AF93" s="6" t="str">
        <f>IF(Tableau2[[#This Row],[Date signature ]]="","",IF(Tableau2[[#This Row],[ACOMPTE PREVU]]=0,"",EOMONTH(EDATE(Tableau2[[#This Row],[Date signature ]],Tableau2[[#This Row],[Durée du projet]]/2),0)))</f>
        <v/>
      </c>
      <c r="AG93" s="21">
        <f>IF(Tableau2[[#This Row],[PORTEUR
DE
PROJET]]="",0,IF(COUNTIF(Tableau2[[#This Row],[PORTEUR
DE
PROJET]],"CRA*")=1,Tableau2[[#This Row],[Montant participation à signature]]/2,Tableau2[[#This Row],[Montant participation à signature]]*0.3))</f>
        <v>244200</v>
      </c>
      <c r="AH93" s="6" t="str">
        <f>IF(Tableau2[[#This Row],[Date signature ]]="","",EOMONTH(EDATE(Tableau2[[#This Row],[Date signature ]],Tableau2[[#This Row],[Durée du projet]]),0))</f>
        <v/>
      </c>
      <c r="AI93" s="29">
        <f>IF(COUNTBLANK(Tableau2[[#This Row],[Date du mandat Avance]])=1,,Tableau2[[#This Row],[AVANCE PREVUE]])</f>
        <v>0</v>
      </c>
      <c r="AJ93" s="56"/>
      <c r="AK93" s="2"/>
      <c r="AL93" s="6"/>
      <c r="AM93" s="6"/>
      <c r="AN93" s="17">
        <f>IF(COUNTBLANK(Tableau2[[#This Row],[Date envoi ASF Acompte]])=1,,Tableau2[[#This Row],[ACOMPTE PREVU]])</f>
        <v>0</v>
      </c>
      <c r="AO93" s="17"/>
      <c r="AP93" s="2"/>
      <c r="AQ93" s="6"/>
      <c r="AR93" s="6"/>
      <c r="AS93" s="17"/>
      <c r="AT93" s="17"/>
      <c r="AU93" s="20"/>
      <c r="AV93" s="17"/>
      <c r="AW93" s="17"/>
      <c r="AX93" s="17">
        <f>IF(Tableau2[[#This Row],[Montant participation voté au CA]]="",0,Tableau2[[#This Row],[Montant participation voté au CA]]-Tableau2[[#This Row],[Montant participation à signature]])</f>
        <v>0</v>
      </c>
      <c r="AY93" s="52">
        <v>814000</v>
      </c>
      <c r="AZ93" s="17">
        <f>Tableau2[[#This Row],[AVANCE VERSEE]]+Tableau2[[#This Row],[ACOMPTE VERSE]]+Tableau2[[#This Row],[SOLDE VERSE]]</f>
        <v>0</v>
      </c>
      <c r="BA93" s="17">
        <f>IF(Tableau2[[#This Row],[STATUT]]="Soldée",0,Tableau2[[#This Row],[Montant participation à signature]]-Tableau2[[#This Row],[Total CP payés]])</f>
        <v>814000</v>
      </c>
      <c r="BB93" s="17">
        <f>IF(Tableau2[[#This Row],[SOLDE VERSE]]&lt;0,-Tableau2[[#This Row],[SOLDE VERSE]],0)</f>
        <v>0</v>
      </c>
      <c r="BC93" s="17">
        <f>IF(Tableau2[[#This Row],[STATUT]]="Soldée",Tableau2[[#This Row],[Montant participation à signature]]-Tableau2[[#This Row],[Total CP payés]],0)</f>
        <v>0</v>
      </c>
      <c r="BD93" s="17">
        <f>IF(Tableau2[[#This Row],[Montant participation voté au CA]]="",0,Tableau2[[#This Row],[Réfaction]]+Tableau2[[#This Row],[Montant des crédits non engagés]])</f>
        <v>0</v>
      </c>
      <c r="BF93"/>
      <c r="BJ93"/>
      <c r="BK93"/>
      <c r="BL93"/>
      <c r="BM93"/>
      <c r="BP93"/>
      <c r="BQ93"/>
      <c r="BR93"/>
      <c r="BS93"/>
      <c r="BT93"/>
      <c r="BU93"/>
      <c r="BV93"/>
      <c r="BW93"/>
      <c r="BX93"/>
      <c r="BY93"/>
      <c r="CA93"/>
      <c r="CB93"/>
    </row>
    <row r="94" spans="1:80" ht="15" customHeight="1" x14ac:dyDescent="0.25">
      <c r="A94" s="4">
        <v>93</v>
      </c>
      <c r="B94" s="36"/>
      <c r="C94" s="39">
        <v>42703</v>
      </c>
      <c r="D94" s="73" t="s">
        <v>154</v>
      </c>
      <c r="E94" s="38">
        <v>1</v>
      </c>
      <c r="F94" s="38" t="s">
        <v>56</v>
      </c>
      <c r="G94" s="96" t="s">
        <v>143</v>
      </c>
      <c r="H94" s="96" t="s">
        <v>144</v>
      </c>
      <c r="I94" s="40"/>
      <c r="J94" s="79"/>
      <c r="K94" s="72"/>
      <c r="L94" s="34"/>
      <c r="M94" s="35"/>
      <c r="N94" s="38">
        <v>36</v>
      </c>
      <c r="O94" s="37">
        <v>6</v>
      </c>
      <c r="P94" s="37">
        <f>IF(Tableau2[[#This Row],[Durée du projet]]="","-",Tableau2[[#This Row],[Durée du projet]]+Tableau2[[#This Row],[Durée suppl'' pour pièces]])</f>
        <v>42</v>
      </c>
      <c r="Q94" s="38"/>
      <c r="R94" s="61"/>
      <c r="S94" s="6" t="str">
        <f>IF(Tableau2[[#This Row],[Date signature ]]="","",EOMONTH((EDATE(Tableau2[[#This Row],[Début éligibilité dépenses]],Tableau2[[#This Row],[Durée du projet]])),-1))</f>
        <v/>
      </c>
      <c r="T94" s="6" t="str">
        <f>IF(Tableau2[[#This Row],[Fin éligibilité dépenses]]="","",EDATE(Tableau2[[#This Row],[Fin éligibilité dépenses]],-6))</f>
        <v/>
      </c>
      <c r="U94" s="6" t="str">
        <f>IF(Tableau2[[#This Row],[Début éligibilité dépenses]]="","",EOMONTH(EDATE(Tableau2[[#This Row],[Début éligibilité dépenses]],Tableau2[[#This Row],[Durée du projet]]/2),0))</f>
        <v/>
      </c>
      <c r="V94" s="59" t="str">
        <f>IF(Tableau2[[#This Row],[Date signature ]]="","",EDATE(Tableau2[[#This Row],[Date signature ]],Tableau2[[#This Row],[Durée totale conv'' ]])-1)</f>
        <v/>
      </c>
      <c r="W94" s="40" t="s">
        <v>21</v>
      </c>
      <c r="X94" s="2"/>
      <c r="Y94" s="40" t="s">
        <v>145</v>
      </c>
      <c r="Z94" s="2"/>
      <c r="AA94" s="2"/>
      <c r="AB94" s="19"/>
      <c r="AC94" s="21">
        <f>IF(Tableau2[[#This Row],[PORTEUR
DE
PROJET]]="",0,IF(COUNTIF(Tableau2[[#This Row],[PORTEUR
DE
PROJET]],"CRA*")=1,Tableau2[[#This Row],[Montant participation à signature]]/2,Tableau2[[#This Row],[Montant participation à signature]]*0.3))</f>
        <v>54000</v>
      </c>
      <c r="AD94" s="6" t="str">
        <f>IF(Tableau2[[#This Row],[Date signature ]]="","",EDATE(Tableau2[[#This Row],[Date signature ]],1))</f>
        <v/>
      </c>
      <c r="AE94" s="21">
        <f>IF(Tableau2[[#This Row],[PORTEUR
DE
PROJET]]="",0,IF(COUNTIF(Tableau2[[#This Row],[PORTEUR
DE
PROJET]],"CRA*")=1,,Tableau2[[#This Row],[Montant participation à signature]]*0.4))</f>
        <v>72000</v>
      </c>
      <c r="AF94" s="6" t="str">
        <f>IF(Tableau2[[#This Row],[Date signature ]]="","",IF(Tableau2[[#This Row],[ACOMPTE PREVU]]=0,"",EOMONTH(EDATE(Tableau2[[#This Row],[Date signature ]],Tableau2[[#This Row],[Durée du projet]]/2),0)))</f>
        <v/>
      </c>
      <c r="AG94" s="21">
        <f>IF(Tableau2[[#This Row],[PORTEUR
DE
PROJET]]="",0,IF(COUNTIF(Tableau2[[#This Row],[PORTEUR
DE
PROJET]],"CRA*")=1,Tableau2[[#This Row],[Montant participation à signature]]/2,Tableau2[[#This Row],[Montant participation à signature]]*0.3))</f>
        <v>54000</v>
      </c>
      <c r="AH94" s="6" t="str">
        <f>IF(Tableau2[[#This Row],[Date signature ]]="","",EOMONTH(EDATE(Tableau2[[#This Row],[Date signature ]],Tableau2[[#This Row],[Durée du projet]]),0))</f>
        <v/>
      </c>
      <c r="AI94" s="29">
        <f>IF(COUNTBLANK(Tableau2[[#This Row],[Date du mandat Avance]])=1,,Tableau2[[#This Row],[AVANCE PREVUE]])</f>
        <v>0</v>
      </c>
      <c r="AJ94" s="56"/>
      <c r="AK94" s="2"/>
      <c r="AL94" s="6"/>
      <c r="AM94" s="6"/>
      <c r="AN94" s="17">
        <f>IF(COUNTBLANK(Tableau2[[#This Row],[Date envoi ASF Acompte]])=1,,Tableau2[[#This Row],[ACOMPTE PREVU]])</f>
        <v>0</v>
      </c>
      <c r="AO94" s="17"/>
      <c r="AP94" s="2"/>
      <c r="AQ94" s="6"/>
      <c r="AR94" s="6"/>
      <c r="AS94" s="17"/>
      <c r="AT94" s="17"/>
      <c r="AU94" s="20"/>
      <c r="AV94" s="17"/>
      <c r="AW94" s="17"/>
      <c r="AX94" s="17">
        <f>IF(Tableau2[[#This Row],[Montant participation voté au CA]]="",0,Tableau2[[#This Row],[Montant participation voté au CA]]-Tableau2[[#This Row],[Montant participation à signature]])</f>
        <v>0</v>
      </c>
      <c r="AY94" s="52">
        <v>180000</v>
      </c>
      <c r="AZ94" s="17">
        <f>Tableau2[[#This Row],[AVANCE VERSEE]]+Tableau2[[#This Row],[ACOMPTE VERSE]]+Tableau2[[#This Row],[SOLDE VERSE]]</f>
        <v>0</v>
      </c>
      <c r="BA94" s="17">
        <f>IF(Tableau2[[#This Row],[STATUT]]="Soldée",0,Tableau2[[#This Row],[Montant participation à signature]]-Tableau2[[#This Row],[Total CP payés]])</f>
        <v>180000</v>
      </c>
      <c r="BB94" s="17">
        <f>IF(Tableau2[[#This Row],[SOLDE VERSE]]&lt;0,-Tableau2[[#This Row],[SOLDE VERSE]],0)</f>
        <v>0</v>
      </c>
      <c r="BC94" s="17">
        <f>IF(Tableau2[[#This Row],[STATUT]]="Soldée",Tableau2[[#This Row],[Montant participation à signature]]-Tableau2[[#This Row],[Total CP payés]],0)</f>
        <v>0</v>
      </c>
      <c r="BD94" s="17">
        <f>IF(Tableau2[[#This Row],[Montant participation voté au CA]]="",0,Tableau2[[#This Row],[Réfaction]]+Tableau2[[#This Row],[Montant des crédits non engagés]])</f>
        <v>0</v>
      </c>
      <c r="BF94"/>
      <c r="BJ94"/>
      <c r="BK94"/>
      <c r="BL94"/>
      <c r="BM94"/>
      <c r="BP94"/>
      <c r="BQ94"/>
      <c r="BR94"/>
      <c r="BS94"/>
      <c r="BT94"/>
      <c r="BU94"/>
      <c r="BV94"/>
      <c r="BW94"/>
      <c r="BX94"/>
      <c r="BY94"/>
      <c r="CA94"/>
      <c r="CB94"/>
    </row>
    <row r="95" spans="1:80" ht="15" customHeight="1" x14ac:dyDescent="0.25">
      <c r="A95" s="4">
        <v>97</v>
      </c>
      <c r="B95" s="36"/>
      <c r="C95" s="39">
        <v>42703</v>
      </c>
      <c r="D95" s="73" t="s">
        <v>154</v>
      </c>
      <c r="E95" s="38">
        <v>2</v>
      </c>
      <c r="F95" s="38" t="s">
        <v>70</v>
      </c>
      <c r="G95" s="96" t="s">
        <v>143</v>
      </c>
      <c r="H95" s="96" t="s">
        <v>144</v>
      </c>
      <c r="I95" s="40"/>
      <c r="J95" s="79"/>
      <c r="K95" s="72"/>
      <c r="L95" s="34"/>
      <c r="M95" s="35"/>
      <c r="N95" s="38">
        <v>12</v>
      </c>
      <c r="O95" s="37">
        <v>6</v>
      </c>
      <c r="P95" s="37">
        <f>IF(Tableau2[[#This Row],[Durée du projet]]="","-",Tableau2[[#This Row],[Durée du projet]]+Tableau2[[#This Row],[Durée suppl'' pour pièces]])</f>
        <v>18</v>
      </c>
      <c r="Q95" s="38"/>
      <c r="R95" s="61"/>
      <c r="S95" s="6" t="str">
        <f>IF(Tableau2[[#This Row],[Date signature ]]="","",EOMONTH((EDATE(Tableau2[[#This Row],[Début éligibilité dépenses]],Tableau2[[#This Row],[Durée du projet]])),-1))</f>
        <v/>
      </c>
      <c r="T95" s="6" t="str">
        <f>IF(Tableau2[[#This Row],[Fin éligibilité dépenses]]="","",EDATE(Tableau2[[#This Row],[Fin éligibilité dépenses]],-6))</f>
        <v/>
      </c>
      <c r="U95" s="6" t="str">
        <f>IF(Tableau2[[#This Row],[Début éligibilité dépenses]]="","",EOMONTH(EDATE(Tableau2[[#This Row],[Début éligibilité dépenses]],Tableau2[[#This Row],[Durée du projet]]/2),0))</f>
        <v/>
      </c>
      <c r="V95" s="59" t="str">
        <f>IF(Tableau2[[#This Row],[Date signature ]]="","",EDATE(Tableau2[[#This Row],[Date signature ]],Tableau2[[#This Row],[Durée totale conv'' ]])-1)</f>
        <v/>
      </c>
      <c r="W95" s="40" t="s">
        <v>21</v>
      </c>
      <c r="X95" s="2"/>
      <c r="Y95" s="40" t="s">
        <v>145</v>
      </c>
      <c r="Z95" s="2"/>
      <c r="AA95" s="2"/>
      <c r="AB95" s="19"/>
      <c r="AC95" s="21">
        <f>IF(Tableau2[[#This Row],[PORTEUR
DE
PROJET]]="",0,IF(COUNTIF(Tableau2[[#This Row],[PORTEUR
DE
PROJET]],"CRA*")=1,Tableau2[[#This Row],[Montant participation à signature]]/2,Tableau2[[#This Row],[Montant participation à signature]]*0.3))</f>
        <v>18000</v>
      </c>
      <c r="AD95" s="6" t="str">
        <f>IF(Tableau2[[#This Row],[Date signature ]]="","",EDATE(Tableau2[[#This Row],[Date signature ]],1))</f>
        <v/>
      </c>
      <c r="AE95" s="21">
        <f>IF(Tableau2[[#This Row],[PORTEUR
DE
PROJET]]="",0,IF(COUNTIF(Tableau2[[#This Row],[PORTEUR
DE
PROJET]],"CRA*")=1,,Tableau2[[#This Row],[Montant participation à signature]]*0.4))</f>
        <v>24000</v>
      </c>
      <c r="AF95" s="6" t="str">
        <f>IF(Tableau2[[#This Row],[Date signature ]]="","",IF(Tableau2[[#This Row],[ACOMPTE PREVU]]=0,"",EOMONTH(EDATE(Tableau2[[#This Row],[Date signature ]],Tableau2[[#This Row],[Durée du projet]]/2),0)))</f>
        <v/>
      </c>
      <c r="AG95" s="21">
        <f>IF(Tableau2[[#This Row],[PORTEUR
DE
PROJET]]="",0,IF(COUNTIF(Tableau2[[#This Row],[PORTEUR
DE
PROJET]],"CRA*")=1,Tableau2[[#This Row],[Montant participation à signature]]/2,Tableau2[[#This Row],[Montant participation à signature]]*0.3))</f>
        <v>18000</v>
      </c>
      <c r="AH95" s="6" t="str">
        <f>IF(Tableau2[[#This Row],[Date signature ]]="","",EOMONTH(EDATE(Tableau2[[#This Row],[Date signature ]],Tableau2[[#This Row],[Durée du projet]]),0))</f>
        <v/>
      </c>
      <c r="AI95" s="29">
        <f>IF(COUNTBLANK(Tableau2[[#This Row],[Date du mandat Avance]])=1,,Tableau2[[#This Row],[AVANCE PREVUE]])</f>
        <v>0</v>
      </c>
      <c r="AJ95" s="56"/>
      <c r="AK95" s="2"/>
      <c r="AL95" s="6"/>
      <c r="AM95" s="6"/>
      <c r="AN95" s="17">
        <f>IF(COUNTBLANK(Tableau2[[#This Row],[Date envoi ASF Acompte]])=1,,Tableau2[[#This Row],[ACOMPTE PREVU]])</f>
        <v>0</v>
      </c>
      <c r="AO95" s="17"/>
      <c r="AP95" s="2"/>
      <c r="AQ95" s="6"/>
      <c r="AR95" s="6"/>
      <c r="AS95" s="17"/>
      <c r="AT95" s="17"/>
      <c r="AU95" s="20"/>
      <c r="AV95" s="17"/>
      <c r="AW95" s="17"/>
      <c r="AX95" s="17">
        <f>IF(Tableau2[[#This Row],[Montant participation voté au CA]]="",0,Tableau2[[#This Row],[Montant participation voté au CA]]-Tableau2[[#This Row],[Montant participation à signature]])</f>
        <v>0</v>
      </c>
      <c r="AY95" s="52">
        <v>60000</v>
      </c>
      <c r="AZ95" s="17">
        <f>Tableau2[[#This Row],[AVANCE VERSEE]]+Tableau2[[#This Row],[ACOMPTE VERSE]]+Tableau2[[#This Row],[SOLDE VERSE]]</f>
        <v>0</v>
      </c>
      <c r="BA95" s="17">
        <f>IF(Tableau2[[#This Row],[STATUT]]="Soldée",0,Tableau2[[#This Row],[Montant participation à signature]]-Tableau2[[#This Row],[Total CP payés]])</f>
        <v>60000</v>
      </c>
      <c r="BB95" s="17">
        <f>IF(Tableau2[[#This Row],[SOLDE VERSE]]&lt;0,-Tableau2[[#This Row],[SOLDE VERSE]],0)</f>
        <v>0</v>
      </c>
      <c r="BC95" s="17">
        <f>IF(Tableau2[[#This Row],[STATUT]]="Soldée",Tableau2[[#This Row],[Montant participation à signature]]-Tableau2[[#This Row],[Total CP payés]],0)</f>
        <v>0</v>
      </c>
      <c r="BD95" s="17">
        <f>IF(Tableau2[[#This Row],[Montant participation voté au CA]]="",0,Tableau2[[#This Row],[Réfaction]]+Tableau2[[#This Row],[Montant des crédits non engagés]])</f>
        <v>0</v>
      </c>
      <c r="BF95"/>
      <c r="BJ95"/>
      <c r="BK95"/>
      <c r="BL95"/>
      <c r="BM95"/>
      <c r="BP95"/>
      <c r="BQ95"/>
      <c r="BR95"/>
      <c r="BS95"/>
      <c r="BT95"/>
      <c r="BU95"/>
      <c r="BV95"/>
      <c r="BW95"/>
      <c r="BX95"/>
      <c r="BY95"/>
      <c r="CA95"/>
      <c r="CB95"/>
    </row>
    <row r="96" spans="1:80" ht="15" customHeight="1" x14ac:dyDescent="0.25">
      <c r="A96" s="4">
        <v>98</v>
      </c>
      <c r="B96" s="36"/>
      <c r="C96" s="39">
        <v>42703</v>
      </c>
      <c r="D96" s="73" t="s">
        <v>154</v>
      </c>
      <c r="E96" s="38">
        <v>2</v>
      </c>
      <c r="F96" s="38" t="s">
        <v>70</v>
      </c>
      <c r="G96" s="96" t="s">
        <v>143</v>
      </c>
      <c r="H96" s="96" t="s">
        <v>144</v>
      </c>
      <c r="I96" s="40"/>
      <c r="J96" s="79"/>
      <c r="K96" s="72"/>
      <c r="L96" s="34"/>
      <c r="M96" s="35"/>
      <c r="N96" s="38">
        <v>12</v>
      </c>
      <c r="O96" s="37">
        <v>6</v>
      </c>
      <c r="P96" s="37">
        <f>IF(Tableau2[[#This Row],[Durée du projet]]="","-",Tableau2[[#This Row],[Durée du projet]]+Tableau2[[#This Row],[Durée suppl'' pour pièces]])</f>
        <v>18</v>
      </c>
      <c r="Q96" s="38"/>
      <c r="R96" s="61"/>
      <c r="S96" s="6" t="str">
        <f>IF(Tableau2[[#This Row],[Date signature ]]="","",EOMONTH((EDATE(Tableau2[[#This Row],[Début éligibilité dépenses]],Tableau2[[#This Row],[Durée du projet]])),-1))</f>
        <v/>
      </c>
      <c r="T96" s="6" t="str">
        <f>IF(Tableau2[[#This Row],[Fin éligibilité dépenses]]="","",EDATE(Tableau2[[#This Row],[Fin éligibilité dépenses]],-6))</f>
        <v/>
      </c>
      <c r="U96" s="6" t="str">
        <f>IF(Tableau2[[#This Row],[Début éligibilité dépenses]]="","",EOMONTH(EDATE(Tableau2[[#This Row],[Début éligibilité dépenses]],Tableau2[[#This Row],[Durée du projet]]/2),0))</f>
        <v/>
      </c>
      <c r="V96" s="59" t="str">
        <f>IF(Tableau2[[#This Row],[Date signature ]]="","",EDATE(Tableau2[[#This Row],[Date signature ]],Tableau2[[#This Row],[Durée totale conv'' ]])-1)</f>
        <v/>
      </c>
      <c r="W96" s="40" t="s">
        <v>21</v>
      </c>
      <c r="X96" s="2"/>
      <c r="Y96" s="40" t="s">
        <v>145</v>
      </c>
      <c r="Z96" s="2"/>
      <c r="AA96" s="2"/>
      <c r="AB96" s="19"/>
      <c r="AC96" s="21">
        <f>IF(Tableau2[[#This Row],[PORTEUR
DE
PROJET]]="",0,IF(COUNTIF(Tableau2[[#This Row],[PORTEUR
DE
PROJET]],"CRA*")=1,Tableau2[[#This Row],[Montant participation à signature]]/2,Tableau2[[#This Row],[Montant participation à signature]]*0.3))</f>
        <v>59841.599999999999</v>
      </c>
      <c r="AD96" s="6" t="str">
        <f>IF(Tableau2[[#This Row],[Date signature ]]="","",EDATE(Tableau2[[#This Row],[Date signature ]],1))</f>
        <v/>
      </c>
      <c r="AE96" s="21">
        <f>IF(Tableau2[[#This Row],[PORTEUR
DE
PROJET]]="",0,IF(COUNTIF(Tableau2[[#This Row],[PORTEUR
DE
PROJET]],"CRA*")=1,,Tableau2[[#This Row],[Montant participation à signature]]*0.4))</f>
        <v>79788.800000000003</v>
      </c>
      <c r="AF96" s="6" t="str">
        <f>IF(Tableau2[[#This Row],[Date signature ]]="","",IF(Tableau2[[#This Row],[ACOMPTE PREVU]]=0,"",EOMONTH(EDATE(Tableau2[[#This Row],[Date signature ]],Tableau2[[#This Row],[Durée du projet]]/2),0)))</f>
        <v/>
      </c>
      <c r="AG96" s="21">
        <f>IF(Tableau2[[#This Row],[PORTEUR
DE
PROJET]]="",0,IF(COUNTIF(Tableau2[[#This Row],[PORTEUR
DE
PROJET]],"CRA*")=1,Tableau2[[#This Row],[Montant participation à signature]]/2,Tableau2[[#This Row],[Montant participation à signature]]*0.3))</f>
        <v>59841.599999999999</v>
      </c>
      <c r="AH96" s="6" t="str">
        <f>IF(Tableau2[[#This Row],[Date signature ]]="","",EOMONTH(EDATE(Tableau2[[#This Row],[Date signature ]],Tableau2[[#This Row],[Durée du projet]]),0))</f>
        <v/>
      </c>
      <c r="AI96" s="29">
        <f>IF(COUNTBLANK(Tableau2[[#This Row],[Date du mandat Avance]])=1,,Tableau2[[#This Row],[AVANCE PREVUE]])</f>
        <v>0</v>
      </c>
      <c r="AJ96" s="56"/>
      <c r="AK96" s="2"/>
      <c r="AL96" s="6"/>
      <c r="AM96" s="6"/>
      <c r="AN96" s="17">
        <f>IF(COUNTBLANK(Tableau2[[#This Row],[Date envoi ASF Acompte]])=1,,Tableau2[[#This Row],[ACOMPTE PREVU]])</f>
        <v>0</v>
      </c>
      <c r="AO96" s="17"/>
      <c r="AP96" s="2"/>
      <c r="AQ96" s="6"/>
      <c r="AR96" s="6"/>
      <c r="AS96" s="17"/>
      <c r="AT96" s="17"/>
      <c r="AU96" s="20"/>
      <c r="AV96" s="17"/>
      <c r="AW96" s="17"/>
      <c r="AX96" s="17">
        <f>IF(Tableau2[[#This Row],[Montant participation voté au CA]]="",0,Tableau2[[#This Row],[Montant participation voté au CA]]-Tableau2[[#This Row],[Montant participation à signature]])</f>
        <v>0</v>
      </c>
      <c r="AY96" s="52">
        <v>199472</v>
      </c>
      <c r="AZ96" s="17">
        <f>Tableau2[[#This Row],[AVANCE VERSEE]]+Tableau2[[#This Row],[ACOMPTE VERSE]]+Tableau2[[#This Row],[SOLDE VERSE]]</f>
        <v>0</v>
      </c>
      <c r="BA96" s="17">
        <f>IF(Tableau2[[#This Row],[STATUT]]="Soldée",0,Tableau2[[#This Row],[Montant participation à signature]]-Tableau2[[#This Row],[Total CP payés]])</f>
        <v>199472</v>
      </c>
      <c r="BB96" s="17">
        <f>IF(Tableau2[[#This Row],[SOLDE VERSE]]&lt;0,-Tableau2[[#This Row],[SOLDE VERSE]],0)</f>
        <v>0</v>
      </c>
      <c r="BC96" s="17">
        <f>IF(Tableau2[[#This Row],[STATUT]]="Soldée",Tableau2[[#This Row],[Montant participation à signature]]-Tableau2[[#This Row],[Total CP payés]],0)</f>
        <v>0</v>
      </c>
      <c r="BD96" s="17">
        <f>IF(Tableau2[[#This Row],[Montant participation voté au CA]]="",0,Tableau2[[#This Row],[Réfaction]]+Tableau2[[#This Row],[Montant des crédits non engagés]])</f>
        <v>0</v>
      </c>
      <c r="BF96"/>
      <c r="BJ96"/>
      <c r="BK96"/>
      <c r="BL96"/>
      <c r="BM96"/>
      <c r="BP96"/>
      <c r="BQ96"/>
      <c r="BR96"/>
      <c r="BS96"/>
      <c r="BT96"/>
      <c r="BU96"/>
      <c r="BV96"/>
      <c r="BW96"/>
      <c r="BX96"/>
      <c r="BY96"/>
      <c r="CA96"/>
      <c r="CB96"/>
    </row>
    <row r="97" spans="1:80" ht="15" customHeight="1" x14ac:dyDescent="0.25">
      <c r="A97" s="4">
        <v>99</v>
      </c>
      <c r="B97" s="36"/>
      <c r="C97" s="39">
        <v>42703</v>
      </c>
      <c r="D97" s="73" t="s">
        <v>154</v>
      </c>
      <c r="E97" s="38">
        <v>2</v>
      </c>
      <c r="F97" s="38" t="s">
        <v>70</v>
      </c>
      <c r="G97" s="96" t="s">
        <v>143</v>
      </c>
      <c r="H97" s="96" t="s">
        <v>144</v>
      </c>
      <c r="I97" s="40"/>
      <c r="J97" s="79"/>
      <c r="K97" s="72"/>
      <c r="L97" s="34"/>
      <c r="M97" s="35"/>
      <c r="N97" s="38">
        <v>36</v>
      </c>
      <c r="O97" s="37">
        <v>6</v>
      </c>
      <c r="P97" s="37">
        <f>IF(Tableau2[[#This Row],[Durée du projet]]="","-",Tableau2[[#This Row],[Durée du projet]]+Tableau2[[#This Row],[Durée suppl'' pour pièces]])</f>
        <v>42</v>
      </c>
      <c r="Q97" s="38"/>
      <c r="R97" s="61"/>
      <c r="S97" s="6" t="str">
        <f>IF(Tableau2[[#This Row],[Date signature ]]="","",EOMONTH((EDATE(Tableau2[[#This Row],[Début éligibilité dépenses]],Tableau2[[#This Row],[Durée du projet]])),-1))</f>
        <v/>
      </c>
      <c r="T97" s="6" t="str">
        <f>IF(Tableau2[[#This Row],[Fin éligibilité dépenses]]="","",EDATE(Tableau2[[#This Row],[Fin éligibilité dépenses]],-6))</f>
        <v/>
      </c>
      <c r="U97" s="6" t="str">
        <f>IF(Tableau2[[#This Row],[Début éligibilité dépenses]]="","",EOMONTH(EDATE(Tableau2[[#This Row],[Début éligibilité dépenses]],Tableau2[[#This Row],[Durée du projet]]/2),0))</f>
        <v/>
      </c>
      <c r="V97" s="59" t="str">
        <f>IF(Tableau2[[#This Row],[Date signature ]]="","",EDATE(Tableau2[[#This Row],[Date signature ]],Tableau2[[#This Row],[Durée totale conv'' ]])-1)</f>
        <v/>
      </c>
      <c r="W97" s="40" t="s">
        <v>21</v>
      </c>
      <c r="X97" s="2"/>
      <c r="Y97" s="40" t="s">
        <v>145</v>
      </c>
      <c r="Z97" s="2"/>
      <c r="AA97" s="2"/>
      <c r="AB97" s="19"/>
      <c r="AC97" s="21">
        <f>IF(Tableau2[[#This Row],[PORTEUR
DE
PROJET]]="",0,IF(COUNTIF(Tableau2[[#This Row],[PORTEUR
DE
PROJET]],"CRA*")=1,Tableau2[[#This Row],[Montant participation à signature]]/2,Tableau2[[#This Row],[Montant participation à signature]]*0.3))</f>
        <v>36253.199999999997</v>
      </c>
      <c r="AD97" s="6" t="str">
        <f>IF(Tableau2[[#This Row],[Date signature ]]="","",EDATE(Tableau2[[#This Row],[Date signature ]],1))</f>
        <v/>
      </c>
      <c r="AE97" s="21">
        <f>IF(Tableau2[[#This Row],[PORTEUR
DE
PROJET]]="",0,IF(COUNTIF(Tableau2[[#This Row],[PORTEUR
DE
PROJET]],"CRA*")=1,,Tableau2[[#This Row],[Montant participation à signature]]*0.4))</f>
        <v>48337.600000000006</v>
      </c>
      <c r="AF97" s="6" t="str">
        <f>IF(Tableau2[[#This Row],[Date signature ]]="","",IF(Tableau2[[#This Row],[ACOMPTE PREVU]]=0,"",EOMONTH(EDATE(Tableau2[[#This Row],[Date signature ]],Tableau2[[#This Row],[Durée du projet]]/2),0)))</f>
        <v/>
      </c>
      <c r="AG97" s="21">
        <f>IF(Tableau2[[#This Row],[PORTEUR
DE
PROJET]]="",0,IF(COUNTIF(Tableau2[[#This Row],[PORTEUR
DE
PROJET]],"CRA*")=1,Tableau2[[#This Row],[Montant participation à signature]]/2,Tableau2[[#This Row],[Montant participation à signature]]*0.3))</f>
        <v>36253.199999999997</v>
      </c>
      <c r="AH97" s="6" t="str">
        <f>IF(Tableau2[[#This Row],[Date signature ]]="","",EOMONTH(EDATE(Tableau2[[#This Row],[Date signature ]],Tableau2[[#This Row],[Durée du projet]]),0))</f>
        <v/>
      </c>
      <c r="AI97" s="29">
        <f>IF(COUNTBLANK(Tableau2[[#This Row],[Date du mandat Avance]])=1,,Tableau2[[#This Row],[AVANCE PREVUE]])</f>
        <v>0</v>
      </c>
      <c r="AJ97" s="56"/>
      <c r="AK97" s="2"/>
      <c r="AL97" s="6"/>
      <c r="AM97" s="6"/>
      <c r="AN97" s="17">
        <f>IF(COUNTBLANK(Tableau2[[#This Row],[Date envoi ASF Acompte]])=1,,Tableau2[[#This Row],[ACOMPTE PREVU]])</f>
        <v>0</v>
      </c>
      <c r="AO97" s="17"/>
      <c r="AP97" s="2"/>
      <c r="AQ97" s="6"/>
      <c r="AR97" s="6"/>
      <c r="AS97" s="17"/>
      <c r="AT97" s="17"/>
      <c r="AU97" s="20"/>
      <c r="AV97" s="17"/>
      <c r="AW97" s="17"/>
      <c r="AX97" s="17">
        <f>IF(Tableau2[[#This Row],[Montant participation voté au CA]]="",0,Tableau2[[#This Row],[Montant participation voté au CA]]-Tableau2[[#This Row],[Montant participation à signature]])</f>
        <v>0</v>
      </c>
      <c r="AY97" s="52">
        <v>120844</v>
      </c>
      <c r="AZ97" s="17">
        <f>Tableau2[[#This Row],[AVANCE VERSEE]]+Tableau2[[#This Row],[ACOMPTE VERSE]]+Tableau2[[#This Row],[SOLDE VERSE]]</f>
        <v>0</v>
      </c>
      <c r="BA97" s="17">
        <f>IF(Tableau2[[#This Row],[STATUT]]="Soldée",0,Tableau2[[#This Row],[Montant participation à signature]]-Tableau2[[#This Row],[Total CP payés]])</f>
        <v>120844</v>
      </c>
      <c r="BB97" s="17">
        <f>IF(Tableau2[[#This Row],[SOLDE VERSE]]&lt;0,-Tableau2[[#This Row],[SOLDE VERSE]],0)</f>
        <v>0</v>
      </c>
      <c r="BC97" s="17">
        <f>IF(Tableau2[[#This Row],[STATUT]]="Soldée",Tableau2[[#This Row],[Montant participation à signature]]-Tableau2[[#This Row],[Total CP payés]],0)</f>
        <v>0</v>
      </c>
      <c r="BD97" s="17">
        <f>IF(Tableau2[[#This Row],[Montant participation voté au CA]]="",0,Tableau2[[#This Row],[Réfaction]]+Tableau2[[#This Row],[Montant des crédits non engagés]])</f>
        <v>0</v>
      </c>
      <c r="BF97"/>
      <c r="BJ97"/>
      <c r="BK97"/>
      <c r="BL97"/>
      <c r="BM97"/>
      <c r="BP97"/>
      <c r="BQ97"/>
      <c r="BR97"/>
      <c r="BS97"/>
      <c r="BT97"/>
      <c r="BU97"/>
      <c r="BV97"/>
      <c r="BW97"/>
      <c r="BX97"/>
      <c r="BY97"/>
      <c r="CA97"/>
      <c r="CB97"/>
    </row>
    <row r="98" spans="1:80" ht="15" customHeight="1" x14ac:dyDescent="0.25">
      <c r="A98" s="4">
        <v>100</v>
      </c>
      <c r="B98" s="36"/>
      <c r="C98" s="39">
        <v>42703</v>
      </c>
      <c r="D98" s="73" t="s">
        <v>154</v>
      </c>
      <c r="E98" s="38">
        <v>2</v>
      </c>
      <c r="F98" s="38" t="s">
        <v>70</v>
      </c>
      <c r="G98" s="96" t="s">
        <v>143</v>
      </c>
      <c r="H98" s="96" t="s">
        <v>144</v>
      </c>
      <c r="I98" s="40"/>
      <c r="J98" s="79"/>
      <c r="K98" s="72"/>
      <c r="L98" s="34"/>
      <c r="M98" s="35"/>
      <c r="N98" s="38">
        <v>10</v>
      </c>
      <c r="O98" s="37">
        <v>6</v>
      </c>
      <c r="P98" s="37">
        <f>IF(Tableau2[[#This Row],[Durée du projet]]="","-",Tableau2[[#This Row],[Durée du projet]]+Tableau2[[#This Row],[Durée suppl'' pour pièces]])</f>
        <v>16</v>
      </c>
      <c r="Q98" s="38"/>
      <c r="R98" s="61"/>
      <c r="S98" s="6" t="str">
        <f>IF(Tableau2[[#This Row],[Date signature ]]="","",EOMONTH((EDATE(Tableau2[[#This Row],[Début éligibilité dépenses]],Tableau2[[#This Row],[Durée du projet]])),-1))</f>
        <v/>
      </c>
      <c r="T98" s="6" t="str">
        <f>IF(Tableau2[[#This Row],[Fin éligibilité dépenses]]="","",EDATE(Tableau2[[#This Row],[Fin éligibilité dépenses]],-6))</f>
        <v/>
      </c>
      <c r="U98" s="6" t="str">
        <f>IF(Tableau2[[#This Row],[Début éligibilité dépenses]]="","",EOMONTH(EDATE(Tableau2[[#This Row],[Début éligibilité dépenses]],Tableau2[[#This Row],[Durée du projet]]/2),0))</f>
        <v/>
      </c>
      <c r="V98" s="59" t="str">
        <f>IF(Tableau2[[#This Row],[Date signature ]]="","",EDATE(Tableau2[[#This Row],[Date signature ]],Tableau2[[#This Row],[Durée totale conv'' ]])-1)</f>
        <v/>
      </c>
      <c r="W98" s="40" t="s">
        <v>21</v>
      </c>
      <c r="X98" s="2"/>
      <c r="Y98" s="40" t="s">
        <v>145</v>
      </c>
      <c r="Z98" s="2"/>
      <c r="AA98" s="2"/>
      <c r="AB98" s="19"/>
      <c r="AC98" s="21">
        <f>IF(Tableau2[[#This Row],[PORTEUR
DE
PROJET]]="",0,IF(COUNTIF(Tableau2[[#This Row],[PORTEUR
DE
PROJET]],"CRA*")=1,Tableau2[[#This Row],[Montant participation à signature]]/2,Tableau2[[#This Row],[Montant participation à signature]]*0.3))</f>
        <v>140578.65</v>
      </c>
      <c r="AD98" s="6" t="str">
        <f>IF(Tableau2[[#This Row],[Date signature ]]="","",EDATE(Tableau2[[#This Row],[Date signature ]],1))</f>
        <v/>
      </c>
      <c r="AE98" s="21">
        <f>IF(Tableau2[[#This Row],[PORTEUR
DE
PROJET]]="",0,IF(COUNTIF(Tableau2[[#This Row],[PORTEUR
DE
PROJET]],"CRA*")=1,,Tableau2[[#This Row],[Montant participation à signature]]*0.4))</f>
        <v>187438.2</v>
      </c>
      <c r="AF98" s="6" t="str">
        <f>IF(Tableau2[[#This Row],[Date signature ]]="","",IF(Tableau2[[#This Row],[ACOMPTE PREVU]]=0,"",EOMONTH(EDATE(Tableau2[[#This Row],[Date signature ]],Tableau2[[#This Row],[Durée du projet]]/2),0)))</f>
        <v/>
      </c>
      <c r="AG98" s="21">
        <f>IF(Tableau2[[#This Row],[PORTEUR
DE
PROJET]]="",0,IF(COUNTIF(Tableau2[[#This Row],[PORTEUR
DE
PROJET]],"CRA*")=1,Tableau2[[#This Row],[Montant participation à signature]]/2,Tableau2[[#This Row],[Montant participation à signature]]*0.3))</f>
        <v>140578.65</v>
      </c>
      <c r="AH98" s="6" t="str">
        <f>IF(Tableau2[[#This Row],[Date signature ]]="","",EOMONTH(EDATE(Tableau2[[#This Row],[Date signature ]],Tableau2[[#This Row],[Durée du projet]]),0))</f>
        <v/>
      </c>
      <c r="AI98" s="29">
        <f>IF(COUNTBLANK(Tableau2[[#This Row],[Date du mandat Avance]])=1,,Tableau2[[#This Row],[AVANCE PREVUE]])</f>
        <v>0</v>
      </c>
      <c r="AJ98" s="56"/>
      <c r="AK98" s="2"/>
      <c r="AL98" s="6"/>
      <c r="AM98" s="6"/>
      <c r="AN98" s="17">
        <f>IF(COUNTBLANK(Tableau2[[#This Row],[Date envoi ASF Acompte]])=1,,Tableau2[[#This Row],[ACOMPTE PREVU]])</f>
        <v>0</v>
      </c>
      <c r="AO98" s="17"/>
      <c r="AP98" s="2"/>
      <c r="AQ98" s="6"/>
      <c r="AR98" s="6"/>
      <c r="AS98" s="17"/>
      <c r="AT98" s="17"/>
      <c r="AU98" s="20"/>
      <c r="AV98" s="17"/>
      <c r="AW98" s="17"/>
      <c r="AX98" s="17">
        <f>IF(Tableau2[[#This Row],[Montant participation voté au CA]]="",0,Tableau2[[#This Row],[Montant participation voté au CA]]-Tableau2[[#This Row],[Montant participation à signature]])</f>
        <v>0</v>
      </c>
      <c r="AY98" s="52">
        <v>468595.5</v>
      </c>
      <c r="AZ98" s="17">
        <f>Tableau2[[#This Row],[AVANCE VERSEE]]+Tableau2[[#This Row],[ACOMPTE VERSE]]+Tableau2[[#This Row],[SOLDE VERSE]]</f>
        <v>0</v>
      </c>
      <c r="BA98" s="17">
        <f>IF(Tableau2[[#This Row],[STATUT]]="Soldée",0,Tableau2[[#This Row],[Montant participation à signature]]-Tableau2[[#This Row],[Total CP payés]])</f>
        <v>468595.5</v>
      </c>
      <c r="BB98" s="17">
        <f>IF(Tableau2[[#This Row],[SOLDE VERSE]]&lt;0,-Tableau2[[#This Row],[SOLDE VERSE]],0)</f>
        <v>0</v>
      </c>
      <c r="BC98" s="17">
        <f>IF(Tableau2[[#This Row],[STATUT]]="Soldée",Tableau2[[#This Row],[Montant participation à signature]]-Tableau2[[#This Row],[Total CP payés]],0)</f>
        <v>0</v>
      </c>
      <c r="BD98" s="17">
        <f>IF(Tableau2[[#This Row],[Montant participation voté au CA]]="",0,Tableau2[[#This Row],[Réfaction]]+Tableau2[[#This Row],[Montant des crédits non engagés]])</f>
        <v>0</v>
      </c>
      <c r="BF98"/>
      <c r="BJ98"/>
      <c r="BK98"/>
      <c r="BL98"/>
      <c r="BM98"/>
      <c r="BP98"/>
      <c r="BQ98"/>
      <c r="BR98"/>
      <c r="BS98"/>
      <c r="BT98"/>
      <c r="BU98"/>
      <c r="BV98"/>
      <c r="BW98"/>
      <c r="BX98"/>
      <c r="BY98"/>
      <c r="CA98"/>
      <c r="CB98"/>
    </row>
    <row r="99" spans="1:80" ht="15" customHeight="1" x14ac:dyDescent="0.25">
      <c r="A99" s="4">
        <v>101</v>
      </c>
      <c r="B99" s="36"/>
      <c r="C99" s="39">
        <v>42703</v>
      </c>
      <c r="D99" s="73" t="s">
        <v>154</v>
      </c>
      <c r="E99" s="38">
        <v>2</v>
      </c>
      <c r="F99" s="38" t="s">
        <v>70</v>
      </c>
      <c r="G99" s="96" t="s">
        <v>143</v>
      </c>
      <c r="H99" s="96" t="s">
        <v>144</v>
      </c>
      <c r="I99" s="40"/>
      <c r="J99" s="79"/>
      <c r="K99" s="72"/>
      <c r="L99" s="34"/>
      <c r="M99" s="35"/>
      <c r="N99" s="38">
        <v>36</v>
      </c>
      <c r="O99" s="37">
        <v>6</v>
      </c>
      <c r="P99" s="37">
        <f>IF(Tableau2[[#This Row],[Durée du projet]]="","-",Tableau2[[#This Row],[Durée du projet]]+Tableau2[[#This Row],[Durée suppl'' pour pièces]])</f>
        <v>42</v>
      </c>
      <c r="Q99" s="38"/>
      <c r="R99" s="61"/>
      <c r="S99" s="6" t="str">
        <f>IF(Tableau2[[#This Row],[Date signature ]]="","",EOMONTH((EDATE(Tableau2[[#This Row],[Début éligibilité dépenses]],Tableau2[[#This Row],[Durée du projet]])),-1))</f>
        <v/>
      </c>
      <c r="T99" s="6" t="str">
        <f>IF(Tableau2[[#This Row],[Fin éligibilité dépenses]]="","",EDATE(Tableau2[[#This Row],[Fin éligibilité dépenses]],-6))</f>
        <v/>
      </c>
      <c r="U99" s="6" t="str">
        <f>IF(Tableau2[[#This Row],[Début éligibilité dépenses]]="","",EOMONTH(EDATE(Tableau2[[#This Row],[Début éligibilité dépenses]],Tableau2[[#This Row],[Durée du projet]]/2),0))</f>
        <v/>
      </c>
      <c r="V99" s="59" t="str">
        <f>IF(Tableau2[[#This Row],[Date signature ]]="","",EDATE(Tableau2[[#This Row],[Date signature ]],Tableau2[[#This Row],[Durée totale conv'' ]])-1)</f>
        <v/>
      </c>
      <c r="W99" s="40" t="s">
        <v>21</v>
      </c>
      <c r="X99" s="2"/>
      <c r="Y99" s="40" t="s">
        <v>145</v>
      </c>
      <c r="Z99" s="2"/>
      <c r="AA99" s="2"/>
      <c r="AB99" s="19"/>
      <c r="AC99" s="21">
        <f>IF(Tableau2[[#This Row],[PORTEUR
DE
PROJET]]="",0,IF(COUNTIF(Tableau2[[#This Row],[PORTEUR
DE
PROJET]],"CRA*")=1,Tableau2[[#This Row],[Montant participation à signature]]/2,Tableau2[[#This Row],[Montant participation à signature]]*0.3))</f>
        <v>146860.65</v>
      </c>
      <c r="AD99" s="6" t="str">
        <f>IF(Tableau2[[#This Row],[Date signature ]]="","",EDATE(Tableau2[[#This Row],[Date signature ]],1))</f>
        <v/>
      </c>
      <c r="AE99" s="21">
        <f>IF(Tableau2[[#This Row],[PORTEUR
DE
PROJET]]="",0,IF(COUNTIF(Tableau2[[#This Row],[PORTEUR
DE
PROJET]],"CRA*")=1,,Tableau2[[#This Row],[Montant participation à signature]]*0.4))</f>
        <v>195814.2</v>
      </c>
      <c r="AF99" s="6" t="str">
        <f>IF(Tableau2[[#This Row],[Date signature ]]="","",IF(Tableau2[[#This Row],[ACOMPTE PREVU]]=0,"",EOMONTH(EDATE(Tableau2[[#This Row],[Date signature ]],Tableau2[[#This Row],[Durée du projet]]/2),0)))</f>
        <v/>
      </c>
      <c r="AG99" s="21">
        <f>IF(Tableau2[[#This Row],[PORTEUR
DE
PROJET]]="",0,IF(COUNTIF(Tableau2[[#This Row],[PORTEUR
DE
PROJET]],"CRA*")=1,Tableau2[[#This Row],[Montant participation à signature]]/2,Tableau2[[#This Row],[Montant participation à signature]]*0.3))</f>
        <v>146860.65</v>
      </c>
      <c r="AH99" s="6" t="str">
        <f>IF(Tableau2[[#This Row],[Date signature ]]="","",EOMONTH(EDATE(Tableau2[[#This Row],[Date signature ]],Tableau2[[#This Row],[Durée du projet]]),0))</f>
        <v/>
      </c>
      <c r="AI99" s="29">
        <f>IF(COUNTBLANK(Tableau2[[#This Row],[Date du mandat Avance]])=1,,Tableau2[[#This Row],[AVANCE PREVUE]])</f>
        <v>0</v>
      </c>
      <c r="AJ99" s="56"/>
      <c r="AK99" s="2"/>
      <c r="AL99" s="6"/>
      <c r="AM99" s="6"/>
      <c r="AN99" s="17">
        <f>IF(COUNTBLANK(Tableau2[[#This Row],[Date envoi ASF Acompte]])=1,,Tableau2[[#This Row],[ACOMPTE PREVU]])</f>
        <v>0</v>
      </c>
      <c r="AO99" s="17"/>
      <c r="AP99" s="2"/>
      <c r="AQ99" s="6"/>
      <c r="AR99" s="6"/>
      <c r="AS99" s="17"/>
      <c r="AT99" s="17"/>
      <c r="AU99" s="20"/>
      <c r="AV99" s="17"/>
      <c r="AW99" s="17"/>
      <c r="AX99" s="17">
        <f>IF(Tableau2[[#This Row],[Montant participation voté au CA]]="",0,Tableau2[[#This Row],[Montant participation voté au CA]]-Tableau2[[#This Row],[Montant participation à signature]])</f>
        <v>0</v>
      </c>
      <c r="AY99" s="52">
        <v>489535.5</v>
      </c>
      <c r="AZ99" s="17">
        <f>Tableau2[[#This Row],[AVANCE VERSEE]]+Tableau2[[#This Row],[ACOMPTE VERSE]]+Tableau2[[#This Row],[SOLDE VERSE]]</f>
        <v>0</v>
      </c>
      <c r="BA99" s="17">
        <f>IF(Tableau2[[#This Row],[STATUT]]="Soldée",0,Tableau2[[#This Row],[Montant participation à signature]]-Tableau2[[#This Row],[Total CP payés]])</f>
        <v>489535.5</v>
      </c>
      <c r="BB99" s="17">
        <f>IF(Tableau2[[#This Row],[SOLDE VERSE]]&lt;0,-Tableau2[[#This Row],[SOLDE VERSE]],0)</f>
        <v>0</v>
      </c>
      <c r="BC99" s="17">
        <f>IF(Tableau2[[#This Row],[STATUT]]="Soldée",Tableau2[[#This Row],[Montant participation à signature]]-Tableau2[[#This Row],[Total CP payés]],0)</f>
        <v>0</v>
      </c>
      <c r="BD99" s="17">
        <f>IF(Tableau2[[#This Row],[Montant participation voté au CA]]="",0,Tableau2[[#This Row],[Réfaction]]+Tableau2[[#This Row],[Montant des crédits non engagés]])</f>
        <v>0</v>
      </c>
      <c r="BF99"/>
      <c r="BJ99"/>
      <c r="BK99"/>
      <c r="BL99"/>
      <c r="BM99"/>
      <c r="BP99"/>
      <c r="BQ99"/>
      <c r="BR99"/>
      <c r="BS99"/>
      <c r="BT99"/>
      <c r="BU99"/>
      <c r="BV99"/>
      <c r="BW99"/>
      <c r="BX99"/>
      <c r="BY99"/>
      <c r="CA99"/>
      <c r="CB99"/>
    </row>
    <row r="100" spans="1:80" ht="15" customHeight="1" x14ac:dyDescent="0.25">
      <c r="A100" s="4">
        <v>102</v>
      </c>
      <c r="B100" s="36"/>
      <c r="C100" s="39">
        <v>42703</v>
      </c>
      <c r="D100" s="73" t="s">
        <v>154</v>
      </c>
      <c r="E100" s="38">
        <v>2</v>
      </c>
      <c r="F100" s="38" t="s">
        <v>70</v>
      </c>
      <c r="G100" s="96" t="s">
        <v>143</v>
      </c>
      <c r="H100" s="96" t="s">
        <v>144</v>
      </c>
      <c r="I100" s="40"/>
      <c r="J100" s="79"/>
      <c r="K100" s="72"/>
      <c r="L100" s="34"/>
      <c r="M100" s="35"/>
      <c r="N100" s="38">
        <v>36</v>
      </c>
      <c r="O100" s="37">
        <v>6</v>
      </c>
      <c r="P100" s="37">
        <f>IF(Tableau2[[#This Row],[Durée du projet]]="","-",Tableau2[[#This Row],[Durée du projet]]+Tableau2[[#This Row],[Durée suppl'' pour pièces]])</f>
        <v>42</v>
      </c>
      <c r="Q100" s="38"/>
      <c r="R100" s="61"/>
      <c r="S100" s="6" t="str">
        <f>IF(Tableau2[[#This Row],[Date signature ]]="","",EOMONTH((EDATE(Tableau2[[#This Row],[Début éligibilité dépenses]],Tableau2[[#This Row],[Durée du projet]])),-1))</f>
        <v/>
      </c>
      <c r="T100" s="6" t="str">
        <f>IF(Tableau2[[#This Row],[Fin éligibilité dépenses]]="","",EDATE(Tableau2[[#This Row],[Fin éligibilité dépenses]],-6))</f>
        <v/>
      </c>
      <c r="U100" s="6" t="str">
        <f>IF(Tableau2[[#This Row],[Début éligibilité dépenses]]="","",EOMONTH(EDATE(Tableau2[[#This Row],[Début éligibilité dépenses]],Tableau2[[#This Row],[Durée du projet]]/2),0))</f>
        <v/>
      </c>
      <c r="V100" s="59" t="str">
        <f>IF(Tableau2[[#This Row],[Date signature ]]="","",EDATE(Tableau2[[#This Row],[Date signature ]],Tableau2[[#This Row],[Durée totale conv'' ]])-1)</f>
        <v/>
      </c>
      <c r="W100" s="40" t="s">
        <v>21</v>
      </c>
      <c r="X100" s="2"/>
      <c r="Y100" s="40" t="s">
        <v>145</v>
      </c>
      <c r="Z100" s="2"/>
      <c r="AA100" s="2"/>
      <c r="AB100" s="19"/>
      <c r="AC100" s="21">
        <f>IF(Tableau2[[#This Row],[PORTEUR
DE
PROJET]]="",0,IF(COUNTIF(Tableau2[[#This Row],[PORTEUR
DE
PROJET]],"CRA*")=1,Tableau2[[#This Row],[Montant participation à signature]]/2,Tableau2[[#This Row],[Montant participation à signature]]*0.3))</f>
        <v>50910.6</v>
      </c>
      <c r="AD100" s="6" t="str">
        <f>IF(Tableau2[[#This Row],[Date signature ]]="","",EDATE(Tableau2[[#This Row],[Date signature ]],1))</f>
        <v/>
      </c>
      <c r="AE100" s="21">
        <f>IF(Tableau2[[#This Row],[PORTEUR
DE
PROJET]]="",0,IF(COUNTIF(Tableau2[[#This Row],[PORTEUR
DE
PROJET]],"CRA*")=1,,Tableau2[[#This Row],[Montant participation à signature]]*0.4))</f>
        <v>67880.800000000003</v>
      </c>
      <c r="AF100" s="6" t="str">
        <f>IF(Tableau2[[#This Row],[Date signature ]]="","",IF(Tableau2[[#This Row],[ACOMPTE PREVU]]=0,"",EOMONTH(EDATE(Tableau2[[#This Row],[Date signature ]],Tableau2[[#This Row],[Durée du projet]]/2),0)))</f>
        <v/>
      </c>
      <c r="AG100" s="21">
        <f>IF(Tableau2[[#This Row],[PORTEUR
DE
PROJET]]="",0,IF(COUNTIF(Tableau2[[#This Row],[PORTEUR
DE
PROJET]],"CRA*")=1,Tableau2[[#This Row],[Montant participation à signature]]/2,Tableau2[[#This Row],[Montant participation à signature]]*0.3))</f>
        <v>50910.6</v>
      </c>
      <c r="AH100" s="6" t="str">
        <f>IF(Tableau2[[#This Row],[Date signature ]]="","",EOMONTH(EDATE(Tableau2[[#This Row],[Date signature ]],Tableau2[[#This Row],[Durée du projet]]),0))</f>
        <v/>
      </c>
      <c r="AI100" s="29">
        <f>IF(COUNTBLANK(Tableau2[[#This Row],[Date du mandat Avance]])=1,,Tableau2[[#This Row],[AVANCE PREVUE]])</f>
        <v>0</v>
      </c>
      <c r="AJ100" s="56"/>
      <c r="AK100" s="2"/>
      <c r="AL100" s="6"/>
      <c r="AM100" s="6"/>
      <c r="AN100" s="17">
        <f>IF(COUNTBLANK(Tableau2[[#This Row],[Date envoi ASF Acompte]])=1,,Tableau2[[#This Row],[ACOMPTE PREVU]])</f>
        <v>0</v>
      </c>
      <c r="AO100" s="17"/>
      <c r="AP100" s="2"/>
      <c r="AQ100" s="6"/>
      <c r="AR100" s="6"/>
      <c r="AS100" s="17"/>
      <c r="AT100" s="17"/>
      <c r="AU100" s="20"/>
      <c r="AV100" s="17"/>
      <c r="AW100" s="17"/>
      <c r="AX100" s="17">
        <f>IF(Tableau2[[#This Row],[Montant participation voté au CA]]="",0,Tableau2[[#This Row],[Montant participation voté au CA]]-Tableau2[[#This Row],[Montant participation à signature]])</f>
        <v>0</v>
      </c>
      <c r="AY100" s="52">
        <v>169702</v>
      </c>
      <c r="AZ100" s="17">
        <f>Tableau2[[#This Row],[AVANCE VERSEE]]+Tableau2[[#This Row],[ACOMPTE VERSE]]+Tableau2[[#This Row],[SOLDE VERSE]]</f>
        <v>0</v>
      </c>
      <c r="BA100" s="17">
        <f>IF(Tableau2[[#This Row],[STATUT]]="Soldée",0,Tableau2[[#This Row],[Montant participation à signature]]-Tableau2[[#This Row],[Total CP payés]])</f>
        <v>169702</v>
      </c>
      <c r="BB100" s="17">
        <f>IF(Tableau2[[#This Row],[SOLDE VERSE]]&lt;0,-Tableau2[[#This Row],[SOLDE VERSE]],0)</f>
        <v>0</v>
      </c>
      <c r="BC100" s="17">
        <f>IF(Tableau2[[#This Row],[STATUT]]="Soldée",Tableau2[[#This Row],[Montant participation à signature]]-Tableau2[[#This Row],[Total CP payés]],0)</f>
        <v>0</v>
      </c>
      <c r="BD100" s="17">
        <f>IF(Tableau2[[#This Row],[Montant participation voté au CA]]="",0,Tableau2[[#This Row],[Réfaction]]+Tableau2[[#This Row],[Montant des crédits non engagés]])</f>
        <v>0</v>
      </c>
      <c r="BF100"/>
      <c r="BJ100"/>
      <c r="BK100"/>
      <c r="BL100"/>
      <c r="BM100"/>
      <c r="BP100"/>
      <c r="BQ100"/>
      <c r="BR100"/>
      <c r="BS100"/>
      <c r="BT100"/>
      <c r="BU100"/>
      <c r="BV100"/>
      <c r="BW100"/>
      <c r="BX100"/>
      <c r="BY100"/>
      <c r="CA100"/>
      <c r="CB100"/>
    </row>
    <row r="101" spans="1:80" ht="15" customHeight="1" x14ac:dyDescent="0.25">
      <c r="A101" s="4">
        <v>103</v>
      </c>
      <c r="B101" s="36"/>
      <c r="C101" s="39">
        <v>42703</v>
      </c>
      <c r="D101" s="73" t="s">
        <v>154</v>
      </c>
      <c r="E101" s="38">
        <v>2</v>
      </c>
      <c r="F101" s="38" t="s">
        <v>70</v>
      </c>
      <c r="G101" s="96" t="s">
        <v>143</v>
      </c>
      <c r="H101" s="96" t="s">
        <v>144</v>
      </c>
      <c r="I101" s="40"/>
      <c r="J101" s="79"/>
      <c r="K101" s="72"/>
      <c r="L101" s="34"/>
      <c r="M101" s="35"/>
      <c r="N101" s="38">
        <v>36</v>
      </c>
      <c r="O101" s="37">
        <v>6</v>
      </c>
      <c r="P101" s="37">
        <f>IF(Tableau2[[#This Row],[Durée du projet]]="","-",Tableau2[[#This Row],[Durée du projet]]+Tableau2[[#This Row],[Durée suppl'' pour pièces]])</f>
        <v>42</v>
      </c>
      <c r="Q101" s="38"/>
      <c r="R101" s="61"/>
      <c r="S101" s="6" t="str">
        <f>IF(Tableau2[[#This Row],[Date signature ]]="","",EOMONTH((EDATE(Tableau2[[#This Row],[Début éligibilité dépenses]],Tableau2[[#This Row],[Durée du projet]])),-1))</f>
        <v/>
      </c>
      <c r="T101" s="6" t="str">
        <f>IF(Tableau2[[#This Row],[Fin éligibilité dépenses]]="","",EDATE(Tableau2[[#This Row],[Fin éligibilité dépenses]],-6))</f>
        <v/>
      </c>
      <c r="U101" s="6" t="str">
        <f>IF(Tableau2[[#This Row],[Début éligibilité dépenses]]="","",EOMONTH(EDATE(Tableau2[[#This Row],[Début éligibilité dépenses]],Tableau2[[#This Row],[Durée du projet]]/2),0))</f>
        <v/>
      </c>
      <c r="V101" s="59" t="str">
        <f>IF(Tableau2[[#This Row],[Date signature ]]="","",EDATE(Tableau2[[#This Row],[Date signature ]],Tableau2[[#This Row],[Durée totale conv'' ]])-1)</f>
        <v/>
      </c>
      <c r="W101" s="40" t="s">
        <v>21</v>
      </c>
      <c r="X101" s="2"/>
      <c r="Y101" s="40" t="s">
        <v>145</v>
      </c>
      <c r="Z101" s="2"/>
      <c r="AA101" s="2"/>
      <c r="AB101" s="19"/>
      <c r="AC101" s="21">
        <f>IF(Tableau2[[#This Row],[PORTEUR
DE
PROJET]]="",0,IF(COUNTIF(Tableau2[[#This Row],[PORTEUR
DE
PROJET]],"CRA*")=1,Tableau2[[#This Row],[Montant participation à signature]]/2,Tableau2[[#This Row],[Montant participation à signature]]*0.3))</f>
        <v>43633.5</v>
      </c>
      <c r="AD101" s="6" t="str">
        <f>IF(Tableau2[[#This Row],[Date signature ]]="","",EDATE(Tableau2[[#This Row],[Date signature ]],1))</f>
        <v/>
      </c>
      <c r="AE101" s="21">
        <f>IF(Tableau2[[#This Row],[PORTEUR
DE
PROJET]]="",0,IF(COUNTIF(Tableau2[[#This Row],[PORTEUR
DE
PROJET]],"CRA*")=1,,Tableau2[[#This Row],[Montant participation à signature]]*0.4))</f>
        <v>58178</v>
      </c>
      <c r="AF101" s="6" t="str">
        <f>IF(Tableau2[[#This Row],[Date signature ]]="","",IF(Tableau2[[#This Row],[ACOMPTE PREVU]]=0,"",EOMONTH(EDATE(Tableau2[[#This Row],[Date signature ]],Tableau2[[#This Row],[Durée du projet]]/2),0)))</f>
        <v/>
      </c>
      <c r="AG101" s="21">
        <f>IF(Tableau2[[#This Row],[PORTEUR
DE
PROJET]]="",0,IF(COUNTIF(Tableau2[[#This Row],[PORTEUR
DE
PROJET]],"CRA*")=1,Tableau2[[#This Row],[Montant participation à signature]]/2,Tableau2[[#This Row],[Montant participation à signature]]*0.3))</f>
        <v>43633.5</v>
      </c>
      <c r="AH101" s="6" t="str">
        <f>IF(Tableau2[[#This Row],[Date signature ]]="","",EOMONTH(EDATE(Tableau2[[#This Row],[Date signature ]],Tableau2[[#This Row],[Durée du projet]]),0))</f>
        <v/>
      </c>
      <c r="AI101" s="29">
        <f>IF(COUNTBLANK(Tableau2[[#This Row],[Date du mandat Avance]])=1,,Tableau2[[#This Row],[AVANCE PREVUE]])</f>
        <v>0</v>
      </c>
      <c r="AJ101" s="56"/>
      <c r="AK101" s="2"/>
      <c r="AL101" s="6"/>
      <c r="AM101" s="6"/>
      <c r="AN101" s="17">
        <f>IF(COUNTBLANK(Tableau2[[#This Row],[Date envoi ASF Acompte]])=1,,Tableau2[[#This Row],[ACOMPTE PREVU]])</f>
        <v>0</v>
      </c>
      <c r="AO101" s="17"/>
      <c r="AP101" s="2"/>
      <c r="AQ101" s="6"/>
      <c r="AR101" s="6"/>
      <c r="AS101" s="17"/>
      <c r="AT101" s="17"/>
      <c r="AU101" s="20"/>
      <c r="AV101" s="17"/>
      <c r="AW101" s="17"/>
      <c r="AX101" s="17">
        <f>IF(Tableau2[[#This Row],[Montant participation voté au CA]]="",0,Tableau2[[#This Row],[Montant participation voté au CA]]-Tableau2[[#This Row],[Montant participation à signature]])</f>
        <v>0</v>
      </c>
      <c r="AY101" s="52">
        <v>145445</v>
      </c>
      <c r="AZ101" s="17">
        <f>Tableau2[[#This Row],[AVANCE VERSEE]]+Tableau2[[#This Row],[ACOMPTE VERSE]]+Tableau2[[#This Row],[SOLDE VERSE]]</f>
        <v>0</v>
      </c>
      <c r="BA101" s="17">
        <f>IF(Tableau2[[#This Row],[STATUT]]="Soldée",0,Tableau2[[#This Row],[Montant participation à signature]]-Tableau2[[#This Row],[Total CP payés]])</f>
        <v>145445</v>
      </c>
      <c r="BB101" s="17">
        <f>IF(Tableau2[[#This Row],[SOLDE VERSE]]&lt;0,-Tableau2[[#This Row],[SOLDE VERSE]],0)</f>
        <v>0</v>
      </c>
      <c r="BC101" s="17">
        <f>IF(Tableau2[[#This Row],[STATUT]]="Soldée",Tableau2[[#This Row],[Montant participation à signature]]-Tableau2[[#This Row],[Total CP payés]],0)</f>
        <v>0</v>
      </c>
      <c r="BD101" s="17">
        <f>IF(Tableau2[[#This Row],[Montant participation voté au CA]]="",0,Tableau2[[#This Row],[Réfaction]]+Tableau2[[#This Row],[Montant des crédits non engagés]])</f>
        <v>0</v>
      </c>
      <c r="BF101"/>
      <c r="BJ101"/>
      <c r="BK101"/>
      <c r="BL101"/>
      <c r="BM101"/>
      <c r="BP101"/>
      <c r="BQ101"/>
      <c r="BR101"/>
      <c r="BS101"/>
      <c r="BT101"/>
      <c r="BU101"/>
      <c r="BV101"/>
      <c r="BW101"/>
      <c r="BX101"/>
      <c r="BY101"/>
      <c r="CA101"/>
      <c r="CB101"/>
    </row>
    <row r="102" spans="1:80" ht="15" customHeight="1" x14ac:dyDescent="0.25">
      <c r="A102" s="4">
        <v>104</v>
      </c>
      <c r="B102" s="36"/>
      <c r="C102" s="39">
        <v>42703</v>
      </c>
      <c r="D102" s="73" t="s">
        <v>154</v>
      </c>
      <c r="E102" s="38">
        <v>2</v>
      </c>
      <c r="F102" s="38" t="s">
        <v>70</v>
      </c>
      <c r="G102" s="96" t="s">
        <v>143</v>
      </c>
      <c r="H102" s="96" t="s">
        <v>144</v>
      </c>
      <c r="I102" s="40"/>
      <c r="J102" s="79"/>
      <c r="K102" s="72"/>
      <c r="L102" s="34"/>
      <c r="M102" s="35"/>
      <c r="N102" s="38">
        <v>36</v>
      </c>
      <c r="O102" s="37">
        <v>6</v>
      </c>
      <c r="P102" s="37">
        <f>IF(Tableau2[[#This Row],[Durée du projet]]="","-",Tableau2[[#This Row],[Durée du projet]]+Tableau2[[#This Row],[Durée suppl'' pour pièces]])</f>
        <v>42</v>
      </c>
      <c r="Q102" s="38"/>
      <c r="R102" s="61"/>
      <c r="S102" s="6" t="str">
        <f>IF(Tableau2[[#This Row],[Date signature ]]="","",EOMONTH((EDATE(Tableau2[[#This Row],[Début éligibilité dépenses]],Tableau2[[#This Row],[Durée du projet]])),-1))</f>
        <v/>
      </c>
      <c r="T102" s="6" t="str">
        <f>IF(Tableau2[[#This Row],[Fin éligibilité dépenses]]="","",EDATE(Tableau2[[#This Row],[Fin éligibilité dépenses]],-6))</f>
        <v/>
      </c>
      <c r="U102" s="6" t="str">
        <f>IF(Tableau2[[#This Row],[Début éligibilité dépenses]]="","",EOMONTH(EDATE(Tableau2[[#This Row],[Début éligibilité dépenses]],Tableau2[[#This Row],[Durée du projet]]/2),0))</f>
        <v/>
      </c>
      <c r="V102" s="59" t="str">
        <f>IF(Tableau2[[#This Row],[Date signature ]]="","",EDATE(Tableau2[[#This Row],[Date signature ]],Tableau2[[#This Row],[Durée totale conv'' ]])-1)</f>
        <v/>
      </c>
      <c r="W102" s="40" t="s">
        <v>21</v>
      </c>
      <c r="X102" s="2"/>
      <c r="Y102" s="40" t="s">
        <v>145</v>
      </c>
      <c r="Z102" s="2"/>
      <c r="AA102" s="2"/>
      <c r="AB102" s="19"/>
      <c r="AC102" s="21">
        <f>IF(Tableau2[[#This Row],[PORTEUR
DE
PROJET]]="",0,IF(COUNTIF(Tableau2[[#This Row],[PORTEUR
DE
PROJET]],"CRA*")=1,Tableau2[[#This Row],[Montant participation à signature]]/2,Tableau2[[#This Row],[Montant participation à signature]]*0.3))</f>
        <v>58720.853999999999</v>
      </c>
      <c r="AD102" s="6" t="str">
        <f>IF(Tableau2[[#This Row],[Date signature ]]="","",EDATE(Tableau2[[#This Row],[Date signature ]],1))</f>
        <v/>
      </c>
      <c r="AE102" s="21">
        <f>IF(Tableau2[[#This Row],[PORTEUR
DE
PROJET]]="",0,IF(COUNTIF(Tableau2[[#This Row],[PORTEUR
DE
PROJET]],"CRA*")=1,,Tableau2[[#This Row],[Montant participation à signature]]*0.4))</f>
        <v>78294.471999999994</v>
      </c>
      <c r="AF102" s="6" t="str">
        <f>IF(Tableau2[[#This Row],[Date signature ]]="","",IF(Tableau2[[#This Row],[ACOMPTE PREVU]]=0,"",EOMONTH(EDATE(Tableau2[[#This Row],[Date signature ]],Tableau2[[#This Row],[Durée du projet]]/2),0)))</f>
        <v/>
      </c>
      <c r="AG102" s="21">
        <f>IF(Tableau2[[#This Row],[PORTEUR
DE
PROJET]]="",0,IF(COUNTIF(Tableau2[[#This Row],[PORTEUR
DE
PROJET]],"CRA*")=1,Tableau2[[#This Row],[Montant participation à signature]]/2,Tableau2[[#This Row],[Montant participation à signature]]*0.3))</f>
        <v>58720.853999999999</v>
      </c>
      <c r="AH102" s="6" t="str">
        <f>IF(Tableau2[[#This Row],[Date signature ]]="","",EOMONTH(EDATE(Tableau2[[#This Row],[Date signature ]],Tableau2[[#This Row],[Durée du projet]]),0))</f>
        <v/>
      </c>
      <c r="AI102" s="29">
        <f>IF(COUNTBLANK(Tableau2[[#This Row],[Date du mandat Avance]])=1,,Tableau2[[#This Row],[AVANCE PREVUE]])</f>
        <v>0</v>
      </c>
      <c r="AJ102" s="56"/>
      <c r="AK102" s="2"/>
      <c r="AL102" s="6"/>
      <c r="AM102" s="6"/>
      <c r="AN102" s="17">
        <f>IF(COUNTBLANK(Tableau2[[#This Row],[Date envoi ASF Acompte]])=1,,Tableau2[[#This Row],[ACOMPTE PREVU]])</f>
        <v>0</v>
      </c>
      <c r="AO102" s="17"/>
      <c r="AP102" s="2"/>
      <c r="AQ102" s="6"/>
      <c r="AR102" s="6"/>
      <c r="AS102" s="17"/>
      <c r="AT102" s="17"/>
      <c r="AU102" s="20"/>
      <c r="AV102" s="17"/>
      <c r="AW102" s="17"/>
      <c r="AX102" s="17">
        <f>IF(Tableau2[[#This Row],[Montant participation voté au CA]]="",0,Tableau2[[#This Row],[Montant participation voté au CA]]-Tableau2[[#This Row],[Montant participation à signature]])</f>
        <v>0</v>
      </c>
      <c r="AY102" s="52">
        <v>195736.18</v>
      </c>
      <c r="AZ102" s="17">
        <f>Tableau2[[#This Row],[AVANCE VERSEE]]+Tableau2[[#This Row],[ACOMPTE VERSE]]+Tableau2[[#This Row],[SOLDE VERSE]]</f>
        <v>0</v>
      </c>
      <c r="BA102" s="17">
        <f>IF(Tableau2[[#This Row],[STATUT]]="Soldée",0,Tableau2[[#This Row],[Montant participation à signature]]-Tableau2[[#This Row],[Total CP payés]])</f>
        <v>195736.18</v>
      </c>
      <c r="BB102" s="17">
        <f>IF(Tableau2[[#This Row],[SOLDE VERSE]]&lt;0,-Tableau2[[#This Row],[SOLDE VERSE]],0)</f>
        <v>0</v>
      </c>
      <c r="BC102" s="17">
        <f>IF(Tableau2[[#This Row],[STATUT]]="Soldée",Tableau2[[#This Row],[Montant participation à signature]]-Tableau2[[#This Row],[Total CP payés]],0)</f>
        <v>0</v>
      </c>
      <c r="BD102" s="17">
        <f>IF(Tableau2[[#This Row],[Montant participation voté au CA]]="",0,Tableau2[[#This Row],[Réfaction]]+Tableau2[[#This Row],[Montant des crédits non engagés]])</f>
        <v>0</v>
      </c>
      <c r="BF102"/>
      <c r="BJ102"/>
      <c r="BK102"/>
      <c r="BL102"/>
      <c r="BM102"/>
      <c r="BP102"/>
      <c r="BQ102"/>
      <c r="BR102"/>
      <c r="BS102"/>
      <c r="BT102"/>
      <c r="BU102"/>
      <c r="BV102"/>
      <c r="BW102"/>
      <c r="BX102"/>
      <c r="BY102"/>
      <c r="CA102"/>
      <c r="CB102"/>
    </row>
    <row r="103" spans="1:80" ht="15" customHeight="1" x14ac:dyDescent="0.25">
      <c r="A103" s="4">
        <v>105</v>
      </c>
      <c r="B103" s="36"/>
      <c r="C103" s="39">
        <v>42703</v>
      </c>
      <c r="D103" s="73" t="s">
        <v>154</v>
      </c>
      <c r="E103" s="38">
        <v>2</v>
      </c>
      <c r="F103" s="38" t="s">
        <v>70</v>
      </c>
      <c r="G103" s="96" t="s">
        <v>143</v>
      </c>
      <c r="H103" s="96" t="s">
        <v>144</v>
      </c>
      <c r="I103" s="40"/>
      <c r="J103" s="79"/>
      <c r="K103" s="72"/>
      <c r="L103" s="34"/>
      <c r="M103" s="35"/>
      <c r="N103" s="38">
        <v>36</v>
      </c>
      <c r="O103" s="37">
        <v>6</v>
      </c>
      <c r="P103" s="37">
        <f>IF(Tableau2[[#This Row],[Durée du projet]]="","-",Tableau2[[#This Row],[Durée du projet]]+Tableau2[[#This Row],[Durée suppl'' pour pièces]])</f>
        <v>42</v>
      </c>
      <c r="Q103" s="38"/>
      <c r="R103" s="61"/>
      <c r="S103" s="6" t="str">
        <f>IF(Tableau2[[#This Row],[Date signature ]]="","",EOMONTH((EDATE(Tableau2[[#This Row],[Début éligibilité dépenses]],Tableau2[[#This Row],[Durée du projet]])),-1))</f>
        <v/>
      </c>
      <c r="T103" s="6" t="str">
        <f>IF(Tableau2[[#This Row],[Fin éligibilité dépenses]]="","",EDATE(Tableau2[[#This Row],[Fin éligibilité dépenses]],-6))</f>
        <v/>
      </c>
      <c r="U103" s="6" t="str">
        <f>IF(Tableau2[[#This Row],[Début éligibilité dépenses]]="","",EOMONTH(EDATE(Tableau2[[#This Row],[Début éligibilité dépenses]],Tableau2[[#This Row],[Durée du projet]]/2),0))</f>
        <v/>
      </c>
      <c r="V103" s="59" t="str">
        <f>IF(Tableau2[[#This Row],[Date signature ]]="","",EDATE(Tableau2[[#This Row],[Date signature ]],Tableau2[[#This Row],[Durée totale conv'' ]])-1)</f>
        <v/>
      </c>
      <c r="W103" s="40" t="s">
        <v>21</v>
      </c>
      <c r="X103" s="2"/>
      <c r="Y103" s="40" t="s">
        <v>145</v>
      </c>
      <c r="Z103" s="2"/>
      <c r="AA103" s="2"/>
      <c r="AB103" s="19"/>
      <c r="AC103" s="21">
        <f>IF(Tableau2[[#This Row],[PORTEUR
DE
PROJET]]="",0,IF(COUNTIF(Tableau2[[#This Row],[PORTEUR
DE
PROJET]],"CRA*")=1,Tableau2[[#This Row],[Montant participation à signature]]/2,Tableau2[[#This Row],[Montant participation à signature]]*0.3))</f>
        <v>68190</v>
      </c>
      <c r="AD103" s="6" t="str">
        <f>IF(Tableau2[[#This Row],[Date signature ]]="","",EDATE(Tableau2[[#This Row],[Date signature ]],1))</f>
        <v/>
      </c>
      <c r="AE103" s="21">
        <f>IF(Tableau2[[#This Row],[PORTEUR
DE
PROJET]]="",0,IF(COUNTIF(Tableau2[[#This Row],[PORTEUR
DE
PROJET]],"CRA*")=1,,Tableau2[[#This Row],[Montant participation à signature]]*0.4))</f>
        <v>90920</v>
      </c>
      <c r="AF103" s="6" t="str">
        <f>IF(Tableau2[[#This Row],[Date signature ]]="","",IF(Tableau2[[#This Row],[ACOMPTE PREVU]]=0,"",EOMONTH(EDATE(Tableau2[[#This Row],[Date signature ]],Tableau2[[#This Row],[Durée du projet]]/2),0)))</f>
        <v/>
      </c>
      <c r="AG103" s="21">
        <f>IF(Tableau2[[#This Row],[PORTEUR
DE
PROJET]]="",0,IF(COUNTIF(Tableau2[[#This Row],[PORTEUR
DE
PROJET]],"CRA*")=1,Tableau2[[#This Row],[Montant participation à signature]]/2,Tableau2[[#This Row],[Montant participation à signature]]*0.3))</f>
        <v>68190</v>
      </c>
      <c r="AH103" s="6" t="str">
        <f>IF(Tableau2[[#This Row],[Date signature ]]="","",EOMONTH(EDATE(Tableau2[[#This Row],[Date signature ]],Tableau2[[#This Row],[Durée du projet]]),0))</f>
        <v/>
      </c>
      <c r="AI103" s="29">
        <f>IF(COUNTBLANK(Tableau2[[#This Row],[Date du mandat Avance]])=1,,Tableau2[[#This Row],[AVANCE PREVUE]])</f>
        <v>0</v>
      </c>
      <c r="AJ103" s="56"/>
      <c r="AK103" s="2"/>
      <c r="AL103" s="6"/>
      <c r="AM103" s="6"/>
      <c r="AN103" s="17">
        <f>IF(COUNTBLANK(Tableau2[[#This Row],[Date envoi ASF Acompte]])=1,,Tableau2[[#This Row],[ACOMPTE PREVU]])</f>
        <v>0</v>
      </c>
      <c r="AO103" s="17"/>
      <c r="AP103" s="2"/>
      <c r="AQ103" s="6"/>
      <c r="AR103" s="6"/>
      <c r="AS103" s="17"/>
      <c r="AT103" s="17"/>
      <c r="AU103" s="20"/>
      <c r="AV103" s="17"/>
      <c r="AW103" s="17"/>
      <c r="AX103" s="17">
        <f>IF(Tableau2[[#This Row],[Montant participation voté au CA]]="",0,Tableau2[[#This Row],[Montant participation voté au CA]]-Tableau2[[#This Row],[Montant participation à signature]])</f>
        <v>0</v>
      </c>
      <c r="AY103" s="52">
        <v>227300</v>
      </c>
      <c r="AZ103" s="17">
        <f>Tableau2[[#This Row],[AVANCE VERSEE]]+Tableau2[[#This Row],[ACOMPTE VERSE]]+Tableau2[[#This Row],[SOLDE VERSE]]</f>
        <v>0</v>
      </c>
      <c r="BA103" s="17">
        <f>IF(Tableau2[[#This Row],[STATUT]]="Soldée",0,Tableau2[[#This Row],[Montant participation à signature]]-Tableau2[[#This Row],[Total CP payés]])</f>
        <v>227300</v>
      </c>
      <c r="BB103" s="17">
        <f>IF(Tableau2[[#This Row],[SOLDE VERSE]]&lt;0,-Tableau2[[#This Row],[SOLDE VERSE]],0)</f>
        <v>0</v>
      </c>
      <c r="BC103" s="17">
        <f>IF(Tableau2[[#This Row],[STATUT]]="Soldée",Tableau2[[#This Row],[Montant participation à signature]]-Tableau2[[#This Row],[Total CP payés]],0)</f>
        <v>0</v>
      </c>
      <c r="BD103" s="17">
        <f>IF(Tableau2[[#This Row],[Montant participation voté au CA]]="",0,Tableau2[[#This Row],[Réfaction]]+Tableau2[[#This Row],[Montant des crédits non engagés]])</f>
        <v>0</v>
      </c>
      <c r="BF103"/>
      <c r="BJ103"/>
      <c r="BK103"/>
      <c r="BL103"/>
      <c r="BM103"/>
      <c r="BP103"/>
      <c r="BQ103"/>
      <c r="BR103"/>
      <c r="BS103"/>
      <c r="BT103"/>
      <c r="BU103"/>
      <c r="BV103"/>
      <c r="BW103"/>
      <c r="BX103"/>
      <c r="BY103"/>
      <c r="CA103"/>
      <c r="CB103"/>
    </row>
    <row r="104" spans="1:80" ht="15" customHeight="1" x14ac:dyDescent="0.25">
      <c r="A104" s="4">
        <v>106</v>
      </c>
      <c r="B104" s="36"/>
      <c r="C104" s="39">
        <v>42703</v>
      </c>
      <c r="D104" s="73" t="s">
        <v>154</v>
      </c>
      <c r="E104" s="38">
        <v>2</v>
      </c>
      <c r="F104" s="38" t="s">
        <v>70</v>
      </c>
      <c r="G104" s="96" t="s">
        <v>143</v>
      </c>
      <c r="H104" s="96" t="s">
        <v>144</v>
      </c>
      <c r="I104" s="40"/>
      <c r="J104" s="79"/>
      <c r="K104" s="72"/>
      <c r="L104" s="34"/>
      <c r="M104" s="35"/>
      <c r="N104" s="38">
        <v>36</v>
      </c>
      <c r="O104" s="37">
        <v>6</v>
      </c>
      <c r="P104" s="37">
        <f>IF(Tableau2[[#This Row],[Durée du projet]]="","-",Tableau2[[#This Row],[Durée du projet]]+Tableau2[[#This Row],[Durée suppl'' pour pièces]])</f>
        <v>42</v>
      </c>
      <c r="Q104" s="38"/>
      <c r="R104" s="61"/>
      <c r="S104" s="6" t="str">
        <f>IF(Tableau2[[#This Row],[Date signature ]]="","",EOMONTH((EDATE(Tableau2[[#This Row],[Début éligibilité dépenses]],Tableau2[[#This Row],[Durée du projet]])),-1))</f>
        <v/>
      </c>
      <c r="T104" s="6" t="str">
        <f>IF(Tableau2[[#This Row],[Fin éligibilité dépenses]]="","",EDATE(Tableau2[[#This Row],[Fin éligibilité dépenses]],-6))</f>
        <v/>
      </c>
      <c r="U104" s="6" t="str">
        <f>IF(Tableau2[[#This Row],[Début éligibilité dépenses]]="","",EOMONTH(EDATE(Tableau2[[#This Row],[Début éligibilité dépenses]],Tableau2[[#This Row],[Durée du projet]]/2),0))</f>
        <v/>
      </c>
      <c r="V104" s="59" t="str">
        <f>IF(Tableau2[[#This Row],[Date signature ]]="","",EDATE(Tableau2[[#This Row],[Date signature ]],Tableau2[[#This Row],[Durée totale conv'' ]])-1)</f>
        <v/>
      </c>
      <c r="W104" s="40" t="s">
        <v>21</v>
      </c>
      <c r="X104" s="2"/>
      <c r="Y104" s="40" t="s">
        <v>145</v>
      </c>
      <c r="Z104" s="2"/>
      <c r="AA104" s="2"/>
      <c r="AB104" s="19"/>
      <c r="AC104" s="21">
        <f>IF(Tableau2[[#This Row],[PORTEUR
DE
PROJET]]="",0,IF(COUNTIF(Tableau2[[#This Row],[PORTEUR
DE
PROJET]],"CRA*")=1,Tableau2[[#This Row],[Montant participation à signature]]/2,Tableau2[[#This Row],[Montant participation à signature]]*0.3))</f>
        <v>36000</v>
      </c>
      <c r="AD104" s="6" t="str">
        <f>IF(Tableau2[[#This Row],[Date signature ]]="","",EDATE(Tableau2[[#This Row],[Date signature ]],1))</f>
        <v/>
      </c>
      <c r="AE104" s="21">
        <f>IF(Tableau2[[#This Row],[PORTEUR
DE
PROJET]]="",0,IF(COUNTIF(Tableau2[[#This Row],[PORTEUR
DE
PROJET]],"CRA*")=1,,Tableau2[[#This Row],[Montant participation à signature]]*0.4))</f>
        <v>48000</v>
      </c>
      <c r="AF104" s="6" t="str">
        <f>IF(Tableau2[[#This Row],[Date signature ]]="","",IF(Tableau2[[#This Row],[ACOMPTE PREVU]]=0,"",EOMONTH(EDATE(Tableau2[[#This Row],[Date signature ]],Tableau2[[#This Row],[Durée du projet]]/2),0)))</f>
        <v/>
      </c>
      <c r="AG104" s="21">
        <f>IF(Tableau2[[#This Row],[PORTEUR
DE
PROJET]]="",0,IF(COUNTIF(Tableau2[[#This Row],[PORTEUR
DE
PROJET]],"CRA*")=1,Tableau2[[#This Row],[Montant participation à signature]]/2,Tableau2[[#This Row],[Montant participation à signature]]*0.3))</f>
        <v>36000</v>
      </c>
      <c r="AH104" s="6" t="str">
        <f>IF(Tableau2[[#This Row],[Date signature ]]="","",EOMONTH(EDATE(Tableau2[[#This Row],[Date signature ]],Tableau2[[#This Row],[Durée du projet]]),0))</f>
        <v/>
      </c>
      <c r="AI104" s="29">
        <f>IF(COUNTBLANK(Tableau2[[#This Row],[Date du mandat Avance]])=1,,Tableau2[[#This Row],[AVANCE PREVUE]])</f>
        <v>0</v>
      </c>
      <c r="AJ104" s="56"/>
      <c r="AK104" s="2"/>
      <c r="AL104" s="6"/>
      <c r="AM104" s="6"/>
      <c r="AN104" s="17">
        <f>IF(COUNTBLANK(Tableau2[[#This Row],[Date envoi ASF Acompte]])=1,,Tableau2[[#This Row],[ACOMPTE PREVU]])</f>
        <v>0</v>
      </c>
      <c r="AO104" s="17"/>
      <c r="AP104" s="2"/>
      <c r="AQ104" s="6"/>
      <c r="AR104" s="6"/>
      <c r="AS104" s="17"/>
      <c r="AT104" s="17"/>
      <c r="AU104" s="20"/>
      <c r="AV104" s="17"/>
      <c r="AW104" s="17"/>
      <c r="AX104" s="17">
        <f>IF(Tableau2[[#This Row],[Montant participation voté au CA]]="",0,Tableau2[[#This Row],[Montant participation voté au CA]]-Tableau2[[#This Row],[Montant participation à signature]])</f>
        <v>0</v>
      </c>
      <c r="AY104" s="52">
        <v>120000</v>
      </c>
      <c r="AZ104" s="17">
        <f>Tableau2[[#This Row],[AVANCE VERSEE]]+Tableau2[[#This Row],[ACOMPTE VERSE]]+Tableau2[[#This Row],[SOLDE VERSE]]</f>
        <v>0</v>
      </c>
      <c r="BA104" s="17">
        <f>IF(Tableau2[[#This Row],[STATUT]]="Soldée",0,Tableau2[[#This Row],[Montant participation à signature]]-Tableau2[[#This Row],[Total CP payés]])</f>
        <v>120000</v>
      </c>
      <c r="BB104" s="17">
        <f>IF(Tableau2[[#This Row],[SOLDE VERSE]]&lt;0,-Tableau2[[#This Row],[SOLDE VERSE]],0)</f>
        <v>0</v>
      </c>
      <c r="BC104" s="17">
        <f>IF(Tableau2[[#This Row],[STATUT]]="Soldée",Tableau2[[#This Row],[Montant participation à signature]]-Tableau2[[#This Row],[Total CP payés]],0)</f>
        <v>0</v>
      </c>
      <c r="BD104" s="17">
        <f>IF(Tableau2[[#This Row],[Montant participation voté au CA]]="",0,Tableau2[[#This Row],[Réfaction]]+Tableau2[[#This Row],[Montant des crédits non engagés]])</f>
        <v>0</v>
      </c>
      <c r="BF104"/>
      <c r="BJ104"/>
      <c r="BK104"/>
      <c r="BL104"/>
      <c r="BM104"/>
      <c r="BP104"/>
      <c r="BQ104"/>
      <c r="BR104"/>
      <c r="BS104"/>
      <c r="BT104"/>
      <c r="BU104"/>
      <c r="BV104"/>
      <c r="BW104"/>
      <c r="BX104"/>
      <c r="BY104"/>
      <c r="CA104"/>
      <c r="CB104"/>
    </row>
    <row r="105" spans="1:80" ht="15" customHeight="1" x14ac:dyDescent="0.25">
      <c r="A105" s="4">
        <v>107</v>
      </c>
      <c r="B105" s="36"/>
      <c r="C105" s="39">
        <v>42703</v>
      </c>
      <c r="D105" s="73" t="s">
        <v>154</v>
      </c>
      <c r="E105" s="38">
        <v>2</v>
      </c>
      <c r="F105" s="38" t="s">
        <v>70</v>
      </c>
      <c r="G105" s="96" t="s">
        <v>143</v>
      </c>
      <c r="H105" s="96" t="s">
        <v>144</v>
      </c>
      <c r="I105" s="40"/>
      <c r="J105" s="79"/>
      <c r="K105" s="72"/>
      <c r="L105" s="34"/>
      <c r="M105" s="35"/>
      <c r="N105" s="38">
        <v>36</v>
      </c>
      <c r="O105" s="37">
        <v>6</v>
      </c>
      <c r="P105" s="37">
        <f>IF(Tableau2[[#This Row],[Durée du projet]]="","-",Tableau2[[#This Row],[Durée du projet]]+Tableau2[[#This Row],[Durée suppl'' pour pièces]])</f>
        <v>42</v>
      </c>
      <c r="Q105" s="38"/>
      <c r="R105" s="61"/>
      <c r="S105" s="6" t="str">
        <f>IF(Tableau2[[#This Row],[Date signature ]]="","",EOMONTH((EDATE(Tableau2[[#This Row],[Début éligibilité dépenses]],Tableau2[[#This Row],[Durée du projet]])),-1))</f>
        <v/>
      </c>
      <c r="T105" s="6" t="str">
        <f>IF(Tableau2[[#This Row],[Fin éligibilité dépenses]]="","",EDATE(Tableau2[[#This Row],[Fin éligibilité dépenses]],-6))</f>
        <v/>
      </c>
      <c r="U105" s="6" t="str">
        <f>IF(Tableau2[[#This Row],[Début éligibilité dépenses]]="","",EOMONTH(EDATE(Tableau2[[#This Row],[Début éligibilité dépenses]],Tableau2[[#This Row],[Durée du projet]]/2),0))</f>
        <v/>
      </c>
      <c r="V105" s="59" t="str">
        <f>IF(Tableau2[[#This Row],[Date signature ]]="","",EDATE(Tableau2[[#This Row],[Date signature ]],Tableau2[[#This Row],[Durée totale conv'' ]])-1)</f>
        <v/>
      </c>
      <c r="W105" s="40" t="s">
        <v>21</v>
      </c>
      <c r="X105" s="2"/>
      <c r="Y105" s="40" t="s">
        <v>145</v>
      </c>
      <c r="Z105" s="2"/>
      <c r="AA105" s="2"/>
      <c r="AB105" s="19"/>
      <c r="AC105" s="21">
        <f>IF(Tableau2[[#This Row],[PORTEUR
DE
PROJET]]="",0,IF(COUNTIF(Tableau2[[#This Row],[PORTEUR
DE
PROJET]],"CRA*")=1,Tableau2[[#This Row],[Montant participation à signature]]/2,Tableau2[[#This Row],[Montant participation à signature]]*0.3))</f>
        <v>4500</v>
      </c>
      <c r="AD105" s="6" t="str">
        <f>IF(Tableau2[[#This Row],[Date signature ]]="","",EDATE(Tableau2[[#This Row],[Date signature ]],1))</f>
        <v/>
      </c>
      <c r="AE105" s="21">
        <f>IF(Tableau2[[#This Row],[PORTEUR
DE
PROJET]]="",0,IF(COUNTIF(Tableau2[[#This Row],[PORTEUR
DE
PROJET]],"CRA*")=1,,Tableau2[[#This Row],[Montant participation à signature]]*0.4))</f>
        <v>6000</v>
      </c>
      <c r="AF105" s="6" t="str">
        <f>IF(Tableau2[[#This Row],[Date signature ]]="","",IF(Tableau2[[#This Row],[ACOMPTE PREVU]]=0,"",EOMONTH(EDATE(Tableau2[[#This Row],[Date signature ]],Tableau2[[#This Row],[Durée du projet]]/2),0)))</f>
        <v/>
      </c>
      <c r="AG105" s="21">
        <f>IF(Tableau2[[#This Row],[PORTEUR
DE
PROJET]]="",0,IF(COUNTIF(Tableau2[[#This Row],[PORTEUR
DE
PROJET]],"CRA*")=1,Tableau2[[#This Row],[Montant participation à signature]]/2,Tableau2[[#This Row],[Montant participation à signature]]*0.3))</f>
        <v>4500</v>
      </c>
      <c r="AH105" s="6" t="str">
        <f>IF(Tableau2[[#This Row],[Date signature ]]="","",EOMONTH(EDATE(Tableau2[[#This Row],[Date signature ]],Tableau2[[#This Row],[Durée du projet]]),0))</f>
        <v/>
      </c>
      <c r="AI105" s="29">
        <f>IF(COUNTBLANK(Tableau2[[#This Row],[Date du mandat Avance]])=1,,Tableau2[[#This Row],[AVANCE PREVUE]])</f>
        <v>0</v>
      </c>
      <c r="AJ105" s="56"/>
      <c r="AK105" s="2"/>
      <c r="AL105" s="6"/>
      <c r="AM105" s="6"/>
      <c r="AN105" s="17">
        <f>IF(COUNTBLANK(Tableau2[[#This Row],[Date envoi ASF Acompte]])=1,,Tableau2[[#This Row],[ACOMPTE PREVU]])</f>
        <v>0</v>
      </c>
      <c r="AO105" s="17"/>
      <c r="AP105" s="2"/>
      <c r="AQ105" s="6"/>
      <c r="AR105" s="6"/>
      <c r="AS105" s="17"/>
      <c r="AT105" s="17"/>
      <c r="AU105" s="20"/>
      <c r="AV105" s="17"/>
      <c r="AW105" s="17"/>
      <c r="AX105" s="17">
        <f>IF(Tableau2[[#This Row],[Montant participation voté au CA]]="",0,Tableau2[[#This Row],[Montant participation voté au CA]]-Tableau2[[#This Row],[Montant participation à signature]])</f>
        <v>0</v>
      </c>
      <c r="AY105" s="52">
        <v>15000</v>
      </c>
      <c r="AZ105" s="17">
        <f>Tableau2[[#This Row],[AVANCE VERSEE]]+Tableau2[[#This Row],[ACOMPTE VERSE]]+Tableau2[[#This Row],[SOLDE VERSE]]</f>
        <v>0</v>
      </c>
      <c r="BA105" s="17">
        <f>IF(Tableau2[[#This Row],[STATUT]]="Soldée",0,Tableau2[[#This Row],[Montant participation à signature]]-Tableau2[[#This Row],[Total CP payés]])</f>
        <v>15000</v>
      </c>
      <c r="BB105" s="17">
        <f>IF(Tableau2[[#This Row],[SOLDE VERSE]]&lt;0,-Tableau2[[#This Row],[SOLDE VERSE]],0)</f>
        <v>0</v>
      </c>
      <c r="BC105" s="17">
        <f>IF(Tableau2[[#This Row],[STATUT]]="Soldée",Tableau2[[#This Row],[Montant participation à signature]]-Tableau2[[#This Row],[Total CP payés]],0)</f>
        <v>0</v>
      </c>
      <c r="BD105" s="17">
        <f>IF(Tableau2[[#This Row],[Montant participation voté au CA]]="",0,Tableau2[[#This Row],[Réfaction]]+Tableau2[[#This Row],[Montant des crédits non engagés]])</f>
        <v>0</v>
      </c>
      <c r="BF105"/>
      <c r="BJ105"/>
      <c r="BK105"/>
      <c r="BL105"/>
      <c r="BM105"/>
      <c r="BP105"/>
      <c r="BQ105"/>
      <c r="BR105"/>
      <c r="BS105"/>
      <c r="BT105"/>
      <c r="BU105"/>
      <c r="BV105"/>
      <c r="BW105"/>
      <c r="BX105"/>
      <c r="BY105"/>
      <c r="CA105"/>
      <c r="CB105"/>
    </row>
    <row r="106" spans="1:80" ht="15" customHeight="1" x14ac:dyDescent="0.25">
      <c r="A106" s="4">
        <v>108</v>
      </c>
      <c r="B106" s="36"/>
      <c r="C106" s="39">
        <v>42703</v>
      </c>
      <c r="D106" s="73" t="s">
        <v>154</v>
      </c>
      <c r="E106" s="38">
        <v>2</v>
      </c>
      <c r="F106" s="38" t="s">
        <v>70</v>
      </c>
      <c r="G106" s="96" t="s">
        <v>143</v>
      </c>
      <c r="H106" s="96" t="s">
        <v>144</v>
      </c>
      <c r="I106" s="40"/>
      <c r="J106" s="79"/>
      <c r="K106" s="72"/>
      <c r="L106" s="34"/>
      <c r="M106" s="35"/>
      <c r="N106" s="38">
        <v>36</v>
      </c>
      <c r="O106" s="37">
        <v>6</v>
      </c>
      <c r="P106" s="37">
        <f>IF(Tableau2[[#This Row],[Durée du projet]]="","-",Tableau2[[#This Row],[Durée du projet]]+Tableau2[[#This Row],[Durée suppl'' pour pièces]])</f>
        <v>42</v>
      </c>
      <c r="Q106" s="38"/>
      <c r="R106" s="61"/>
      <c r="S106" s="6" t="str">
        <f>IF(Tableau2[[#This Row],[Date signature ]]="","",EOMONTH((EDATE(Tableau2[[#This Row],[Début éligibilité dépenses]],Tableau2[[#This Row],[Durée du projet]])),-1))</f>
        <v/>
      </c>
      <c r="T106" s="6" t="str">
        <f>IF(Tableau2[[#This Row],[Fin éligibilité dépenses]]="","",EDATE(Tableau2[[#This Row],[Fin éligibilité dépenses]],-6))</f>
        <v/>
      </c>
      <c r="U106" s="6" t="str">
        <f>IF(Tableau2[[#This Row],[Début éligibilité dépenses]]="","",EOMONTH(EDATE(Tableau2[[#This Row],[Début éligibilité dépenses]],Tableau2[[#This Row],[Durée du projet]]/2),0))</f>
        <v/>
      </c>
      <c r="V106" s="59" t="str">
        <f>IF(Tableau2[[#This Row],[Date signature ]]="","",EDATE(Tableau2[[#This Row],[Date signature ]],Tableau2[[#This Row],[Durée totale conv'' ]])-1)</f>
        <v/>
      </c>
      <c r="W106" s="40" t="s">
        <v>21</v>
      </c>
      <c r="X106" s="2"/>
      <c r="Y106" s="40" t="s">
        <v>145</v>
      </c>
      <c r="Z106" s="2"/>
      <c r="AA106" s="2"/>
      <c r="AB106" s="19"/>
      <c r="AC106" s="21">
        <f>IF(Tableau2[[#This Row],[PORTEUR
DE
PROJET]]="",0,IF(COUNTIF(Tableau2[[#This Row],[PORTEUR
DE
PROJET]],"CRA*")=1,Tableau2[[#This Row],[Montant participation à signature]]/2,Tableau2[[#This Row],[Montant participation à signature]]*0.3))</f>
        <v>26203.8</v>
      </c>
      <c r="AD106" s="6" t="str">
        <f>IF(Tableau2[[#This Row],[Date signature ]]="","",EDATE(Tableau2[[#This Row],[Date signature ]],1))</f>
        <v/>
      </c>
      <c r="AE106" s="21">
        <f>IF(Tableau2[[#This Row],[PORTEUR
DE
PROJET]]="",0,IF(COUNTIF(Tableau2[[#This Row],[PORTEUR
DE
PROJET]],"CRA*")=1,,Tableau2[[#This Row],[Montant participation à signature]]*0.4))</f>
        <v>34938.400000000001</v>
      </c>
      <c r="AF106" s="6" t="str">
        <f>IF(Tableau2[[#This Row],[Date signature ]]="","",IF(Tableau2[[#This Row],[ACOMPTE PREVU]]=0,"",EOMONTH(EDATE(Tableau2[[#This Row],[Date signature ]],Tableau2[[#This Row],[Durée du projet]]/2),0)))</f>
        <v/>
      </c>
      <c r="AG106" s="21">
        <f>IF(Tableau2[[#This Row],[PORTEUR
DE
PROJET]]="",0,IF(COUNTIF(Tableau2[[#This Row],[PORTEUR
DE
PROJET]],"CRA*")=1,Tableau2[[#This Row],[Montant participation à signature]]/2,Tableau2[[#This Row],[Montant participation à signature]]*0.3))</f>
        <v>26203.8</v>
      </c>
      <c r="AH106" s="6" t="str">
        <f>IF(Tableau2[[#This Row],[Date signature ]]="","",EOMONTH(EDATE(Tableau2[[#This Row],[Date signature ]],Tableau2[[#This Row],[Durée du projet]]),0))</f>
        <v/>
      </c>
      <c r="AI106" s="29">
        <f>IF(COUNTBLANK(Tableau2[[#This Row],[Date du mandat Avance]])=1,,Tableau2[[#This Row],[AVANCE PREVUE]])</f>
        <v>0</v>
      </c>
      <c r="AJ106" s="56"/>
      <c r="AK106" s="2"/>
      <c r="AL106" s="6"/>
      <c r="AM106" s="6"/>
      <c r="AN106" s="17">
        <f>IF(COUNTBLANK(Tableau2[[#This Row],[Date envoi ASF Acompte]])=1,,Tableau2[[#This Row],[ACOMPTE PREVU]])</f>
        <v>0</v>
      </c>
      <c r="AO106" s="17"/>
      <c r="AP106" s="2"/>
      <c r="AQ106" s="6"/>
      <c r="AR106" s="6"/>
      <c r="AS106" s="17"/>
      <c r="AT106" s="17"/>
      <c r="AU106" s="20"/>
      <c r="AV106" s="17"/>
      <c r="AW106" s="17"/>
      <c r="AX106" s="17">
        <f>IF(Tableau2[[#This Row],[Montant participation voté au CA]]="",0,Tableau2[[#This Row],[Montant participation voté au CA]]-Tableau2[[#This Row],[Montant participation à signature]])</f>
        <v>0</v>
      </c>
      <c r="AY106" s="52">
        <v>87346</v>
      </c>
      <c r="AZ106" s="17">
        <f>Tableau2[[#This Row],[AVANCE VERSEE]]+Tableau2[[#This Row],[ACOMPTE VERSE]]+Tableau2[[#This Row],[SOLDE VERSE]]</f>
        <v>0</v>
      </c>
      <c r="BA106" s="17">
        <f>IF(Tableau2[[#This Row],[STATUT]]="Soldée",0,Tableau2[[#This Row],[Montant participation à signature]]-Tableau2[[#This Row],[Total CP payés]])</f>
        <v>87346</v>
      </c>
      <c r="BB106" s="17">
        <f>IF(Tableau2[[#This Row],[SOLDE VERSE]]&lt;0,-Tableau2[[#This Row],[SOLDE VERSE]],0)</f>
        <v>0</v>
      </c>
      <c r="BC106" s="17">
        <f>IF(Tableau2[[#This Row],[STATUT]]="Soldée",Tableau2[[#This Row],[Montant participation à signature]]-Tableau2[[#This Row],[Total CP payés]],0)</f>
        <v>0</v>
      </c>
      <c r="BD106" s="17">
        <f>IF(Tableau2[[#This Row],[Montant participation voté au CA]]="",0,Tableau2[[#This Row],[Réfaction]]+Tableau2[[#This Row],[Montant des crédits non engagés]])</f>
        <v>0</v>
      </c>
      <c r="BF106"/>
      <c r="BJ106"/>
      <c r="BK106"/>
      <c r="BL106"/>
      <c r="BM106"/>
      <c r="BP106"/>
      <c r="BQ106"/>
      <c r="BR106"/>
      <c r="BS106"/>
      <c r="BT106"/>
      <c r="BU106"/>
      <c r="BV106"/>
      <c r="BW106"/>
      <c r="BX106"/>
      <c r="BY106"/>
      <c r="CA106"/>
      <c r="CB106"/>
    </row>
    <row r="107" spans="1:80" ht="15" customHeight="1" x14ac:dyDescent="0.25">
      <c r="A107" s="4">
        <v>109</v>
      </c>
      <c r="B107" s="36"/>
      <c r="C107" s="39">
        <v>42703</v>
      </c>
      <c r="D107" s="73" t="s">
        <v>154</v>
      </c>
      <c r="E107" s="38">
        <v>2</v>
      </c>
      <c r="F107" s="38" t="s">
        <v>70</v>
      </c>
      <c r="G107" s="96" t="s">
        <v>143</v>
      </c>
      <c r="H107" s="96" t="s">
        <v>144</v>
      </c>
      <c r="I107" s="40"/>
      <c r="J107" s="79"/>
      <c r="K107" s="72"/>
      <c r="L107" s="34"/>
      <c r="M107" s="35"/>
      <c r="N107" s="38">
        <v>32</v>
      </c>
      <c r="O107" s="37">
        <v>6</v>
      </c>
      <c r="P107" s="37">
        <f>IF(Tableau2[[#This Row],[Durée du projet]]="","-",Tableau2[[#This Row],[Durée du projet]]+Tableau2[[#This Row],[Durée suppl'' pour pièces]])</f>
        <v>38</v>
      </c>
      <c r="Q107" s="38"/>
      <c r="R107" s="61"/>
      <c r="S107" s="6" t="str">
        <f>IF(Tableau2[[#This Row],[Date signature ]]="","",EOMONTH((EDATE(Tableau2[[#This Row],[Début éligibilité dépenses]],Tableau2[[#This Row],[Durée du projet]])),-1))</f>
        <v/>
      </c>
      <c r="T107" s="6" t="str">
        <f>IF(Tableau2[[#This Row],[Fin éligibilité dépenses]]="","",EDATE(Tableau2[[#This Row],[Fin éligibilité dépenses]],-6))</f>
        <v/>
      </c>
      <c r="U107" s="6" t="str">
        <f>IF(Tableau2[[#This Row],[Début éligibilité dépenses]]="","",EOMONTH(EDATE(Tableau2[[#This Row],[Début éligibilité dépenses]],Tableau2[[#This Row],[Durée du projet]]/2),0))</f>
        <v/>
      </c>
      <c r="V107" s="59" t="str">
        <f>IF(Tableau2[[#This Row],[Date signature ]]="","",EDATE(Tableau2[[#This Row],[Date signature ]],Tableau2[[#This Row],[Durée totale conv'' ]])-1)</f>
        <v/>
      </c>
      <c r="W107" s="40" t="s">
        <v>21</v>
      </c>
      <c r="X107" s="2"/>
      <c r="Y107" s="40" t="s">
        <v>145</v>
      </c>
      <c r="Z107" s="2"/>
      <c r="AA107" s="2"/>
      <c r="AB107" s="19"/>
      <c r="AC107" s="21">
        <f>IF(Tableau2[[#This Row],[PORTEUR
DE
PROJET]]="",0,IF(COUNTIF(Tableau2[[#This Row],[PORTEUR
DE
PROJET]],"CRA*")=1,Tableau2[[#This Row],[Montant participation à signature]]/2,Tableau2[[#This Row],[Montant participation à signature]]*0.3))</f>
        <v>4478.652</v>
      </c>
      <c r="AD107" s="6" t="str">
        <f>IF(Tableau2[[#This Row],[Date signature ]]="","",EDATE(Tableau2[[#This Row],[Date signature ]],1))</f>
        <v/>
      </c>
      <c r="AE107" s="21">
        <f>IF(Tableau2[[#This Row],[PORTEUR
DE
PROJET]]="",0,IF(COUNTIF(Tableau2[[#This Row],[PORTEUR
DE
PROJET]],"CRA*")=1,,Tableau2[[#This Row],[Montant participation à signature]]*0.4))</f>
        <v>5971.5360000000001</v>
      </c>
      <c r="AF107" s="6" t="str">
        <f>IF(Tableau2[[#This Row],[Date signature ]]="","",IF(Tableau2[[#This Row],[ACOMPTE PREVU]]=0,"",EOMONTH(EDATE(Tableau2[[#This Row],[Date signature ]],Tableau2[[#This Row],[Durée du projet]]/2),0)))</f>
        <v/>
      </c>
      <c r="AG107" s="21">
        <f>IF(Tableau2[[#This Row],[PORTEUR
DE
PROJET]]="",0,IF(COUNTIF(Tableau2[[#This Row],[PORTEUR
DE
PROJET]],"CRA*")=1,Tableau2[[#This Row],[Montant participation à signature]]/2,Tableau2[[#This Row],[Montant participation à signature]]*0.3))</f>
        <v>4478.652</v>
      </c>
      <c r="AH107" s="6" t="str">
        <f>IF(Tableau2[[#This Row],[Date signature ]]="","",EOMONTH(EDATE(Tableau2[[#This Row],[Date signature ]],Tableau2[[#This Row],[Durée du projet]]),0))</f>
        <v/>
      </c>
      <c r="AI107" s="29">
        <f>IF(COUNTBLANK(Tableau2[[#This Row],[Date du mandat Avance]])=1,,Tableau2[[#This Row],[AVANCE PREVUE]])</f>
        <v>0</v>
      </c>
      <c r="AJ107" s="56"/>
      <c r="AK107" s="2"/>
      <c r="AL107" s="6"/>
      <c r="AM107" s="6"/>
      <c r="AN107" s="17">
        <f>IF(COUNTBLANK(Tableau2[[#This Row],[Date envoi ASF Acompte]])=1,,Tableau2[[#This Row],[ACOMPTE PREVU]])</f>
        <v>0</v>
      </c>
      <c r="AO107" s="17"/>
      <c r="AP107" s="2"/>
      <c r="AQ107" s="6"/>
      <c r="AR107" s="6"/>
      <c r="AS107" s="17"/>
      <c r="AT107" s="17"/>
      <c r="AU107" s="20"/>
      <c r="AV107" s="17"/>
      <c r="AW107" s="17"/>
      <c r="AX107" s="17">
        <f>IF(Tableau2[[#This Row],[Montant participation voté au CA]]="",0,Tableau2[[#This Row],[Montant participation voté au CA]]-Tableau2[[#This Row],[Montant participation à signature]])</f>
        <v>0</v>
      </c>
      <c r="AY107" s="52">
        <v>14928.84</v>
      </c>
      <c r="AZ107" s="17">
        <f>Tableau2[[#This Row],[AVANCE VERSEE]]+Tableau2[[#This Row],[ACOMPTE VERSE]]+Tableau2[[#This Row],[SOLDE VERSE]]</f>
        <v>0</v>
      </c>
      <c r="BA107" s="17">
        <f>IF(Tableau2[[#This Row],[STATUT]]="Soldée",0,Tableau2[[#This Row],[Montant participation à signature]]-Tableau2[[#This Row],[Total CP payés]])</f>
        <v>14928.84</v>
      </c>
      <c r="BB107" s="17">
        <f>IF(Tableau2[[#This Row],[SOLDE VERSE]]&lt;0,-Tableau2[[#This Row],[SOLDE VERSE]],0)</f>
        <v>0</v>
      </c>
      <c r="BC107" s="17">
        <f>IF(Tableau2[[#This Row],[STATUT]]="Soldée",Tableau2[[#This Row],[Montant participation à signature]]-Tableau2[[#This Row],[Total CP payés]],0)</f>
        <v>0</v>
      </c>
      <c r="BD107" s="17">
        <f>IF(Tableau2[[#This Row],[Montant participation voté au CA]]="",0,Tableau2[[#This Row],[Réfaction]]+Tableau2[[#This Row],[Montant des crédits non engagés]])</f>
        <v>0</v>
      </c>
      <c r="BF107"/>
      <c r="BJ107"/>
      <c r="BK107"/>
      <c r="BL107"/>
      <c r="BM107"/>
      <c r="BP107"/>
      <c r="BQ107"/>
      <c r="BR107"/>
      <c r="BS107"/>
      <c r="BT107"/>
      <c r="BU107"/>
      <c r="BV107"/>
      <c r="BW107"/>
      <c r="BX107"/>
      <c r="BY107"/>
      <c r="CA107"/>
      <c r="CB107"/>
    </row>
    <row r="108" spans="1:80" ht="15" customHeight="1" x14ac:dyDescent="0.25">
      <c r="A108" s="4">
        <v>110</v>
      </c>
      <c r="B108" s="36"/>
      <c r="C108" s="39">
        <v>42703</v>
      </c>
      <c r="D108" s="73" t="s">
        <v>154</v>
      </c>
      <c r="E108" s="38">
        <v>2</v>
      </c>
      <c r="F108" s="38" t="s">
        <v>70</v>
      </c>
      <c r="G108" s="96" t="s">
        <v>143</v>
      </c>
      <c r="H108" s="96" t="s">
        <v>144</v>
      </c>
      <c r="I108" s="40"/>
      <c r="J108" s="79"/>
      <c r="K108" s="72"/>
      <c r="L108" s="34"/>
      <c r="M108" s="35"/>
      <c r="N108" s="38">
        <v>12</v>
      </c>
      <c r="O108" s="37">
        <v>6</v>
      </c>
      <c r="P108" s="37">
        <f>IF(Tableau2[[#This Row],[Durée du projet]]="","-",Tableau2[[#This Row],[Durée du projet]]+Tableau2[[#This Row],[Durée suppl'' pour pièces]])</f>
        <v>18</v>
      </c>
      <c r="Q108" s="38"/>
      <c r="R108" s="61"/>
      <c r="S108" s="6" t="str">
        <f>IF(Tableau2[[#This Row],[Date signature ]]="","",EOMONTH((EDATE(Tableau2[[#This Row],[Début éligibilité dépenses]],Tableau2[[#This Row],[Durée du projet]])),-1))</f>
        <v/>
      </c>
      <c r="T108" s="6" t="str">
        <f>IF(Tableau2[[#This Row],[Fin éligibilité dépenses]]="","",EDATE(Tableau2[[#This Row],[Fin éligibilité dépenses]],-6))</f>
        <v/>
      </c>
      <c r="U108" s="6" t="str">
        <f>IF(Tableau2[[#This Row],[Début éligibilité dépenses]]="","",EOMONTH(EDATE(Tableau2[[#This Row],[Début éligibilité dépenses]],Tableau2[[#This Row],[Durée du projet]]/2),0))</f>
        <v/>
      </c>
      <c r="V108" s="59" t="str">
        <f>IF(Tableau2[[#This Row],[Date signature ]]="","",EDATE(Tableau2[[#This Row],[Date signature ]],Tableau2[[#This Row],[Durée totale conv'' ]])-1)</f>
        <v/>
      </c>
      <c r="W108" s="40" t="s">
        <v>21</v>
      </c>
      <c r="X108" s="2"/>
      <c r="Y108" s="40" t="s">
        <v>145</v>
      </c>
      <c r="Z108" s="2"/>
      <c r="AA108" s="2"/>
      <c r="AB108" s="19"/>
      <c r="AC108" s="21">
        <f>IF(Tableau2[[#This Row],[PORTEUR
DE
PROJET]]="",0,IF(COUNTIF(Tableau2[[#This Row],[PORTEUR
DE
PROJET]],"CRA*")=1,Tableau2[[#This Row],[Montant participation à signature]]/2,Tableau2[[#This Row],[Montant participation à signature]]*0.3))</f>
        <v>35928</v>
      </c>
      <c r="AD108" s="6" t="str">
        <f>IF(Tableau2[[#This Row],[Date signature ]]="","",EDATE(Tableau2[[#This Row],[Date signature ]],1))</f>
        <v/>
      </c>
      <c r="AE108" s="21">
        <f>IF(Tableau2[[#This Row],[PORTEUR
DE
PROJET]]="",0,IF(COUNTIF(Tableau2[[#This Row],[PORTEUR
DE
PROJET]],"CRA*")=1,,Tableau2[[#This Row],[Montant participation à signature]]*0.4))</f>
        <v>47904</v>
      </c>
      <c r="AF108" s="6" t="str">
        <f>IF(Tableau2[[#This Row],[Date signature ]]="","",IF(Tableau2[[#This Row],[ACOMPTE PREVU]]=0,"",EOMONTH(EDATE(Tableau2[[#This Row],[Date signature ]],Tableau2[[#This Row],[Durée du projet]]/2),0)))</f>
        <v/>
      </c>
      <c r="AG108" s="21">
        <f>IF(Tableau2[[#This Row],[PORTEUR
DE
PROJET]]="",0,IF(COUNTIF(Tableau2[[#This Row],[PORTEUR
DE
PROJET]],"CRA*")=1,Tableau2[[#This Row],[Montant participation à signature]]/2,Tableau2[[#This Row],[Montant participation à signature]]*0.3))</f>
        <v>35928</v>
      </c>
      <c r="AH108" s="6" t="str">
        <f>IF(Tableau2[[#This Row],[Date signature ]]="","",EOMONTH(EDATE(Tableau2[[#This Row],[Date signature ]],Tableau2[[#This Row],[Durée du projet]]),0))</f>
        <v/>
      </c>
      <c r="AI108" s="29">
        <f>IF(COUNTBLANK(Tableau2[[#This Row],[Date du mandat Avance]])=1,,Tableau2[[#This Row],[AVANCE PREVUE]])</f>
        <v>0</v>
      </c>
      <c r="AJ108" s="56"/>
      <c r="AK108" s="2"/>
      <c r="AL108" s="6"/>
      <c r="AM108" s="6"/>
      <c r="AN108" s="17">
        <f>IF(COUNTBLANK(Tableau2[[#This Row],[Date envoi ASF Acompte]])=1,,Tableau2[[#This Row],[ACOMPTE PREVU]])</f>
        <v>0</v>
      </c>
      <c r="AO108" s="17"/>
      <c r="AP108" s="2"/>
      <c r="AQ108" s="6"/>
      <c r="AR108" s="6"/>
      <c r="AS108" s="17"/>
      <c r="AT108" s="17"/>
      <c r="AU108" s="20"/>
      <c r="AV108" s="17"/>
      <c r="AW108" s="17"/>
      <c r="AX108" s="17">
        <f>IF(Tableau2[[#This Row],[Montant participation voté au CA]]="",0,Tableau2[[#This Row],[Montant participation voté au CA]]-Tableau2[[#This Row],[Montant participation à signature]])</f>
        <v>0</v>
      </c>
      <c r="AY108" s="52">
        <v>119760</v>
      </c>
      <c r="AZ108" s="17">
        <f>Tableau2[[#This Row],[AVANCE VERSEE]]+Tableau2[[#This Row],[ACOMPTE VERSE]]+Tableau2[[#This Row],[SOLDE VERSE]]</f>
        <v>0</v>
      </c>
      <c r="BA108" s="17">
        <f>IF(Tableau2[[#This Row],[STATUT]]="Soldée",0,Tableau2[[#This Row],[Montant participation à signature]]-Tableau2[[#This Row],[Total CP payés]])</f>
        <v>119760</v>
      </c>
      <c r="BB108" s="17">
        <f>IF(Tableau2[[#This Row],[SOLDE VERSE]]&lt;0,-Tableau2[[#This Row],[SOLDE VERSE]],0)</f>
        <v>0</v>
      </c>
      <c r="BC108" s="17">
        <f>IF(Tableau2[[#This Row],[STATUT]]="Soldée",Tableau2[[#This Row],[Montant participation à signature]]-Tableau2[[#This Row],[Total CP payés]],0)</f>
        <v>0</v>
      </c>
      <c r="BD108" s="17">
        <f>IF(Tableau2[[#This Row],[Montant participation voté au CA]]="",0,Tableau2[[#This Row],[Réfaction]]+Tableau2[[#This Row],[Montant des crédits non engagés]])</f>
        <v>0</v>
      </c>
      <c r="BF108"/>
      <c r="BJ108"/>
      <c r="BK108"/>
      <c r="BL108"/>
      <c r="BM108"/>
      <c r="BP108"/>
      <c r="BQ108"/>
      <c r="BR108"/>
      <c r="BS108"/>
      <c r="BT108"/>
      <c r="BU108"/>
      <c r="BV108"/>
      <c r="BW108"/>
      <c r="BX108"/>
      <c r="BY108"/>
      <c r="CA108"/>
      <c r="CB108"/>
    </row>
    <row r="109" spans="1:80" ht="15" customHeight="1" x14ac:dyDescent="0.25">
      <c r="A109" s="4">
        <v>111</v>
      </c>
      <c r="B109" s="36"/>
      <c r="C109" s="39">
        <v>42703</v>
      </c>
      <c r="D109" s="73" t="s">
        <v>154</v>
      </c>
      <c r="E109" s="38">
        <v>2</v>
      </c>
      <c r="F109" s="38" t="s">
        <v>70</v>
      </c>
      <c r="G109" s="96" t="s">
        <v>143</v>
      </c>
      <c r="H109" s="96" t="s">
        <v>144</v>
      </c>
      <c r="I109" s="40"/>
      <c r="J109" s="79"/>
      <c r="K109" s="72"/>
      <c r="L109" s="34"/>
      <c r="M109" s="35"/>
      <c r="N109" s="38">
        <v>36</v>
      </c>
      <c r="O109" s="37">
        <v>6</v>
      </c>
      <c r="P109" s="37">
        <f>IF(Tableau2[[#This Row],[Durée du projet]]="","-",Tableau2[[#This Row],[Durée du projet]]+Tableau2[[#This Row],[Durée suppl'' pour pièces]])</f>
        <v>42</v>
      </c>
      <c r="Q109" s="38"/>
      <c r="R109" s="61"/>
      <c r="S109" s="6" t="str">
        <f>IF(Tableau2[[#This Row],[Date signature ]]="","",EOMONTH((EDATE(Tableau2[[#This Row],[Début éligibilité dépenses]],Tableau2[[#This Row],[Durée du projet]])),-1))</f>
        <v/>
      </c>
      <c r="T109" s="6" t="str">
        <f>IF(Tableau2[[#This Row],[Fin éligibilité dépenses]]="","",EDATE(Tableau2[[#This Row],[Fin éligibilité dépenses]],-6))</f>
        <v/>
      </c>
      <c r="U109" s="6" t="str">
        <f>IF(Tableau2[[#This Row],[Début éligibilité dépenses]]="","",EOMONTH(EDATE(Tableau2[[#This Row],[Début éligibilité dépenses]],Tableau2[[#This Row],[Durée du projet]]/2),0))</f>
        <v/>
      </c>
      <c r="V109" s="59" t="str">
        <f>IF(Tableau2[[#This Row],[Date signature ]]="","",EDATE(Tableau2[[#This Row],[Date signature ]],Tableau2[[#This Row],[Durée totale conv'' ]])-1)</f>
        <v/>
      </c>
      <c r="W109" s="40" t="s">
        <v>21</v>
      </c>
      <c r="X109" s="2"/>
      <c r="Y109" s="40" t="s">
        <v>145</v>
      </c>
      <c r="Z109" s="2"/>
      <c r="AA109" s="2"/>
      <c r="AB109" s="19"/>
      <c r="AC109" s="21">
        <f>IF(Tableau2[[#This Row],[PORTEUR
DE
PROJET]]="",0,IF(COUNTIF(Tableau2[[#This Row],[PORTEUR
DE
PROJET]],"CRA*")=1,Tableau2[[#This Row],[Montant participation à signature]]/2,Tableau2[[#This Row],[Montant participation à signature]]*0.3))</f>
        <v>4521.6360000000004</v>
      </c>
      <c r="AD109" s="6" t="str">
        <f>IF(Tableau2[[#This Row],[Date signature ]]="","",EDATE(Tableau2[[#This Row],[Date signature ]],1))</f>
        <v/>
      </c>
      <c r="AE109" s="21">
        <f>IF(Tableau2[[#This Row],[PORTEUR
DE
PROJET]]="",0,IF(COUNTIF(Tableau2[[#This Row],[PORTEUR
DE
PROJET]],"CRA*")=1,,Tableau2[[#This Row],[Montant participation à signature]]*0.4))</f>
        <v>6028.8480000000009</v>
      </c>
      <c r="AF109" s="6" t="str">
        <f>IF(Tableau2[[#This Row],[Date signature ]]="","",IF(Tableau2[[#This Row],[ACOMPTE PREVU]]=0,"",EOMONTH(EDATE(Tableau2[[#This Row],[Date signature ]],Tableau2[[#This Row],[Durée du projet]]/2),0)))</f>
        <v/>
      </c>
      <c r="AG109" s="21">
        <f>IF(Tableau2[[#This Row],[PORTEUR
DE
PROJET]]="",0,IF(COUNTIF(Tableau2[[#This Row],[PORTEUR
DE
PROJET]],"CRA*")=1,Tableau2[[#This Row],[Montant participation à signature]]/2,Tableau2[[#This Row],[Montant participation à signature]]*0.3))</f>
        <v>4521.6360000000004</v>
      </c>
      <c r="AH109" s="6" t="str">
        <f>IF(Tableau2[[#This Row],[Date signature ]]="","",EOMONTH(EDATE(Tableau2[[#This Row],[Date signature ]],Tableau2[[#This Row],[Durée du projet]]),0))</f>
        <v/>
      </c>
      <c r="AI109" s="29">
        <f>IF(COUNTBLANK(Tableau2[[#This Row],[Date du mandat Avance]])=1,,Tableau2[[#This Row],[AVANCE PREVUE]])</f>
        <v>0</v>
      </c>
      <c r="AJ109" s="56"/>
      <c r="AK109" s="2"/>
      <c r="AL109" s="6"/>
      <c r="AM109" s="6"/>
      <c r="AN109" s="17">
        <f>IF(COUNTBLANK(Tableau2[[#This Row],[Date envoi ASF Acompte]])=1,,Tableau2[[#This Row],[ACOMPTE PREVU]])</f>
        <v>0</v>
      </c>
      <c r="AO109" s="17"/>
      <c r="AP109" s="2"/>
      <c r="AQ109" s="6"/>
      <c r="AR109" s="6"/>
      <c r="AS109" s="17"/>
      <c r="AT109" s="17"/>
      <c r="AU109" s="20"/>
      <c r="AV109" s="17"/>
      <c r="AW109" s="17"/>
      <c r="AX109" s="17">
        <f>IF(Tableau2[[#This Row],[Montant participation voté au CA]]="",0,Tableau2[[#This Row],[Montant participation voté au CA]]-Tableau2[[#This Row],[Montant participation à signature]])</f>
        <v>0</v>
      </c>
      <c r="AY109" s="52">
        <v>15072.12</v>
      </c>
      <c r="AZ109" s="17">
        <f>Tableau2[[#This Row],[AVANCE VERSEE]]+Tableau2[[#This Row],[ACOMPTE VERSE]]+Tableau2[[#This Row],[SOLDE VERSE]]</f>
        <v>0</v>
      </c>
      <c r="BA109" s="17">
        <f>IF(Tableau2[[#This Row],[STATUT]]="Soldée",0,Tableau2[[#This Row],[Montant participation à signature]]-Tableau2[[#This Row],[Total CP payés]])</f>
        <v>15072.12</v>
      </c>
      <c r="BB109" s="17">
        <f>IF(Tableau2[[#This Row],[SOLDE VERSE]]&lt;0,-Tableau2[[#This Row],[SOLDE VERSE]],0)</f>
        <v>0</v>
      </c>
      <c r="BC109" s="17">
        <f>IF(Tableau2[[#This Row],[STATUT]]="Soldée",Tableau2[[#This Row],[Montant participation à signature]]-Tableau2[[#This Row],[Total CP payés]],0)</f>
        <v>0</v>
      </c>
      <c r="BD109" s="17">
        <f>IF(Tableau2[[#This Row],[Montant participation voté au CA]]="",0,Tableau2[[#This Row],[Réfaction]]+Tableau2[[#This Row],[Montant des crédits non engagés]])</f>
        <v>0</v>
      </c>
      <c r="BF109"/>
      <c r="BJ109"/>
      <c r="BK109"/>
      <c r="BL109"/>
      <c r="BM109"/>
      <c r="BP109"/>
      <c r="BQ109"/>
      <c r="BR109"/>
      <c r="BS109"/>
      <c r="BT109"/>
      <c r="BU109"/>
      <c r="BV109"/>
      <c r="BW109"/>
      <c r="BX109"/>
      <c r="BY109"/>
      <c r="CA109"/>
      <c r="CB109"/>
    </row>
    <row r="110" spans="1:80" ht="15" customHeight="1" x14ac:dyDescent="0.25">
      <c r="A110" s="4">
        <v>112</v>
      </c>
      <c r="B110" s="36"/>
      <c r="C110" s="39">
        <v>42703</v>
      </c>
      <c r="D110" s="73" t="s">
        <v>154</v>
      </c>
      <c r="E110" s="38">
        <v>2</v>
      </c>
      <c r="F110" s="38" t="s">
        <v>70</v>
      </c>
      <c r="G110" s="96" t="s">
        <v>143</v>
      </c>
      <c r="H110" s="96" t="s">
        <v>144</v>
      </c>
      <c r="I110" s="40"/>
      <c r="J110" s="79"/>
      <c r="K110" s="72"/>
      <c r="L110" s="34"/>
      <c r="M110" s="35"/>
      <c r="N110" s="38">
        <v>12</v>
      </c>
      <c r="O110" s="37">
        <v>6</v>
      </c>
      <c r="P110" s="37">
        <f>IF(Tableau2[[#This Row],[Durée du projet]]="","-",Tableau2[[#This Row],[Durée du projet]]+Tableau2[[#This Row],[Durée suppl'' pour pièces]])</f>
        <v>18</v>
      </c>
      <c r="Q110" s="38"/>
      <c r="R110" s="61"/>
      <c r="S110" s="6" t="str">
        <f>IF(Tableau2[[#This Row],[Date signature ]]="","",EOMONTH((EDATE(Tableau2[[#This Row],[Début éligibilité dépenses]],Tableau2[[#This Row],[Durée du projet]])),-1))</f>
        <v/>
      </c>
      <c r="T110" s="6" t="str">
        <f>IF(Tableau2[[#This Row],[Fin éligibilité dépenses]]="","",EDATE(Tableau2[[#This Row],[Fin éligibilité dépenses]],-6))</f>
        <v/>
      </c>
      <c r="U110" s="6" t="str">
        <f>IF(Tableau2[[#This Row],[Début éligibilité dépenses]]="","",EOMONTH(EDATE(Tableau2[[#This Row],[Début éligibilité dépenses]],Tableau2[[#This Row],[Durée du projet]]/2),0))</f>
        <v/>
      </c>
      <c r="V110" s="59" t="str">
        <f>IF(Tableau2[[#This Row],[Date signature ]]="","",EDATE(Tableau2[[#This Row],[Date signature ]],Tableau2[[#This Row],[Durée totale conv'' ]])-1)</f>
        <v/>
      </c>
      <c r="W110" s="40" t="s">
        <v>21</v>
      </c>
      <c r="X110" s="2"/>
      <c r="Y110" s="40" t="s">
        <v>145</v>
      </c>
      <c r="Z110" s="2"/>
      <c r="AA110" s="2"/>
      <c r="AB110" s="19"/>
      <c r="AC110" s="21">
        <f>IF(Tableau2[[#This Row],[PORTEUR
DE
PROJET]]="",0,IF(COUNTIF(Tableau2[[#This Row],[PORTEUR
DE
PROJET]],"CRA*")=1,Tableau2[[#This Row],[Montant participation à signature]]/2,Tableau2[[#This Row],[Montant participation à signature]]*0.3))</f>
        <v>43614.9</v>
      </c>
      <c r="AD110" s="6" t="str">
        <f>IF(Tableau2[[#This Row],[Date signature ]]="","",EDATE(Tableau2[[#This Row],[Date signature ]],1))</f>
        <v/>
      </c>
      <c r="AE110" s="21">
        <f>IF(Tableau2[[#This Row],[PORTEUR
DE
PROJET]]="",0,IF(COUNTIF(Tableau2[[#This Row],[PORTEUR
DE
PROJET]],"CRA*")=1,,Tableau2[[#This Row],[Montant participation à signature]]*0.4))</f>
        <v>58153.200000000004</v>
      </c>
      <c r="AF110" s="6" t="str">
        <f>IF(Tableau2[[#This Row],[Date signature ]]="","",IF(Tableau2[[#This Row],[ACOMPTE PREVU]]=0,"",EOMONTH(EDATE(Tableau2[[#This Row],[Date signature ]],Tableau2[[#This Row],[Durée du projet]]/2),0)))</f>
        <v/>
      </c>
      <c r="AG110" s="21">
        <f>IF(Tableau2[[#This Row],[PORTEUR
DE
PROJET]]="",0,IF(COUNTIF(Tableau2[[#This Row],[PORTEUR
DE
PROJET]],"CRA*")=1,Tableau2[[#This Row],[Montant participation à signature]]/2,Tableau2[[#This Row],[Montant participation à signature]]*0.3))</f>
        <v>43614.9</v>
      </c>
      <c r="AH110" s="6" t="str">
        <f>IF(Tableau2[[#This Row],[Date signature ]]="","",EOMONTH(EDATE(Tableau2[[#This Row],[Date signature ]],Tableau2[[#This Row],[Durée du projet]]),0))</f>
        <v/>
      </c>
      <c r="AI110" s="29">
        <f>IF(COUNTBLANK(Tableau2[[#This Row],[Date du mandat Avance]])=1,,Tableau2[[#This Row],[AVANCE PREVUE]])</f>
        <v>0</v>
      </c>
      <c r="AJ110" s="56"/>
      <c r="AK110" s="2"/>
      <c r="AL110" s="6"/>
      <c r="AM110" s="6"/>
      <c r="AN110" s="17">
        <f>IF(COUNTBLANK(Tableau2[[#This Row],[Date envoi ASF Acompte]])=1,,Tableau2[[#This Row],[ACOMPTE PREVU]])</f>
        <v>0</v>
      </c>
      <c r="AO110" s="17"/>
      <c r="AP110" s="2"/>
      <c r="AQ110" s="6"/>
      <c r="AR110" s="6"/>
      <c r="AS110" s="17"/>
      <c r="AT110" s="17"/>
      <c r="AU110" s="20"/>
      <c r="AV110" s="17"/>
      <c r="AW110" s="17"/>
      <c r="AX110" s="17">
        <f>IF(Tableau2[[#This Row],[Montant participation voté au CA]]="",0,Tableau2[[#This Row],[Montant participation voté au CA]]-Tableau2[[#This Row],[Montant participation à signature]])</f>
        <v>0</v>
      </c>
      <c r="AY110" s="52">
        <v>145383</v>
      </c>
      <c r="AZ110" s="17">
        <f>Tableau2[[#This Row],[AVANCE VERSEE]]+Tableau2[[#This Row],[ACOMPTE VERSE]]+Tableau2[[#This Row],[SOLDE VERSE]]</f>
        <v>0</v>
      </c>
      <c r="BA110" s="17">
        <f>IF(Tableau2[[#This Row],[STATUT]]="Soldée",0,Tableau2[[#This Row],[Montant participation à signature]]-Tableau2[[#This Row],[Total CP payés]])</f>
        <v>145383</v>
      </c>
      <c r="BB110" s="17">
        <f>IF(Tableau2[[#This Row],[SOLDE VERSE]]&lt;0,-Tableau2[[#This Row],[SOLDE VERSE]],0)</f>
        <v>0</v>
      </c>
      <c r="BC110" s="17">
        <f>IF(Tableau2[[#This Row],[STATUT]]="Soldée",Tableau2[[#This Row],[Montant participation à signature]]-Tableau2[[#This Row],[Total CP payés]],0)</f>
        <v>0</v>
      </c>
      <c r="BD110" s="17">
        <f>IF(Tableau2[[#This Row],[Montant participation voté au CA]]="",0,Tableau2[[#This Row],[Réfaction]]+Tableau2[[#This Row],[Montant des crédits non engagés]])</f>
        <v>0</v>
      </c>
      <c r="BF110"/>
      <c r="BJ110"/>
      <c r="BK110"/>
      <c r="BL110"/>
      <c r="BM110"/>
      <c r="BP110"/>
      <c r="BQ110"/>
      <c r="BR110"/>
      <c r="BS110"/>
      <c r="BT110"/>
      <c r="BU110"/>
      <c r="BV110"/>
      <c r="BW110"/>
      <c r="BX110"/>
      <c r="BY110"/>
      <c r="CA110"/>
      <c r="CB110"/>
    </row>
    <row r="111" spans="1:80" ht="15" customHeight="1" x14ac:dyDescent="0.25">
      <c r="A111" s="4">
        <v>113</v>
      </c>
      <c r="B111" s="36"/>
      <c r="C111" s="39">
        <v>42703</v>
      </c>
      <c r="D111" s="73" t="s">
        <v>154</v>
      </c>
      <c r="E111" s="38">
        <v>2</v>
      </c>
      <c r="F111" s="38" t="s">
        <v>70</v>
      </c>
      <c r="G111" s="96" t="s">
        <v>143</v>
      </c>
      <c r="H111" s="96" t="s">
        <v>144</v>
      </c>
      <c r="I111" s="40"/>
      <c r="J111" s="79"/>
      <c r="K111" s="72"/>
      <c r="L111" s="34"/>
      <c r="M111" s="35"/>
      <c r="N111" s="38">
        <v>36</v>
      </c>
      <c r="O111" s="37">
        <v>6</v>
      </c>
      <c r="P111" s="37">
        <f>IF(Tableau2[[#This Row],[Durée du projet]]="","-",Tableau2[[#This Row],[Durée du projet]]+Tableau2[[#This Row],[Durée suppl'' pour pièces]])</f>
        <v>42</v>
      </c>
      <c r="Q111" s="38"/>
      <c r="R111" s="61"/>
      <c r="S111" s="6" t="str">
        <f>IF(Tableau2[[#This Row],[Date signature ]]="","",EOMONTH((EDATE(Tableau2[[#This Row],[Début éligibilité dépenses]],Tableau2[[#This Row],[Durée du projet]])),-1))</f>
        <v/>
      </c>
      <c r="T111" s="6" t="str">
        <f>IF(Tableau2[[#This Row],[Fin éligibilité dépenses]]="","",EDATE(Tableau2[[#This Row],[Fin éligibilité dépenses]],-6))</f>
        <v/>
      </c>
      <c r="U111" s="6" t="str">
        <f>IF(Tableau2[[#This Row],[Début éligibilité dépenses]]="","",EOMONTH(EDATE(Tableau2[[#This Row],[Début éligibilité dépenses]],Tableau2[[#This Row],[Durée du projet]]/2),0))</f>
        <v/>
      </c>
      <c r="V111" s="59" t="str">
        <f>IF(Tableau2[[#This Row],[Date signature ]]="","",EDATE(Tableau2[[#This Row],[Date signature ]],Tableau2[[#This Row],[Durée totale conv'' ]])-1)</f>
        <v/>
      </c>
      <c r="W111" s="40" t="s">
        <v>21</v>
      </c>
      <c r="X111" s="2"/>
      <c r="Y111" s="40" t="s">
        <v>145</v>
      </c>
      <c r="Z111" s="2"/>
      <c r="AA111" s="2"/>
      <c r="AB111" s="19"/>
      <c r="AC111" s="21">
        <f>IF(Tableau2[[#This Row],[PORTEUR
DE
PROJET]]="",0,IF(COUNTIF(Tableau2[[#This Row],[PORTEUR
DE
PROJET]],"CRA*")=1,Tableau2[[#This Row],[Montant participation à signature]]/2,Tableau2[[#This Row],[Montant participation à signature]]*0.3))</f>
        <v>88650</v>
      </c>
      <c r="AD111" s="6" t="str">
        <f>IF(Tableau2[[#This Row],[Date signature ]]="","",EDATE(Tableau2[[#This Row],[Date signature ]],1))</f>
        <v/>
      </c>
      <c r="AE111" s="21">
        <f>IF(Tableau2[[#This Row],[PORTEUR
DE
PROJET]]="",0,IF(COUNTIF(Tableau2[[#This Row],[PORTEUR
DE
PROJET]],"CRA*")=1,,Tableau2[[#This Row],[Montant participation à signature]]*0.4))</f>
        <v>118200</v>
      </c>
      <c r="AF111" s="6" t="str">
        <f>IF(Tableau2[[#This Row],[Date signature ]]="","",IF(Tableau2[[#This Row],[ACOMPTE PREVU]]=0,"",EOMONTH(EDATE(Tableau2[[#This Row],[Date signature ]],Tableau2[[#This Row],[Durée du projet]]/2),0)))</f>
        <v/>
      </c>
      <c r="AG111" s="21">
        <f>IF(Tableau2[[#This Row],[PORTEUR
DE
PROJET]]="",0,IF(COUNTIF(Tableau2[[#This Row],[PORTEUR
DE
PROJET]],"CRA*")=1,Tableau2[[#This Row],[Montant participation à signature]]/2,Tableau2[[#This Row],[Montant participation à signature]]*0.3))</f>
        <v>88650</v>
      </c>
      <c r="AH111" s="6" t="str">
        <f>IF(Tableau2[[#This Row],[Date signature ]]="","",EOMONTH(EDATE(Tableau2[[#This Row],[Date signature ]],Tableau2[[#This Row],[Durée du projet]]),0))</f>
        <v/>
      </c>
      <c r="AI111" s="29">
        <f>IF(COUNTBLANK(Tableau2[[#This Row],[Date du mandat Avance]])=1,,Tableau2[[#This Row],[AVANCE PREVUE]])</f>
        <v>0</v>
      </c>
      <c r="AJ111" s="56"/>
      <c r="AK111" s="2"/>
      <c r="AL111" s="6"/>
      <c r="AM111" s="6"/>
      <c r="AN111" s="17">
        <f>IF(COUNTBLANK(Tableau2[[#This Row],[Date envoi ASF Acompte]])=1,,Tableau2[[#This Row],[ACOMPTE PREVU]])</f>
        <v>0</v>
      </c>
      <c r="AO111" s="17"/>
      <c r="AP111" s="2"/>
      <c r="AQ111" s="6"/>
      <c r="AR111" s="6"/>
      <c r="AS111" s="17"/>
      <c r="AT111" s="17"/>
      <c r="AU111" s="20"/>
      <c r="AV111" s="17"/>
      <c r="AW111" s="17"/>
      <c r="AX111" s="17">
        <f>IF(Tableau2[[#This Row],[Montant participation voté au CA]]="",0,Tableau2[[#This Row],[Montant participation voté au CA]]-Tableau2[[#This Row],[Montant participation à signature]])</f>
        <v>0</v>
      </c>
      <c r="AY111" s="52">
        <v>295500</v>
      </c>
      <c r="AZ111" s="17">
        <f>Tableau2[[#This Row],[AVANCE VERSEE]]+Tableau2[[#This Row],[ACOMPTE VERSE]]+Tableau2[[#This Row],[SOLDE VERSE]]</f>
        <v>0</v>
      </c>
      <c r="BA111" s="17">
        <f>IF(Tableau2[[#This Row],[STATUT]]="Soldée",0,Tableau2[[#This Row],[Montant participation à signature]]-Tableau2[[#This Row],[Total CP payés]])</f>
        <v>295500</v>
      </c>
      <c r="BB111" s="17">
        <f>IF(Tableau2[[#This Row],[SOLDE VERSE]]&lt;0,-Tableau2[[#This Row],[SOLDE VERSE]],0)</f>
        <v>0</v>
      </c>
      <c r="BC111" s="17">
        <f>IF(Tableau2[[#This Row],[STATUT]]="Soldée",Tableau2[[#This Row],[Montant participation à signature]]-Tableau2[[#This Row],[Total CP payés]],0)</f>
        <v>0</v>
      </c>
      <c r="BD111" s="17">
        <f>IF(Tableau2[[#This Row],[Montant participation voté au CA]]="",0,Tableau2[[#This Row],[Réfaction]]+Tableau2[[#This Row],[Montant des crédits non engagés]])</f>
        <v>0</v>
      </c>
      <c r="BF111"/>
      <c r="BJ111"/>
      <c r="BK111"/>
      <c r="BL111"/>
      <c r="BM111"/>
      <c r="BP111"/>
      <c r="BQ111"/>
      <c r="BR111"/>
      <c r="BS111"/>
      <c r="BT111"/>
      <c r="BU111"/>
      <c r="BV111"/>
      <c r="BW111"/>
      <c r="BX111"/>
      <c r="BY111"/>
      <c r="CA111"/>
      <c r="CB111"/>
    </row>
    <row r="112" spans="1:80" ht="15" customHeight="1" x14ac:dyDescent="0.25">
      <c r="A112" s="4">
        <v>114</v>
      </c>
      <c r="B112" s="36"/>
      <c r="C112" s="39">
        <v>42703</v>
      </c>
      <c r="D112" s="73" t="s">
        <v>154</v>
      </c>
      <c r="E112" s="38">
        <v>2</v>
      </c>
      <c r="F112" s="38" t="s">
        <v>70</v>
      </c>
      <c r="G112" s="96" t="s">
        <v>143</v>
      </c>
      <c r="H112" s="96" t="s">
        <v>144</v>
      </c>
      <c r="I112" s="40"/>
      <c r="J112" s="79"/>
      <c r="K112" s="72"/>
      <c r="L112" s="34"/>
      <c r="M112" s="35"/>
      <c r="N112" s="38">
        <v>12</v>
      </c>
      <c r="O112" s="37">
        <v>6</v>
      </c>
      <c r="P112" s="37">
        <f>IF(Tableau2[[#This Row],[Durée du projet]]="","-",Tableau2[[#This Row],[Durée du projet]]+Tableau2[[#This Row],[Durée suppl'' pour pièces]])</f>
        <v>18</v>
      </c>
      <c r="Q112" s="38"/>
      <c r="R112" s="61"/>
      <c r="S112" s="6" t="str">
        <f>IF(Tableau2[[#This Row],[Date signature ]]="","",EOMONTH((EDATE(Tableau2[[#This Row],[Début éligibilité dépenses]],Tableau2[[#This Row],[Durée du projet]])),-1))</f>
        <v/>
      </c>
      <c r="T112" s="6" t="str">
        <f>IF(Tableau2[[#This Row],[Fin éligibilité dépenses]]="","",EDATE(Tableau2[[#This Row],[Fin éligibilité dépenses]],-6))</f>
        <v/>
      </c>
      <c r="U112" s="6" t="str">
        <f>IF(Tableau2[[#This Row],[Début éligibilité dépenses]]="","",EOMONTH(EDATE(Tableau2[[#This Row],[Début éligibilité dépenses]],Tableau2[[#This Row],[Durée du projet]]/2),0))</f>
        <v/>
      </c>
      <c r="V112" s="59" t="str">
        <f>IF(Tableau2[[#This Row],[Date signature ]]="","",EDATE(Tableau2[[#This Row],[Date signature ]],Tableau2[[#This Row],[Durée totale conv'' ]])-1)</f>
        <v/>
      </c>
      <c r="W112" s="40" t="s">
        <v>21</v>
      </c>
      <c r="X112" s="2"/>
      <c r="Y112" s="40" t="s">
        <v>145</v>
      </c>
      <c r="Z112" s="2"/>
      <c r="AA112" s="2"/>
      <c r="AB112" s="19"/>
      <c r="AC112" s="21">
        <f>IF(Tableau2[[#This Row],[PORTEUR
DE
PROJET]]="",0,IF(COUNTIF(Tableau2[[#This Row],[PORTEUR
DE
PROJET]],"CRA*")=1,Tableau2[[#This Row],[Montant participation à signature]]/2,Tableau2[[#This Row],[Montant participation à signature]]*0.3))</f>
        <v>54750</v>
      </c>
      <c r="AD112" s="6" t="str">
        <f>IF(Tableau2[[#This Row],[Date signature ]]="","",EDATE(Tableau2[[#This Row],[Date signature ]],1))</f>
        <v/>
      </c>
      <c r="AE112" s="21">
        <f>IF(Tableau2[[#This Row],[PORTEUR
DE
PROJET]]="",0,IF(COUNTIF(Tableau2[[#This Row],[PORTEUR
DE
PROJET]],"CRA*")=1,,Tableau2[[#This Row],[Montant participation à signature]]*0.4))</f>
        <v>73000</v>
      </c>
      <c r="AF112" s="6" t="str">
        <f>IF(Tableau2[[#This Row],[Date signature ]]="","",IF(Tableau2[[#This Row],[ACOMPTE PREVU]]=0,"",EOMONTH(EDATE(Tableau2[[#This Row],[Date signature ]],Tableau2[[#This Row],[Durée du projet]]/2),0)))</f>
        <v/>
      </c>
      <c r="AG112" s="21">
        <f>IF(Tableau2[[#This Row],[PORTEUR
DE
PROJET]]="",0,IF(COUNTIF(Tableau2[[#This Row],[PORTEUR
DE
PROJET]],"CRA*")=1,Tableau2[[#This Row],[Montant participation à signature]]/2,Tableau2[[#This Row],[Montant participation à signature]]*0.3))</f>
        <v>54750</v>
      </c>
      <c r="AH112" s="6" t="str">
        <f>IF(Tableau2[[#This Row],[Date signature ]]="","",EOMONTH(EDATE(Tableau2[[#This Row],[Date signature ]],Tableau2[[#This Row],[Durée du projet]]),0))</f>
        <v/>
      </c>
      <c r="AI112" s="29">
        <f>IF(COUNTBLANK(Tableau2[[#This Row],[Date du mandat Avance]])=1,,Tableau2[[#This Row],[AVANCE PREVUE]])</f>
        <v>0</v>
      </c>
      <c r="AJ112" s="56"/>
      <c r="AK112" s="2"/>
      <c r="AL112" s="6"/>
      <c r="AM112" s="6"/>
      <c r="AN112" s="17">
        <f>IF(COUNTBLANK(Tableau2[[#This Row],[Date envoi ASF Acompte]])=1,,Tableau2[[#This Row],[ACOMPTE PREVU]])</f>
        <v>0</v>
      </c>
      <c r="AO112" s="17"/>
      <c r="AP112" s="2"/>
      <c r="AQ112" s="6"/>
      <c r="AR112" s="6"/>
      <c r="AS112" s="17"/>
      <c r="AT112" s="17"/>
      <c r="AU112" s="20"/>
      <c r="AV112" s="17"/>
      <c r="AW112" s="17"/>
      <c r="AX112" s="17">
        <f>IF(Tableau2[[#This Row],[Montant participation voté au CA]]="",0,Tableau2[[#This Row],[Montant participation voté au CA]]-Tableau2[[#This Row],[Montant participation à signature]])</f>
        <v>0</v>
      </c>
      <c r="AY112" s="52">
        <v>182500</v>
      </c>
      <c r="AZ112" s="17">
        <f>Tableau2[[#This Row],[AVANCE VERSEE]]+Tableau2[[#This Row],[ACOMPTE VERSE]]+Tableau2[[#This Row],[SOLDE VERSE]]</f>
        <v>0</v>
      </c>
      <c r="BA112" s="17">
        <f>IF(Tableau2[[#This Row],[STATUT]]="Soldée",0,Tableau2[[#This Row],[Montant participation à signature]]-Tableau2[[#This Row],[Total CP payés]])</f>
        <v>182500</v>
      </c>
      <c r="BB112" s="17">
        <f>IF(Tableau2[[#This Row],[SOLDE VERSE]]&lt;0,-Tableau2[[#This Row],[SOLDE VERSE]],0)</f>
        <v>0</v>
      </c>
      <c r="BC112" s="17">
        <f>IF(Tableau2[[#This Row],[STATUT]]="Soldée",Tableau2[[#This Row],[Montant participation à signature]]-Tableau2[[#This Row],[Total CP payés]],0)</f>
        <v>0</v>
      </c>
      <c r="BD112" s="17">
        <f>IF(Tableau2[[#This Row],[Montant participation voté au CA]]="",0,Tableau2[[#This Row],[Réfaction]]+Tableau2[[#This Row],[Montant des crédits non engagés]])</f>
        <v>0</v>
      </c>
      <c r="BF112"/>
      <c r="BJ112"/>
      <c r="BK112"/>
      <c r="BL112"/>
      <c r="BM112"/>
      <c r="BP112"/>
      <c r="BQ112"/>
      <c r="BR112"/>
      <c r="BS112"/>
      <c r="BT112"/>
      <c r="BU112"/>
      <c r="BV112"/>
      <c r="BW112"/>
      <c r="BX112"/>
      <c r="BY112"/>
      <c r="CA112"/>
      <c r="CB112"/>
    </row>
    <row r="113" spans="1:80" ht="15" customHeight="1" x14ac:dyDescent="0.25">
      <c r="A113" s="4">
        <v>115</v>
      </c>
      <c r="B113" s="36"/>
      <c r="C113" s="39">
        <v>42703</v>
      </c>
      <c r="D113" s="73" t="s">
        <v>154</v>
      </c>
      <c r="E113" s="38">
        <v>2</v>
      </c>
      <c r="F113" s="38" t="s">
        <v>70</v>
      </c>
      <c r="G113" s="96" t="s">
        <v>143</v>
      </c>
      <c r="H113" s="96" t="s">
        <v>144</v>
      </c>
      <c r="I113" s="40"/>
      <c r="J113" s="79"/>
      <c r="K113" s="72"/>
      <c r="L113" s="34"/>
      <c r="M113" s="35"/>
      <c r="N113" s="38">
        <v>36</v>
      </c>
      <c r="O113" s="37">
        <v>6</v>
      </c>
      <c r="P113" s="37">
        <f>IF(Tableau2[[#This Row],[Durée du projet]]="","-",Tableau2[[#This Row],[Durée du projet]]+Tableau2[[#This Row],[Durée suppl'' pour pièces]])</f>
        <v>42</v>
      </c>
      <c r="Q113" s="38"/>
      <c r="R113" s="61"/>
      <c r="S113" s="6" t="str">
        <f>IF(Tableau2[[#This Row],[Date signature ]]="","",EOMONTH((EDATE(Tableau2[[#This Row],[Début éligibilité dépenses]],Tableau2[[#This Row],[Durée du projet]])),-1))</f>
        <v/>
      </c>
      <c r="T113" s="6" t="str">
        <f>IF(Tableau2[[#This Row],[Fin éligibilité dépenses]]="","",EDATE(Tableau2[[#This Row],[Fin éligibilité dépenses]],-6))</f>
        <v/>
      </c>
      <c r="U113" s="6" t="str">
        <f>IF(Tableau2[[#This Row],[Début éligibilité dépenses]]="","",EOMONTH(EDATE(Tableau2[[#This Row],[Début éligibilité dépenses]],Tableau2[[#This Row],[Durée du projet]]/2),0))</f>
        <v/>
      </c>
      <c r="V113" s="59" t="str">
        <f>IF(Tableau2[[#This Row],[Date signature ]]="","",EDATE(Tableau2[[#This Row],[Date signature ]],Tableau2[[#This Row],[Durée totale conv'' ]])-1)</f>
        <v/>
      </c>
      <c r="W113" s="40" t="s">
        <v>21</v>
      </c>
      <c r="X113" s="2"/>
      <c r="Y113" s="40" t="s">
        <v>145</v>
      </c>
      <c r="Z113" s="2"/>
      <c r="AA113" s="2"/>
      <c r="AB113" s="19"/>
      <c r="AC113" s="21">
        <f>IF(Tableau2[[#This Row],[PORTEUR
DE
PROJET]]="",0,IF(COUNTIF(Tableau2[[#This Row],[PORTEUR
DE
PROJET]],"CRA*")=1,Tableau2[[#This Row],[Montant participation à signature]]/2,Tableau2[[#This Row],[Montant participation à signature]]*0.3))</f>
        <v>74400</v>
      </c>
      <c r="AD113" s="6" t="str">
        <f>IF(Tableau2[[#This Row],[Date signature ]]="","",EDATE(Tableau2[[#This Row],[Date signature ]],1))</f>
        <v/>
      </c>
      <c r="AE113" s="21">
        <f>IF(Tableau2[[#This Row],[PORTEUR
DE
PROJET]]="",0,IF(COUNTIF(Tableau2[[#This Row],[PORTEUR
DE
PROJET]],"CRA*")=1,,Tableau2[[#This Row],[Montant participation à signature]]*0.4))</f>
        <v>99200</v>
      </c>
      <c r="AF113" s="6" t="str">
        <f>IF(Tableau2[[#This Row],[Date signature ]]="","",IF(Tableau2[[#This Row],[ACOMPTE PREVU]]=0,"",EOMONTH(EDATE(Tableau2[[#This Row],[Date signature ]],Tableau2[[#This Row],[Durée du projet]]/2),0)))</f>
        <v/>
      </c>
      <c r="AG113" s="21">
        <f>IF(Tableau2[[#This Row],[PORTEUR
DE
PROJET]]="",0,IF(COUNTIF(Tableau2[[#This Row],[PORTEUR
DE
PROJET]],"CRA*")=1,Tableau2[[#This Row],[Montant participation à signature]]/2,Tableau2[[#This Row],[Montant participation à signature]]*0.3))</f>
        <v>74400</v>
      </c>
      <c r="AH113" s="6" t="str">
        <f>IF(Tableau2[[#This Row],[Date signature ]]="","",EOMONTH(EDATE(Tableau2[[#This Row],[Date signature ]],Tableau2[[#This Row],[Durée du projet]]),0))</f>
        <v/>
      </c>
      <c r="AI113" s="29">
        <f>IF(COUNTBLANK(Tableau2[[#This Row],[Date du mandat Avance]])=1,,Tableau2[[#This Row],[AVANCE PREVUE]])</f>
        <v>0</v>
      </c>
      <c r="AJ113" s="56"/>
      <c r="AK113" s="2"/>
      <c r="AL113" s="6"/>
      <c r="AM113" s="6"/>
      <c r="AN113" s="17">
        <f>IF(COUNTBLANK(Tableau2[[#This Row],[Date envoi ASF Acompte]])=1,,Tableau2[[#This Row],[ACOMPTE PREVU]])</f>
        <v>0</v>
      </c>
      <c r="AO113" s="17"/>
      <c r="AP113" s="2"/>
      <c r="AQ113" s="6"/>
      <c r="AR113" s="6"/>
      <c r="AS113" s="17"/>
      <c r="AT113" s="17"/>
      <c r="AU113" s="20"/>
      <c r="AV113" s="17"/>
      <c r="AW113" s="17"/>
      <c r="AX113" s="17">
        <f>IF(Tableau2[[#This Row],[Montant participation voté au CA]]="",0,Tableau2[[#This Row],[Montant participation voté au CA]]-Tableau2[[#This Row],[Montant participation à signature]])</f>
        <v>0</v>
      </c>
      <c r="AY113" s="52">
        <v>248000</v>
      </c>
      <c r="AZ113" s="17">
        <f>Tableau2[[#This Row],[AVANCE VERSEE]]+Tableau2[[#This Row],[ACOMPTE VERSE]]+Tableau2[[#This Row],[SOLDE VERSE]]</f>
        <v>0</v>
      </c>
      <c r="BA113" s="17">
        <f>IF(Tableau2[[#This Row],[STATUT]]="Soldée",0,Tableau2[[#This Row],[Montant participation à signature]]-Tableau2[[#This Row],[Total CP payés]])</f>
        <v>248000</v>
      </c>
      <c r="BB113" s="17">
        <f>IF(Tableau2[[#This Row],[SOLDE VERSE]]&lt;0,-Tableau2[[#This Row],[SOLDE VERSE]],0)</f>
        <v>0</v>
      </c>
      <c r="BC113" s="17">
        <f>IF(Tableau2[[#This Row],[STATUT]]="Soldée",Tableau2[[#This Row],[Montant participation à signature]]-Tableau2[[#This Row],[Total CP payés]],0)</f>
        <v>0</v>
      </c>
      <c r="BD113" s="17">
        <f>IF(Tableau2[[#This Row],[Montant participation voté au CA]]="",0,Tableau2[[#This Row],[Réfaction]]+Tableau2[[#This Row],[Montant des crédits non engagés]])</f>
        <v>0</v>
      </c>
      <c r="BF113"/>
      <c r="BJ113"/>
      <c r="BK113"/>
      <c r="BL113"/>
      <c r="BM113"/>
      <c r="BP113"/>
      <c r="BQ113"/>
      <c r="BR113"/>
      <c r="BS113"/>
      <c r="BT113"/>
      <c r="BU113"/>
      <c r="BV113"/>
      <c r="BW113"/>
      <c r="BX113"/>
      <c r="BY113"/>
      <c r="CA113"/>
      <c r="CB113"/>
    </row>
    <row r="114" spans="1:80" ht="15" customHeight="1" x14ac:dyDescent="0.25">
      <c r="A114" s="4">
        <v>116</v>
      </c>
      <c r="B114" s="36"/>
      <c r="C114" s="39">
        <v>42703</v>
      </c>
      <c r="D114" s="73" t="s">
        <v>154</v>
      </c>
      <c r="E114" s="38">
        <v>3</v>
      </c>
      <c r="F114" s="38">
        <v>12</v>
      </c>
      <c r="G114" s="96" t="s">
        <v>143</v>
      </c>
      <c r="H114" s="96" t="s">
        <v>144</v>
      </c>
      <c r="I114" s="40"/>
      <c r="J114" s="79"/>
      <c r="K114" s="72"/>
      <c r="L114" s="34"/>
      <c r="M114" s="35"/>
      <c r="N114" s="38">
        <v>36</v>
      </c>
      <c r="O114" s="37">
        <v>6</v>
      </c>
      <c r="P114" s="37">
        <f>IF(Tableau2[[#This Row],[Durée du projet]]="","-",Tableau2[[#This Row],[Durée du projet]]+Tableau2[[#This Row],[Durée suppl'' pour pièces]])</f>
        <v>42</v>
      </c>
      <c r="Q114" s="39"/>
      <c r="R114" s="61"/>
      <c r="S114" s="6" t="str">
        <f>IF(Tableau2[[#This Row],[Date signature ]]="","",EOMONTH((EDATE(Tableau2[[#This Row],[Début éligibilité dépenses]],Tableau2[[#This Row],[Durée du projet]])),-1))</f>
        <v/>
      </c>
      <c r="T114" s="6" t="str">
        <f>IF(Tableau2[[#This Row],[Fin éligibilité dépenses]]="","",EDATE(Tableau2[[#This Row],[Fin éligibilité dépenses]],-6))</f>
        <v/>
      </c>
      <c r="U114" s="6" t="str">
        <f>IF(Tableau2[[#This Row],[Début éligibilité dépenses]]="","",EOMONTH(EDATE(Tableau2[[#This Row],[Début éligibilité dépenses]],Tableau2[[#This Row],[Durée du projet]]/2),0))</f>
        <v/>
      </c>
      <c r="V114" s="59" t="str">
        <f>IF(Tableau2[[#This Row],[Date signature ]]="","",EDATE(Tableau2[[#This Row],[Date signature ]],Tableau2[[#This Row],[Durée totale conv'' ]])-1)</f>
        <v/>
      </c>
      <c r="W114" s="40" t="s">
        <v>21</v>
      </c>
      <c r="X114" s="2"/>
      <c r="Y114" s="40" t="s">
        <v>145</v>
      </c>
      <c r="Z114" s="2"/>
      <c r="AA114" s="2"/>
      <c r="AB114" s="19"/>
      <c r="AC114" s="21">
        <f>IF(Tableau2[[#This Row],[PORTEUR
DE
PROJET]]="",0,IF(COUNTIF(Tableau2[[#This Row],[PORTEUR
DE
PROJET]],"CRA*")=1,Tableau2[[#This Row],[Montant participation à signature]]/2,Tableau2[[#This Row],[Montant participation à signature]]*0.3))</f>
        <v>300000</v>
      </c>
      <c r="AD114" s="6" t="str">
        <f>IF(Tableau2[[#This Row],[Date signature ]]="","",EDATE(Tableau2[[#This Row],[Date signature ]],1))</f>
        <v/>
      </c>
      <c r="AE114" s="21">
        <f>IF(Tableau2[[#This Row],[PORTEUR
DE
PROJET]]="",0,IF(COUNTIF(Tableau2[[#This Row],[PORTEUR
DE
PROJET]],"CRA*")=1,,Tableau2[[#This Row],[Montant participation à signature]]*0.4))</f>
        <v>400000</v>
      </c>
      <c r="AF114" s="6" t="str">
        <f>IF(Tableau2[[#This Row],[Date signature ]]="","",IF(Tableau2[[#This Row],[ACOMPTE PREVU]]=0,"",EOMONTH(EDATE(Tableau2[[#This Row],[Date signature ]],Tableau2[[#This Row],[Durée du projet]]/2),0)))</f>
        <v/>
      </c>
      <c r="AG114" s="21">
        <f>IF(Tableau2[[#This Row],[PORTEUR
DE
PROJET]]="",0,IF(COUNTIF(Tableau2[[#This Row],[PORTEUR
DE
PROJET]],"CRA*")=1,Tableau2[[#This Row],[Montant participation à signature]]/2,Tableau2[[#This Row],[Montant participation à signature]]*0.3))</f>
        <v>300000</v>
      </c>
      <c r="AH114" s="6" t="str">
        <f>IF(Tableau2[[#This Row],[Date signature ]]="","",EOMONTH(EDATE(Tableau2[[#This Row],[Date signature ]],Tableau2[[#This Row],[Durée du projet]]),0))</f>
        <v/>
      </c>
      <c r="AI114" s="29">
        <f>IF(COUNTBLANK(Tableau2[[#This Row],[Date du mandat Avance]])=1,,Tableau2[[#This Row],[AVANCE PREVUE]])</f>
        <v>0</v>
      </c>
      <c r="AJ114" s="56"/>
      <c r="AK114" s="2"/>
      <c r="AL114" s="6"/>
      <c r="AM114" s="6"/>
      <c r="AN114" s="17">
        <f>IF(COUNTBLANK(Tableau2[[#This Row],[Date envoi ASF Acompte]])=1,,Tableau2[[#This Row],[ACOMPTE PREVU]])</f>
        <v>0</v>
      </c>
      <c r="AO114" s="17"/>
      <c r="AP114" s="2"/>
      <c r="AQ114" s="6"/>
      <c r="AR114" s="6"/>
      <c r="AS114" s="17"/>
      <c r="AT114" s="17"/>
      <c r="AU114" s="20"/>
      <c r="AV114" s="17"/>
      <c r="AW114" s="17"/>
      <c r="AX114" s="17">
        <f>IF(Tableau2[[#This Row],[Montant participation voté au CA]]="",0,Tableau2[[#This Row],[Montant participation voté au CA]]-Tableau2[[#This Row],[Montant participation à signature]])</f>
        <v>0</v>
      </c>
      <c r="AY114" s="52">
        <v>1000000</v>
      </c>
      <c r="AZ114" s="17">
        <f>Tableau2[[#This Row],[AVANCE VERSEE]]+Tableau2[[#This Row],[ACOMPTE VERSE]]+Tableau2[[#This Row],[SOLDE VERSE]]</f>
        <v>0</v>
      </c>
      <c r="BA114" s="17">
        <f>IF(Tableau2[[#This Row],[STATUT]]="Soldée",0,Tableau2[[#This Row],[Montant participation à signature]]-Tableau2[[#This Row],[Total CP payés]])</f>
        <v>1000000</v>
      </c>
      <c r="BB114" s="17">
        <f>IF(Tableau2[[#This Row],[SOLDE VERSE]]&lt;0,-Tableau2[[#This Row],[SOLDE VERSE]],0)</f>
        <v>0</v>
      </c>
      <c r="BC114" s="17">
        <f>IF(Tableau2[[#This Row],[STATUT]]="Soldée",Tableau2[[#This Row],[Montant participation à signature]]-Tableau2[[#This Row],[Total CP payés]],0)</f>
        <v>0</v>
      </c>
      <c r="BD114" s="17">
        <f>IF(Tableau2[[#This Row],[Montant participation voté au CA]]="",0,Tableau2[[#This Row],[Réfaction]]+Tableau2[[#This Row],[Montant des crédits non engagés]])</f>
        <v>0</v>
      </c>
      <c r="BF114"/>
      <c r="BJ114"/>
      <c r="BK114"/>
      <c r="BL114"/>
      <c r="BM114"/>
      <c r="BP114"/>
      <c r="BQ114"/>
      <c r="BR114"/>
      <c r="BS114"/>
      <c r="BT114"/>
      <c r="BU114"/>
      <c r="BV114"/>
      <c r="BW114"/>
      <c r="BX114"/>
      <c r="BY114"/>
      <c r="CA114"/>
      <c r="CB114"/>
    </row>
    <row r="115" spans="1:80" ht="15" customHeight="1" x14ac:dyDescent="0.25">
      <c r="A115" s="4">
        <v>117</v>
      </c>
      <c r="B115" s="36"/>
      <c r="C115" s="39">
        <v>42703</v>
      </c>
      <c r="D115" s="73" t="s">
        <v>154</v>
      </c>
      <c r="E115" s="38">
        <v>3</v>
      </c>
      <c r="F115" s="38">
        <v>14</v>
      </c>
      <c r="G115" s="96" t="s">
        <v>143</v>
      </c>
      <c r="H115" s="96" t="s">
        <v>144</v>
      </c>
      <c r="I115" s="40"/>
      <c r="J115" s="79"/>
      <c r="K115" s="72"/>
      <c r="L115" s="34"/>
      <c r="M115" s="35"/>
      <c r="N115" s="38">
        <v>36</v>
      </c>
      <c r="O115" s="37">
        <v>6</v>
      </c>
      <c r="P115" s="37">
        <f>IF(Tableau2[[#This Row],[Durée du projet]]="","-",Tableau2[[#This Row],[Durée du projet]]+Tableau2[[#This Row],[Durée suppl'' pour pièces]])</f>
        <v>42</v>
      </c>
      <c r="Q115" s="38"/>
      <c r="R115" s="61"/>
      <c r="S115" s="6" t="str">
        <f>IF(Tableau2[[#This Row],[Date signature ]]="","",EOMONTH((EDATE(Tableau2[[#This Row],[Début éligibilité dépenses]],Tableau2[[#This Row],[Durée du projet]])),-1))</f>
        <v/>
      </c>
      <c r="T115" s="6" t="str">
        <f>IF(Tableau2[[#This Row],[Fin éligibilité dépenses]]="","",EDATE(Tableau2[[#This Row],[Fin éligibilité dépenses]],-6))</f>
        <v/>
      </c>
      <c r="U115" s="6" t="str">
        <f>IF(Tableau2[[#This Row],[Début éligibilité dépenses]]="","",EOMONTH(EDATE(Tableau2[[#This Row],[Début éligibilité dépenses]],Tableau2[[#This Row],[Durée du projet]]/2),0))</f>
        <v/>
      </c>
      <c r="V115" s="59" t="str">
        <f>IF(Tableau2[[#This Row],[Date signature ]]="","",EDATE(Tableau2[[#This Row],[Date signature ]],Tableau2[[#This Row],[Durée totale conv'' ]])-1)</f>
        <v/>
      </c>
      <c r="W115" s="40" t="s">
        <v>21</v>
      </c>
      <c r="X115" s="2"/>
      <c r="Y115" s="40" t="s">
        <v>145</v>
      </c>
      <c r="Z115" s="2"/>
      <c r="AA115" s="2"/>
      <c r="AB115" s="19"/>
      <c r="AC115" s="21">
        <f>IF(Tableau2[[#This Row],[PORTEUR
DE
PROJET]]="",0,IF(COUNTIF(Tableau2[[#This Row],[PORTEUR
DE
PROJET]],"CRA*")=1,Tableau2[[#This Row],[Montant participation à signature]]/2,Tableau2[[#This Row],[Montant participation à signature]]*0.3))</f>
        <v>57000</v>
      </c>
      <c r="AD115" s="6" t="str">
        <f>IF(Tableau2[[#This Row],[Date signature ]]="","",EDATE(Tableau2[[#This Row],[Date signature ]],1))</f>
        <v/>
      </c>
      <c r="AE115" s="21">
        <f>IF(Tableau2[[#This Row],[PORTEUR
DE
PROJET]]="",0,IF(COUNTIF(Tableau2[[#This Row],[PORTEUR
DE
PROJET]],"CRA*")=1,,Tableau2[[#This Row],[Montant participation à signature]]*0.4))</f>
        <v>76000</v>
      </c>
      <c r="AF115" s="6" t="str">
        <f>IF(Tableau2[[#This Row],[Date signature ]]="","",IF(Tableau2[[#This Row],[ACOMPTE PREVU]]=0,"",EOMONTH(EDATE(Tableau2[[#This Row],[Date signature ]],Tableau2[[#This Row],[Durée du projet]]/2),0)))</f>
        <v/>
      </c>
      <c r="AG115" s="21">
        <f>IF(Tableau2[[#This Row],[PORTEUR
DE
PROJET]]="",0,IF(COUNTIF(Tableau2[[#This Row],[PORTEUR
DE
PROJET]],"CRA*")=1,Tableau2[[#This Row],[Montant participation à signature]]/2,Tableau2[[#This Row],[Montant participation à signature]]*0.3))</f>
        <v>57000</v>
      </c>
      <c r="AH115" s="6" t="str">
        <f>IF(Tableau2[[#This Row],[Date signature ]]="","",EOMONTH(EDATE(Tableau2[[#This Row],[Date signature ]],Tableau2[[#This Row],[Durée du projet]]),0))</f>
        <v/>
      </c>
      <c r="AI115" s="29">
        <f>IF(COUNTBLANK(Tableau2[[#This Row],[Date du mandat Avance]])=1,,Tableau2[[#This Row],[AVANCE PREVUE]])</f>
        <v>0</v>
      </c>
      <c r="AJ115" s="56"/>
      <c r="AK115" s="2"/>
      <c r="AL115" s="6"/>
      <c r="AM115" s="6"/>
      <c r="AN115" s="17">
        <f>IF(COUNTBLANK(Tableau2[[#This Row],[Date envoi ASF Acompte]])=1,,Tableau2[[#This Row],[ACOMPTE PREVU]])</f>
        <v>0</v>
      </c>
      <c r="AO115" s="17"/>
      <c r="AP115" s="2"/>
      <c r="AQ115" s="6"/>
      <c r="AR115" s="6"/>
      <c r="AS115" s="17"/>
      <c r="AT115" s="17"/>
      <c r="AU115" s="20"/>
      <c r="AV115" s="17"/>
      <c r="AW115" s="17"/>
      <c r="AX115" s="17">
        <f>IF(Tableau2[[#This Row],[Montant participation voté au CA]]="",0,Tableau2[[#This Row],[Montant participation voté au CA]]-Tableau2[[#This Row],[Montant participation à signature]])</f>
        <v>0</v>
      </c>
      <c r="AY115" s="52">
        <v>190000</v>
      </c>
      <c r="AZ115" s="17">
        <f>Tableau2[[#This Row],[AVANCE VERSEE]]+Tableau2[[#This Row],[ACOMPTE VERSE]]+Tableau2[[#This Row],[SOLDE VERSE]]</f>
        <v>0</v>
      </c>
      <c r="BA115" s="17">
        <f>IF(Tableau2[[#This Row],[STATUT]]="Soldée",0,Tableau2[[#This Row],[Montant participation à signature]]-Tableau2[[#This Row],[Total CP payés]])</f>
        <v>190000</v>
      </c>
      <c r="BB115" s="17">
        <f>IF(Tableau2[[#This Row],[SOLDE VERSE]]&lt;0,-Tableau2[[#This Row],[SOLDE VERSE]],0)</f>
        <v>0</v>
      </c>
      <c r="BC115" s="17">
        <f>IF(Tableau2[[#This Row],[STATUT]]="Soldée",Tableau2[[#This Row],[Montant participation à signature]]-Tableau2[[#This Row],[Total CP payés]],0)</f>
        <v>0</v>
      </c>
      <c r="BD115" s="17">
        <f>IF(Tableau2[[#This Row],[Montant participation voté au CA]]="",0,Tableau2[[#This Row],[Réfaction]]+Tableau2[[#This Row],[Montant des crédits non engagés]])</f>
        <v>0</v>
      </c>
      <c r="BF115"/>
      <c r="BJ115"/>
      <c r="BK115"/>
      <c r="BL115"/>
      <c r="BM115"/>
      <c r="BP115"/>
      <c r="BQ115"/>
      <c r="BR115"/>
      <c r="BS115"/>
      <c r="BT115"/>
      <c r="BU115"/>
      <c r="BV115"/>
      <c r="BW115"/>
      <c r="BX115"/>
      <c r="BY115"/>
      <c r="CA115"/>
      <c r="CB115"/>
    </row>
    <row r="116" spans="1:80" ht="15" customHeight="1" x14ac:dyDescent="0.25">
      <c r="A116" s="4">
        <v>118</v>
      </c>
      <c r="B116" s="36"/>
      <c r="C116" s="39">
        <v>42703</v>
      </c>
      <c r="D116" s="73" t="s">
        <v>154</v>
      </c>
      <c r="E116" s="38">
        <v>3</v>
      </c>
      <c r="F116" s="38">
        <v>14</v>
      </c>
      <c r="G116" s="96" t="s">
        <v>143</v>
      </c>
      <c r="H116" s="96" t="s">
        <v>144</v>
      </c>
      <c r="I116" s="40"/>
      <c r="J116" s="79"/>
      <c r="K116" s="72"/>
      <c r="L116" s="34"/>
      <c r="M116" s="35"/>
      <c r="N116" s="38">
        <v>36</v>
      </c>
      <c r="O116" s="37">
        <v>6</v>
      </c>
      <c r="P116" s="37">
        <f>IF(Tableau2[[#This Row],[Durée du projet]]="","-",Tableau2[[#This Row],[Durée du projet]]+Tableau2[[#This Row],[Durée suppl'' pour pièces]])</f>
        <v>42</v>
      </c>
      <c r="Q116" s="38"/>
      <c r="R116" s="61"/>
      <c r="S116" s="6" t="str">
        <f>IF(Tableau2[[#This Row],[Date signature ]]="","",EOMONTH((EDATE(Tableau2[[#This Row],[Début éligibilité dépenses]],Tableau2[[#This Row],[Durée du projet]])),-1))</f>
        <v/>
      </c>
      <c r="T116" s="6" t="str">
        <f>IF(Tableau2[[#This Row],[Fin éligibilité dépenses]]="","",EDATE(Tableau2[[#This Row],[Fin éligibilité dépenses]],-6))</f>
        <v/>
      </c>
      <c r="U116" s="6" t="str">
        <f>IF(Tableau2[[#This Row],[Début éligibilité dépenses]]="","",EOMONTH(EDATE(Tableau2[[#This Row],[Début éligibilité dépenses]],Tableau2[[#This Row],[Durée du projet]]/2),0))</f>
        <v/>
      </c>
      <c r="V116" s="59" t="str">
        <f>IF(Tableau2[[#This Row],[Date signature ]]="","",EDATE(Tableau2[[#This Row],[Date signature ]],Tableau2[[#This Row],[Durée totale conv'' ]])-1)</f>
        <v/>
      </c>
      <c r="W116" s="40" t="s">
        <v>21</v>
      </c>
      <c r="X116" s="2"/>
      <c r="Y116" s="40" t="s">
        <v>145</v>
      </c>
      <c r="Z116" s="2"/>
      <c r="AA116" s="2"/>
      <c r="AB116" s="19"/>
      <c r="AC116" s="21">
        <f>IF(Tableau2[[#This Row],[PORTEUR
DE
PROJET]]="",0,IF(COUNTIF(Tableau2[[#This Row],[PORTEUR
DE
PROJET]],"CRA*")=1,Tableau2[[#This Row],[Montant participation à signature]]/2,Tableau2[[#This Row],[Montant participation à signature]]*0.3))</f>
        <v>201976.19999999998</v>
      </c>
      <c r="AD116" s="6" t="str">
        <f>IF(Tableau2[[#This Row],[Date signature ]]="","",EDATE(Tableau2[[#This Row],[Date signature ]],1))</f>
        <v/>
      </c>
      <c r="AE116" s="21">
        <f>IF(Tableau2[[#This Row],[PORTEUR
DE
PROJET]]="",0,IF(COUNTIF(Tableau2[[#This Row],[PORTEUR
DE
PROJET]],"CRA*")=1,,Tableau2[[#This Row],[Montant participation à signature]]*0.4))</f>
        <v>269301.60000000003</v>
      </c>
      <c r="AF116" s="6" t="str">
        <f>IF(Tableau2[[#This Row],[Date signature ]]="","",IF(Tableau2[[#This Row],[ACOMPTE PREVU]]=0,"",EOMONTH(EDATE(Tableau2[[#This Row],[Date signature ]],Tableau2[[#This Row],[Durée du projet]]/2),0)))</f>
        <v/>
      </c>
      <c r="AG116" s="21">
        <f>IF(Tableau2[[#This Row],[PORTEUR
DE
PROJET]]="",0,IF(COUNTIF(Tableau2[[#This Row],[PORTEUR
DE
PROJET]],"CRA*")=1,Tableau2[[#This Row],[Montant participation à signature]]/2,Tableau2[[#This Row],[Montant participation à signature]]*0.3))</f>
        <v>201976.19999999998</v>
      </c>
      <c r="AH116" s="6" t="str">
        <f>IF(Tableau2[[#This Row],[Date signature ]]="","",EOMONTH(EDATE(Tableau2[[#This Row],[Date signature ]],Tableau2[[#This Row],[Durée du projet]]),0))</f>
        <v/>
      </c>
      <c r="AI116" s="29">
        <f>IF(COUNTBLANK(Tableau2[[#This Row],[Date du mandat Avance]])=1,,Tableau2[[#This Row],[AVANCE PREVUE]])</f>
        <v>0</v>
      </c>
      <c r="AJ116" s="56"/>
      <c r="AK116" s="2"/>
      <c r="AL116" s="6"/>
      <c r="AM116" s="6"/>
      <c r="AN116" s="17">
        <f>IF(COUNTBLANK(Tableau2[[#This Row],[Date envoi ASF Acompte]])=1,,Tableau2[[#This Row],[ACOMPTE PREVU]])</f>
        <v>0</v>
      </c>
      <c r="AO116" s="17"/>
      <c r="AP116" s="2"/>
      <c r="AQ116" s="6"/>
      <c r="AR116" s="6"/>
      <c r="AS116" s="17"/>
      <c r="AT116" s="17"/>
      <c r="AU116" s="20"/>
      <c r="AV116" s="17"/>
      <c r="AW116" s="17"/>
      <c r="AX116" s="17">
        <f>IF(Tableau2[[#This Row],[Montant participation voté au CA]]="",0,Tableau2[[#This Row],[Montant participation voté au CA]]-Tableau2[[#This Row],[Montant participation à signature]])</f>
        <v>0</v>
      </c>
      <c r="AY116" s="52">
        <v>673254</v>
      </c>
      <c r="AZ116" s="17">
        <f>Tableau2[[#This Row],[AVANCE VERSEE]]+Tableau2[[#This Row],[ACOMPTE VERSE]]+Tableau2[[#This Row],[SOLDE VERSE]]</f>
        <v>0</v>
      </c>
      <c r="BA116" s="17">
        <f>IF(Tableau2[[#This Row],[STATUT]]="Soldée",0,Tableau2[[#This Row],[Montant participation à signature]]-Tableau2[[#This Row],[Total CP payés]])</f>
        <v>673254</v>
      </c>
      <c r="BB116" s="17">
        <f>IF(Tableau2[[#This Row],[SOLDE VERSE]]&lt;0,-Tableau2[[#This Row],[SOLDE VERSE]],0)</f>
        <v>0</v>
      </c>
      <c r="BC116" s="17">
        <f>IF(Tableau2[[#This Row],[STATUT]]="Soldée",Tableau2[[#This Row],[Montant participation à signature]]-Tableau2[[#This Row],[Total CP payés]],0)</f>
        <v>0</v>
      </c>
      <c r="BD116" s="17">
        <f>IF(Tableau2[[#This Row],[Montant participation voté au CA]]="",0,Tableau2[[#This Row],[Réfaction]]+Tableau2[[#This Row],[Montant des crédits non engagés]])</f>
        <v>0</v>
      </c>
      <c r="BF116"/>
      <c r="BJ116"/>
      <c r="BK116"/>
      <c r="BL116"/>
      <c r="BM116"/>
      <c r="BP116"/>
      <c r="BQ116"/>
      <c r="BR116"/>
      <c r="BS116"/>
      <c r="BT116"/>
      <c r="BU116"/>
      <c r="BV116"/>
      <c r="BW116"/>
      <c r="BX116"/>
      <c r="BY116"/>
      <c r="CA116"/>
      <c r="CB116"/>
    </row>
    <row r="117" spans="1:80" ht="15" customHeight="1" x14ac:dyDescent="0.25">
      <c r="A117" s="4">
        <v>119</v>
      </c>
      <c r="B117" s="36"/>
      <c r="C117" s="39">
        <v>42703</v>
      </c>
      <c r="D117" s="73" t="s">
        <v>154</v>
      </c>
      <c r="E117" s="38">
        <v>3</v>
      </c>
      <c r="F117" s="38">
        <v>14</v>
      </c>
      <c r="G117" s="96" t="s">
        <v>143</v>
      </c>
      <c r="H117" s="96" t="s">
        <v>144</v>
      </c>
      <c r="I117" s="40"/>
      <c r="J117" s="79"/>
      <c r="K117" s="72"/>
      <c r="L117" s="34"/>
      <c r="M117" s="35"/>
      <c r="N117" s="38">
        <v>12</v>
      </c>
      <c r="O117" s="37">
        <v>6</v>
      </c>
      <c r="P117" s="37">
        <f>IF(Tableau2[[#This Row],[Durée du projet]]="","-",Tableau2[[#This Row],[Durée du projet]]+Tableau2[[#This Row],[Durée suppl'' pour pièces]])</f>
        <v>18</v>
      </c>
      <c r="Q117" s="38"/>
      <c r="R117" s="61"/>
      <c r="S117" s="6" t="str">
        <f>IF(Tableau2[[#This Row],[Date signature ]]="","",EOMONTH((EDATE(Tableau2[[#This Row],[Début éligibilité dépenses]],Tableau2[[#This Row],[Durée du projet]])),-1))</f>
        <v/>
      </c>
      <c r="T117" s="6" t="str">
        <f>IF(Tableau2[[#This Row],[Fin éligibilité dépenses]]="","",EDATE(Tableau2[[#This Row],[Fin éligibilité dépenses]],-6))</f>
        <v/>
      </c>
      <c r="U117" s="6" t="str">
        <f>IF(Tableau2[[#This Row],[Début éligibilité dépenses]]="","",EOMONTH(EDATE(Tableau2[[#This Row],[Début éligibilité dépenses]],Tableau2[[#This Row],[Durée du projet]]/2),0))</f>
        <v/>
      </c>
      <c r="V117" s="59" t="str">
        <f>IF(Tableau2[[#This Row],[Date signature ]]="","",EDATE(Tableau2[[#This Row],[Date signature ]],Tableau2[[#This Row],[Durée totale conv'' ]])-1)</f>
        <v/>
      </c>
      <c r="W117" s="40" t="s">
        <v>21</v>
      </c>
      <c r="X117" s="2"/>
      <c r="Y117" s="40" t="s">
        <v>145</v>
      </c>
      <c r="Z117" s="2"/>
      <c r="AA117" s="2"/>
      <c r="AB117" s="19"/>
      <c r="AC117" s="21">
        <f>IF(Tableau2[[#This Row],[PORTEUR
DE
PROJET]]="",0,IF(COUNTIF(Tableau2[[#This Row],[PORTEUR
DE
PROJET]],"CRA*")=1,Tableau2[[#This Row],[Montant participation à signature]]/2,Tableau2[[#This Row],[Montant participation à signature]]*0.3))</f>
        <v>116151</v>
      </c>
      <c r="AD117" s="6" t="str">
        <f>IF(Tableau2[[#This Row],[Date signature ]]="","",EDATE(Tableau2[[#This Row],[Date signature ]],1))</f>
        <v/>
      </c>
      <c r="AE117" s="21">
        <f>IF(Tableau2[[#This Row],[PORTEUR
DE
PROJET]]="",0,IF(COUNTIF(Tableau2[[#This Row],[PORTEUR
DE
PROJET]],"CRA*")=1,,Tableau2[[#This Row],[Montant participation à signature]]*0.4))</f>
        <v>154868</v>
      </c>
      <c r="AF117" s="6" t="str">
        <f>IF(Tableau2[[#This Row],[Date signature ]]="","",IF(Tableau2[[#This Row],[ACOMPTE PREVU]]=0,"",EOMONTH(EDATE(Tableau2[[#This Row],[Date signature ]],Tableau2[[#This Row],[Durée du projet]]/2),0)))</f>
        <v/>
      </c>
      <c r="AG117" s="21">
        <f>IF(Tableau2[[#This Row],[PORTEUR
DE
PROJET]]="",0,IF(COUNTIF(Tableau2[[#This Row],[PORTEUR
DE
PROJET]],"CRA*")=1,Tableau2[[#This Row],[Montant participation à signature]]/2,Tableau2[[#This Row],[Montant participation à signature]]*0.3))</f>
        <v>116151</v>
      </c>
      <c r="AH117" s="6" t="str">
        <f>IF(Tableau2[[#This Row],[Date signature ]]="","",EOMONTH(EDATE(Tableau2[[#This Row],[Date signature ]],Tableau2[[#This Row],[Durée du projet]]),0))</f>
        <v/>
      </c>
      <c r="AI117" s="29">
        <f>IF(COUNTBLANK(Tableau2[[#This Row],[Date du mandat Avance]])=1,,Tableau2[[#This Row],[AVANCE PREVUE]])</f>
        <v>0</v>
      </c>
      <c r="AJ117" s="56"/>
      <c r="AK117" s="2"/>
      <c r="AL117" s="6"/>
      <c r="AM117" s="6"/>
      <c r="AN117" s="17">
        <f>IF(COUNTBLANK(Tableau2[[#This Row],[Date envoi ASF Acompte]])=1,,Tableau2[[#This Row],[ACOMPTE PREVU]])</f>
        <v>0</v>
      </c>
      <c r="AO117" s="17"/>
      <c r="AP117" s="2"/>
      <c r="AQ117" s="6"/>
      <c r="AR117" s="6"/>
      <c r="AS117" s="17"/>
      <c r="AT117" s="17"/>
      <c r="AU117" s="20"/>
      <c r="AV117" s="17"/>
      <c r="AW117" s="17"/>
      <c r="AX117" s="17">
        <f>IF(Tableau2[[#This Row],[Montant participation voté au CA]]="",0,Tableau2[[#This Row],[Montant participation voté au CA]]-Tableau2[[#This Row],[Montant participation à signature]])</f>
        <v>0</v>
      </c>
      <c r="AY117" s="52">
        <v>387170</v>
      </c>
      <c r="AZ117" s="17">
        <f>Tableau2[[#This Row],[AVANCE VERSEE]]+Tableau2[[#This Row],[ACOMPTE VERSE]]+Tableau2[[#This Row],[SOLDE VERSE]]</f>
        <v>0</v>
      </c>
      <c r="BA117" s="17">
        <f>IF(Tableau2[[#This Row],[STATUT]]="Soldée",0,Tableau2[[#This Row],[Montant participation à signature]]-Tableau2[[#This Row],[Total CP payés]])</f>
        <v>387170</v>
      </c>
      <c r="BB117" s="17">
        <f>IF(Tableau2[[#This Row],[SOLDE VERSE]]&lt;0,-Tableau2[[#This Row],[SOLDE VERSE]],0)</f>
        <v>0</v>
      </c>
      <c r="BC117" s="17">
        <f>IF(Tableau2[[#This Row],[STATUT]]="Soldée",Tableau2[[#This Row],[Montant participation à signature]]-Tableau2[[#This Row],[Total CP payés]],0)</f>
        <v>0</v>
      </c>
      <c r="BD117" s="17">
        <f>IF(Tableau2[[#This Row],[Montant participation voté au CA]]="",0,Tableau2[[#This Row],[Réfaction]]+Tableau2[[#This Row],[Montant des crédits non engagés]])</f>
        <v>0</v>
      </c>
      <c r="BF117"/>
      <c r="BJ117"/>
      <c r="BK117"/>
      <c r="BL117"/>
      <c r="BM117"/>
      <c r="BP117"/>
      <c r="BQ117"/>
      <c r="BR117"/>
      <c r="BS117"/>
      <c r="BT117"/>
      <c r="BU117"/>
      <c r="BV117"/>
      <c r="BW117"/>
      <c r="BX117"/>
      <c r="BY117"/>
      <c r="CA117"/>
      <c r="CB117"/>
    </row>
    <row r="118" spans="1:80" ht="15" customHeight="1" x14ac:dyDescent="0.25">
      <c r="A118" s="4">
        <v>120</v>
      </c>
      <c r="B118" s="36"/>
      <c r="C118" s="39">
        <v>42703</v>
      </c>
      <c r="D118" s="73" t="s">
        <v>154</v>
      </c>
      <c r="E118" s="38">
        <v>3</v>
      </c>
      <c r="F118" s="38">
        <v>14</v>
      </c>
      <c r="G118" s="96" t="s">
        <v>143</v>
      </c>
      <c r="H118" s="96" t="s">
        <v>144</v>
      </c>
      <c r="I118" s="40"/>
      <c r="J118" s="79"/>
      <c r="K118" s="72"/>
      <c r="L118" s="34"/>
      <c r="M118" s="35"/>
      <c r="N118" s="38">
        <v>36</v>
      </c>
      <c r="O118" s="37">
        <v>6</v>
      </c>
      <c r="P118" s="37">
        <f>IF(Tableau2[[#This Row],[Durée du projet]]="","-",Tableau2[[#This Row],[Durée du projet]]+Tableau2[[#This Row],[Durée suppl'' pour pièces]])</f>
        <v>42</v>
      </c>
      <c r="Q118" s="38"/>
      <c r="R118" s="61"/>
      <c r="S118" s="6" t="str">
        <f>IF(Tableau2[[#This Row],[Date signature ]]="","",EOMONTH((EDATE(Tableau2[[#This Row],[Début éligibilité dépenses]],Tableau2[[#This Row],[Durée du projet]])),-1))</f>
        <v/>
      </c>
      <c r="T118" s="6" t="str">
        <f>IF(Tableau2[[#This Row],[Fin éligibilité dépenses]]="","",EDATE(Tableau2[[#This Row],[Fin éligibilité dépenses]],-6))</f>
        <v/>
      </c>
      <c r="U118" s="6" t="str">
        <f>IF(Tableau2[[#This Row],[Début éligibilité dépenses]]="","",EOMONTH(EDATE(Tableau2[[#This Row],[Début éligibilité dépenses]],Tableau2[[#This Row],[Durée du projet]]/2),0))</f>
        <v/>
      </c>
      <c r="V118" s="59" t="str">
        <f>IF(Tableau2[[#This Row],[Date signature ]]="","",EDATE(Tableau2[[#This Row],[Date signature ]],Tableau2[[#This Row],[Durée totale conv'' ]])-1)</f>
        <v/>
      </c>
      <c r="W118" s="40" t="s">
        <v>21</v>
      </c>
      <c r="X118" s="2"/>
      <c r="Y118" s="40" t="s">
        <v>145</v>
      </c>
      <c r="Z118" s="2"/>
      <c r="AA118" s="2"/>
      <c r="AB118" s="19"/>
      <c r="AC118" s="21">
        <f>IF(Tableau2[[#This Row],[PORTEUR
DE
PROJET]]="",0,IF(COUNTIF(Tableau2[[#This Row],[PORTEUR
DE
PROJET]],"CRA*")=1,Tableau2[[#This Row],[Montant participation à signature]]/2,Tableau2[[#This Row],[Montant participation à signature]]*0.3))</f>
        <v>40500</v>
      </c>
      <c r="AD118" s="6" t="str">
        <f>IF(Tableau2[[#This Row],[Date signature ]]="","",EDATE(Tableau2[[#This Row],[Date signature ]],1))</f>
        <v/>
      </c>
      <c r="AE118" s="21">
        <f>IF(Tableau2[[#This Row],[PORTEUR
DE
PROJET]]="",0,IF(COUNTIF(Tableau2[[#This Row],[PORTEUR
DE
PROJET]],"CRA*")=1,,Tableau2[[#This Row],[Montant participation à signature]]*0.4))</f>
        <v>54000</v>
      </c>
      <c r="AF118" s="6" t="str">
        <f>IF(Tableau2[[#This Row],[Date signature ]]="","",IF(Tableau2[[#This Row],[ACOMPTE PREVU]]=0,"",EOMONTH(EDATE(Tableau2[[#This Row],[Date signature ]],Tableau2[[#This Row],[Durée du projet]]/2),0)))</f>
        <v/>
      </c>
      <c r="AG118" s="21">
        <f>IF(Tableau2[[#This Row],[PORTEUR
DE
PROJET]]="",0,IF(COUNTIF(Tableau2[[#This Row],[PORTEUR
DE
PROJET]],"CRA*")=1,Tableau2[[#This Row],[Montant participation à signature]]/2,Tableau2[[#This Row],[Montant participation à signature]]*0.3))</f>
        <v>40500</v>
      </c>
      <c r="AH118" s="6" t="str">
        <f>IF(Tableau2[[#This Row],[Date signature ]]="","",EOMONTH(EDATE(Tableau2[[#This Row],[Date signature ]],Tableau2[[#This Row],[Durée du projet]]),0))</f>
        <v/>
      </c>
      <c r="AI118" s="29">
        <f>IF(COUNTBLANK(Tableau2[[#This Row],[Date du mandat Avance]])=1,,Tableau2[[#This Row],[AVANCE PREVUE]])</f>
        <v>0</v>
      </c>
      <c r="AJ118" s="56"/>
      <c r="AK118" s="2"/>
      <c r="AL118" s="6"/>
      <c r="AM118" s="6"/>
      <c r="AN118" s="17">
        <f>IF(COUNTBLANK(Tableau2[[#This Row],[Date envoi ASF Acompte]])=1,,Tableau2[[#This Row],[ACOMPTE PREVU]])</f>
        <v>0</v>
      </c>
      <c r="AO118" s="17"/>
      <c r="AP118" s="2"/>
      <c r="AQ118" s="6"/>
      <c r="AR118" s="6"/>
      <c r="AS118" s="17"/>
      <c r="AT118" s="17"/>
      <c r="AU118" s="20"/>
      <c r="AV118" s="17"/>
      <c r="AW118" s="17"/>
      <c r="AX118" s="17">
        <f>IF(Tableau2[[#This Row],[Montant participation voté au CA]]="",0,Tableau2[[#This Row],[Montant participation voté au CA]]-Tableau2[[#This Row],[Montant participation à signature]])</f>
        <v>0</v>
      </c>
      <c r="AY118" s="52">
        <v>135000</v>
      </c>
      <c r="AZ118" s="17">
        <f>Tableau2[[#This Row],[AVANCE VERSEE]]+Tableau2[[#This Row],[ACOMPTE VERSE]]+Tableau2[[#This Row],[SOLDE VERSE]]</f>
        <v>0</v>
      </c>
      <c r="BA118" s="17">
        <f>IF(Tableau2[[#This Row],[STATUT]]="Soldée",0,Tableau2[[#This Row],[Montant participation à signature]]-Tableau2[[#This Row],[Total CP payés]])</f>
        <v>135000</v>
      </c>
      <c r="BB118" s="17">
        <f>IF(Tableau2[[#This Row],[SOLDE VERSE]]&lt;0,-Tableau2[[#This Row],[SOLDE VERSE]],0)</f>
        <v>0</v>
      </c>
      <c r="BC118" s="17">
        <f>IF(Tableau2[[#This Row],[STATUT]]="Soldée",Tableau2[[#This Row],[Montant participation à signature]]-Tableau2[[#This Row],[Total CP payés]],0)</f>
        <v>0</v>
      </c>
      <c r="BD118" s="17">
        <f>IF(Tableau2[[#This Row],[Montant participation voté au CA]]="",0,Tableau2[[#This Row],[Réfaction]]+Tableau2[[#This Row],[Montant des crédits non engagés]])</f>
        <v>0</v>
      </c>
      <c r="BF118"/>
      <c r="BJ118"/>
      <c r="BK118"/>
      <c r="BL118"/>
      <c r="BM118"/>
      <c r="BP118"/>
      <c r="BQ118"/>
      <c r="BR118"/>
      <c r="BS118"/>
      <c r="BT118"/>
      <c r="BU118"/>
      <c r="BV118"/>
      <c r="BW118"/>
      <c r="BX118"/>
      <c r="BY118"/>
      <c r="CA118"/>
      <c r="CB118"/>
    </row>
    <row r="119" spans="1:80" ht="15" customHeight="1" x14ac:dyDescent="0.25">
      <c r="A119" s="4">
        <v>121</v>
      </c>
      <c r="B119" s="36"/>
      <c r="C119" s="39">
        <v>42703</v>
      </c>
      <c r="D119" s="73" t="s">
        <v>154</v>
      </c>
      <c r="E119" s="38">
        <v>3</v>
      </c>
      <c r="F119" s="38">
        <v>16</v>
      </c>
      <c r="G119" s="96" t="s">
        <v>143</v>
      </c>
      <c r="H119" s="96" t="s">
        <v>144</v>
      </c>
      <c r="I119" s="40"/>
      <c r="J119" s="79"/>
      <c r="K119" s="72"/>
      <c r="L119" s="34"/>
      <c r="M119" s="35"/>
      <c r="N119" s="38">
        <v>24</v>
      </c>
      <c r="O119" s="37">
        <v>6</v>
      </c>
      <c r="P119" s="37">
        <f>IF(Tableau2[[#This Row],[Durée du projet]]="","-",Tableau2[[#This Row],[Durée du projet]]+Tableau2[[#This Row],[Durée suppl'' pour pièces]])</f>
        <v>30</v>
      </c>
      <c r="Q119" s="38"/>
      <c r="R119" s="61"/>
      <c r="S119" s="6" t="str">
        <f>IF(Tableau2[[#This Row],[Date signature ]]="","",EOMONTH((EDATE(Tableau2[[#This Row],[Début éligibilité dépenses]],Tableau2[[#This Row],[Durée du projet]])),-1))</f>
        <v/>
      </c>
      <c r="T119" s="6" t="str">
        <f>IF(Tableau2[[#This Row],[Fin éligibilité dépenses]]="","",EDATE(Tableau2[[#This Row],[Fin éligibilité dépenses]],-6))</f>
        <v/>
      </c>
      <c r="U119" s="6" t="str">
        <f>IF(Tableau2[[#This Row],[Début éligibilité dépenses]]="","",EOMONTH(EDATE(Tableau2[[#This Row],[Début éligibilité dépenses]],Tableau2[[#This Row],[Durée du projet]]/2),0))</f>
        <v/>
      </c>
      <c r="V119" s="59" t="str">
        <f>IF(Tableau2[[#This Row],[Date signature ]]="","",EDATE(Tableau2[[#This Row],[Date signature ]],Tableau2[[#This Row],[Durée totale conv'' ]])-1)</f>
        <v/>
      </c>
      <c r="W119" s="40" t="s">
        <v>21</v>
      </c>
      <c r="X119" s="2"/>
      <c r="Y119" s="40" t="s">
        <v>145</v>
      </c>
      <c r="Z119" s="2"/>
      <c r="AA119" s="2"/>
      <c r="AB119" s="19"/>
      <c r="AC119" s="21">
        <f>IF(Tableau2[[#This Row],[PORTEUR
DE
PROJET]]="",0,IF(COUNTIF(Tableau2[[#This Row],[PORTEUR
DE
PROJET]],"CRA*")=1,Tableau2[[#This Row],[Montant participation à signature]]/2,Tableau2[[#This Row],[Montant participation à signature]]*0.3))</f>
        <v>9000</v>
      </c>
      <c r="AD119" s="6" t="str">
        <f>IF(Tableau2[[#This Row],[Date signature ]]="","",EDATE(Tableau2[[#This Row],[Date signature ]],1))</f>
        <v/>
      </c>
      <c r="AE119" s="21">
        <f>IF(Tableau2[[#This Row],[PORTEUR
DE
PROJET]]="",0,IF(COUNTIF(Tableau2[[#This Row],[PORTEUR
DE
PROJET]],"CRA*")=1,,Tableau2[[#This Row],[Montant participation à signature]]*0.4))</f>
        <v>12000</v>
      </c>
      <c r="AF119" s="6" t="str">
        <f>IF(Tableau2[[#This Row],[Date signature ]]="","",IF(Tableau2[[#This Row],[ACOMPTE PREVU]]=0,"",EOMONTH(EDATE(Tableau2[[#This Row],[Date signature ]],Tableau2[[#This Row],[Durée du projet]]/2),0)))</f>
        <v/>
      </c>
      <c r="AG119" s="21">
        <f>IF(Tableau2[[#This Row],[PORTEUR
DE
PROJET]]="",0,IF(COUNTIF(Tableau2[[#This Row],[PORTEUR
DE
PROJET]],"CRA*")=1,Tableau2[[#This Row],[Montant participation à signature]]/2,Tableau2[[#This Row],[Montant participation à signature]]*0.3))</f>
        <v>9000</v>
      </c>
      <c r="AH119" s="6" t="str">
        <f>IF(Tableau2[[#This Row],[Date signature ]]="","",EOMONTH(EDATE(Tableau2[[#This Row],[Date signature ]],Tableau2[[#This Row],[Durée du projet]]),0))</f>
        <v/>
      </c>
      <c r="AI119" s="29">
        <f>IF(COUNTBLANK(Tableau2[[#This Row],[Date du mandat Avance]])=1,,Tableau2[[#This Row],[AVANCE PREVUE]])</f>
        <v>0</v>
      </c>
      <c r="AJ119" s="56"/>
      <c r="AK119" s="2"/>
      <c r="AL119" s="6"/>
      <c r="AM119" s="6"/>
      <c r="AN119" s="17">
        <f>IF(COUNTBLANK(Tableau2[[#This Row],[Date envoi ASF Acompte]])=1,,Tableau2[[#This Row],[ACOMPTE PREVU]])</f>
        <v>0</v>
      </c>
      <c r="AO119" s="17"/>
      <c r="AP119" s="2"/>
      <c r="AQ119" s="6"/>
      <c r="AR119" s="6"/>
      <c r="AS119" s="17"/>
      <c r="AT119" s="17"/>
      <c r="AU119" s="20"/>
      <c r="AV119" s="17"/>
      <c r="AW119" s="17"/>
      <c r="AX119" s="17">
        <f>IF(Tableau2[[#This Row],[Montant participation voté au CA]]="",0,Tableau2[[#This Row],[Montant participation voté au CA]]-Tableau2[[#This Row],[Montant participation à signature]])</f>
        <v>0</v>
      </c>
      <c r="AY119" s="52">
        <v>30000</v>
      </c>
      <c r="AZ119" s="17">
        <f>Tableau2[[#This Row],[AVANCE VERSEE]]+Tableau2[[#This Row],[ACOMPTE VERSE]]+Tableau2[[#This Row],[SOLDE VERSE]]</f>
        <v>0</v>
      </c>
      <c r="BA119" s="17">
        <f>IF(Tableau2[[#This Row],[STATUT]]="Soldée",0,Tableau2[[#This Row],[Montant participation à signature]]-Tableau2[[#This Row],[Total CP payés]])</f>
        <v>30000</v>
      </c>
      <c r="BB119" s="17">
        <f>IF(Tableau2[[#This Row],[SOLDE VERSE]]&lt;0,-Tableau2[[#This Row],[SOLDE VERSE]],0)</f>
        <v>0</v>
      </c>
      <c r="BC119" s="17">
        <f>IF(Tableau2[[#This Row],[STATUT]]="Soldée",Tableau2[[#This Row],[Montant participation à signature]]-Tableau2[[#This Row],[Total CP payés]],0)</f>
        <v>0</v>
      </c>
      <c r="BD119" s="17">
        <f>IF(Tableau2[[#This Row],[Montant participation voté au CA]]="",0,Tableau2[[#This Row],[Réfaction]]+Tableau2[[#This Row],[Montant des crédits non engagés]])</f>
        <v>0</v>
      </c>
      <c r="BF119"/>
      <c r="BJ119"/>
      <c r="BK119"/>
      <c r="BL119"/>
      <c r="BM119"/>
      <c r="BP119"/>
      <c r="BQ119"/>
      <c r="BR119"/>
      <c r="BS119"/>
      <c r="BT119"/>
      <c r="BU119"/>
      <c r="BV119"/>
      <c r="BW119"/>
      <c r="BX119"/>
      <c r="BY119"/>
      <c r="CA119"/>
      <c r="CB119"/>
    </row>
    <row r="120" spans="1:80" ht="15" customHeight="1" x14ac:dyDescent="0.25">
      <c r="A120" s="4">
        <v>122</v>
      </c>
      <c r="B120" s="36"/>
      <c r="C120" s="39">
        <v>42703</v>
      </c>
      <c r="D120" s="73" t="s">
        <v>154</v>
      </c>
      <c r="E120" s="38">
        <v>4</v>
      </c>
      <c r="F120" s="38" t="s">
        <v>42</v>
      </c>
      <c r="G120" s="96" t="s">
        <v>143</v>
      </c>
      <c r="H120" s="96" t="s">
        <v>144</v>
      </c>
      <c r="I120" s="40"/>
      <c r="J120" s="79"/>
      <c r="K120" s="72"/>
      <c r="L120" s="34"/>
      <c r="M120" s="35"/>
      <c r="N120" s="38">
        <v>14</v>
      </c>
      <c r="O120" s="37">
        <v>6</v>
      </c>
      <c r="P120" s="37">
        <f>IF(Tableau2[[#This Row],[Durée du projet]]="","-",Tableau2[[#This Row],[Durée du projet]]+Tableau2[[#This Row],[Durée suppl'' pour pièces]])</f>
        <v>20</v>
      </c>
      <c r="Q120" s="38"/>
      <c r="R120" s="61"/>
      <c r="S120" s="6" t="str">
        <f>IF(Tableau2[[#This Row],[Date signature ]]="","",EOMONTH((EDATE(Tableau2[[#This Row],[Début éligibilité dépenses]],Tableau2[[#This Row],[Durée du projet]])),-1))</f>
        <v/>
      </c>
      <c r="T120" s="6" t="str">
        <f>IF(Tableau2[[#This Row],[Fin éligibilité dépenses]]="","",EDATE(Tableau2[[#This Row],[Fin éligibilité dépenses]],-6))</f>
        <v/>
      </c>
      <c r="U120" s="6" t="str">
        <f>IF(Tableau2[[#This Row],[Début éligibilité dépenses]]="","",EOMONTH(EDATE(Tableau2[[#This Row],[Début éligibilité dépenses]],Tableau2[[#This Row],[Durée du projet]]/2),0))</f>
        <v/>
      </c>
      <c r="V120" s="59" t="str">
        <f>IF(Tableau2[[#This Row],[Date signature ]]="","",EDATE(Tableau2[[#This Row],[Date signature ]],Tableau2[[#This Row],[Durée totale conv'' ]])-1)</f>
        <v/>
      </c>
      <c r="W120" s="40" t="s">
        <v>21</v>
      </c>
      <c r="X120" s="2"/>
      <c r="Y120" s="40" t="s">
        <v>145</v>
      </c>
      <c r="Z120" s="2"/>
      <c r="AA120" s="2"/>
      <c r="AB120" s="19"/>
      <c r="AC120" s="21">
        <f>IF(Tableau2[[#This Row],[PORTEUR
DE
PROJET]]="",0,IF(COUNTIF(Tableau2[[#This Row],[PORTEUR
DE
PROJET]],"CRA*")=1,Tableau2[[#This Row],[Montant participation à signature]]/2,Tableau2[[#This Row],[Montant participation à signature]]*0.3))</f>
        <v>195000</v>
      </c>
      <c r="AD120" s="6" t="str">
        <f>IF(Tableau2[[#This Row],[Date signature ]]="","",EDATE(Tableau2[[#This Row],[Date signature ]],1))</f>
        <v/>
      </c>
      <c r="AE120" s="21">
        <f>IF(Tableau2[[#This Row],[PORTEUR
DE
PROJET]]="",0,IF(COUNTIF(Tableau2[[#This Row],[PORTEUR
DE
PROJET]],"CRA*")=1,,Tableau2[[#This Row],[Montant participation à signature]]*0.4))</f>
        <v>260000</v>
      </c>
      <c r="AF120" s="6" t="str">
        <f>IF(Tableau2[[#This Row],[Date signature ]]="","",IF(Tableau2[[#This Row],[ACOMPTE PREVU]]=0,"",EOMONTH(EDATE(Tableau2[[#This Row],[Date signature ]],Tableau2[[#This Row],[Durée du projet]]/2),0)))</f>
        <v/>
      </c>
      <c r="AG120" s="21">
        <f>IF(Tableau2[[#This Row],[PORTEUR
DE
PROJET]]="",0,IF(COUNTIF(Tableau2[[#This Row],[PORTEUR
DE
PROJET]],"CRA*")=1,Tableau2[[#This Row],[Montant participation à signature]]/2,Tableau2[[#This Row],[Montant participation à signature]]*0.3))</f>
        <v>195000</v>
      </c>
      <c r="AH120" s="6" t="str">
        <f>IF(Tableau2[[#This Row],[Date signature ]]="","",EOMONTH(EDATE(Tableau2[[#This Row],[Date signature ]],Tableau2[[#This Row],[Durée du projet]]),0))</f>
        <v/>
      </c>
      <c r="AI120" s="29">
        <f>IF(COUNTBLANK(Tableau2[[#This Row],[Date du mandat Avance]])=1,,Tableau2[[#This Row],[AVANCE PREVUE]])</f>
        <v>0</v>
      </c>
      <c r="AJ120" s="56"/>
      <c r="AK120" s="2"/>
      <c r="AL120" s="6"/>
      <c r="AM120" s="6"/>
      <c r="AN120" s="17">
        <f>IF(COUNTBLANK(Tableau2[[#This Row],[Date envoi ASF Acompte]])=1,,Tableau2[[#This Row],[ACOMPTE PREVU]])</f>
        <v>0</v>
      </c>
      <c r="AO120" s="17"/>
      <c r="AP120" s="2"/>
      <c r="AQ120" s="6"/>
      <c r="AR120" s="6"/>
      <c r="AS120" s="17"/>
      <c r="AT120" s="17"/>
      <c r="AU120" s="20"/>
      <c r="AV120" s="17"/>
      <c r="AW120" s="17"/>
      <c r="AX120" s="17">
        <f>IF(Tableau2[[#This Row],[Montant participation voté au CA]]="",0,Tableau2[[#This Row],[Montant participation voté au CA]]-Tableau2[[#This Row],[Montant participation à signature]])</f>
        <v>0</v>
      </c>
      <c r="AY120" s="52">
        <v>650000</v>
      </c>
      <c r="AZ120" s="17">
        <f>Tableau2[[#This Row],[AVANCE VERSEE]]+Tableau2[[#This Row],[ACOMPTE VERSE]]+Tableau2[[#This Row],[SOLDE VERSE]]</f>
        <v>0</v>
      </c>
      <c r="BA120" s="17">
        <f>IF(Tableau2[[#This Row],[STATUT]]="Soldée",0,Tableau2[[#This Row],[Montant participation à signature]]-Tableau2[[#This Row],[Total CP payés]])</f>
        <v>650000</v>
      </c>
      <c r="BB120" s="17">
        <f>IF(Tableau2[[#This Row],[SOLDE VERSE]]&lt;0,-Tableau2[[#This Row],[SOLDE VERSE]],0)</f>
        <v>0</v>
      </c>
      <c r="BC120" s="17">
        <f>IF(Tableau2[[#This Row],[STATUT]]="Soldée",Tableau2[[#This Row],[Montant participation à signature]]-Tableau2[[#This Row],[Total CP payés]],0)</f>
        <v>0</v>
      </c>
      <c r="BD120" s="17">
        <f>IF(Tableau2[[#This Row],[Montant participation voté au CA]]="",0,Tableau2[[#This Row],[Réfaction]]+Tableau2[[#This Row],[Montant des crédits non engagés]])</f>
        <v>0</v>
      </c>
      <c r="BF120"/>
      <c r="BJ120"/>
      <c r="BK120"/>
      <c r="BL120"/>
      <c r="BM120"/>
      <c r="BP120"/>
      <c r="BQ120"/>
      <c r="BR120"/>
      <c r="BS120"/>
      <c r="BT120"/>
      <c r="BU120"/>
      <c r="BV120"/>
      <c r="BW120"/>
      <c r="BX120"/>
      <c r="BY120"/>
      <c r="CA120"/>
      <c r="CB120"/>
    </row>
    <row r="121" spans="1:80" ht="15" customHeight="1" x14ac:dyDescent="0.25">
      <c r="A121" s="4">
        <v>123</v>
      </c>
      <c r="B121" s="36"/>
      <c r="C121" s="39">
        <v>42703</v>
      </c>
      <c r="D121" s="73" t="s">
        <v>154</v>
      </c>
      <c r="E121" s="38">
        <v>4</v>
      </c>
      <c r="F121" s="38" t="s">
        <v>42</v>
      </c>
      <c r="G121" s="96" t="s">
        <v>143</v>
      </c>
      <c r="H121" s="96" t="s">
        <v>144</v>
      </c>
      <c r="I121" s="40"/>
      <c r="J121" s="79"/>
      <c r="K121" s="72"/>
      <c r="L121" s="34"/>
      <c r="M121" s="35"/>
      <c r="N121" s="38"/>
      <c r="O121" s="37">
        <v>6</v>
      </c>
      <c r="P121" s="37" t="str">
        <f>IF(Tableau2[[#This Row],[Durée du projet]]="","-",Tableau2[[#This Row],[Durée du projet]]+Tableau2[[#This Row],[Durée suppl'' pour pièces]])</f>
        <v>-</v>
      </c>
      <c r="Q121" s="38"/>
      <c r="R121" s="61"/>
      <c r="S121" s="6" t="str">
        <f>IF(Tableau2[[#This Row],[Date signature ]]="","",EOMONTH((EDATE(Tableau2[[#This Row],[Début éligibilité dépenses]],Tableau2[[#This Row],[Durée du projet]])),-1))</f>
        <v/>
      </c>
      <c r="T121" s="6" t="str">
        <f>IF(Tableau2[[#This Row],[Fin éligibilité dépenses]]="","",EDATE(Tableau2[[#This Row],[Fin éligibilité dépenses]],-6))</f>
        <v/>
      </c>
      <c r="U121" s="6" t="str">
        <f>IF(Tableau2[[#This Row],[Début éligibilité dépenses]]="","",EOMONTH(EDATE(Tableau2[[#This Row],[Début éligibilité dépenses]],Tableau2[[#This Row],[Durée du projet]]/2),0))</f>
        <v/>
      </c>
      <c r="V121" s="59" t="str">
        <f>IF(Tableau2[[#This Row],[Date signature ]]="","",EDATE(Tableau2[[#This Row],[Date signature ]],Tableau2[[#This Row],[Durée totale conv'' ]])-1)</f>
        <v/>
      </c>
      <c r="W121" s="40" t="s">
        <v>21</v>
      </c>
      <c r="X121" s="2"/>
      <c r="Y121" s="40" t="s">
        <v>145</v>
      </c>
      <c r="Z121" s="2"/>
      <c r="AA121" s="2"/>
      <c r="AB121" s="19"/>
      <c r="AC121" s="21">
        <f>IF(Tableau2[[#This Row],[PORTEUR
DE
PROJET]]="",0,IF(COUNTIF(Tableau2[[#This Row],[PORTEUR
DE
PROJET]],"CRA*")=1,Tableau2[[#This Row],[Montant participation à signature]]/2,Tableau2[[#This Row],[Montant participation à signature]]*0.3))</f>
        <v>14400</v>
      </c>
      <c r="AD121" s="6" t="str">
        <f>IF(Tableau2[[#This Row],[Date signature ]]="","",EDATE(Tableau2[[#This Row],[Date signature ]],1))</f>
        <v/>
      </c>
      <c r="AE121" s="21">
        <f>IF(Tableau2[[#This Row],[PORTEUR
DE
PROJET]]="",0,IF(COUNTIF(Tableau2[[#This Row],[PORTEUR
DE
PROJET]],"CRA*")=1,,Tableau2[[#This Row],[Montant participation à signature]]*0.4))</f>
        <v>19200</v>
      </c>
      <c r="AF121" s="6" t="str">
        <f>IF(Tableau2[[#This Row],[Date signature ]]="","",IF(Tableau2[[#This Row],[ACOMPTE PREVU]]=0,"",EOMONTH(EDATE(Tableau2[[#This Row],[Date signature ]],Tableau2[[#This Row],[Durée du projet]]/2),0)))</f>
        <v/>
      </c>
      <c r="AG121" s="21">
        <f>IF(Tableau2[[#This Row],[PORTEUR
DE
PROJET]]="",0,IF(COUNTIF(Tableau2[[#This Row],[PORTEUR
DE
PROJET]],"CRA*")=1,Tableau2[[#This Row],[Montant participation à signature]]/2,Tableau2[[#This Row],[Montant participation à signature]]*0.3))</f>
        <v>14400</v>
      </c>
      <c r="AH121" s="6" t="str">
        <f>IF(Tableau2[[#This Row],[Date signature ]]="","",EOMONTH(EDATE(Tableau2[[#This Row],[Date signature ]],Tableau2[[#This Row],[Durée du projet]]),0))</f>
        <v/>
      </c>
      <c r="AI121" s="29">
        <f>IF(COUNTBLANK(Tableau2[[#This Row],[Date du mandat Avance]])=1,,Tableau2[[#This Row],[AVANCE PREVUE]])</f>
        <v>0</v>
      </c>
      <c r="AJ121" s="56"/>
      <c r="AK121" s="2"/>
      <c r="AL121" s="6"/>
      <c r="AM121" s="6"/>
      <c r="AN121" s="17">
        <f>IF(COUNTBLANK(Tableau2[[#This Row],[Date envoi ASF Acompte]])=1,,Tableau2[[#This Row],[ACOMPTE PREVU]])</f>
        <v>0</v>
      </c>
      <c r="AO121" s="17"/>
      <c r="AP121" s="2"/>
      <c r="AQ121" s="6"/>
      <c r="AR121" s="6"/>
      <c r="AS121" s="17"/>
      <c r="AT121" s="17"/>
      <c r="AU121" s="20"/>
      <c r="AV121" s="17"/>
      <c r="AW121" s="17"/>
      <c r="AX121" s="17">
        <f>IF(Tableau2[[#This Row],[Montant participation voté au CA]]="",0,Tableau2[[#This Row],[Montant participation voté au CA]]-Tableau2[[#This Row],[Montant participation à signature]])</f>
        <v>0</v>
      </c>
      <c r="AY121" s="52">
        <v>48000</v>
      </c>
      <c r="AZ121" s="17">
        <f>Tableau2[[#This Row],[AVANCE VERSEE]]+Tableau2[[#This Row],[ACOMPTE VERSE]]+Tableau2[[#This Row],[SOLDE VERSE]]</f>
        <v>0</v>
      </c>
      <c r="BA121" s="17">
        <f>IF(Tableau2[[#This Row],[STATUT]]="Soldée",0,Tableau2[[#This Row],[Montant participation à signature]]-Tableau2[[#This Row],[Total CP payés]])</f>
        <v>48000</v>
      </c>
      <c r="BB121" s="17">
        <f>IF(Tableau2[[#This Row],[SOLDE VERSE]]&lt;0,-Tableau2[[#This Row],[SOLDE VERSE]],0)</f>
        <v>0</v>
      </c>
      <c r="BC121" s="17">
        <f>IF(Tableau2[[#This Row],[STATUT]]="Soldée",Tableau2[[#This Row],[Montant participation à signature]]-Tableau2[[#This Row],[Total CP payés]],0)</f>
        <v>0</v>
      </c>
      <c r="BD121" s="17">
        <f>IF(Tableau2[[#This Row],[Montant participation voté au CA]]="",0,Tableau2[[#This Row],[Réfaction]]+Tableau2[[#This Row],[Montant des crédits non engagés]])</f>
        <v>0</v>
      </c>
      <c r="BF121"/>
      <c r="BJ121"/>
      <c r="BK121"/>
      <c r="BL121"/>
      <c r="BM121"/>
      <c r="BP121"/>
      <c r="BQ121"/>
      <c r="BR121"/>
      <c r="BS121"/>
      <c r="BT121"/>
      <c r="BU121"/>
      <c r="BV121"/>
      <c r="BW121"/>
      <c r="BX121"/>
      <c r="BY121"/>
      <c r="CA121"/>
      <c r="CB121"/>
    </row>
    <row r="122" spans="1:80" ht="15" customHeight="1" x14ac:dyDescent="0.25">
      <c r="A122" s="4">
        <v>124</v>
      </c>
      <c r="B122" s="36"/>
      <c r="C122" s="39">
        <v>42703</v>
      </c>
      <c r="D122" s="73" t="s">
        <v>154</v>
      </c>
      <c r="E122" s="38">
        <v>4</v>
      </c>
      <c r="F122" s="38" t="s">
        <v>42</v>
      </c>
      <c r="G122" s="96" t="s">
        <v>143</v>
      </c>
      <c r="H122" s="96" t="s">
        <v>144</v>
      </c>
      <c r="I122" s="40"/>
      <c r="J122" s="79"/>
      <c r="K122" s="72"/>
      <c r="L122" s="34"/>
      <c r="M122" s="35"/>
      <c r="N122" s="38">
        <v>12</v>
      </c>
      <c r="O122" s="37">
        <v>6</v>
      </c>
      <c r="P122" s="37">
        <f>IF(Tableau2[[#This Row],[Durée du projet]]="","-",Tableau2[[#This Row],[Durée du projet]]+Tableau2[[#This Row],[Durée suppl'' pour pièces]])</f>
        <v>18</v>
      </c>
      <c r="Q122" s="38"/>
      <c r="R122" s="61"/>
      <c r="S122" s="6" t="str">
        <f>IF(Tableau2[[#This Row],[Date signature ]]="","",EOMONTH((EDATE(Tableau2[[#This Row],[Début éligibilité dépenses]],Tableau2[[#This Row],[Durée du projet]])),-1))</f>
        <v/>
      </c>
      <c r="T122" s="6" t="str">
        <f>IF(Tableau2[[#This Row],[Fin éligibilité dépenses]]="","",EDATE(Tableau2[[#This Row],[Fin éligibilité dépenses]],-6))</f>
        <v/>
      </c>
      <c r="U122" s="6" t="str">
        <f>IF(Tableau2[[#This Row],[Début éligibilité dépenses]]="","",EOMONTH(EDATE(Tableau2[[#This Row],[Début éligibilité dépenses]],Tableau2[[#This Row],[Durée du projet]]/2),0))</f>
        <v/>
      </c>
      <c r="V122" s="59" t="str">
        <f>IF(Tableau2[[#This Row],[Date signature ]]="","",EDATE(Tableau2[[#This Row],[Date signature ]],Tableau2[[#This Row],[Durée totale conv'' ]])-1)</f>
        <v/>
      </c>
      <c r="W122" s="40" t="s">
        <v>21</v>
      </c>
      <c r="X122" s="2"/>
      <c r="Y122" s="40" t="s">
        <v>145</v>
      </c>
      <c r="Z122" s="2"/>
      <c r="AA122" s="2"/>
      <c r="AB122" s="19"/>
      <c r="AC122" s="21">
        <f>IF(Tableau2[[#This Row],[PORTEUR
DE
PROJET]]="",0,IF(COUNTIF(Tableau2[[#This Row],[PORTEUR
DE
PROJET]],"CRA*")=1,Tableau2[[#This Row],[Montant participation à signature]]/2,Tableau2[[#This Row],[Montant participation à signature]]*0.3))</f>
        <v>74756.099999999991</v>
      </c>
      <c r="AD122" s="6" t="str">
        <f>IF(Tableau2[[#This Row],[Date signature ]]="","",EDATE(Tableau2[[#This Row],[Date signature ]],1))</f>
        <v/>
      </c>
      <c r="AE122" s="21">
        <f>IF(Tableau2[[#This Row],[PORTEUR
DE
PROJET]]="",0,IF(COUNTIF(Tableau2[[#This Row],[PORTEUR
DE
PROJET]],"CRA*")=1,,Tableau2[[#This Row],[Montant participation à signature]]*0.4))</f>
        <v>99674.8</v>
      </c>
      <c r="AF122" s="6" t="str">
        <f>IF(Tableau2[[#This Row],[Date signature ]]="","",IF(Tableau2[[#This Row],[ACOMPTE PREVU]]=0,"",EOMONTH(EDATE(Tableau2[[#This Row],[Date signature ]],Tableau2[[#This Row],[Durée du projet]]/2),0)))</f>
        <v/>
      </c>
      <c r="AG122" s="21">
        <f>IF(Tableau2[[#This Row],[PORTEUR
DE
PROJET]]="",0,IF(COUNTIF(Tableau2[[#This Row],[PORTEUR
DE
PROJET]],"CRA*")=1,Tableau2[[#This Row],[Montant participation à signature]]/2,Tableau2[[#This Row],[Montant participation à signature]]*0.3))</f>
        <v>74756.099999999991</v>
      </c>
      <c r="AH122" s="6" t="str">
        <f>IF(Tableau2[[#This Row],[Date signature ]]="","",EOMONTH(EDATE(Tableau2[[#This Row],[Date signature ]],Tableau2[[#This Row],[Durée du projet]]),0))</f>
        <v/>
      </c>
      <c r="AI122" s="29">
        <f>IF(COUNTBLANK(Tableau2[[#This Row],[Date du mandat Avance]])=1,,Tableau2[[#This Row],[AVANCE PREVUE]])</f>
        <v>0</v>
      </c>
      <c r="AJ122" s="56"/>
      <c r="AK122" s="2"/>
      <c r="AL122" s="6"/>
      <c r="AM122" s="6"/>
      <c r="AN122" s="17">
        <f>IF(COUNTBLANK(Tableau2[[#This Row],[Date envoi ASF Acompte]])=1,,Tableau2[[#This Row],[ACOMPTE PREVU]])</f>
        <v>0</v>
      </c>
      <c r="AO122" s="17"/>
      <c r="AP122" s="2"/>
      <c r="AQ122" s="6"/>
      <c r="AR122" s="6"/>
      <c r="AS122" s="17"/>
      <c r="AT122" s="17"/>
      <c r="AU122" s="20"/>
      <c r="AV122" s="17"/>
      <c r="AW122" s="17"/>
      <c r="AX122" s="17">
        <f>IF(Tableau2[[#This Row],[Montant participation voté au CA]]="",0,Tableau2[[#This Row],[Montant participation voté au CA]]-Tableau2[[#This Row],[Montant participation à signature]])</f>
        <v>0</v>
      </c>
      <c r="AY122" s="52">
        <v>249187</v>
      </c>
      <c r="AZ122" s="17">
        <f>Tableau2[[#This Row],[AVANCE VERSEE]]+Tableau2[[#This Row],[ACOMPTE VERSE]]+Tableau2[[#This Row],[SOLDE VERSE]]</f>
        <v>0</v>
      </c>
      <c r="BA122" s="17">
        <f>IF(Tableau2[[#This Row],[STATUT]]="Soldée",0,Tableau2[[#This Row],[Montant participation à signature]]-Tableau2[[#This Row],[Total CP payés]])</f>
        <v>249187</v>
      </c>
      <c r="BB122" s="17">
        <f>IF(Tableau2[[#This Row],[SOLDE VERSE]]&lt;0,-Tableau2[[#This Row],[SOLDE VERSE]],0)</f>
        <v>0</v>
      </c>
      <c r="BC122" s="17">
        <f>IF(Tableau2[[#This Row],[STATUT]]="Soldée",Tableau2[[#This Row],[Montant participation à signature]]-Tableau2[[#This Row],[Total CP payés]],0)</f>
        <v>0</v>
      </c>
      <c r="BD122" s="17">
        <f>IF(Tableau2[[#This Row],[Montant participation voté au CA]]="",0,Tableau2[[#This Row],[Réfaction]]+Tableau2[[#This Row],[Montant des crédits non engagés]])</f>
        <v>0</v>
      </c>
      <c r="BF122"/>
      <c r="BJ122"/>
      <c r="BK122"/>
      <c r="BL122"/>
      <c r="BM122"/>
      <c r="BP122"/>
      <c r="BQ122"/>
      <c r="BR122"/>
      <c r="BS122"/>
      <c r="BT122"/>
      <c r="BU122"/>
      <c r="BV122"/>
      <c r="BW122"/>
      <c r="BX122"/>
      <c r="BY122"/>
      <c r="CA122"/>
      <c r="CB122"/>
    </row>
    <row r="123" spans="1:80" ht="15" customHeight="1" x14ac:dyDescent="0.25">
      <c r="A123" s="4">
        <v>125</v>
      </c>
      <c r="B123" s="36"/>
      <c r="C123" s="39">
        <v>42703</v>
      </c>
      <c r="D123" s="73" t="s">
        <v>154</v>
      </c>
      <c r="E123" s="38">
        <v>4</v>
      </c>
      <c r="F123" s="38" t="s">
        <v>42</v>
      </c>
      <c r="G123" s="96" t="s">
        <v>143</v>
      </c>
      <c r="H123" s="96" t="s">
        <v>144</v>
      </c>
      <c r="I123" s="40"/>
      <c r="J123" s="79"/>
      <c r="K123" s="72"/>
      <c r="L123" s="34"/>
      <c r="M123" s="35"/>
      <c r="N123" s="38">
        <v>12</v>
      </c>
      <c r="O123" s="37">
        <v>6</v>
      </c>
      <c r="P123" s="37">
        <f>IF(Tableau2[[#This Row],[Durée du projet]]="","-",Tableau2[[#This Row],[Durée du projet]]+Tableau2[[#This Row],[Durée suppl'' pour pièces]])</f>
        <v>18</v>
      </c>
      <c r="Q123" s="38"/>
      <c r="R123" s="61"/>
      <c r="S123" s="6" t="str">
        <f>IF(Tableau2[[#This Row],[Date signature ]]="","",EOMONTH((EDATE(Tableau2[[#This Row],[Début éligibilité dépenses]],Tableau2[[#This Row],[Durée du projet]])),-1))</f>
        <v/>
      </c>
      <c r="T123" s="6" t="str">
        <f>IF(Tableau2[[#This Row],[Fin éligibilité dépenses]]="","",EDATE(Tableau2[[#This Row],[Fin éligibilité dépenses]],-6))</f>
        <v/>
      </c>
      <c r="U123" s="6" t="str">
        <f>IF(Tableau2[[#This Row],[Début éligibilité dépenses]]="","",EOMONTH(EDATE(Tableau2[[#This Row],[Début éligibilité dépenses]],Tableau2[[#This Row],[Durée du projet]]/2),0))</f>
        <v/>
      </c>
      <c r="V123" s="59" t="str">
        <f>IF(Tableau2[[#This Row],[Date signature ]]="","",EDATE(Tableau2[[#This Row],[Date signature ]],Tableau2[[#This Row],[Durée totale conv'' ]])-1)</f>
        <v/>
      </c>
      <c r="W123" s="40" t="s">
        <v>21</v>
      </c>
      <c r="X123" s="2"/>
      <c r="Y123" s="40" t="s">
        <v>145</v>
      </c>
      <c r="Z123" s="2"/>
      <c r="AA123" s="2"/>
      <c r="AB123" s="19"/>
      <c r="AC123" s="21">
        <f>IF(Tableau2[[#This Row],[PORTEUR
DE
PROJET]]="",0,IF(COUNTIF(Tableau2[[#This Row],[PORTEUR
DE
PROJET]],"CRA*")=1,Tableau2[[#This Row],[Montant participation à signature]]/2,Tableau2[[#This Row],[Montant participation à signature]]*0.3))</f>
        <v>41175</v>
      </c>
      <c r="AD123" s="6" t="str">
        <f>IF(Tableau2[[#This Row],[Date signature ]]="","",EDATE(Tableau2[[#This Row],[Date signature ]],1))</f>
        <v/>
      </c>
      <c r="AE123" s="21">
        <f>IF(Tableau2[[#This Row],[PORTEUR
DE
PROJET]]="",0,IF(COUNTIF(Tableau2[[#This Row],[PORTEUR
DE
PROJET]],"CRA*")=1,,Tableau2[[#This Row],[Montant participation à signature]]*0.4))</f>
        <v>54900</v>
      </c>
      <c r="AF123" s="6" t="str">
        <f>IF(Tableau2[[#This Row],[Date signature ]]="","",IF(Tableau2[[#This Row],[ACOMPTE PREVU]]=0,"",EOMONTH(EDATE(Tableau2[[#This Row],[Date signature ]],Tableau2[[#This Row],[Durée du projet]]/2),0)))</f>
        <v/>
      </c>
      <c r="AG123" s="21">
        <f>IF(Tableau2[[#This Row],[PORTEUR
DE
PROJET]]="",0,IF(COUNTIF(Tableau2[[#This Row],[PORTEUR
DE
PROJET]],"CRA*")=1,Tableau2[[#This Row],[Montant participation à signature]]/2,Tableau2[[#This Row],[Montant participation à signature]]*0.3))</f>
        <v>41175</v>
      </c>
      <c r="AH123" s="6" t="str">
        <f>IF(Tableau2[[#This Row],[Date signature ]]="","",EOMONTH(EDATE(Tableau2[[#This Row],[Date signature ]],Tableau2[[#This Row],[Durée du projet]]),0))</f>
        <v/>
      </c>
      <c r="AI123" s="29">
        <f>IF(COUNTBLANK(Tableau2[[#This Row],[Date du mandat Avance]])=1,,Tableau2[[#This Row],[AVANCE PREVUE]])</f>
        <v>0</v>
      </c>
      <c r="AJ123" s="56"/>
      <c r="AK123" s="2"/>
      <c r="AL123" s="6"/>
      <c r="AM123" s="6"/>
      <c r="AN123" s="17">
        <f>IF(COUNTBLANK(Tableau2[[#This Row],[Date envoi ASF Acompte]])=1,,Tableau2[[#This Row],[ACOMPTE PREVU]])</f>
        <v>0</v>
      </c>
      <c r="AO123" s="17"/>
      <c r="AP123" s="2"/>
      <c r="AQ123" s="6"/>
      <c r="AR123" s="6"/>
      <c r="AS123" s="17"/>
      <c r="AT123" s="17"/>
      <c r="AU123" s="20"/>
      <c r="AV123" s="17"/>
      <c r="AW123" s="17"/>
      <c r="AX123" s="17">
        <f>IF(Tableau2[[#This Row],[Montant participation voté au CA]]="",0,Tableau2[[#This Row],[Montant participation voté au CA]]-Tableau2[[#This Row],[Montant participation à signature]])</f>
        <v>0</v>
      </c>
      <c r="AY123" s="52">
        <v>137250</v>
      </c>
      <c r="AZ123" s="17">
        <f>Tableau2[[#This Row],[AVANCE VERSEE]]+Tableau2[[#This Row],[ACOMPTE VERSE]]+Tableau2[[#This Row],[SOLDE VERSE]]</f>
        <v>0</v>
      </c>
      <c r="BA123" s="17">
        <f>IF(Tableau2[[#This Row],[STATUT]]="Soldée",0,Tableau2[[#This Row],[Montant participation à signature]]-Tableau2[[#This Row],[Total CP payés]])</f>
        <v>137250</v>
      </c>
      <c r="BB123" s="17">
        <f>IF(Tableau2[[#This Row],[SOLDE VERSE]]&lt;0,-Tableau2[[#This Row],[SOLDE VERSE]],0)</f>
        <v>0</v>
      </c>
      <c r="BC123" s="17">
        <f>IF(Tableau2[[#This Row],[STATUT]]="Soldée",Tableau2[[#This Row],[Montant participation à signature]]-Tableau2[[#This Row],[Total CP payés]],0)</f>
        <v>0</v>
      </c>
      <c r="BD123" s="17">
        <f>IF(Tableau2[[#This Row],[Montant participation voté au CA]]="",0,Tableau2[[#This Row],[Réfaction]]+Tableau2[[#This Row],[Montant des crédits non engagés]])</f>
        <v>0</v>
      </c>
      <c r="BF123"/>
      <c r="BJ123"/>
      <c r="BK123"/>
      <c r="BL123"/>
      <c r="BM123"/>
      <c r="BP123"/>
      <c r="BQ123"/>
      <c r="BR123"/>
      <c r="BS123"/>
      <c r="BT123"/>
      <c r="BU123"/>
      <c r="BV123"/>
      <c r="BW123"/>
      <c r="BX123"/>
      <c r="BY123"/>
      <c r="CA123"/>
      <c r="CB123"/>
    </row>
    <row r="124" spans="1:80" ht="15" customHeight="1" x14ac:dyDescent="0.25">
      <c r="A124" s="4">
        <v>126</v>
      </c>
      <c r="B124" s="36"/>
      <c r="C124" s="39">
        <v>42703</v>
      </c>
      <c r="D124" s="73" t="s">
        <v>154</v>
      </c>
      <c r="E124" s="38">
        <v>5</v>
      </c>
      <c r="F124" s="43">
        <v>27</v>
      </c>
      <c r="G124" s="96" t="s">
        <v>143</v>
      </c>
      <c r="H124" s="96" t="s">
        <v>144</v>
      </c>
      <c r="I124" s="40"/>
      <c r="J124" s="79"/>
      <c r="K124" s="72"/>
      <c r="L124" s="34"/>
      <c r="M124" s="35"/>
      <c r="N124" s="38">
        <v>12</v>
      </c>
      <c r="O124" s="37">
        <v>6</v>
      </c>
      <c r="P124" s="37">
        <f>IF(Tableau2[[#This Row],[Durée du projet]]="","-",Tableau2[[#This Row],[Durée du projet]]+Tableau2[[#This Row],[Durée suppl'' pour pièces]])</f>
        <v>18</v>
      </c>
      <c r="Q124" s="38"/>
      <c r="R124" s="61"/>
      <c r="S124" s="6" t="str">
        <f>IF(Tableau2[[#This Row],[Date signature ]]="","",EOMONTH((EDATE(Tableau2[[#This Row],[Début éligibilité dépenses]],Tableau2[[#This Row],[Durée du projet]])),-1))</f>
        <v/>
      </c>
      <c r="T124" s="6" t="str">
        <f>IF(Tableau2[[#This Row],[Fin éligibilité dépenses]]="","",EDATE(Tableau2[[#This Row],[Fin éligibilité dépenses]],-6))</f>
        <v/>
      </c>
      <c r="U124" s="6" t="str">
        <f>IF(Tableau2[[#This Row],[Début éligibilité dépenses]]="","",EOMONTH(EDATE(Tableau2[[#This Row],[Début éligibilité dépenses]],Tableau2[[#This Row],[Durée du projet]]/2),0))</f>
        <v/>
      </c>
      <c r="V124" s="59" t="str">
        <f>IF(Tableau2[[#This Row],[Date signature ]]="","",EDATE(Tableau2[[#This Row],[Date signature ]],Tableau2[[#This Row],[Durée totale conv'' ]])-1)</f>
        <v/>
      </c>
      <c r="W124" s="40" t="s">
        <v>21</v>
      </c>
      <c r="X124" s="2"/>
      <c r="Y124" s="40" t="s">
        <v>145</v>
      </c>
      <c r="Z124" s="2"/>
      <c r="AA124" s="2"/>
      <c r="AB124" s="19"/>
      <c r="AC124" s="21">
        <f>IF(Tableau2[[#This Row],[PORTEUR
DE
PROJET]]="",0,IF(COUNTIF(Tableau2[[#This Row],[PORTEUR
DE
PROJET]],"CRA*")=1,Tableau2[[#This Row],[Montant participation à signature]]/2,Tableau2[[#This Row],[Montant participation à signature]]*0.3))</f>
        <v>27000</v>
      </c>
      <c r="AD124" s="6" t="str">
        <f>IF(Tableau2[[#This Row],[Date signature ]]="","",EDATE(Tableau2[[#This Row],[Date signature ]],1))</f>
        <v/>
      </c>
      <c r="AE124" s="21">
        <f>IF(Tableau2[[#This Row],[PORTEUR
DE
PROJET]]="",0,IF(COUNTIF(Tableau2[[#This Row],[PORTEUR
DE
PROJET]],"CRA*")=1,,Tableau2[[#This Row],[Montant participation à signature]]*0.4))</f>
        <v>36000</v>
      </c>
      <c r="AF124" s="6" t="str">
        <f>IF(Tableau2[[#This Row],[Date signature ]]="","",IF(Tableau2[[#This Row],[ACOMPTE PREVU]]=0,"",EOMONTH(EDATE(Tableau2[[#This Row],[Date signature ]],Tableau2[[#This Row],[Durée du projet]]/2),0)))</f>
        <v/>
      </c>
      <c r="AG124" s="21">
        <f>IF(Tableau2[[#This Row],[PORTEUR
DE
PROJET]]="",0,IF(COUNTIF(Tableau2[[#This Row],[PORTEUR
DE
PROJET]],"CRA*")=1,Tableau2[[#This Row],[Montant participation à signature]]/2,Tableau2[[#This Row],[Montant participation à signature]]*0.3))</f>
        <v>27000</v>
      </c>
      <c r="AH124" s="6" t="str">
        <f>IF(Tableau2[[#This Row],[Date signature ]]="","",EOMONTH(EDATE(Tableau2[[#This Row],[Date signature ]],Tableau2[[#This Row],[Durée du projet]]),0))</f>
        <v/>
      </c>
      <c r="AI124" s="29">
        <f>IF(COUNTBLANK(Tableau2[[#This Row],[Date du mandat Avance]])=1,,Tableau2[[#This Row],[AVANCE PREVUE]])</f>
        <v>0</v>
      </c>
      <c r="AJ124" s="56"/>
      <c r="AK124" s="2"/>
      <c r="AL124" s="6"/>
      <c r="AM124" s="6"/>
      <c r="AN124" s="17">
        <f>IF(COUNTBLANK(Tableau2[[#This Row],[Date envoi ASF Acompte]])=1,,Tableau2[[#This Row],[ACOMPTE PREVU]])</f>
        <v>0</v>
      </c>
      <c r="AO124" s="17"/>
      <c r="AP124" s="2"/>
      <c r="AQ124" s="6"/>
      <c r="AR124" s="6"/>
      <c r="AS124" s="17"/>
      <c r="AT124" s="17"/>
      <c r="AU124" s="20"/>
      <c r="AV124" s="17"/>
      <c r="AW124" s="17"/>
      <c r="AX124" s="17">
        <f>IF(Tableau2[[#This Row],[Montant participation voté au CA]]="",0,Tableau2[[#This Row],[Montant participation voté au CA]]-Tableau2[[#This Row],[Montant participation à signature]])</f>
        <v>0</v>
      </c>
      <c r="AY124" s="52">
        <v>90000</v>
      </c>
      <c r="AZ124" s="17">
        <f>Tableau2[[#This Row],[AVANCE VERSEE]]+Tableau2[[#This Row],[ACOMPTE VERSE]]+Tableau2[[#This Row],[SOLDE VERSE]]</f>
        <v>0</v>
      </c>
      <c r="BA124" s="17">
        <f>IF(Tableau2[[#This Row],[STATUT]]="Soldée",0,Tableau2[[#This Row],[Montant participation à signature]]-Tableau2[[#This Row],[Total CP payés]])</f>
        <v>90000</v>
      </c>
      <c r="BB124" s="17">
        <f>IF(Tableau2[[#This Row],[SOLDE VERSE]]&lt;0,-Tableau2[[#This Row],[SOLDE VERSE]],0)</f>
        <v>0</v>
      </c>
      <c r="BC124" s="17">
        <f>IF(Tableau2[[#This Row],[STATUT]]="Soldée",Tableau2[[#This Row],[Montant participation à signature]]-Tableau2[[#This Row],[Total CP payés]],0)</f>
        <v>0</v>
      </c>
      <c r="BD124" s="17">
        <f>IF(Tableau2[[#This Row],[Montant participation voté au CA]]="",0,Tableau2[[#This Row],[Réfaction]]+Tableau2[[#This Row],[Montant des crédits non engagés]])</f>
        <v>0</v>
      </c>
      <c r="BF124"/>
      <c r="BJ124"/>
      <c r="BK124"/>
      <c r="BL124"/>
      <c r="BM124"/>
      <c r="BP124"/>
      <c r="BQ124"/>
      <c r="BR124"/>
      <c r="BS124"/>
      <c r="BT124"/>
      <c r="BU124"/>
      <c r="BV124"/>
      <c r="BW124"/>
      <c r="BX124"/>
      <c r="BY124"/>
      <c r="CA124"/>
      <c r="CB124"/>
    </row>
    <row r="125" spans="1:80" ht="15" customHeight="1" x14ac:dyDescent="0.25">
      <c r="A125" s="4">
        <v>127</v>
      </c>
      <c r="B125" s="36"/>
      <c r="C125" s="39">
        <v>42703</v>
      </c>
      <c r="D125" s="73" t="s">
        <v>154</v>
      </c>
      <c r="E125" s="38">
        <v>6</v>
      </c>
      <c r="F125" s="43">
        <v>28</v>
      </c>
      <c r="G125" s="96" t="s">
        <v>143</v>
      </c>
      <c r="H125" s="96" t="s">
        <v>144</v>
      </c>
      <c r="I125" s="40"/>
      <c r="J125" s="79"/>
      <c r="K125" s="72"/>
      <c r="L125" s="34"/>
      <c r="M125" s="35"/>
      <c r="N125" s="38">
        <v>12</v>
      </c>
      <c r="O125" s="37">
        <v>6</v>
      </c>
      <c r="P125" s="37">
        <f>IF(Tableau2[[#This Row],[Durée du projet]]="","-",Tableau2[[#This Row],[Durée du projet]]+Tableau2[[#This Row],[Durée suppl'' pour pièces]])</f>
        <v>18</v>
      </c>
      <c r="Q125" s="38"/>
      <c r="R125" s="61"/>
      <c r="S125" s="6" t="str">
        <f>IF(Tableau2[[#This Row],[Date signature ]]="","",EOMONTH((EDATE(Tableau2[[#This Row],[Début éligibilité dépenses]],Tableau2[[#This Row],[Durée du projet]])),-1))</f>
        <v/>
      </c>
      <c r="T125" s="6" t="str">
        <f>IF(Tableau2[[#This Row],[Fin éligibilité dépenses]]="","",EDATE(Tableau2[[#This Row],[Fin éligibilité dépenses]],-6))</f>
        <v/>
      </c>
      <c r="U125" s="6" t="str">
        <f>IF(Tableau2[[#This Row],[Début éligibilité dépenses]]="","",EOMONTH(EDATE(Tableau2[[#This Row],[Début éligibilité dépenses]],Tableau2[[#This Row],[Durée du projet]]/2),0))</f>
        <v/>
      </c>
      <c r="V125" s="59" t="str">
        <f>IF(Tableau2[[#This Row],[Date signature ]]="","",EDATE(Tableau2[[#This Row],[Date signature ]],Tableau2[[#This Row],[Durée totale conv'' ]])-1)</f>
        <v/>
      </c>
      <c r="W125" s="40" t="s">
        <v>21</v>
      </c>
      <c r="X125" s="2"/>
      <c r="Y125" s="40" t="s">
        <v>145</v>
      </c>
      <c r="Z125" s="2"/>
      <c r="AA125" s="2"/>
      <c r="AB125" s="19"/>
      <c r="AC125" s="21">
        <f>IF(Tableau2[[#This Row],[PORTEUR
DE
PROJET]]="",0,IF(COUNTIF(Tableau2[[#This Row],[PORTEUR
DE
PROJET]],"CRA*")=1,Tableau2[[#This Row],[Montant participation à signature]]/2,Tableau2[[#This Row],[Montant participation à signature]]*0.3))</f>
        <v>300000</v>
      </c>
      <c r="AD125" s="6" t="str">
        <f>IF(Tableau2[[#This Row],[Date signature ]]="","",EDATE(Tableau2[[#This Row],[Date signature ]],1))</f>
        <v/>
      </c>
      <c r="AE125" s="21">
        <f>IF(Tableau2[[#This Row],[PORTEUR
DE
PROJET]]="",0,IF(COUNTIF(Tableau2[[#This Row],[PORTEUR
DE
PROJET]],"CRA*")=1,,Tableau2[[#This Row],[Montant participation à signature]]*0.4))</f>
        <v>400000</v>
      </c>
      <c r="AF125" s="6" t="str">
        <f>IF(Tableau2[[#This Row],[Date signature ]]="","",IF(Tableau2[[#This Row],[ACOMPTE PREVU]]=0,"",EOMONTH(EDATE(Tableau2[[#This Row],[Date signature ]],Tableau2[[#This Row],[Durée du projet]]/2),0)))</f>
        <v/>
      </c>
      <c r="AG125" s="21">
        <f>IF(Tableau2[[#This Row],[PORTEUR
DE
PROJET]]="",0,IF(COUNTIF(Tableau2[[#This Row],[PORTEUR
DE
PROJET]],"CRA*")=1,Tableau2[[#This Row],[Montant participation à signature]]/2,Tableau2[[#This Row],[Montant participation à signature]]*0.3))</f>
        <v>300000</v>
      </c>
      <c r="AH125" s="6" t="str">
        <f>IF(Tableau2[[#This Row],[Date signature ]]="","",EOMONTH(EDATE(Tableau2[[#This Row],[Date signature ]],Tableau2[[#This Row],[Durée du projet]]),0))</f>
        <v/>
      </c>
      <c r="AI125" s="29">
        <f>IF(COUNTBLANK(Tableau2[[#This Row],[Date du mandat Avance]])=1,,Tableau2[[#This Row],[AVANCE PREVUE]])</f>
        <v>0</v>
      </c>
      <c r="AJ125" s="56"/>
      <c r="AK125" s="2"/>
      <c r="AL125" s="6"/>
      <c r="AM125" s="6"/>
      <c r="AN125" s="17">
        <f>IF(COUNTBLANK(Tableau2[[#This Row],[Date envoi ASF Acompte]])=1,,Tableau2[[#This Row],[ACOMPTE PREVU]])</f>
        <v>0</v>
      </c>
      <c r="AO125" s="17"/>
      <c r="AP125" s="2"/>
      <c r="AQ125" s="6"/>
      <c r="AR125" s="6"/>
      <c r="AS125" s="17"/>
      <c r="AT125" s="17"/>
      <c r="AU125" s="20"/>
      <c r="AV125" s="17"/>
      <c r="AW125" s="17"/>
      <c r="AX125" s="17">
        <f>IF(Tableau2[[#This Row],[Montant participation voté au CA]]="",0,Tableau2[[#This Row],[Montant participation voté au CA]]-Tableau2[[#This Row],[Montant participation à signature]])</f>
        <v>0</v>
      </c>
      <c r="AY125" s="52">
        <v>1000000</v>
      </c>
      <c r="AZ125" s="17">
        <f>Tableau2[[#This Row],[AVANCE VERSEE]]+Tableau2[[#This Row],[ACOMPTE VERSE]]+Tableau2[[#This Row],[SOLDE VERSE]]</f>
        <v>0</v>
      </c>
      <c r="BA125" s="17">
        <f>IF(Tableau2[[#This Row],[STATUT]]="Soldée",0,Tableau2[[#This Row],[Montant participation à signature]]-Tableau2[[#This Row],[Total CP payés]])</f>
        <v>1000000</v>
      </c>
      <c r="BB125" s="17">
        <f>IF(Tableau2[[#This Row],[SOLDE VERSE]]&lt;0,-Tableau2[[#This Row],[SOLDE VERSE]],0)</f>
        <v>0</v>
      </c>
      <c r="BC125" s="17">
        <f>IF(Tableau2[[#This Row],[STATUT]]="Soldée",Tableau2[[#This Row],[Montant participation à signature]]-Tableau2[[#This Row],[Total CP payés]],0)</f>
        <v>0</v>
      </c>
      <c r="BD125" s="17">
        <f>IF(Tableau2[[#This Row],[Montant participation voté au CA]]="",0,Tableau2[[#This Row],[Réfaction]]+Tableau2[[#This Row],[Montant des crédits non engagés]])</f>
        <v>0</v>
      </c>
      <c r="BF125"/>
      <c r="BJ125"/>
      <c r="BK125"/>
      <c r="BL125"/>
      <c r="BM125"/>
      <c r="BP125"/>
      <c r="BQ125"/>
      <c r="BR125"/>
      <c r="BS125"/>
      <c r="BT125"/>
      <c r="BU125"/>
      <c r="BV125"/>
      <c r="BW125"/>
      <c r="BX125"/>
      <c r="BY125"/>
      <c r="CA125"/>
      <c r="CB125"/>
    </row>
    <row r="126" spans="1:80" ht="15" customHeight="1" x14ac:dyDescent="0.25">
      <c r="A126" s="4">
        <v>128</v>
      </c>
      <c r="B126" s="36"/>
      <c r="C126" s="39">
        <v>42703</v>
      </c>
      <c r="D126" s="73" t="s">
        <v>154</v>
      </c>
      <c r="E126" s="38">
        <v>6</v>
      </c>
      <c r="F126" s="43">
        <v>28</v>
      </c>
      <c r="G126" s="96" t="s">
        <v>143</v>
      </c>
      <c r="H126" s="96" t="s">
        <v>144</v>
      </c>
      <c r="I126" s="40"/>
      <c r="J126" s="79"/>
      <c r="K126" s="72"/>
      <c r="L126" s="34"/>
      <c r="M126" s="35"/>
      <c r="N126" s="38">
        <v>12</v>
      </c>
      <c r="O126" s="37">
        <v>6</v>
      </c>
      <c r="P126" s="37">
        <f>IF(Tableau2[[#This Row],[Durée du projet]]="","-",Tableau2[[#This Row],[Durée du projet]]+Tableau2[[#This Row],[Durée suppl'' pour pièces]])</f>
        <v>18</v>
      </c>
      <c r="Q126" s="38"/>
      <c r="R126" s="61"/>
      <c r="S126" s="6" t="str">
        <f>IF(Tableau2[[#This Row],[Date signature ]]="","",EOMONTH((EDATE(Tableau2[[#This Row],[Début éligibilité dépenses]],Tableau2[[#This Row],[Durée du projet]])),-1))</f>
        <v/>
      </c>
      <c r="T126" s="6" t="str">
        <f>IF(Tableau2[[#This Row],[Fin éligibilité dépenses]]="","",EDATE(Tableau2[[#This Row],[Fin éligibilité dépenses]],-6))</f>
        <v/>
      </c>
      <c r="U126" s="6" t="str">
        <f>IF(Tableau2[[#This Row],[Début éligibilité dépenses]]="","",EOMONTH(EDATE(Tableau2[[#This Row],[Début éligibilité dépenses]],Tableau2[[#This Row],[Durée du projet]]/2),0))</f>
        <v/>
      </c>
      <c r="V126" s="59" t="str">
        <f>IF(Tableau2[[#This Row],[Date signature ]]="","",EDATE(Tableau2[[#This Row],[Date signature ]],Tableau2[[#This Row],[Durée totale conv'' ]])-1)</f>
        <v/>
      </c>
      <c r="W126" s="40" t="s">
        <v>21</v>
      </c>
      <c r="X126" s="2"/>
      <c r="Y126" s="40" t="s">
        <v>145</v>
      </c>
      <c r="Z126" s="2"/>
      <c r="AA126" s="2"/>
      <c r="AB126" s="19"/>
      <c r="AC126" s="21">
        <f>IF(Tableau2[[#This Row],[PORTEUR
DE
PROJET]]="",0,IF(COUNTIF(Tableau2[[#This Row],[PORTEUR
DE
PROJET]],"CRA*")=1,Tableau2[[#This Row],[Montant participation à signature]]/2,Tableau2[[#This Row],[Montant participation à signature]]*0.3))</f>
        <v>16200</v>
      </c>
      <c r="AD126" s="6" t="str">
        <f>IF(Tableau2[[#This Row],[Date signature ]]="","",EDATE(Tableau2[[#This Row],[Date signature ]],1))</f>
        <v/>
      </c>
      <c r="AE126" s="21">
        <f>IF(Tableau2[[#This Row],[PORTEUR
DE
PROJET]]="",0,IF(COUNTIF(Tableau2[[#This Row],[PORTEUR
DE
PROJET]],"CRA*")=1,,Tableau2[[#This Row],[Montant participation à signature]]*0.4))</f>
        <v>21600</v>
      </c>
      <c r="AF126" s="6" t="str">
        <f>IF(Tableau2[[#This Row],[Date signature ]]="","",IF(Tableau2[[#This Row],[ACOMPTE PREVU]]=0,"",EOMONTH(EDATE(Tableau2[[#This Row],[Date signature ]],Tableau2[[#This Row],[Durée du projet]]/2),0)))</f>
        <v/>
      </c>
      <c r="AG126" s="21">
        <f>IF(Tableau2[[#This Row],[PORTEUR
DE
PROJET]]="",0,IF(COUNTIF(Tableau2[[#This Row],[PORTEUR
DE
PROJET]],"CRA*")=1,Tableau2[[#This Row],[Montant participation à signature]]/2,Tableau2[[#This Row],[Montant participation à signature]]*0.3))</f>
        <v>16200</v>
      </c>
      <c r="AH126" s="6" t="str">
        <f>IF(Tableau2[[#This Row],[Date signature ]]="","",EOMONTH(EDATE(Tableau2[[#This Row],[Date signature ]],Tableau2[[#This Row],[Durée du projet]]),0))</f>
        <v/>
      </c>
      <c r="AI126" s="29">
        <f>IF(COUNTBLANK(Tableau2[[#This Row],[Date du mandat Avance]])=1,,Tableau2[[#This Row],[AVANCE PREVUE]])</f>
        <v>0</v>
      </c>
      <c r="AJ126" s="56"/>
      <c r="AK126" s="2"/>
      <c r="AL126" s="6"/>
      <c r="AM126" s="6"/>
      <c r="AN126" s="17">
        <f>IF(COUNTBLANK(Tableau2[[#This Row],[Date envoi ASF Acompte]])=1,,Tableau2[[#This Row],[ACOMPTE PREVU]])</f>
        <v>0</v>
      </c>
      <c r="AO126" s="17"/>
      <c r="AP126" s="2"/>
      <c r="AQ126" s="6"/>
      <c r="AR126" s="6"/>
      <c r="AS126" s="17"/>
      <c r="AT126" s="17"/>
      <c r="AU126" s="20"/>
      <c r="AV126" s="17"/>
      <c r="AW126" s="17"/>
      <c r="AX126" s="17">
        <f>IF(Tableau2[[#This Row],[Montant participation voté au CA]]="",0,Tableau2[[#This Row],[Montant participation voté au CA]]-Tableau2[[#This Row],[Montant participation à signature]])</f>
        <v>0</v>
      </c>
      <c r="AY126" s="52">
        <v>54000</v>
      </c>
      <c r="AZ126" s="17">
        <f>Tableau2[[#This Row],[AVANCE VERSEE]]+Tableau2[[#This Row],[ACOMPTE VERSE]]+Tableau2[[#This Row],[SOLDE VERSE]]</f>
        <v>0</v>
      </c>
      <c r="BA126" s="17">
        <f>IF(Tableau2[[#This Row],[STATUT]]="Soldée",0,Tableau2[[#This Row],[Montant participation à signature]]-Tableau2[[#This Row],[Total CP payés]])</f>
        <v>54000</v>
      </c>
      <c r="BB126" s="17">
        <f>IF(Tableau2[[#This Row],[SOLDE VERSE]]&lt;0,-Tableau2[[#This Row],[SOLDE VERSE]],0)</f>
        <v>0</v>
      </c>
      <c r="BC126" s="17">
        <f>IF(Tableau2[[#This Row],[STATUT]]="Soldée",Tableau2[[#This Row],[Montant participation à signature]]-Tableau2[[#This Row],[Total CP payés]],0)</f>
        <v>0</v>
      </c>
      <c r="BD126" s="17">
        <f>IF(Tableau2[[#This Row],[Montant participation voté au CA]]="",0,Tableau2[[#This Row],[Réfaction]]+Tableau2[[#This Row],[Montant des crédits non engagés]])</f>
        <v>0</v>
      </c>
      <c r="BF126"/>
      <c r="BJ126"/>
      <c r="BK126"/>
      <c r="BL126"/>
      <c r="BM126"/>
      <c r="BP126"/>
      <c r="BQ126"/>
      <c r="BR126"/>
      <c r="BS126"/>
      <c r="BT126"/>
      <c r="BU126"/>
      <c r="BV126"/>
      <c r="BW126"/>
      <c r="BX126"/>
      <c r="BY126"/>
      <c r="CA126"/>
      <c r="CB126"/>
    </row>
    <row r="127" spans="1:80" s="2" customFormat="1" ht="15" customHeight="1" x14ac:dyDescent="0.25">
      <c r="A127" s="4">
        <v>129</v>
      </c>
      <c r="B127" s="36"/>
      <c r="C127" s="39">
        <v>42703</v>
      </c>
      <c r="D127" s="73" t="s">
        <v>154</v>
      </c>
      <c r="E127" s="38">
        <v>6</v>
      </c>
      <c r="F127" s="38" t="s">
        <v>57</v>
      </c>
      <c r="G127" s="96" t="s">
        <v>143</v>
      </c>
      <c r="H127" s="96" t="s">
        <v>144</v>
      </c>
      <c r="I127" s="40"/>
      <c r="J127" s="79"/>
      <c r="K127" s="72"/>
      <c r="L127" s="34"/>
      <c r="M127" s="35"/>
      <c r="N127" s="38">
        <v>12</v>
      </c>
      <c r="O127" s="37">
        <v>6</v>
      </c>
      <c r="P127" s="37">
        <f>IF(Tableau2[[#This Row],[Durée du projet]]="","-",Tableau2[[#This Row],[Durée du projet]]+Tableau2[[#This Row],[Durée suppl'' pour pièces]])</f>
        <v>18</v>
      </c>
      <c r="Q127" s="38"/>
      <c r="R127" s="61"/>
      <c r="S127" s="6" t="str">
        <f>IF(Tableau2[[#This Row],[Date signature ]]="","",EOMONTH((EDATE(Tableau2[[#This Row],[Début éligibilité dépenses]],Tableau2[[#This Row],[Durée du projet]])),-1))</f>
        <v/>
      </c>
      <c r="T127" s="6" t="str">
        <f>IF(Tableau2[[#This Row],[Fin éligibilité dépenses]]="","",EDATE(Tableau2[[#This Row],[Fin éligibilité dépenses]],-6))</f>
        <v/>
      </c>
      <c r="U127" s="6" t="str">
        <f>IF(Tableau2[[#This Row],[Début éligibilité dépenses]]="","",EOMONTH(EDATE(Tableau2[[#This Row],[Début éligibilité dépenses]],Tableau2[[#This Row],[Durée du projet]]/2),0))</f>
        <v/>
      </c>
      <c r="V127" s="59" t="str">
        <f>IF(Tableau2[[#This Row],[Date signature ]]="","",EDATE(Tableau2[[#This Row],[Date signature ]],Tableau2[[#This Row],[Durée totale conv'' ]])-1)</f>
        <v/>
      </c>
      <c r="W127" s="40" t="s">
        <v>21</v>
      </c>
      <c r="Y127" s="40" t="s">
        <v>145</v>
      </c>
      <c r="AB127" s="19"/>
      <c r="AC127" s="21">
        <f>IF(Tableau2[[#This Row],[PORTEUR
DE
PROJET]]="",0,IF(COUNTIF(Tableau2[[#This Row],[PORTEUR
DE
PROJET]],"CRA*")=1,Tableau2[[#This Row],[Montant participation à signature]]/2,Tableau2[[#This Row],[Montant participation à signature]]*0.3))</f>
        <v>761993.7</v>
      </c>
      <c r="AD127" s="6" t="str">
        <f>IF(Tableau2[[#This Row],[Date signature ]]="","",EDATE(Tableau2[[#This Row],[Date signature ]],1))</f>
        <v/>
      </c>
      <c r="AE127" s="21">
        <f>IF(Tableau2[[#This Row],[PORTEUR
DE
PROJET]]="",0,IF(COUNTIF(Tableau2[[#This Row],[PORTEUR
DE
PROJET]],"CRA*")=1,,Tableau2[[#This Row],[Montant participation à signature]]*0.4))</f>
        <v>1015991.6000000001</v>
      </c>
      <c r="AF127" s="6" t="str">
        <f>IF(Tableau2[[#This Row],[Date signature ]]="","",IF(Tableau2[[#This Row],[ACOMPTE PREVU]]=0,"",EOMONTH(EDATE(Tableau2[[#This Row],[Date signature ]],Tableau2[[#This Row],[Durée du projet]]/2),0)))</f>
        <v/>
      </c>
      <c r="AG127" s="21">
        <f>IF(Tableau2[[#This Row],[PORTEUR
DE
PROJET]]="",0,IF(COUNTIF(Tableau2[[#This Row],[PORTEUR
DE
PROJET]],"CRA*")=1,Tableau2[[#This Row],[Montant participation à signature]]/2,Tableau2[[#This Row],[Montant participation à signature]]*0.3))</f>
        <v>761993.7</v>
      </c>
      <c r="AH127" s="6" t="str">
        <f>IF(Tableau2[[#This Row],[Date signature ]]="","",EOMONTH(EDATE(Tableau2[[#This Row],[Date signature ]],Tableau2[[#This Row],[Durée du projet]]),0))</f>
        <v/>
      </c>
      <c r="AI127" s="29">
        <f>IF(COUNTBLANK(Tableau2[[#This Row],[Date du mandat Avance]])=1,,Tableau2[[#This Row],[AVANCE PREVUE]])</f>
        <v>0</v>
      </c>
      <c r="AJ127" s="56"/>
      <c r="AL127" s="6"/>
      <c r="AM127" s="6"/>
      <c r="AN127" s="17">
        <f>IF(COUNTBLANK(Tableau2[[#This Row],[Date envoi ASF Acompte]])=1,,Tableau2[[#This Row],[ACOMPTE PREVU]])</f>
        <v>0</v>
      </c>
      <c r="AO127" s="17"/>
      <c r="AQ127" s="6"/>
      <c r="AR127" s="6"/>
      <c r="AS127" s="17"/>
      <c r="AT127" s="17"/>
      <c r="AU127" s="20"/>
      <c r="AV127" s="17"/>
      <c r="AW127" s="17"/>
      <c r="AX127" s="17">
        <f>IF(Tableau2[[#This Row],[Montant participation voté au CA]]="",0,Tableau2[[#This Row],[Montant participation voté au CA]]-Tableau2[[#This Row],[Montant participation à signature]])</f>
        <v>0</v>
      </c>
      <c r="AY127" s="52">
        <v>2539979</v>
      </c>
      <c r="AZ127" s="17">
        <f>Tableau2[[#This Row],[AVANCE VERSEE]]+Tableau2[[#This Row],[ACOMPTE VERSE]]+Tableau2[[#This Row],[SOLDE VERSE]]</f>
        <v>0</v>
      </c>
      <c r="BA127" s="17">
        <f>IF(Tableau2[[#This Row],[STATUT]]="Soldée",0,Tableau2[[#This Row],[Montant participation à signature]]-Tableau2[[#This Row],[Total CP payés]])</f>
        <v>2539979</v>
      </c>
      <c r="BB127" s="17">
        <f>IF(Tableau2[[#This Row],[SOLDE VERSE]]&lt;0,-Tableau2[[#This Row],[SOLDE VERSE]],0)</f>
        <v>0</v>
      </c>
      <c r="BC127" s="17">
        <f>IF(Tableau2[[#This Row],[STATUT]]="Soldée",Tableau2[[#This Row],[Montant participation à signature]]-Tableau2[[#This Row],[Total CP payés]],0)</f>
        <v>0</v>
      </c>
      <c r="BD127" s="17">
        <f>IF(Tableau2[[#This Row],[Montant participation voté au CA]]="",0,Tableau2[[#This Row],[Réfaction]]+Tableau2[[#This Row],[Montant des crédits non engagés]])</f>
        <v>0</v>
      </c>
    </row>
    <row r="128" spans="1:80" ht="15" customHeight="1" x14ac:dyDescent="0.25">
      <c r="A128" s="4">
        <v>130</v>
      </c>
      <c r="B128" s="95"/>
      <c r="C128" s="48">
        <v>42703</v>
      </c>
      <c r="D128" s="73" t="s">
        <v>154</v>
      </c>
      <c r="E128" s="47">
        <v>6</v>
      </c>
      <c r="F128" s="47" t="s">
        <v>58</v>
      </c>
      <c r="G128" s="96" t="s">
        <v>143</v>
      </c>
      <c r="H128" s="96" t="s">
        <v>144</v>
      </c>
      <c r="I128" s="40"/>
      <c r="J128" s="79"/>
      <c r="K128" s="72"/>
      <c r="L128" s="34"/>
      <c r="M128" s="35"/>
      <c r="N128" s="3">
        <v>12</v>
      </c>
      <c r="O128" s="37">
        <v>6</v>
      </c>
      <c r="P128" s="37">
        <f>IF(Tableau2[[#This Row],[Durée du projet]]="","-",Tableau2[[#This Row],[Durée du projet]]+Tableau2[[#This Row],[Durée suppl'' pour pièces]])</f>
        <v>18</v>
      </c>
      <c r="Q128" s="38"/>
      <c r="R128" s="61"/>
      <c r="S128" s="6" t="str">
        <f>IF(Tableau2[[#This Row],[Date signature ]]="","",EOMONTH((EDATE(Tableau2[[#This Row],[Début éligibilité dépenses]],Tableau2[[#This Row],[Durée du projet]])),-1))</f>
        <v/>
      </c>
      <c r="T128" s="6" t="str">
        <f>IF(Tableau2[[#This Row],[Fin éligibilité dépenses]]="","",EDATE(Tableau2[[#This Row],[Fin éligibilité dépenses]],-6))</f>
        <v/>
      </c>
      <c r="U128" s="6" t="str">
        <f>IF(Tableau2[[#This Row],[Début éligibilité dépenses]]="","",EOMONTH(EDATE(Tableau2[[#This Row],[Début éligibilité dépenses]],Tableau2[[#This Row],[Durée du projet]]/2),0))</f>
        <v/>
      </c>
      <c r="V128" s="59" t="str">
        <f>IF(Tableau2[[#This Row],[Date signature ]]="","",EDATE(Tableau2[[#This Row],[Date signature ]],Tableau2[[#This Row],[Durée totale conv'' ]])-1)</f>
        <v/>
      </c>
      <c r="W128" s="40" t="s">
        <v>21</v>
      </c>
      <c r="X128" s="2"/>
      <c r="Y128" s="40" t="s">
        <v>145</v>
      </c>
      <c r="Z128" s="2"/>
      <c r="AA128" s="2"/>
      <c r="AB128" s="19"/>
      <c r="AC128" s="21">
        <f>IF(Tableau2[[#This Row],[PORTEUR
DE
PROJET]]="",0,IF(COUNTIF(Tableau2[[#This Row],[PORTEUR
DE
PROJET]],"CRA*")=1,Tableau2[[#This Row],[Montant participation à signature]]/2,Tableau2[[#This Row],[Montant participation à signature]]*0.3))</f>
        <v>135300</v>
      </c>
      <c r="AD128" s="6" t="str">
        <f>IF(Tableau2[[#This Row],[Date signature ]]="","",EDATE(Tableau2[[#This Row],[Date signature ]],1))</f>
        <v/>
      </c>
      <c r="AE128" s="21">
        <f>IF(Tableau2[[#This Row],[PORTEUR
DE
PROJET]]="",0,IF(COUNTIF(Tableau2[[#This Row],[PORTEUR
DE
PROJET]],"CRA*")=1,,Tableau2[[#This Row],[Montant participation à signature]]*0.4))</f>
        <v>180400</v>
      </c>
      <c r="AF128" s="6" t="str">
        <f>IF(Tableau2[[#This Row],[Date signature ]]="","",IF(Tableau2[[#This Row],[ACOMPTE PREVU]]=0,"",EOMONTH(EDATE(Tableau2[[#This Row],[Date signature ]],Tableau2[[#This Row],[Durée du projet]]/2),0)))</f>
        <v/>
      </c>
      <c r="AG128" s="21">
        <f>IF(Tableau2[[#This Row],[PORTEUR
DE
PROJET]]="",0,IF(COUNTIF(Tableau2[[#This Row],[PORTEUR
DE
PROJET]],"CRA*")=1,Tableau2[[#This Row],[Montant participation à signature]]/2,Tableau2[[#This Row],[Montant participation à signature]]*0.3))</f>
        <v>135300</v>
      </c>
      <c r="AH128" s="6" t="str">
        <f>IF(Tableau2[[#This Row],[Date signature ]]="","",EOMONTH(EDATE(Tableau2[[#This Row],[Date signature ]],Tableau2[[#This Row],[Durée du projet]]),0))</f>
        <v/>
      </c>
      <c r="AI128" s="29">
        <f>IF(COUNTBLANK(Tableau2[[#This Row],[Date du mandat Avance]])=1,,Tableau2[[#This Row],[AVANCE PREVUE]])</f>
        <v>0</v>
      </c>
      <c r="AJ128" s="56"/>
      <c r="AK128" s="2"/>
      <c r="AL128" s="6"/>
      <c r="AM128" s="6"/>
      <c r="AN128" s="17">
        <f>IF(COUNTBLANK(Tableau2[[#This Row],[Date envoi ASF Acompte]])=1,,Tableau2[[#This Row],[ACOMPTE PREVU]])</f>
        <v>0</v>
      </c>
      <c r="AO128" s="17"/>
      <c r="AP128" s="2"/>
      <c r="AQ128" s="6"/>
      <c r="AR128" s="6"/>
      <c r="AS128" s="17"/>
      <c r="AT128" s="17"/>
      <c r="AU128" s="20"/>
      <c r="AV128" s="17"/>
      <c r="AW128" s="17"/>
      <c r="AX128" s="17">
        <f>IF(Tableau2[[#This Row],[Montant participation voté au CA]]="",0,Tableau2[[#This Row],[Montant participation voté au CA]]-Tableau2[[#This Row],[Montant participation à signature]])</f>
        <v>0</v>
      </c>
      <c r="AY128" s="74">
        <v>451000</v>
      </c>
      <c r="AZ128" s="17">
        <f>Tableau2[[#This Row],[AVANCE VERSEE]]+Tableau2[[#This Row],[ACOMPTE VERSE]]+Tableau2[[#This Row],[SOLDE VERSE]]</f>
        <v>0</v>
      </c>
      <c r="BA128" s="17">
        <f>IF(Tableau2[[#This Row],[STATUT]]="Soldée",0,Tableau2[[#This Row],[Montant participation à signature]]-Tableau2[[#This Row],[Total CP payés]])</f>
        <v>451000</v>
      </c>
      <c r="BB128" s="17">
        <f>IF(Tableau2[[#This Row],[SOLDE VERSE]]&lt;0,-Tableau2[[#This Row],[SOLDE VERSE]],0)</f>
        <v>0</v>
      </c>
      <c r="BC128" s="17">
        <f>IF(Tableau2[[#This Row],[STATUT]]="Soldée",Tableau2[[#This Row],[Montant participation à signature]]-Tableau2[[#This Row],[Total CP payés]],0)</f>
        <v>0</v>
      </c>
      <c r="BD128" s="17">
        <f>IF(Tableau2[[#This Row],[Montant participation voté au CA]]="",0,Tableau2[[#This Row],[Réfaction]]+Tableau2[[#This Row],[Montant des crédits non engagés]])</f>
        <v>0</v>
      </c>
      <c r="BF128"/>
      <c r="BJ128"/>
      <c r="BK128"/>
      <c r="BL128"/>
      <c r="BM128"/>
      <c r="BP128"/>
      <c r="BQ128"/>
      <c r="BR128"/>
      <c r="BS128"/>
      <c r="BT128"/>
      <c r="BU128"/>
      <c r="BV128"/>
      <c r="BW128"/>
      <c r="BX128"/>
      <c r="BY128"/>
      <c r="CA128"/>
      <c r="CB128"/>
    </row>
    <row r="129" spans="1:80" ht="15" customHeight="1" x14ac:dyDescent="0.25">
      <c r="A129" s="4">
        <v>131</v>
      </c>
      <c r="B129" s="95"/>
      <c r="C129" s="48">
        <v>42703</v>
      </c>
      <c r="D129" s="73" t="s">
        <v>154</v>
      </c>
      <c r="E129" s="47">
        <v>6</v>
      </c>
      <c r="F129" s="47" t="s">
        <v>58</v>
      </c>
      <c r="G129" s="96" t="s">
        <v>143</v>
      </c>
      <c r="H129" s="96" t="s">
        <v>144</v>
      </c>
      <c r="I129" s="40"/>
      <c r="J129" s="79"/>
      <c r="K129" s="72"/>
      <c r="L129" s="34"/>
      <c r="M129" s="35"/>
      <c r="N129" s="38">
        <v>12</v>
      </c>
      <c r="O129" s="37">
        <v>6</v>
      </c>
      <c r="P129" s="37">
        <f>IF(Tableau2[[#This Row],[Durée du projet]]="","-",Tableau2[[#This Row],[Durée du projet]]+Tableau2[[#This Row],[Durée suppl'' pour pièces]])</f>
        <v>18</v>
      </c>
      <c r="Q129" s="38"/>
      <c r="R129" s="61"/>
      <c r="S129" s="6" t="str">
        <f>IF(Tableau2[[#This Row],[Date signature ]]="","",EOMONTH((EDATE(Tableau2[[#This Row],[Début éligibilité dépenses]],Tableau2[[#This Row],[Durée du projet]])),-1))</f>
        <v/>
      </c>
      <c r="T129" s="6" t="str">
        <f>IF(Tableau2[[#This Row],[Fin éligibilité dépenses]]="","",EDATE(Tableau2[[#This Row],[Fin éligibilité dépenses]],-6))</f>
        <v/>
      </c>
      <c r="U129" s="6" t="str">
        <f>IF(Tableau2[[#This Row],[Début éligibilité dépenses]]="","",EOMONTH(EDATE(Tableau2[[#This Row],[Début éligibilité dépenses]],Tableau2[[#This Row],[Durée du projet]]/2),0))</f>
        <v/>
      </c>
      <c r="V129" s="59" t="str">
        <f>IF(Tableau2[[#This Row],[Date signature ]]="","",EDATE(Tableau2[[#This Row],[Date signature ]],Tableau2[[#This Row],[Durée totale conv'' ]])-1)</f>
        <v/>
      </c>
      <c r="W129" s="40" t="s">
        <v>21</v>
      </c>
      <c r="X129" s="2"/>
      <c r="Y129" s="40" t="s">
        <v>145</v>
      </c>
      <c r="Z129" s="2"/>
      <c r="AA129" s="2"/>
      <c r="AB129" s="19"/>
      <c r="AC129" s="21">
        <f>IF(Tableau2[[#This Row],[PORTEUR
DE
PROJET]]="",0,IF(COUNTIF(Tableau2[[#This Row],[PORTEUR
DE
PROJET]],"CRA*")=1,Tableau2[[#This Row],[Montant participation à signature]]/2,Tableau2[[#This Row],[Montant participation à signature]]*0.3))</f>
        <v>164700</v>
      </c>
      <c r="AD129" s="6" t="str">
        <f>IF(Tableau2[[#This Row],[Date signature ]]="","",EDATE(Tableau2[[#This Row],[Date signature ]],1))</f>
        <v/>
      </c>
      <c r="AE129" s="21">
        <f>IF(Tableau2[[#This Row],[PORTEUR
DE
PROJET]]="",0,IF(COUNTIF(Tableau2[[#This Row],[PORTEUR
DE
PROJET]],"CRA*")=1,,Tableau2[[#This Row],[Montant participation à signature]]*0.4))</f>
        <v>219600</v>
      </c>
      <c r="AF129" s="6" t="str">
        <f>IF(Tableau2[[#This Row],[Date signature ]]="","",IF(Tableau2[[#This Row],[ACOMPTE PREVU]]=0,"",EOMONTH(EDATE(Tableau2[[#This Row],[Date signature ]],Tableau2[[#This Row],[Durée du projet]]/2),0)))</f>
        <v/>
      </c>
      <c r="AG129" s="21">
        <f>IF(Tableau2[[#This Row],[PORTEUR
DE
PROJET]]="",0,IF(COUNTIF(Tableau2[[#This Row],[PORTEUR
DE
PROJET]],"CRA*")=1,Tableau2[[#This Row],[Montant participation à signature]]/2,Tableau2[[#This Row],[Montant participation à signature]]*0.3))</f>
        <v>164700</v>
      </c>
      <c r="AH129" s="6" t="str">
        <f>IF(Tableau2[[#This Row],[Date signature ]]="","",EOMONTH(EDATE(Tableau2[[#This Row],[Date signature ]],Tableau2[[#This Row],[Durée du projet]]),0))</f>
        <v/>
      </c>
      <c r="AI129" s="29">
        <f>IF(COUNTBLANK(Tableau2[[#This Row],[Date du mandat Avance]])=1,,Tableau2[[#This Row],[AVANCE PREVUE]])</f>
        <v>0</v>
      </c>
      <c r="AJ129" s="56"/>
      <c r="AK129" s="2"/>
      <c r="AL129" s="6"/>
      <c r="AM129" s="6"/>
      <c r="AN129" s="17">
        <f>IF(COUNTBLANK(Tableau2[[#This Row],[Date envoi ASF Acompte]])=1,,Tableau2[[#This Row],[ACOMPTE PREVU]])</f>
        <v>0</v>
      </c>
      <c r="AO129" s="17"/>
      <c r="AP129" s="2"/>
      <c r="AQ129" s="6"/>
      <c r="AR129" s="6"/>
      <c r="AS129" s="17"/>
      <c r="AT129" s="17"/>
      <c r="AU129" s="20"/>
      <c r="AV129" s="17"/>
      <c r="AW129" s="17"/>
      <c r="AX129" s="17">
        <f>IF(Tableau2[[#This Row],[Montant participation voté au CA]]="",0,Tableau2[[#This Row],[Montant participation voté au CA]]-Tableau2[[#This Row],[Montant participation à signature]])</f>
        <v>0</v>
      </c>
      <c r="AY129" s="74">
        <v>549000</v>
      </c>
      <c r="AZ129" s="17">
        <f>Tableau2[[#This Row],[AVANCE VERSEE]]+Tableau2[[#This Row],[ACOMPTE VERSE]]+Tableau2[[#This Row],[SOLDE VERSE]]</f>
        <v>0</v>
      </c>
      <c r="BA129" s="17">
        <f>IF(Tableau2[[#This Row],[STATUT]]="Soldée",0,Tableau2[[#This Row],[Montant participation à signature]]-Tableau2[[#This Row],[Total CP payés]])</f>
        <v>549000</v>
      </c>
      <c r="BB129" s="17">
        <f>IF(Tableau2[[#This Row],[SOLDE VERSE]]&lt;0,-Tableau2[[#This Row],[SOLDE VERSE]],0)</f>
        <v>0</v>
      </c>
      <c r="BC129" s="17">
        <f>IF(Tableau2[[#This Row],[STATUT]]="Soldée",Tableau2[[#This Row],[Montant participation à signature]]-Tableau2[[#This Row],[Total CP payés]],0)</f>
        <v>0</v>
      </c>
      <c r="BD129" s="17">
        <f>IF(Tableau2[[#This Row],[Montant participation voté au CA]]="",0,Tableau2[[#This Row],[Réfaction]]+Tableau2[[#This Row],[Montant des crédits non engagés]])</f>
        <v>0</v>
      </c>
      <c r="BF129"/>
      <c r="BJ129"/>
      <c r="BK129"/>
      <c r="BL129"/>
      <c r="BM129"/>
      <c r="BP129"/>
      <c r="BQ129"/>
      <c r="BR129"/>
      <c r="BS129"/>
      <c r="BT129"/>
      <c r="BU129"/>
      <c r="BV129"/>
      <c r="BW129"/>
      <c r="BX129"/>
      <c r="BY129"/>
      <c r="CA129"/>
      <c r="CB129"/>
    </row>
    <row r="130" spans="1:80" ht="15" customHeight="1" x14ac:dyDescent="0.25">
      <c r="A130" s="4">
        <v>132</v>
      </c>
      <c r="B130" s="36">
        <v>2834</v>
      </c>
      <c r="C130" s="69" t="s">
        <v>73</v>
      </c>
      <c r="D130" s="73" t="s">
        <v>154</v>
      </c>
      <c r="E130" s="38">
        <v>5</v>
      </c>
      <c r="F130" s="38">
        <v>27</v>
      </c>
      <c r="G130" s="96" t="s">
        <v>143</v>
      </c>
      <c r="H130" s="96" t="s">
        <v>144</v>
      </c>
      <c r="I130" s="40" t="s">
        <v>48</v>
      </c>
      <c r="J130" s="79"/>
      <c r="K130" s="72"/>
      <c r="L130" s="34"/>
      <c r="M130" s="35"/>
      <c r="N130" s="38">
        <v>9</v>
      </c>
      <c r="O130" s="37">
        <v>6</v>
      </c>
      <c r="P130" s="37">
        <f>IF(Tableau2[[#This Row],[Durée du projet]]="","-",Tableau2[[#This Row],[Durée du projet]]+Tableau2[[#This Row],[Durée suppl'' pour pièces]])</f>
        <v>15</v>
      </c>
      <c r="Q130" s="39">
        <v>42612</v>
      </c>
      <c r="R130" s="60">
        <v>42370</v>
      </c>
      <c r="S130" s="6">
        <f>IF(Tableau2[[#This Row],[Date signature ]]="","",EOMONTH((EDATE(Tableau2[[#This Row],[Début éligibilité dépenses]],Tableau2[[#This Row],[Durée du projet]])),-1))</f>
        <v>42643</v>
      </c>
      <c r="T130" s="6">
        <f>IF(Tableau2[[#This Row],[Fin éligibilité dépenses]]="","",EDATE(Tableau2[[#This Row],[Fin éligibilité dépenses]],-6))</f>
        <v>42459</v>
      </c>
      <c r="U130" s="6">
        <f>IF(Tableau2[[#This Row],[Début éligibilité dépenses]]="","",EOMONTH(EDATE(Tableau2[[#This Row],[Début éligibilité dépenses]],Tableau2[[#This Row],[Durée du projet]]/2),0))</f>
        <v>42521</v>
      </c>
      <c r="V130" s="59">
        <f>IF(Tableau2[[#This Row],[Date signature ]]="","",EDATE(Tableau2[[#This Row],[Date signature ]],Tableau2[[#This Row],[Durée totale conv'' ]])-1)</f>
        <v>43068</v>
      </c>
      <c r="W130" s="40" t="s">
        <v>21</v>
      </c>
      <c r="X130" s="2"/>
      <c r="Y130" s="40" t="s">
        <v>145</v>
      </c>
      <c r="Z130" s="2"/>
      <c r="AA130" s="2"/>
      <c r="AB130" s="19"/>
      <c r="AC130" s="21">
        <f>IF(Tableau2[[#This Row],[PORTEUR
DE
PROJET]]="",0,IF(COUNTIF(Tableau2[[#This Row],[PORTEUR
DE
PROJET]],"CRA*")=1,Tableau2[[#This Row],[Montant participation à signature]]/2,Tableau2[[#This Row],[Montant participation à signature]]*0.3))</f>
        <v>33652.799999999996</v>
      </c>
      <c r="AD130" s="6">
        <f>IF(Tableau2[[#This Row],[Date signature ]]="","",EDATE(Tableau2[[#This Row],[Date signature ]],1))</f>
        <v>42643</v>
      </c>
      <c r="AE130" s="21">
        <f>IF(Tableau2[[#This Row],[PORTEUR
DE
PROJET]]="",0,IF(COUNTIF(Tableau2[[#This Row],[PORTEUR
DE
PROJET]],"CRA*")=1,,Tableau2[[#This Row],[Montant participation à signature]]*0.4))</f>
        <v>44870.400000000001</v>
      </c>
      <c r="AF130" s="6">
        <f>IF(Tableau2[[#This Row],[Date signature ]]="","",IF(Tableau2[[#This Row],[ACOMPTE PREVU]]=0,"",EOMONTH(EDATE(Tableau2[[#This Row],[Date signature ]],Tableau2[[#This Row],[Durée du projet]]/2),0)))</f>
        <v>42735</v>
      </c>
      <c r="AG130" s="21">
        <f>IF(Tableau2[[#This Row],[PORTEUR
DE
PROJET]]="",0,IF(COUNTIF(Tableau2[[#This Row],[PORTEUR
DE
PROJET]],"CRA*")=1,Tableau2[[#This Row],[Montant participation à signature]]/2,Tableau2[[#This Row],[Montant participation à signature]]*0.3))</f>
        <v>33652.799999999996</v>
      </c>
      <c r="AH130" s="6">
        <f>IF(Tableau2[[#This Row],[Date signature ]]="","",EOMONTH(EDATE(Tableau2[[#This Row],[Date signature ]],Tableau2[[#This Row],[Durée du projet]]),0))</f>
        <v>42886</v>
      </c>
      <c r="AI130" s="29">
        <f>IF(COUNTBLANK(Tableau2[[#This Row],[Date du mandat Avance]])=1,,Tableau2[[#This Row],[AVANCE PREVUE]])</f>
        <v>33652.799999999996</v>
      </c>
      <c r="AJ130" s="65">
        <v>42626</v>
      </c>
      <c r="AK130" s="2"/>
      <c r="AL130" s="6"/>
      <c r="AM130" s="6"/>
      <c r="AN130" s="17">
        <f>IF(COUNTBLANK(Tableau2[[#This Row],[Date envoi ASF Acompte]])=1,,Tableau2[[#This Row],[ACOMPTE PREVU]])</f>
        <v>0</v>
      </c>
      <c r="AO130" s="17"/>
      <c r="AP130" s="2"/>
      <c r="AQ130" s="6"/>
      <c r="AR130" s="6"/>
      <c r="AS130" s="17"/>
      <c r="AT130" s="17"/>
      <c r="AU130" s="20"/>
      <c r="AV130" s="17"/>
      <c r="AW130" s="17"/>
      <c r="AX130" s="17">
        <f>IF(Tableau2[[#This Row],[Montant participation voté au CA]]="",0,Tableau2[[#This Row],[Montant participation voté au CA]]-Tableau2[[#This Row],[Montant participation à signature]])</f>
        <v>0</v>
      </c>
      <c r="AY130" s="45">
        <v>112176</v>
      </c>
      <c r="AZ130" s="17">
        <f>Tableau2[[#This Row],[AVANCE VERSEE]]+Tableau2[[#This Row],[ACOMPTE VERSE]]+Tableau2[[#This Row],[SOLDE VERSE]]</f>
        <v>33652.799999999996</v>
      </c>
      <c r="BA130" s="17">
        <f>IF(Tableau2[[#This Row],[STATUT]]="Soldée",0,Tableau2[[#This Row],[Montant participation à signature]]-Tableau2[[#This Row],[Total CP payés]])</f>
        <v>78523.200000000012</v>
      </c>
      <c r="BB130" s="17">
        <f>IF(Tableau2[[#This Row],[SOLDE VERSE]]&lt;0,-Tableau2[[#This Row],[SOLDE VERSE]],0)</f>
        <v>0</v>
      </c>
      <c r="BC130" s="17">
        <f>IF(Tableau2[[#This Row],[STATUT]]="Soldée",Tableau2[[#This Row],[Montant participation à signature]]-Tableau2[[#This Row],[Total CP payés]],0)</f>
        <v>0</v>
      </c>
      <c r="BD130" s="17">
        <f>IF(Tableau2[[#This Row],[Montant participation voté au CA]]="",0,Tableau2[[#This Row],[Réfaction]]+Tableau2[[#This Row],[Montant des crédits non engagés]])</f>
        <v>0</v>
      </c>
      <c r="BF130"/>
      <c r="BJ130"/>
      <c r="BK130"/>
      <c r="BL130"/>
      <c r="BM130"/>
      <c r="BP130"/>
      <c r="BQ130"/>
      <c r="BR130"/>
      <c r="BS130"/>
      <c r="BT130"/>
      <c r="BU130"/>
      <c r="BV130"/>
      <c r="BW130"/>
      <c r="BX130"/>
      <c r="BY130"/>
      <c r="CA130"/>
      <c r="CB130"/>
    </row>
    <row r="131" spans="1:80" ht="15" customHeight="1" x14ac:dyDescent="0.25">
      <c r="A131" s="4">
        <v>133</v>
      </c>
      <c r="B131" s="36">
        <v>2843</v>
      </c>
      <c r="C131" s="69" t="s">
        <v>73</v>
      </c>
      <c r="D131" s="73" t="s">
        <v>154</v>
      </c>
      <c r="E131" s="38">
        <v>2</v>
      </c>
      <c r="F131" s="38" t="s">
        <v>40</v>
      </c>
      <c r="G131" s="96" t="s">
        <v>143</v>
      </c>
      <c r="H131" s="96" t="s">
        <v>144</v>
      </c>
      <c r="I131" s="40" t="s">
        <v>48</v>
      </c>
      <c r="J131" s="79"/>
      <c r="K131" s="72"/>
      <c r="L131" s="34"/>
      <c r="M131" s="35"/>
      <c r="N131" s="38">
        <v>12</v>
      </c>
      <c r="O131" s="37">
        <v>6</v>
      </c>
      <c r="P131" s="37">
        <f>IF(Tableau2[[#This Row],[Durée du projet]]="","-",Tableau2[[#This Row],[Durée du projet]]+Tableau2[[#This Row],[Durée suppl'' pour pièces]])</f>
        <v>18</v>
      </c>
      <c r="Q131" s="39">
        <v>42627</v>
      </c>
      <c r="R131" s="60">
        <v>42627</v>
      </c>
      <c r="S131" s="6">
        <f>IF(Tableau2[[#This Row],[Date signature ]]="","",EOMONTH((EDATE(Tableau2[[#This Row],[Début éligibilité dépenses]],Tableau2[[#This Row],[Durée du projet]])),-1))</f>
        <v>42978</v>
      </c>
      <c r="T131" s="6">
        <f>IF(Tableau2[[#This Row],[Fin éligibilité dépenses]]="","",EDATE(Tableau2[[#This Row],[Fin éligibilité dépenses]],-6))</f>
        <v>42794</v>
      </c>
      <c r="U131" s="6">
        <f>IF(Tableau2[[#This Row],[Début éligibilité dépenses]]="","",EOMONTH(EDATE(Tableau2[[#This Row],[Début éligibilité dépenses]],Tableau2[[#This Row],[Durée du projet]]/2),0))</f>
        <v>42825</v>
      </c>
      <c r="V131" s="59">
        <f>IF(Tableau2[[#This Row],[Date signature ]]="","",EDATE(Tableau2[[#This Row],[Date signature ]],Tableau2[[#This Row],[Durée totale conv'' ]])-1)</f>
        <v>43172</v>
      </c>
      <c r="W131" s="40" t="s">
        <v>21</v>
      </c>
      <c r="X131" s="2"/>
      <c r="Y131" s="40" t="s">
        <v>145</v>
      </c>
      <c r="Z131" s="2"/>
      <c r="AA131" s="2"/>
      <c r="AB131" s="19"/>
      <c r="AC131" s="21">
        <f>IF(Tableau2[[#This Row],[PORTEUR
DE
PROJET]]="",0,IF(COUNTIF(Tableau2[[#This Row],[PORTEUR
DE
PROJET]],"CRA*")=1,Tableau2[[#This Row],[Montant participation à signature]]/2,Tableau2[[#This Row],[Montant participation à signature]]*0.3))</f>
        <v>38052</v>
      </c>
      <c r="AD131" s="6">
        <f>IF(Tableau2[[#This Row],[Date signature ]]="","",EDATE(Tableau2[[#This Row],[Date signature ]],1))</f>
        <v>42657</v>
      </c>
      <c r="AE131" s="21">
        <f>IF(Tableau2[[#This Row],[PORTEUR
DE
PROJET]]="",0,IF(COUNTIF(Tableau2[[#This Row],[PORTEUR
DE
PROJET]],"CRA*")=1,,Tableau2[[#This Row],[Montant participation à signature]]*0.4))</f>
        <v>50736</v>
      </c>
      <c r="AF131" s="6">
        <f>IF(Tableau2[[#This Row],[Date signature ]]="","",IF(Tableau2[[#This Row],[ACOMPTE PREVU]]=0,"",EOMONTH(EDATE(Tableau2[[#This Row],[Date signature ]],Tableau2[[#This Row],[Durée du projet]]/2),0)))</f>
        <v>42825</v>
      </c>
      <c r="AG131" s="21">
        <f>IF(Tableau2[[#This Row],[PORTEUR
DE
PROJET]]="",0,IF(COUNTIF(Tableau2[[#This Row],[PORTEUR
DE
PROJET]],"CRA*")=1,Tableau2[[#This Row],[Montant participation à signature]]/2,Tableau2[[#This Row],[Montant participation à signature]]*0.3))</f>
        <v>38052</v>
      </c>
      <c r="AH131" s="6">
        <f>IF(Tableau2[[#This Row],[Date signature ]]="","",EOMONTH(EDATE(Tableau2[[#This Row],[Date signature ]],Tableau2[[#This Row],[Durée du projet]]),0))</f>
        <v>43008</v>
      </c>
      <c r="AI131" s="29">
        <f>IF(COUNTBLANK(Tableau2[[#This Row],[Date du mandat Avance]])=1,,Tableau2[[#This Row],[AVANCE PREVUE]])</f>
        <v>38052</v>
      </c>
      <c r="AJ131" s="65">
        <v>42633</v>
      </c>
      <c r="AK131" s="2"/>
      <c r="AL131" s="6"/>
      <c r="AM131" s="6"/>
      <c r="AN131" s="17">
        <f>IF(COUNTBLANK(Tableau2[[#This Row],[Date envoi ASF Acompte]])=1,,Tableau2[[#This Row],[ACOMPTE PREVU]])</f>
        <v>0</v>
      </c>
      <c r="AO131" s="17"/>
      <c r="AP131" s="2"/>
      <c r="AQ131" s="6"/>
      <c r="AR131" s="6"/>
      <c r="AS131" s="17"/>
      <c r="AT131" s="17"/>
      <c r="AU131" s="20"/>
      <c r="AV131" s="17"/>
      <c r="AW131" s="17"/>
      <c r="AX131" s="17">
        <f>IF(Tableau2[[#This Row],[Montant participation voté au CA]]="",0,Tableau2[[#This Row],[Montant participation voté au CA]]-Tableau2[[#This Row],[Montant participation à signature]])</f>
        <v>0</v>
      </c>
      <c r="AY131" s="45">
        <v>126840</v>
      </c>
      <c r="AZ131" s="17">
        <f>Tableau2[[#This Row],[AVANCE VERSEE]]+Tableau2[[#This Row],[ACOMPTE VERSE]]+Tableau2[[#This Row],[SOLDE VERSE]]</f>
        <v>38052</v>
      </c>
      <c r="BA131" s="17">
        <f>IF(Tableau2[[#This Row],[STATUT]]="Soldée",0,Tableau2[[#This Row],[Montant participation à signature]]-Tableau2[[#This Row],[Total CP payés]])</f>
        <v>88788</v>
      </c>
      <c r="BB131" s="17">
        <f>IF(Tableau2[[#This Row],[SOLDE VERSE]]&lt;0,-Tableau2[[#This Row],[SOLDE VERSE]],0)</f>
        <v>0</v>
      </c>
      <c r="BC131" s="17">
        <f>IF(Tableau2[[#This Row],[STATUT]]="Soldée",Tableau2[[#This Row],[Montant participation à signature]]-Tableau2[[#This Row],[Total CP payés]],0)</f>
        <v>0</v>
      </c>
      <c r="BD131" s="17">
        <f>IF(Tableau2[[#This Row],[Montant participation voté au CA]]="",0,Tableau2[[#This Row],[Réfaction]]+Tableau2[[#This Row],[Montant des crédits non engagés]])</f>
        <v>0</v>
      </c>
      <c r="BF131"/>
      <c r="BJ131"/>
      <c r="BK131"/>
      <c r="BL131"/>
      <c r="BM131"/>
      <c r="BP131"/>
      <c r="BQ131"/>
      <c r="BR131"/>
      <c r="BS131"/>
      <c r="BT131"/>
      <c r="BU131"/>
      <c r="BV131"/>
      <c r="BW131"/>
      <c r="BX131"/>
      <c r="BY131"/>
      <c r="CA131"/>
      <c r="CB131"/>
    </row>
    <row r="132" spans="1:80" ht="15" customHeight="1" x14ac:dyDescent="0.25">
      <c r="A132" s="4">
        <v>134</v>
      </c>
      <c r="B132" s="36">
        <v>2845</v>
      </c>
      <c r="C132" s="69" t="s">
        <v>73</v>
      </c>
      <c r="D132" s="73" t="s">
        <v>154</v>
      </c>
      <c r="E132" s="38">
        <v>2</v>
      </c>
      <c r="F132" s="38" t="s">
        <v>40</v>
      </c>
      <c r="G132" s="96" t="s">
        <v>143</v>
      </c>
      <c r="H132" s="96" t="s">
        <v>144</v>
      </c>
      <c r="I132" s="40" t="s">
        <v>48</v>
      </c>
      <c r="J132" s="79"/>
      <c r="K132" s="72"/>
      <c r="L132" s="34"/>
      <c r="M132" s="35"/>
      <c r="N132" s="38">
        <v>12</v>
      </c>
      <c r="O132" s="37">
        <v>6</v>
      </c>
      <c r="P132" s="37">
        <f>IF(Tableau2[[#This Row],[Durée du projet]]="","-",Tableau2[[#This Row],[Durée du projet]]+Tableau2[[#This Row],[Durée suppl'' pour pièces]])</f>
        <v>18</v>
      </c>
      <c r="Q132" s="39">
        <v>42634</v>
      </c>
      <c r="R132" s="60">
        <v>42538</v>
      </c>
      <c r="S132" s="6">
        <f>IF(Tableau2[[#This Row],[Date signature ]]="","",EOMONTH((EDATE(Tableau2[[#This Row],[Début éligibilité dépenses]],Tableau2[[#This Row],[Durée du projet]])),-1))</f>
        <v>42886</v>
      </c>
      <c r="T132" s="6">
        <f>IF(Tableau2[[#This Row],[Fin éligibilité dépenses]]="","",EDATE(Tableau2[[#This Row],[Fin éligibilité dépenses]],-6))</f>
        <v>42704</v>
      </c>
      <c r="U132" s="6">
        <f>IF(Tableau2[[#This Row],[Début éligibilité dépenses]]="","",EOMONTH(EDATE(Tableau2[[#This Row],[Début éligibilité dépenses]],Tableau2[[#This Row],[Durée du projet]]/2),0))</f>
        <v>42735</v>
      </c>
      <c r="V132" s="59">
        <f>IF(Tableau2[[#This Row],[Date signature ]]="","",EDATE(Tableau2[[#This Row],[Date signature ]],Tableau2[[#This Row],[Durée totale conv'' ]])-1)</f>
        <v>43179</v>
      </c>
      <c r="W132" s="40" t="s">
        <v>21</v>
      </c>
      <c r="X132" s="2"/>
      <c r="Y132" s="40" t="s">
        <v>145</v>
      </c>
      <c r="Z132" s="2"/>
      <c r="AA132" s="2"/>
      <c r="AB132" s="19"/>
      <c r="AC132" s="21">
        <f>IF(Tableau2[[#This Row],[PORTEUR
DE
PROJET]]="",0,IF(COUNTIF(Tableau2[[#This Row],[PORTEUR
DE
PROJET]],"CRA*")=1,Tableau2[[#This Row],[Montant participation à signature]]/2,Tableau2[[#This Row],[Montant participation à signature]]*0.3))</f>
        <v>20250</v>
      </c>
      <c r="AD132" s="6">
        <f>IF(Tableau2[[#This Row],[Date signature ]]="","",EDATE(Tableau2[[#This Row],[Date signature ]],1))</f>
        <v>42664</v>
      </c>
      <c r="AE132" s="21">
        <f>IF(Tableau2[[#This Row],[PORTEUR
DE
PROJET]]="",0,IF(COUNTIF(Tableau2[[#This Row],[PORTEUR
DE
PROJET]],"CRA*")=1,,Tableau2[[#This Row],[Montant participation à signature]]*0.4))</f>
        <v>27000</v>
      </c>
      <c r="AF132" s="6">
        <f>IF(Tableau2[[#This Row],[Date signature ]]="","",IF(Tableau2[[#This Row],[ACOMPTE PREVU]]=0,"",EOMONTH(EDATE(Tableau2[[#This Row],[Date signature ]],Tableau2[[#This Row],[Durée du projet]]/2),0)))</f>
        <v>42825</v>
      </c>
      <c r="AG132" s="21">
        <f>IF(Tableau2[[#This Row],[PORTEUR
DE
PROJET]]="",0,IF(COUNTIF(Tableau2[[#This Row],[PORTEUR
DE
PROJET]],"CRA*")=1,Tableau2[[#This Row],[Montant participation à signature]]/2,Tableau2[[#This Row],[Montant participation à signature]]*0.3))</f>
        <v>20250</v>
      </c>
      <c r="AH132" s="6">
        <f>IF(Tableau2[[#This Row],[Date signature ]]="","",EOMONTH(EDATE(Tableau2[[#This Row],[Date signature ]],Tableau2[[#This Row],[Durée du projet]]),0))</f>
        <v>43008</v>
      </c>
      <c r="AI132" s="29">
        <f>IF(COUNTBLANK(Tableau2[[#This Row],[Date du mandat Avance]])=1,,Tableau2[[#This Row],[AVANCE PREVUE]])</f>
        <v>20250</v>
      </c>
      <c r="AJ132" s="65">
        <v>42642</v>
      </c>
      <c r="AK132" s="2"/>
      <c r="AL132" s="6"/>
      <c r="AM132" s="6"/>
      <c r="AN132" s="17">
        <f>IF(COUNTBLANK(Tableau2[[#This Row],[Date envoi ASF Acompte]])=1,,Tableau2[[#This Row],[ACOMPTE PREVU]])</f>
        <v>0</v>
      </c>
      <c r="AO132" s="17"/>
      <c r="AP132" s="2"/>
      <c r="AQ132" s="6"/>
      <c r="AR132" s="6"/>
      <c r="AS132" s="17"/>
      <c r="AT132" s="17"/>
      <c r="AU132" s="20"/>
      <c r="AV132" s="17"/>
      <c r="AW132" s="17"/>
      <c r="AX132" s="17">
        <f>IF(Tableau2[[#This Row],[Montant participation voté au CA]]="",0,Tableau2[[#This Row],[Montant participation voté au CA]]-Tableau2[[#This Row],[Montant participation à signature]])</f>
        <v>0</v>
      </c>
      <c r="AY132" s="45">
        <v>67500</v>
      </c>
      <c r="AZ132" s="17">
        <f>Tableau2[[#This Row],[AVANCE VERSEE]]+Tableau2[[#This Row],[ACOMPTE VERSE]]+Tableau2[[#This Row],[SOLDE VERSE]]</f>
        <v>20250</v>
      </c>
      <c r="BA132" s="17">
        <f>IF(Tableau2[[#This Row],[STATUT]]="Soldée",0,Tableau2[[#This Row],[Montant participation à signature]]-Tableau2[[#This Row],[Total CP payés]])</f>
        <v>47250</v>
      </c>
      <c r="BB132" s="17">
        <f>IF(Tableau2[[#This Row],[SOLDE VERSE]]&lt;0,-Tableau2[[#This Row],[SOLDE VERSE]],0)</f>
        <v>0</v>
      </c>
      <c r="BC132" s="17">
        <f>IF(Tableau2[[#This Row],[STATUT]]="Soldée",Tableau2[[#This Row],[Montant participation à signature]]-Tableau2[[#This Row],[Total CP payés]],0)</f>
        <v>0</v>
      </c>
      <c r="BD132" s="17">
        <f>IF(Tableau2[[#This Row],[Montant participation voté au CA]]="",0,Tableau2[[#This Row],[Réfaction]]+Tableau2[[#This Row],[Montant des crédits non engagés]])</f>
        <v>0</v>
      </c>
      <c r="BF132"/>
      <c r="BJ132"/>
      <c r="BK132"/>
      <c r="BL132"/>
      <c r="BM132"/>
      <c r="BP132"/>
      <c r="BQ132"/>
      <c r="BR132"/>
      <c r="BS132"/>
      <c r="BT132"/>
      <c r="BU132"/>
      <c r="BV132"/>
      <c r="BW132"/>
      <c r="BX132"/>
      <c r="BY132"/>
      <c r="CA132"/>
      <c r="CB132"/>
    </row>
    <row r="133" spans="1:80" ht="15" customHeight="1" x14ac:dyDescent="0.25">
      <c r="A133" s="4">
        <v>135</v>
      </c>
      <c r="B133" s="36">
        <v>2848</v>
      </c>
      <c r="C133" s="69" t="s">
        <v>73</v>
      </c>
      <c r="D133" s="73" t="s">
        <v>154</v>
      </c>
      <c r="E133" s="38">
        <v>1</v>
      </c>
      <c r="F133" s="38" t="s">
        <v>59</v>
      </c>
      <c r="G133" s="96" t="s">
        <v>143</v>
      </c>
      <c r="H133" s="96" t="s">
        <v>144</v>
      </c>
      <c r="I133" s="40" t="s">
        <v>48</v>
      </c>
      <c r="J133" s="79"/>
      <c r="K133" s="72"/>
      <c r="L133" s="34"/>
      <c r="M133" s="35"/>
      <c r="N133" s="38">
        <v>12</v>
      </c>
      <c r="O133" s="37">
        <v>6</v>
      </c>
      <c r="P133" s="37">
        <f>IF(Tableau2[[#This Row],[Durée du projet]]="","-",Tableau2[[#This Row],[Durée du projet]]+Tableau2[[#This Row],[Durée suppl'' pour pièces]])</f>
        <v>18</v>
      </c>
      <c r="Q133" s="39">
        <v>42634</v>
      </c>
      <c r="R133" s="39">
        <v>42634</v>
      </c>
      <c r="S133" s="6">
        <f>IF(Tableau2[[#This Row],[Date signature ]]="","",EOMONTH((EDATE(Tableau2[[#This Row],[Début éligibilité dépenses]],Tableau2[[#This Row],[Durée du projet]])),-1))</f>
        <v>42978</v>
      </c>
      <c r="T133" s="6">
        <f>IF(Tableau2[[#This Row],[Fin éligibilité dépenses]]="","",EDATE(Tableau2[[#This Row],[Fin éligibilité dépenses]],-6))</f>
        <v>42794</v>
      </c>
      <c r="U133" s="6">
        <f>IF(Tableau2[[#This Row],[Début éligibilité dépenses]]="","",EOMONTH(EDATE(Tableau2[[#This Row],[Début éligibilité dépenses]],Tableau2[[#This Row],[Durée du projet]]/2),0))</f>
        <v>42825</v>
      </c>
      <c r="V133" s="59">
        <f>IF(Tableau2[[#This Row],[Date signature ]]="","",EDATE(Tableau2[[#This Row],[Date signature ]],Tableau2[[#This Row],[Durée totale conv'' ]])-1)</f>
        <v>43179</v>
      </c>
      <c r="W133" s="40" t="s">
        <v>21</v>
      </c>
      <c r="X133" s="2"/>
      <c r="Y133" s="40" t="s">
        <v>145</v>
      </c>
      <c r="Z133" s="2"/>
      <c r="AA133" s="2"/>
      <c r="AB133" s="19"/>
      <c r="AC133" s="21">
        <f>IF(Tableau2[[#This Row],[PORTEUR
DE
PROJET]]="",0,IF(COUNTIF(Tableau2[[#This Row],[PORTEUR
DE
PROJET]],"CRA*")=1,Tableau2[[#This Row],[Montant participation à signature]]/2,Tableau2[[#This Row],[Montant participation à signature]]*0.3))</f>
        <v>6300</v>
      </c>
      <c r="AD133" s="6">
        <f>IF(Tableau2[[#This Row],[Date signature ]]="","",EDATE(Tableau2[[#This Row],[Date signature ]],1))</f>
        <v>42664</v>
      </c>
      <c r="AE133" s="21">
        <f>IF(Tableau2[[#This Row],[PORTEUR
DE
PROJET]]="",0,IF(COUNTIF(Tableau2[[#This Row],[PORTEUR
DE
PROJET]],"CRA*")=1,,Tableau2[[#This Row],[Montant participation à signature]]*0.4))</f>
        <v>8400</v>
      </c>
      <c r="AF133" s="6">
        <f>IF(Tableau2[[#This Row],[Date signature ]]="","",IF(Tableau2[[#This Row],[ACOMPTE PREVU]]=0,"",EOMONTH(EDATE(Tableau2[[#This Row],[Date signature ]],Tableau2[[#This Row],[Durée du projet]]/2),0)))</f>
        <v>42825</v>
      </c>
      <c r="AG133" s="21">
        <f>IF(Tableau2[[#This Row],[PORTEUR
DE
PROJET]]="",0,IF(COUNTIF(Tableau2[[#This Row],[PORTEUR
DE
PROJET]],"CRA*")=1,Tableau2[[#This Row],[Montant participation à signature]]/2,Tableau2[[#This Row],[Montant participation à signature]]*0.3))</f>
        <v>6300</v>
      </c>
      <c r="AH133" s="6">
        <f>IF(Tableau2[[#This Row],[Date signature ]]="","",EOMONTH(EDATE(Tableau2[[#This Row],[Date signature ]],Tableau2[[#This Row],[Durée du projet]]),0))</f>
        <v>43008</v>
      </c>
      <c r="AI133" s="29">
        <f>IF(COUNTBLANK(Tableau2[[#This Row],[Date du mandat Avance]])=1,,Tableau2[[#This Row],[AVANCE PREVUE]])</f>
        <v>6300</v>
      </c>
      <c r="AJ133" s="65">
        <v>42642</v>
      </c>
      <c r="AK133" s="2"/>
      <c r="AL133" s="6"/>
      <c r="AM133" s="6"/>
      <c r="AN133" s="17">
        <f>IF(COUNTBLANK(Tableau2[[#This Row],[Date envoi ASF Acompte]])=1,,Tableau2[[#This Row],[ACOMPTE PREVU]])</f>
        <v>0</v>
      </c>
      <c r="AO133" s="17"/>
      <c r="AP133" s="2"/>
      <c r="AQ133" s="6"/>
      <c r="AR133" s="6"/>
      <c r="AS133" s="17"/>
      <c r="AT133" s="17"/>
      <c r="AU133" s="20"/>
      <c r="AV133" s="17"/>
      <c r="AW133" s="17"/>
      <c r="AX133" s="17">
        <f>IF(Tableau2[[#This Row],[Montant participation voté au CA]]="",0,Tableau2[[#This Row],[Montant participation voté au CA]]-Tableau2[[#This Row],[Montant participation à signature]])</f>
        <v>0</v>
      </c>
      <c r="AY133" s="45">
        <v>21000</v>
      </c>
      <c r="AZ133" s="17">
        <f>Tableau2[[#This Row],[AVANCE VERSEE]]+Tableau2[[#This Row],[ACOMPTE VERSE]]+Tableau2[[#This Row],[SOLDE VERSE]]</f>
        <v>6300</v>
      </c>
      <c r="BA133" s="17">
        <f>IF(Tableau2[[#This Row],[STATUT]]="Soldée",0,Tableau2[[#This Row],[Montant participation à signature]]-Tableau2[[#This Row],[Total CP payés]])</f>
        <v>14700</v>
      </c>
      <c r="BB133" s="17">
        <f>IF(Tableau2[[#This Row],[SOLDE VERSE]]&lt;0,-Tableau2[[#This Row],[SOLDE VERSE]],0)</f>
        <v>0</v>
      </c>
      <c r="BC133" s="17">
        <f>IF(Tableau2[[#This Row],[STATUT]]="Soldée",Tableau2[[#This Row],[Montant participation à signature]]-Tableau2[[#This Row],[Total CP payés]],0)</f>
        <v>0</v>
      </c>
      <c r="BD133" s="17">
        <f>IF(Tableau2[[#This Row],[Montant participation voté au CA]]="",0,Tableau2[[#This Row],[Réfaction]]+Tableau2[[#This Row],[Montant des crédits non engagés]])</f>
        <v>0</v>
      </c>
      <c r="BF133"/>
      <c r="BJ133"/>
      <c r="BK133"/>
      <c r="BL133"/>
      <c r="BM133"/>
      <c r="BP133"/>
      <c r="BQ133"/>
      <c r="BR133"/>
      <c r="BS133"/>
      <c r="BT133"/>
      <c r="BU133"/>
      <c r="BV133"/>
      <c r="BW133"/>
      <c r="BX133"/>
      <c r="BY133"/>
      <c r="CA133"/>
      <c r="CB133"/>
    </row>
    <row r="134" spans="1:80" ht="15" customHeight="1" x14ac:dyDescent="0.25">
      <c r="A134" s="4">
        <v>136</v>
      </c>
      <c r="B134" s="36">
        <v>2855</v>
      </c>
      <c r="C134" s="69" t="s">
        <v>73</v>
      </c>
      <c r="D134" s="73" t="s">
        <v>154</v>
      </c>
      <c r="E134" s="38">
        <v>2</v>
      </c>
      <c r="F134" s="38" t="s">
        <v>40</v>
      </c>
      <c r="G134" s="96" t="s">
        <v>143</v>
      </c>
      <c r="H134" s="96" t="s">
        <v>144</v>
      </c>
      <c r="I134" s="40" t="s">
        <v>48</v>
      </c>
      <c r="J134" s="79"/>
      <c r="K134" s="72"/>
      <c r="L134" s="34"/>
      <c r="M134" s="35"/>
      <c r="N134" s="38">
        <v>12</v>
      </c>
      <c r="O134" s="37">
        <v>6</v>
      </c>
      <c r="P134" s="37">
        <f>IF(Tableau2[[#This Row],[Durée du projet]]="","-",Tableau2[[#This Row],[Durée du projet]]+Tableau2[[#This Row],[Durée suppl'' pour pièces]])</f>
        <v>18</v>
      </c>
      <c r="Q134" s="39">
        <v>42643</v>
      </c>
      <c r="R134" s="60">
        <v>42538</v>
      </c>
      <c r="S134" s="6">
        <f>IF(Tableau2[[#This Row],[Date signature ]]="","",EOMONTH((EDATE(Tableau2[[#This Row],[Début éligibilité dépenses]],Tableau2[[#This Row],[Durée du projet]])),-1))</f>
        <v>42886</v>
      </c>
      <c r="T134" s="6">
        <f>IF(Tableau2[[#This Row],[Fin éligibilité dépenses]]="","",EDATE(Tableau2[[#This Row],[Fin éligibilité dépenses]],-6))</f>
        <v>42704</v>
      </c>
      <c r="U134" s="6">
        <f>IF(Tableau2[[#This Row],[Début éligibilité dépenses]]="","",EOMONTH(EDATE(Tableau2[[#This Row],[Début éligibilité dépenses]],Tableau2[[#This Row],[Durée du projet]]/2),0))</f>
        <v>42735</v>
      </c>
      <c r="V134" s="59">
        <f>IF(Tableau2[[#This Row],[Date signature ]]="","",EDATE(Tableau2[[#This Row],[Date signature ]],Tableau2[[#This Row],[Durée totale conv'' ]])-1)</f>
        <v>43188</v>
      </c>
      <c r="W134" s="40" t="s">
        <v>21</v>
      </c>
      <c r="X134" s="2"/>
      <c r="Y134" s="40" t="s">
        <v>145</v>
      </c>
      <c r="Z134" s="2"/>
      <c r="AA134" s="2"/>
      <c r="AB134" s="19"/>
      <c r="AC134" s="21">
        <f>IF(Tableau2[[#This Row],[PORTEUR
DE
PROJET]]="",0,IF(COUNTIF(Tableau2[[#This Row],[PORTEUR
DE
PROJET]],"CRA*")=1,Tableau2[[#This Row],[Montant participation à signature]]/2,Tableau2[[#This Row],[Montant participation à signature]]*0.3))</f>
        <v>20250</v>
      </c>
      <c r="AD134" s="6">
        <f>IF(Tableau2[[#This Row],[Date signature ]]="","",EDATE(Tableau2[[#This Row],[Date signature ]],1))</f>
        <v>42673</v>
      </c>
      <c r="AE134" s="21">
        <f>IF(Tableau2[[#This Row],[PORTEUR
DE
PROJET]]="",0,IF(COUNTIF(Tableau2[[#This Row],[PORTEUR
DE
PROJET]],"CRA*")=1,,Tableau2[[#This Row],[Montant participation à signature]]*0.4))</f>
        <v>27000</v>
      </c>
      <c r="AF134" s="6">
        <f>IF(Tableau2[[#This Row],[Date signature ]]="","",IF(Tableau2[[#This Row],[ACOMPTE PREVU]]=0,"",EOMONTH(EDATE(Tableau2[[#This Row],[Date signature ]],Tableau2[[#This Row],[Durée du projet]]/2),0)))</f>
        <v>42825</v>
      </c>
      <c r="AG134" s="21">
        <f>IF(Tableau2[[#This Row],[PORTEUR
DE
PROJET]]="",0,IF(COUNTIF(Tableau2[[#This Row],[PORTEUR
DE
PROJET]],"CRA*")=1,Tableau2[[#This Row],[Montant participation à signature]]/2,Tableau2[[#This Row],[Montant participation à signature]]*0.3))</f>
        <v>20250</v>
      </c>
      <c r="AH134" s="6">
        <f>IF(Tableau2[[#This Row],[Date signature ]]="","",EOMONTH(EDATE(Tableau2[[#This Row],[Date signature ]],Tableau2[[#This Row],[Durée du projet]]),0))</f>
        <v>43008</v>
      </c>
      <c r="AI134" s="29">
        <f>IF(COUNTBLANK(Tableau2[[#This Row],[Date du mandat Avance]])=1,,Tableau2[[#This Row],[AVANCE PREVUE]])</f>
        <v>20250</v>
      </c>
      <c r="AJ134" s="65">
        <v>42663</v>
      </c>
      <c r="AK134" s="2"/>
      <c r="AL134" s="6"/>
      <c r="AM134" s="6"/>
      <c r="AN134" s="17">
        <f>IF(COUNTBLANK(Tableau2[[#This Row],[Date envoi ASF Acompte]])=1,,Tableau2[[#This Row],[ACOMPTE PREVU]])</f>
        <v>0</v>
      </c>
      <c r="AO134" s="17"/>
      <c r="AP134" s="2"/>
      <c r="AQ134" s="6"/>
      <c r="AR134" s="6"/>
      <c r="AS134" s="17"/>
      <c r="AT134" s="17"/>
      <c r="AU134" s="20"/>
      <c r="AV134" s="17"/>
      <c r="AW134" s="17"/>
      <c r="AX134" s="17">
        <f>IF(Tableau2[[#This Row],[Montant participation voté au CA]]="",0,Tableau2[[#This Row],[Montant participation voté au CA]]-Tableau2[[#This Row],[Montant participation à signature]])</f>
        <v>0</v>
      </c>
      <c r="AY134" s="52">
        <v>67500</v>
      </c>
      <c r="AZ134" s="17">
        <f>Tableau2[[#This Row],[AVANCE VERSEE]]+Tableau2[[#This Row],[ACOMPTE VERSE]]+Tableau2[[#This Row],[SOLDE VERSE]]</f>
        <v>20250</v>
      </c>
      <c r="BA134" s="17">
        <f>IF(Tableau2[[#This Row],[STATUT]]="Soldée",0,Tableau2[[#This Row],[Montant participation à signature]]-Tableau2[[#This Row],[Total CP payés]])</f>
        <v>47250</v>
      </c>
      <c r="BB134" s="17">
        <f>IF(Tableau2[[#This Row],[SOLDE VERSE]]&lt;0,-Tableau2[[#This Row],[SOLDE VERSE]],0)</f>
        <v>0</v>
      </c>
      <c r="BC134" s="17">
        <f>IF(Tableau2[[#This Row],[STATUT]]="Soldée",Tableau2[[#This Row],[Montant participation à signature]]-Tableau2[[#This Row],[Total CP payés]],0)</f>
        <v>0</v>
      </c>
      <c r="BD134" s="17">
        <f>IF(Tableau2[[#This Row],[Montant participation voté au CA]]="",0,Tableau2[[#This Row],[Réfaction]]+Tableau2[[#This Row],[Montant des crédits non engagés]])</f>
        <v>0</v>
      </c>
      <c r="BF134"/>
      <c r="BJ134"/>
      <c r="BK134"/>
      <c r="BL134"/>
      <c r="BM134"/>
      <c r="BP134"/>
      <c r="BQ134"/>
      <c r="BR134"/>
      <c r="BS134"/>
      <c r="BT134"/>
      <c r="BU134"/>
      <c r="BV134"/>
      <c r="BW134"/>
      <c r="BX134"/>
      <c r="BY134"/>
      <c r="CA134"/>
      <c r="CB134"/>
    </row>
    <row r="135" spans="1:80" ht="15" customHeight="1" x14ac:dyDescent="0.25">
      <c r="A135" s="4">
        <v>137</v>
      </c>
      <c r="B135" s="36">
        <v>2862</v>
      </c>
      <c r="C135" s="69" t="s">
        <v>73</v>
      </c>
      <c r="D135" s="73" t="s">
        <v>154</v>
      </c>
      <c r="E135" s="38">
        <v>2</v>
      </c>
      <c r="F135" s="38" t="s">
        <v>40</v>
      </c>
      <c r="G135" s="96" t="s">
        <v>143</v>
      </c>
      <c r="H135" s="96" t="s">
        <v>144</v>
      </c>
      <c r="I135" s="40" t="s">
        <v>48</v>
      </c>
      <c r="J135" s="79"/>
      <c r="K135" s="72"/>
      <c r="L135" s="34"/>
      <c r="M135" s="35"/>
      <c r="N135" s="38">
        <v>30</v>
      </c>
      <c r="O135" s="37">
        <v>6</v>
      </c>
      <c r="P135" s="37">
        <f>IF(Tableau2[[#This Row],[Durée du projet]]="","-",Tableau2[[#This Row],[Durée du projet]]+Tableau2[[#This Row],[Durée suppl'' pour pièces]])</f>
        <v>36</v>
      </c>
      <c r="Q135" s="39">
        <v>42653</v>
      </c>
      <c r="R135" s="60">
        <v>42653</v>
      </c>
      <c r="S135" s="6">
        <f>IF(Tableau2[[#This Row],[Date signature ]]="","",EOMONTH((EDATE(Tableau2[[#This Row],[Début éligibilité dépenses]],Tableau2[[#This Row],[Durée du projet]])),-1))</f>
        <v>43555</v>
      </c>
      <c r="T135" s="6">
        <f>IF(Tableau2[[#This Row],[Fin éligibilité dépenses]]="","",EDATE(Tableau2[[#This Row],[Fin éligibilité dépenses]],-6))</f>
        <v>43373</v>
      </c>
      <c r="U135" s="6">
        <f>IF(Tableau2[[#This Row],[Début éligibilité dépenses]]="","",EOMONTH(EDATE(Tableau2[[#This Row],[Début éligibilité dépenses]],Tableau2[[#This Row],[Durée du projet]]/2),0))</f>
        <v>43131</v>
      </c>
      <c r="V135" s="59">
        <f>IF(Tableau2[[#This Row],[Date signature ]]="","",EDATE(Tableau2[[#This Row],[Date signature ]],Tableau2[[#This Row],[Durée totale conv'' ]])-1)</f>
        <v>43747</v>
      </c>
      <c r="W135" s="40" t="s">
        <v>21</v>
      </c>
      <c r="X135" s="2"/>
      <c r="Y135" s="40" t="s">
        <v>145</v>
      </c>
      <c r="Z135" s="2"/>
      <c r="AA135" s="2"/>
      <c r="AB135" s="19"/>
      <c r="AC135" s="21">
        <f>IF(Tableau2[[#This Row],[PORTEUR
DE
PROJET]]="",0,IF(COUNTIF(Tableau2[[#This Row],[PORTEUR
DE
PROJET]],"CRA*")=1,Tableau2[[#This Row],[Montant participation à signature]]/2,Tableau2[[#This Row],[Montant participation à signature]]*0.3))</f>
        <v>5535</v>
      </c>
      <c r="AD135" s="6">
        <f>IF(Tableau2[[#This Row],[Date signature ]]="","",EDATE(Tableau2[[#This Row],[Date signature ]],1))</f>
        <v>42684</v>
      </c>
      <c r="AE135" s="21">
        <f>IF(Tableau2[[#This Row],[PORTEUR
DE
PROJET]]="",0,IF(COUNTIF(Tableau2[[#This Row],[PORTEUR
DE
PROJET]],"CRA*")=1,,Tableau2[[#This Row],[Montant participation à signature]]*0.4))</f>
        <v>7380</v>
      </c>
      <c r="AF135" s="6">
        <f>IF(Tableau2[[#This Row],[Date signature ]]="","",IF(Tableau2[[#This Row],[ACOMPTE PREVU]]=0,"",EOMONTH(EDATE(Tableau2[[#This Row],[Date signature ]],Tableau2[[#This Row],[Durée du projet]]/2),0)))</f>
        <v>43131</v>
      </c>
      <c r="AG135" s="21">
        <f>IF(Tableau2[[#This Row],[PORTEUR
DE
PROJET]]="",0,IF(COUNTIF(Tableau2[[#This Row],[PORTEUR
DE
PROJET]],"CRA*")=1,Tableau2[[#This Row],[Montant participation à signature]]/2,Tableau2[[#This Row],[Montant participation à signature]]*0.3))</f>
        <v>5535</v>
      </c>
      <c r="AH135" s="6">
        <f>IF(Tableau2[[#This Row],[Date signature ]]="","",EOMONTH(EDATE(Tableau2[[#This Row],[Date signature ]],Tableau2[[#This Row],[Durée du projet]]),0))</f>
        <v>43585</v>
      </c>
      <c r="AI135" s="29">
        <f>IF(COUNTBLANK(Tableau2[[#This Row],[Date du mandat Avance]])=1,,Tableau2[[#This Row],[AVANCE PREVUE]])</f>
        <v>5535</v>
      </c>
      <c r="AJ135" s="65">
        <v>42656</v>
      </c>
      <c r="AK135" s="2"/>
      <c r="AL135" s="6"/>
      <c r="AM135" s="6"/>
      <c r="AN135" s="17">
        <f>IF(COUNTBLANK(Tableau2[[#This Row],[Date envoi ASF Acompte]])=1,,Tableau2[[#This Row],[ACOMPTE PREVU]])</f>
        <v>0</v>
      </c>
      <c r="AO135" s="17"/>
      <c r="AP135" s="2"/>
      <c r="AQ135" s="6"/>
      <c r="AR135" s="6"/>
      <c r="AS135" s="17"/>
      <c r="AT135" s="17"/>
      <c r="AU135" s="20"/>
      <c r="AV135" s="17"/>
      <c r="AW135" s="17"/>
      <c r="AX135" s="17">
        <f>IF(Tableau2[[#This Row],[Montant participation voté au CA]]="",0,Tableau2[[#This Row],[Montant participation voté au CA]]-Tableau2[[#This Row],[Montant participation à signature]])</f>
        <v>0</v>
      </c>
      <c r="AY135" s="52">
        <v>18450</v>
      </c>
      <c r="AZ135" s="17">
        <f>Tableau2[[#This Row],[AVANCE VERSEE]]+Tableau2[[#This Row],[ACOMPTE VERSE]]+Tableau2[[#This Row],[SOLDE VERSE]]</f>
        <v>5535</v>
      </c>
      <c r="BA135" s="17">
        <f>IF(Tableau2[[#This Row],[STATUT]]="Soldée",0,Tableau2[[#This Row],[Montant participation à signature]]-Tableau2[[#This Row],[Total CP payés]])</f>
        <v>12915</v>
      </c>
      <c r="BB135" s="17">
        <f>IF(Tableau2[[#This Row],[SOLDE VERSE]]&lt;0,-Tableau2[[#This Row],[SOLDE VERSE]],0)</f>
        <v>0</v>
      </c>
      <c r="BC135" s="17">
        <f>IF(Tableau2[[#This Row],[STATUT]]="Soldée",Tableau2[[#This Row],[Montant participation à signature]]-Tableau2[[#This Row],[Total CP payés]],0)</f>
        <v>0</v>
      </c>
      <c r="BD135" s="17">
        <f>IF(Tableau2[[#This Row],[Montant participation voté au CA]]="",0,Tableau2[[#This Row],[Réfaction]]+Tableau2[[#This Row],[Montant des crédits non engagés]])</f>
        <v>0</v>
      </c>
      <c r="BF135"/>
      <c r="BJ135"/>
      <c r="BK135"/>
      <c r="BL135"/>
      <c r="BM135"/>
      <c r="BP135"/>
      <c r="BQ135"/>
      <c r="BR135"/>
      <c r="BS135"/>
      <c r="BT135"/>
      <c r="BU135"/>
      <c r="BV135"/>
      <c r="BW135"/>
      <c r="BX135"/>
      <c r="BY135"/>
      <c r="CA135"/>
      <c r="CB135"/>
    </row>
    <row r="136" spans="1:80" ht="15" customHeight="1" x14ac:dyDescent="0.25">
      <c r="A136" s="4">
        <v>138</v>
      </c>
      <c r="B136" s="36">
        <v>2865</v>
      </c>
      <c r="C136" s="69" t="s">
        <v>73</v>
      </c>
      <c r="D136" s="73" t="s">
        <v>154</v>
      </c>
      <c r="E136" s="38">
        <v>2</v>
      </c>
      <c r="F136" s="38" t="s">
        <v>40</v>
      </c>
      <c r="G136" s="96" t="s">
        <v>143</v>
      </c>
      <c r="H136" s="96" t="s">
        <v>144</v>
      </c>
      <c r="I136" s="40" t="s">
        <v>48</v>
      </c>
      <c r="J136" s="79"/>
      <c r="K136" s="72"/>
      <c r="L136" s="34"/>
      <c r="M136" s="35"/>
      <c r="N136" s="38">
        <v>36</v>
      </c>
      <c r="O136" s="37">
        <v>6</v>
      </c>
      <c r="P136" s="37">
        <f>IF(Tableau2[[#This Row],[Durée du projet]]="","-",Tableau2[[#This Row],[Durée du projet]]+Tableau2[[#This Row],[Durée suppl'' pour pièces]])</f>
        <v>42</v>
      </c>
      <c r="Q136" s="39">
        <v>42657</v>
      </c>
      <c r="R136" s="60">
        <v>42657</v>
      </c>
      <c r="S136" s="6">
        <f>IF(Tableau2[[#This Row],[Date signature ]]="","",EOMONTH((EDATE(Tableau2[[#This Row],[Début éligibilité dépenses]],Tableau2[[#This Row],[Durée du projet]])),-1))</f>
        <v>43738</v>
      </c>
      <c r="T136" s="6">
        <f>IF(Tableau2[[#This Row],[Fin éligibilité dépenses]]="","",EDATE(Tableau2[[#This Row],[Fin éligibilité dépenses]],-6))</f>
        <v>43554</v>
      </c>
      <c r="U136" s="6">
        <f>IF(Tableau2[[#This Row],[Début éligibilité dépenses]]="","",EOMONTH(EDATE(Tableau2[[#This Row],[Début éligibilité dépenses]],Tableau2[[#This Row],[Durée du projet]]/2),0))</f>
        <v>43220</v>
      </c>
      <c r="V136" s="59">
        <f>IF(Tableau2[[#This Row],[Date signature ]]="","",EDATE(Tableau2[[#This Row],[Date signature ]],Tableau2[[#This Row],[Durée totale conv'' ]])-1)</f>
        <v>43934</v>
      </c>
      <c r="W136" s="40" t="s">
        <v>21</v>
      </c>
      <c r="X136" s="2"/>
      <c r="Y136" s="40" t="s">
        <v>145</v>
      </c>
      <c r="Z136" s="2"/>
      <c r="AA136" s="2"/>
      <c r="AB136" s="19"/>
      <c r="AC136" s="21">
        <f>IF(Tableau2[[#This Row],[PORTEUR
DE
PROJET]]="",0,IF(COUNTIF(Tableau2[[#This Row],[PORTEUR
DE
PROJET]],"CRA*")=1,Tableau2[[#This Row],[Montant participation à signature]]/2,Tableau2[[#This Row],[Montant participation à signature]]*0.3))</f>
        <v>59838</v>
      </c>
      <c r="AD136" s="6">
        <f>IF(Tableau2[[#This Row],[Date signature ]]="","",EDATE(Tableau2[[#This Row],[Date signature ]],1))</f>
        <v>42688</v>
      </c>
      <c r="AE136" s="21">
        <f>IF(Tableau2[[#This Row],[PORTEUR
DE
PROJET]]="",0,IF(COUNTIF(Tableau2[[#This Row],[PORTEUR
DE
PROJET]],"CRA*")=1,,Tableau2[[#This Row],[Montant participation à signature]]*0.4))</f>
        <v>79784</v>
      </c>
      <c r="AF136" s="6">
        <f>IF(Tableau2[[#This Row],[Date signature ]]="","",IF(Tableau2[[#This Row],[ACOMPTE PREVU]]=0,"",EOMONTH(EDATE(Tableau2[[#This Row],[Date signature ]],Tableau2[[#This Row],[Durée du projet]]/2),0)))</f>
        <v>43220</v>
      </c>
      <c r="AG136" s="21">
        <f>IF(Tableau2[[#This Row],[PORTEUR
DE
PROJET]]="",0,IF(COUNTIF(Tableau2[[#This Row],[PORTEUR
DE
PROJET]],"CRA*")=1,Tableau2[[#This Row],[Montant participation à signature]]/2,Tableau2[[#This Row],[Montant participation à signature]]*0.3))</f>
        <v>59838</v>
      </c>
      <c r="AH136" s="6">
        <f>IF(Tableau2[[#This Row],[Date signature ]]="","",EOMONTH(EDATE(Tableau2[[#This Row],[Date signature ]],Tableau2[[#This Row],[Durée du projet]]),0))</f>
        <v>43769</v>
      </c>
      <c r="AI136" s="29">
        <f>IF(COUNTBLANK(Tableau2[[#This Row],[Date du mandat Avance]])=1,,Tableau2[[#This Row],[AVANCE PREVUE]])</f>
        <v>59838</v>
      </c>
      <c r="AJ136" s="65">
        <v>42663</v>
      </c>
      <c r="AK136" s="2"/>
      <c r="AL136" s="6"/>
      <c r="AM136" s="6"/>
      <c r="AN136" s="17">
        <f>IF(COUNTBLANK(Tableau2[[#This Row],[Date envoi ASF Acompte]])=1,,Tableau2[[#This Row],[ACOMPTE PREVU]])</f>
        <v>0</v>
      </c>
      <c r="AO136" s="17"/>
      <c r="AP136" s="2"/>
      <c r="AQ136" s="6"/>
      <c r="AR136" s="6"/>
      <c r="AS136" s="17"/>
      <c r="AT136" s="17"/>
      <c r="AU136" s="20"/>
      <c r="AV136" s="17"/>
      <c r="AW136" s="17"/>
      <c r="AX136" s="17">
        <f>IF(Tableau2[[#This Row],[Montant participation voté au CA]]="",0,Tableau2[[#This Row],[Montant participation voté au CA]]-Tableau2[[#This Row],[Montant participation à signature]])</f>
        <v>0</v>
      </c>
      <c r="AY136" s="52">
        <v>199460</v>
      </c>
      <c r="AZ136" s="17">
        <f>Tableau2[[#This Row],[AVANCE VERSEE]]+Tableau2[[#This Row],[ACOMPTE VERSE]]+Tableau2[[#This Row],[SOLDE VERSE]]</f>
        <v>59838</v>
      </c>
      <c r="BA136" s="17">
        <f>IF(Tableau2[[#This Row],[STATUT]]="Soldée",0,Tableau2[[#This Row],[Montant participation à signature]]-Tableau2[[#This Row],[Total CP payés]])</f>
        <v>139622</v>
      </c>
      <c r="BB136" s="17">
        <f>IF(Tableau2[[#This Row],[SOLDE VERSE]]&lt;0,-Tableau2[[#This Row],[SOLDE VERSE]],0)</f>
        <v>0</v>
      </c>
      <c r="BC136" s="17">
        <f>IF(Tableau2[[#This Row],[STATUT]]="Soldée",Tableau2[[#This Row],[Montant participation à signature]]-Tableau2[[#This Row],[Total CP payés]],0)</f>
        <v>0</v>
      </c>
      <c r="BD136" s="17">
        <f>IF(Tableau2[[#This Row],[Montant participation voté au CA]]="",0,Tableau2[[#This Row],[Réfaction]]+Tableau2[[#This Row],[Montant des crédits non engagés]])</f>
        <v>0</v>
      </c>
      <c r="BF136"/>
      <c r="BJ136"/>
      <c r="BK136"/>
      <c r="BL136"/>
      <c r="BM136"/>
      <c r="BP136"/>
      <c r="BQ136"/>
      <c r="BR136"/>
      <c r="BS136"/>
      <c r="BT136"/>
      <c r="BU136"/>
      <c r="BV136"/>
      <c r="BW136"/>
      <c r="BX136"/>
      <c r="BY136"/>
      <c r="CA136"/>
      <c r="CB136"/>
    </row>
    <row r="137" spans="1:80" ht="15" customHeight="1" x14ac:dyDescent="0.25">
      <c r="A137" s="4">
        <v>139</v>
      </c>
      <c r="B137" s="36">
        <v>2866</v>
      </c>
      <c r="C137" s="69" t="s">
        <v>73</v>
      </c>
      <c r="D137" s="73" t="s">
        <v>154</v>
      </c>
      <c r="E137" s="40" t="s">
        <v>155</v>
      </c>
      <c r="F137" s="40" t="s">
        <v>155</v>
      </c>
      <c r="G137" s="96" t="s">
        <v>143</v>
      </c>
      <c r="H137" s="96" t="s">
        <v>144</v>
      </c>
      <c r="I137" s="40" t="s">
        <v>48</v>
      </c>
      <c r="J137" s="79"/>
      <c r="K137" s="72"/>
      <c r="L137" s="34"/>
      <c r="M137" s="35"/>
      <c r="N137" s="38">
        <v>36</v>
      </c>
      <c r="O137" s="37">
        <v>6</v>
      </c>
      <c r="P137" s="37">
        <f>IF(Tableau2[[#This Row],[Durée du projet]]="","-",Tableau2[[#This Row],[Durée du projet]]+Tableau2[[#This Row],[Durée suppl'' pour pièces]])</f>
        <v>42</v>
      </c>
      <c r="Q137" s="39">
        <v>42660</v>
      </c>
      <c r="R137" s="39">
        <v>42660</v>
      </c>
      <c r="S137" s="6">
        <f>IF(Tableau2[[#This Row],[Date signature ]]="","",EOMONTH((EDATE(Tableau2[[#This Row],[Début éligibilité dépenses]],Tableau2[[#This Row],[Durée du projet]])),-1))</f>
        <v>43738</v>
      </c>
      <c r="T137" s="6">
        <f>IF(Tableau2[[#This Row],[Fin éligibilité dépenses]]="","",EDATE(Tableau2[[#This Row],[Fin éligibilité dépenses]],-6))</f>
        <v>43554</v>
      </c>
      <c r="U137" s="6">
        <f>IF(Tableau2[[#This Row],[Début éligibilité dépenses]]="","",EOMONTH(EDATE(Tableau2[[#This Row],[Début éligibilité dépenses]],Tableau2[[#This Row],[Durée du projet]]/2),0))</f>
        <v>43220</v>
      </c>
      <c r="V137" s="59">
        <f>IF(Tableau2[[#This Row],[Date signature ]]="","",EDATE(Tableau2[[#This Row],[Date signature ]],Tableau2[[#This Row],[Durée totale conv'' ]])-1)</f>
        <v>43937</v>
      </c>
      <c r="W137" s="40" t="s">
        <v>21</v>
      </c>
      <c r="X137" s="2"/>
      <c r="Y137" s="40" t="s">
        <v>145</v>
      </c>
      <c r="Z137" s="2"/>
      <c r="AA137" s="2"/>
      <c r="AB137" s="19"/>
      <c r="AC137" s="21">
        <f>IF(Tableau2[[#This Row],[PORTEUR
DE
PROJET]]="",0,IF(COUNTIF(Tableau2[[#This Row],[PORTEUR
DE
PROJET]],"CRA*")=1,Tableau2[[#This Row],[Montant participation à signature]]/2,Tableau2[[#This Row],[Montant participation à signature]]*0.3))</f>
        <v>204231.6</v>
      </c>
      <c r="AD137" s="6">
        <f>IF(Tableau2[[#This Row],[Date signature ]]="","",EDATE(Tableau2[[#This Row],[Date signature ]],1))</f>
        <v>42691</v>
      </c>
      <c r="AE137" s="21">
        <f>IF(Tableau2[[#This Row],[PORTEUR
DE
PROJET]]="",0,IF(COUNTIF(Tableau2[[#This Row],[PORTEUR
DE
PROJET]],"CRA*")=1,,Tableau2[[#This Row],[Montant participation à signature]]*0.4))</f>
        <v>272308.8</v>
      </c>
      <c r="AF137" s="6">
        <f>IF(Tableau2[[#This Row],[Date signature ]]="","",IF(Tableau2[[#This Row],[ACOMPTE PREVU]]=0,"",EOMONTH(EDATE(Tableau2[[#This Row],[Date signature ]],Tableau2[[#This Row],[Durée du projet]]/2),0)))</f>
        <v>43220</v>
      </c>
      <c r="AG137" s="21">
        <f>IF(Tableau2[[#This Row],[PORTEUR
DE
PROJET]]="",0,IF(COUNTIF(Tableau2[[#This Row],[PORTEUR
DE
PROJET]],"CRA*")=1,Tableau2[[#This Row],[Montant participation à signature]]/2,Tableau2[[#This Row],[Montant participation à signature]]*0.3))</f>
        <v>204231.6</v>
      </c>
      <c r="AH137" s="6">
        <f>IF(Tableau2[[#This Row],[Date signature ]]="","",EOMONTH(EDATE(Tableau2[[#This Row],[Date signature ]],Tableau2[[#This Row],[Durée du projet]]),0))</f>
        <v>43769</v>
      </c>
      <c r="AI137" s="29">
        <f>IF(COUNTBLANK(Tableau2[[#This Row],[Date du mandat Avance]])=1,,Tableau2[[#This Row],[AVANCE PREVUE]])</f>
        <v>204231.6</v>
      </c>
      <c r="AJ137" s="65">
        <v>42663</v>
      </c>
      <c r="AK137" s="2"/>
      <c r="AL137" s="6"/>
      <c r="AM137" s="6"/>
      <c r="AN137" s="17">
        <f>IF(COUNTBLANK(Tableau2[[#This Row],[Date envoi ASF Acompte]])=1,,Tableau2[[#This Row],[ACOMPTE PREVU]])</f>
        <v>0</v>
      </c>
      <c r="AO137" s="17"/>
      <c r="AP137" s="2"/>
      <c r="AQ137" s="6"/>
      <c r="AR137" s="6"/>
      <c r="AS137" s="17"/>
      <c r="AT137" s="17"/>
      <c r="AU137" s="20"/>
      <c r="AV137" s="17"/>
      <c r="AW137" s="17"/>
      <c r="AX137" s="17">
        <f>IF(Tableau2[[#This Row],[Montant participation voté au CA]]="",0,Tableau2[[#This Row],[Montant participation voté au CA]]-Tableau2[[#This Row],[Montant participation à signature]])</f>
        <v>0</v>
      </c>
      <c r="AY137" s="52">
        <v>680772</v>
      </c>
      <c r="AZ137" s="17">
        <f>Tableau2[[#This Row],[AVANCE VERSEE]]+Tableau2[[#This Row],[ACOMPTE VERSE]]+Tableau2[[#This Row],[SOLDE VERSE]]</f>
        <v>204231.6</v>
      </c>
      <c r="BA137" s="17">
        <f>IF(Tableau2[[#This Row],[STATUT]]="Soldée",0,Tableau2[[#This Row],[Montant participation à signature]]-Tableau2[[#This Row],[Total CP payés]])</f>
        <v>476540.4</v>
      </c>
      <c r="BB137" s="17">
        <f>IF(Tableau2[[#This Row],[SOLDE VERSE]]&lt;0,-Tableau2[[#This Row],[SOLDE VERSE]],0)</f>
        <v>0</v>
      </c>
      <c r="BC137" s="17">
        <f>IF(Tableau2[[#This Row],[STATUT]]="Soldée",Tableau2[[#This Row],[Montant participation à signature]]-Tableau2[[#This Row],[Total CP payés]],0)</f>
        <v>0</v>
      </c>
      <c r="BD137" s="17">
        <f>IF(Tableau2[[#This Row],[Montant participation voté au CA]]="",0,Tableau2[[#This Row],[Réfaction]]+Tableau2[[#This Row],[Montant des crédits non engagés]])</f>
        <v>0</v>
      </c>
      <c r="BF137"/>
      <c r="BJ137"/>
      <c r="BK137"/>
      <c r="BL137"/>
      <c r="BM137"/>
      <c r="BP137"/>
      <c r="BQ137"/>
      <c r="BR137"/>
      <c r="BS137"/>
      <c r="BT137"/>
      <c r="BU137"/>
      <c r="BV137"/>
      <c r="BW137"/>
      <c r="BX137"/>
      <c r="BY137"/>
      <c r="CA137"/>
      <c r="CB137"/>
    </row>
    <row r="138" spans="1:80" ht="15" customHeight="1" x14ac:dyDescent="0.25">
      <c r="A138" s="4">
        <v>140</v>
      </c>
      <c r="B138" s="36">
        <v>2872</v>
      </c>
      <c r="C138" s="63" t="s">
        <v>74</v>
      </c>
      <c r="D138" s="73" t="s">
        <v>154</v>
      </c>
      <c r="E138" s="38">
        <v>5</v>
      </c>
      <c r="F138" s="38">
        <v>22</v>
      </c>
      <c r="G138" s="96" t="s">
        <v>143</v>
      </c>
      <c r="H138" s="96" t="s">
        <v>144</v>
      </c>
      <c r="I138" s="40" t="s">
        <v>48</v>
      </c>
      <c r="J138" s="79"/>
      <c r="K138" s="72"/>
      <c r="L138" s="34"/>
      <c r="M138" s="35"/>
      <c r="N138" s="38">
        <v>8</v>
      </c>
      <c r="O138" s="37">
        <v>6</v>
      </c>
      <c r="P138" s="37">
        <f>IF(Tableau2[[#This Row],[Durée du projet]]="","-",Tableau2[[#This Row],[Durée du projet]]+Tableau2[[#This Row],[Durée suppl'' pour pièces]])</f>
        <v>14</v>
      </c>
      <c r="Q138" s="39">
        <v>42669</v>
      </c>
      <c r="R138" s="60">
        <v>42676</v>
      </c>
      <c r="S138" s="6">
        <f>IF(Tableau2[[#This Row],[Date signature ]]="","",EOMONTH((EDATE(Tableau2[[#This Row],[Début éligibilité dépenses]],Tableau2[[#This Row],[Durée du projet]])),-1))</f>
        <v>42916</v>
      </c>
      <c r="T138" s="6">
        <f>IF(Tableau2[[#This Row],[Fin éligibilité dépenses]]="","",EDATE(Tableau2[[#This Row],[Fin éligibilité dépenses]],-6))</f>
        <v>42734</v>
      </c>
      <c r="U138" s="6">
        <f>IF(Tableau2[[#This Row],[Début éligibilité dépenses]]="","",EOMONTH(EDATE(Tableau2[[#This Row],[Début éligibilité dépenses]],Tableau2[[#This Row],[Durée du projet]]/2),0))</f>
        <v>42825</v>
      </c>
      <c r="V138" s="59">
        <f>IF(Tableau2[[#This Row],[Date signature ]]="","",EDATE(Tableau2[[#This Row],[Date signature ]],Tableau2[[#This Row],[Durée totale conv'' ]])-1)</f>
        <v>43094</v>
      </c>
      <c r="W138" s="40" t="s">
        <v>21</v>
      </c>
      <c r="X138" s="2"/>
      <c r="Y138" s="40" t="s">
        <v>145</v>
      </c>
      <c r="Z138" s="2"/>
      <c r="AA138" s="2"/>
      <c r="AB138" s="19"/>
      <c r="AC138" s="21">
        <f>IF(Tableau2[[#This Row],[PORTEUR
DE
PROJET]]="",0,IF(COUNTIF(Tableau2[[#This Row],[PORTEUR
DE
PROJET]],"CRA*")=1,Tableau2[[#This Row],[Montant participation à signature]]/2,Tableau2[[#This Row],[Montant participation à signature]]*0.3))</f>
        <v>8849.6999999999989</v>
      </c>
      <c r="AD138" s="6">
        <f>IF(Tableau2[[#This Row],[Date signature ]]="","",EDATE(Tableau2[[#This Row],[Date signature ]],1))</f>
        <v>42700</v>
      </c>
      <c r="AE138" s="21">
        <f>IF(Tableau2[[#This Row],[PORTEUR
DE
PROJET]]="",0,IF(COUNTIF(Tableau2[[#This Row],[PORTEUR
DE
PROJET]],"CRA*")=1,,Tableau2[[#This Row],[Montant participation à signature]]*0.4))</f>
        <v>11799.6</v>
      </c>
      <c r="AF138" s="6">
        <f>IF(Tableau2[[#This Row],[Date signature ]]="","",IF(Tableau2[[#This Row],[ACOMPTE PREVU]]=0,"",EOMONTH(EDATE(Tableau2[[#This Row],[Date signature ]],Tableau2[[#This Row],[Durée du projet]]/2),0)))</f>
        <v>42794</v>
      </c>
      <c r="AG138" s="21">
        <f>IF(Tableau2[[#This Row],[PORTEUR
DE
PROJET]]="",0,IF(COUNTIF(Tableau2[[#This Row],[PORTEUR
DE
PROJET]],"CRA*")=1,Tableau2[[#This Row],[Montant participation à signature]]/2,Tableau2[[#This Row],[Montant participation à signature]]*0.3))</f>
        <v>8849.6999999999989</v>
      </c>
      <c r="AH138" s="6">
        <f>IF(Tableau2[[#This Row],[Date signature ]]="","",EOMONTH(EDATE(Tableau2[[#This Row],[Date signature ]],Tableau2[[#This Row],[Durée du projet]]),0))</f>
        <v>42916</v>
      </c>
      <c r="AI138" s="29">
        <f>IF(COUNTBLANK(Tableau2[[#This Row],[Date du mandat Avance]])=1,,Tableau2[[#This Row],[AVANCE PREVUE]])</f>
        <v>8849.6999999999989</v>
      </c>
      <c r="AJ138" s="64">
        <v>42683</v>
      </c>
      <c r="AK138" s="2"/>
      <c r="AL138" s="6"/>
      <c r="AM138" s="6"/>
      <c r="AN138" s="17">
        <f>IF(COUNTBLANK(Tableau2[[#This Row],[Date envoi ASF Acompte]])=1,,Tableau2[[#This Row],[ACOMPTE PREVU]])</f>
        <v>0</v>
      </c>
      <c r="AO138" s="17"/>
      <c r="AP138" s="2"/>
      <c r="AQ138" s="6"/>
      <c r="AR138" s="6"/>
      <c r="AS138" s="17"/>
      <c r="AT138" s="17"/>
      <c r="AU138" s="20"/>
      <c r="AV138" s="17"/>
      <c r="AW138" s="17"/>
      <c r="AX138" s="17">
        <f>IF(Tableau2[[#This Row],[Montant participation voté au CA]]="",0,Tableau2[[#This Row],[Montant participation voté au CA]]-Tableau2[[#This Row],[Montant participation à signature]])</f>
        <v>0</v>
      </c>
      <c r="AY138" s="53">
        <v>29499</v>
      </c>
      <c r="AZ138" s="17">
        <f>Tableau2[[#This Row],[AVANCE VERSEE]]+Tableau2[[#This Row],[ACOMPTE VERSE]]+Tableau2[[#This Row],[SOLDE VERSE]]</f>
        <v>8849.6999999999989</v>
      </c>
      <c r="BA138" s="17">
        <f>IF(Tableau2[[#This Row],[STATUT]]="Soldée",0,Tableau2[[#This Row],[Montant participation à signature]]-Tableau2[[#This Row],[Total CP payés]])</f>
        <v>20649.300000000003</v>
      </c>
      <c r="BB138" s="17">
        <f>IF(Tableau2[[#This Row],[SOLDE VERSE]]&lt;0,-Tableau2[[#This Row],[SOLDE VERSE]],0)</f>
        <v>0</v>
      </c>
      <c r="BC138" s="17">
        <f>IF(Tableau2[[#This Row],[STATUT]]="Soldée",Tableau2[[#This Row],[Montant participation à signature]]-Tableau2[[#This Row],[Total CP payés]],0)</f>
        <v>0</v>
      </c>
      <c r="BD138" s="17">
        <f>IF(Tableau2[[#This Row],[Montant participation voté au CA]]="",0,Tableau2[[#This Row],[Réfaction]]+Tableau2[[#This Row],[Montant des crédits non engagés]])</f>
        <v>0</v>
      </c>
      <c r="BF138"/>
      <c r="BJ138"/>
      <c r="BK138"/>
      <c r="BL138"/>
      <c r="BM138"/>
      <c r="BP138"/>
      <c r="BQ138"/>
      <c r="BR138"/>
      <c r="BS138"/>
      <c r="BT138"/>
      <c r="BU138"/>
      <c r="BV138"/>
      <c r="BW138"/>
      <c r="BX138"/>
      <c r="BY138"/>
      <c r="CA138"/>
      <c r="CB138"/>
    </row>
    <row r="139" spans="1:80" ht="15" customHeight="1" x14ac:dyDescent="0.25">
      <c r="A139" s="4">
        <v>141</v>
      </c>
      <c r="B139" s="36">
        <v>2873</v>
      </c>
      <c r="C139" s="63" t="s">
        <v>74</v>
      </c>
      <c r="D139" s="73" t="s">
        <v>154</v>
      </c>
      <c r="E139" s="38">
        <v>4</v>
      </c>
      <c r="F139" s="38" t="s">
        <v>42</v>
      </c>
      <c r="G139" s="96" t="s">
        <v>143</v>
      </c>
      <c r="H139" s="96" t="s">
        <v>144</v>
      </c>
      <c r="I139" s="40" t="s">
        <v>48</v>
      </c>
      <c r="J139" s="79"/>
      <c r="K139" s="72"/>
      <c r="L139" s="34"/>
      <c r="M139" s="35"/>
      <c r="N139" s="38">
        <v>10</v>
      </c>
      <c r="O139" s="37">
        <v>6</v>
      </c>
      <c r="P139" s="37">
        <f>IF(Tableau2[[#This Row],[Durée du projet]]="","-",Tableau2[[#This Row],[Durée du projet]]+Tableau2[[#This Row],[Durée suppl'' pour pièces]])</f>
        <v>16</v>
      </c>
      <c r="Q139" s="39">
        <v>42677</v>
      </c>
      <c r="R139" s="60">
        <v>42677</v>
      </c>
      <c r="S139" s="6">
        <f>IF(Tableau2[[#This Row],[Date signature ]]="","",EOMONTH((EDATE(Tableau2[[#This Row],[Début éligibilité dépenses]],Tableau2[[#This Row],[Durée du projet]])),-1))</f>
        <v>42978</v>
      </c>
      <c r="T139" s="6">
        <f>IF(Tableau2[[#This Row],[Fin éligibilité dépenses]]="","",EDATE(Tableau2[[#This Row],[Fin éligibilité dépenses]],-6))</f>
        <v>42794</v>
      </c>
      <c r="U139" s="6">
        <f>IF(Tableau2[[#This Row],[Début éligibilité dépenses]]="","",EOMONTH(EDATE(Tableau2[[#This Row],[Début éligibilité dépenses]],Tableau2[[#This Row],[Durée du projet]]/2),0))</f>
        <v>42855</v>
      </c>
      <c r="V139" s="59">
        <f>IF(Tableau2[[#This Row],[Date signature ]]="","",EDATE(Tableau2[[#This Row],[Date signature ]],Tableau2[[#This Row],[Durée totale conv'' ]])-1)</f>
        <v>43161</v>
      </c>
      <c r="W139" s="40" t="s">
        <v>21</v>
      </c>
      <c r="X139" s="2"/>
      <c r="Y139" s="40" t="s">
        <v>145</v>
      </c>
      <c r="Z139" s="2"/>
      <c r="AA139" s="2"/>
      <c r="AB139" s="19"/>
      <c r="AC139" s="21">
        <f>IF(Tableau2[[#This Row],[PORTEUR
DE
PROJET]]="",0,IF(COUNTIF(Tableau2[[#This Row],[PORTEUR
DE
PROJET]],"CRA*")=1,Tableau2[[#This Row],[Montant participation à signature]]/2,Tableau2[[#This Row],[Montant participation à signature]]*0.3))</f>
        <v>2137.2750000000001</v>
      </c>
      <c r="AD139" s="6">
        <f>IF(Tableau2[[#This Row],[Date signature ]]="","",EDATE(Tableau2[[#This Row],[Date signature ]],1))</f>
        <v>42707</v>
      </c>
      <c r="AE139" s="21">
        <f>IF(Tableau2[[#This Row],[PORTEUR
DE
PROJET]]="",0,IF(COUNTIF(Tableau2[[#This Row],[PORTEUR
DE
PROJET]],"CRA*")=1,,Tableau2[[#This Row],[Montant participation à signature]]*0.4))</f>
        <v>2849.7000000000003</v>
      </c>
      <c r="AF139" s="6">
        <f>IF(Tableau2[[#This Row],[Date signature ]]="","",IF(Tableau2[[#This Row],[ACOMPTE PREVU]]=0,"",EOMONTH(EDATE(Tableau2[[#This Row],[Date signature ]],Tableau2[[#This Row],[Durée du projet]]/2),0)))</f>
        <v>42855</v>
      </c>
      <c r="AG139" s="21">
        <f>IF(Tableau2[[#This Row],[PORTEUR
DE
PROJET]]="",0,IF(COUNTIF(Tableau2[[#This Row],[PORTEUR
DE
PROJET]],"CRA*")=1,Tableau2[[#This Row],[Montant participation à signature]]/2,Tableau2[[#This Row],[Montant participation à signature]]*0.3))</f>
        <v>2137.2750000000001</v>
      </c>
      <c r="AH139" s="6">
        <f>IF(Tableau2[[#This Row],[Date signature ]]="","",EOMONTH(EDATE(Tableau2[[#This Row],[Date signature ]],Tableau2[[#This Row],[Durée du projet]]),0))</f>
        <v>43008</v>
      </c>
      <c r="AI139" s="29">
        <f>IF(COUNTBLANK(Tableau2[[#This Row],[Date du mandat Avance]])=1,,Tableau2[[#This Row],[AVANCE PREVUE]])</f>
        <v>2137.2750000000001</v>
      </c>
      <c r="AJ139" s="64">
        <v>42683</v>
      </c>
      <c r="AK139" s="2"/>
      <c r="AL139" s="6"/>
      <c r="AM139" s="6"/>
      <c r="AN139" s="17">
        <f>IF(COUNTBLANK(Tableau2[[#This Row],[Date envoi ASF Acompte]])=1,,Tableau2[[#This Row],[ACOMPTE PREVU]])</f>
        <v>0</v>
      </c>
      <c r="AO139" s="17"/>
      <c r="AP139" s="2"/>
      <c r="AQ139" s="6"/>
      <c r="AR139" s="6"/>
      <c r="AS139" s="17"/>
      <c r="AT139" s="17"/>
      <c r="AU139" s="20"/>
      <c r="AV139" s="17"/>
      <c r="AW139" s="17"/>
      <c r="AX139" s="17">
        <f>IF(Tableau2[[#This Row],[Montant participation voté au CA]]="",0,Tableau2[[#This Row],[Montant participation voté au CA]]-Tableau2[[#This Row],[Montant participation à signature]])</f>
        <v>0</v>
      </c>
      <c r="AY139" s="54">
        <v>7124.25</v>
      </c>
      <c r="AZ139" s="17">
        <f>Tableau2[[#This Row],[AVANCE VERSEE]]+Tableau2[[#This Row],[ACOMPTE VERSE]]+Tableau2[[#This Row],[SOLDE VERSE]]</f>
        <v>2137.2750000000001</v>
      </c>
      <c r="BA139" s="17">
        <f>IF(Tableau2[[#This Row],[STATUT]]="Soldée",0,Tableau2[[#This Row],[Montant participation à signature]]-Tableau2[[#This Row],[Total CP payés]])</f>
        <v>4986.9750000000004</v>
      </c>
      <c r="BB139" s="17">
        <f>IF(Tableau2[[#This Row],[SOLDE VERSE]]&lt;0,-Tableau2[[#This Row],[SOLDE VERSE]],0)</f>
        <v>0</v>
      </c>
      <c r="BC139" s="17">
        <f>IF(Tableau2[[#This Row],[STATUT]]="Soldée",Tableau2[[#This Row],[Montant participation à signature]]-Tableau2[[#This Row],[Total CP payés]],0)</f>
        <v>0</v>
      </c>
      <c r="BD139" s="17">
        <f>IF(Tableau2[[#This Row],[Montant participation voté au CA]]="",0,Tableau2[[#This Row],[Réfaction]]+Tableau2[[#This Row],[Montant des crédits non engagés]])</f>
        <v>0</v>
      </c>
      <c r="BF139"/>
      <c r="BJ139"/>
      <c r="BK139"/>
      <c r="BL139"/>
      <c r="BM139"/>
      <c r="BP139"/>
      <c r="BQ139"/>
      <c r="BR139"/>
      <c r="BS139"/>
      <c r="BT139"/>
      <c r="BU139"/>
      <c r="BV139"/>
      <c r="BW139"/>
      <c r="BX139"/>
      <c r="BY139"/>
      <c r="CA139"/>
      <c r="CB139"/>
    </row>
    <row r="140" spans="1:80" ht="15" customHeight="1" x14ac:dyDescent="0.25">
      <c r="A140" s="4">
        <v>142</v>
      </c>
      <c r="B140" s="36">
        <v>2880</v>
      </c>
      <c r="C140" s="63" t="s">
        <v>74</v>
      </c>
      <c r="D140" s="73" t="s">
        <v>154</v>
      </c>
      <c r="E140" s="38">
        <v>1</v>
      </c>
      <c r="F140" s="38" t="s">
        <v>49</v>
      </c>
      <c r="G140" s="96" t="s">
        <v>143</v>
      </c>
      <c r="H140" s="96" t="s">
        <v>144</v>
      </c>
      <c r="I140" s="40" t="s">
        <v>48</v>
      </c>
      <c r="J140" s="79"/>
      <c r="K140" s="72"/>
      <c r="L140" s="34"/>
      <c r="M140" s="35"/>
      <c r="N140" s="38">
        <v>36</v>
      </c>
      <c r="O140" s="37">
        <v>6</v>
      </c>
      <c r="P140" s="37">
        <f>IF(Tableau2[[#This Row],[Durée du projet]]="","-",Tableau2[[#This Row],[Durée du projet]]+Tableau2[[#This Row],[Durée suppl'' pour pièces]])</f>
        <v>42</v>
      </c>
      <c r="Q140" s="39">
        <v>42683</v>
      </c>
      <c r="R140" s="60">
        <v>42683</v>
      </c>
      <c r="S140" s="6">
        <f>IF(Tableau2[[#This Row],[Date signature ]]="","",EOMONTH((EDATE(Tableau2[[#This Row],[Début éligibilité dépenses]],Tableau2[[#This Row],[Durée du projet]])),-1))</f>
        <v>43769</v>
      </c>
      <c r="T140" s="6">
        <f>IF(Tableau2[[#This Row],[Fin éligibilité dépenses]]="","",EDATE(Tableau2[[#This Row],[Fin éligibilité dépenses]],-6))</f>
        <v>43585</v>
      </c>
      <c r="U140" s="6">
        <f>IF(Tableau2[[#This Row],[Début éligibilité dépenses]]="","",EOMONTH(EDATE(Tableau2[[#This Row],[Début éligibilité dépenses]],Tableau2[[#This Row],[Durée du projet]]/2),0))</f>
        <v>43251</v>
      </c>
      <c r="V140" s="59">
        <f>IF(Tableau2[[#This Row],[Date signature ]]="","",EDATE(Tableau2[[#This Row],[Date signature ]],Tableau2[[#This Row],[Durée totale conv'' ]])-1)</f>
        <v>43959</v>
      </c>
      <c r="W140" s="40" t="s">
        <v>21</v>
      </c>
      <c r="X140" s="2"/>
      <c r="Y140" s="40" t="s">
        <v>145</v>
      </c>
      <c r="Z140" s="2"/>
      <c r="AA140" s="2"/>
      <c r="AB140" s="19"/>
      <c r="AC140" s="21">
        <f>IF(Tableau2[[#This Row],[PORTEUR
DE
PROJET]]="",0,IF(COUNTIF(Tableau2[[#This Row],[PORTEUR
DE
PROJET]],"CRA*")=1,Tableau2[[#This Row],[Montant participation à signature]]/2,Tableau2[[#This Row],[Montant participation à signature]]*0.3))</f>
        <v>28573.59</v>
      </c>
      <c r="AD140" s="6">
        <f>IF(Tableau2[[#This Row],[Date signature ]]="","",EDATE(Tableau2[[#This Row],[Date signature ]],1))</f>
        <v>42713</v>
      </c>
      <c r="AE140" s="21">
        <f>IF(Tableau2[[#This Row],[PORTEUR
DE
PROJET]]="",0,IF(COUNTIF(Tableau2[[#This Row],[PORTEUR
DE
PROJET]],"CRA*")=1,,Tableau2[[#This Row],[Montant participation à signature]]*0.4))</f>
        <v>38098.120000000003</v>
      </c>
      <c r="AF140" s="6">
        <f>IF(Tableau2[[#This Row],[Date signature ]]="","",IF(Tableau2[[#This Row],[ACOMPTE PREVU]]=0,"",EOMONTH(EDATE(Tableau2[[#This Row],[Date signature ]],Tableau2[[#This Row],[Durée du projet]]/2),0)))</f>
        <v>43251</v>
      </c>
      <c r="AG140" s="21">
        <f>IF(Tableau2[[#This Row],[PORTEUR
DE
PROJET]]="",0,IF(COUNTIF(Tableau2[[#This Row],[PORTEUR
DE
PROJET]],"CRA*")=1,Tableau2[[#This Row],[Montant participation à signature]]/2,Tableau2[[#This Row],[Montant participation à signature]]*0.3))</f>
        <v>28573.59</v>
      </c>
      <c r="AH140" s="6">
        <f>IF(Tableau2[[#This Row],[Date signature ]]="","",EOMONTH(EDATE(Tableau2[[#This Row],[Date signature ]],Tableau2[[#This Row],[Durée du projet]]),0))</f>
        <v>43799</v>
      </c>
      <c r="AI140" s="29">
        <f>IF(COUNTBLANK(Tableau2[[#This Row],[Date du mandat Avance]])=1,,Tableau2[[#This Row],[AVANCE PREVUE]])</f>
        <v>28573.59</v>
      </c>
      <c r="AJ140" s="64">
        <v>42690</v>
      </c>
      <c r="AK140" s="2"/>
      <c r="AL140" s="6"/>
      <c r="AM140" s="6"/>
      <c r="AN140" s="17">
        <f>IF(COUNTBLANK(Tableau2[[#This Row],[Date envoi ASF Acompte]])=1,,Tableau2[[#This Row],[ACOMPTE PREVU]])</f>
        <v>0</v>
      </c>
      <c r="AO140" s="17"/>
      <c r="AP140" s="2"/>
      <c r="AQ140" s="6"/>
      <c r="AR140" s="6"/>
      <c r="AS140" s="17"/>
      <c r="AT140" s="17"/>
      <c r="AU140" s="20"/>
      <c r="AV140" s="17"/>
      <c r="AW140" s="17"/>
      <c r="AX140" s="17">
        <f>IF(Tableau2[[#This Row],[Montant participation voté au CA]]="",0,Tableau2[[#This Row],[Montant participation voté au CA]]-Tableau2[[#This Row],[Montant participation à signature]])</f>
        <v>0</v>
      </c>
      <c r="AY140" s="52">
        <v>95245.3</v>
      </c>
      <c r="AZ140" s="17">
        <f>Tableau2[[#This Row],[AVANCE VERSEE]]+Tableau2[[#This Row],[ACOMPTE VERSE]]+Tableau2[[#This Row],[SOLDE VERSE]]</f>
        <v>28573.59</v>
      </c>
      <c r="BA140" s="17">
        <f>IF(Tableau2[[#This Row],[STATUT]]="Soldée",0,Tableau2[[#This Row],[Montant participation à signature]]-Tableau2[[#This Row],[Total CP payés]])</f>
        <v>66671.710000000006</v>
      </c>
      <c r="BB140" s="17">
        <f>IF(Tableau2[[#This Row],[SOLDE VERSE]]&lt;0,-Tableau2[[#This Row],[SOLDE VERSE]],0)</f>
        <v>0</v>
      </c>
      <c r="BC140" s="17">
        <f>IF(Tableau2[[#This Row],[STATUT]]="Soldée",Tableau2[[#This Row],[Montant participation à signature]]-Tableau2[[#This Row],[Total CP payés]],0)</f>
        <v>0</v>
      </c>
      <c r="BD140" s="17">
        <f>IF(Tableau2[[#This Row],[Montant participation voté au CA]]="",0,Tableau2[[#This Row],[Réfaction]]+Tableau2[[#This Row],[Montant des crédits non engagés]])</f>
        <v>0</v>
      </c>
      <c r="BF140"/>
      <c r="BJ140"/>
      <c r="BK140"/>
      <c r="BL140"/>
      <c r="BM140"/>
      <c r="BP140"/>
      <c r="BQ140"/>
      <c r="BR140"/>
      <c r="BS140"/>
      <c r="BT140"/>
      <c r="BU140"/>
      <c r="BV140"/>
      <c r="BW140"/>
      <c r="BX140"/>
      <c r="BY140"/>
      <c r="CA140"/>
      <c r="CB140"/>
    </row>
    <row r="141" spans="1:80" ht="15" customHeight="1" x14ac:dyDescent="0.25">
      <c r="A141" s="4">
        <v>143</v>
      </c>
      <c r="B141" s="36">
        <v>2881</v>
      </c>
      <c r="C141" s="63" t="s">
        <v>74</v>
      </c>
      <c r="D141" s="73" t="s">
        <v>154</v>
      </c>
      <c r="E141" s="38">
        <v>5</v>
      </c>
      <c r="F141" s="38">
        <v>22</v>
      </c>
      <c r="G141" s="96" t="s">
        <v>143</v>
      </c>
      <c r="H141" s="96" t="s">
        <v>144</v>
      </c>
      <c r="I141" s="40" t="s">
        <v>48</v>
      </c>
      <c r="J141" s="79"/>
      <c r="K141" s="72"/>
      <c r="L141" s="34"/>
      <c r="M141" s="35"/>
      <c r="N141" s="38">
        <v>36</v>
      </c>
      <c r="O141" s="37">
        <v>6</v>
      </c>
      <c r="P141" s="37">
        <f>IF(Tableau2[[#This Row],[Durée du projet]]="","-",Tableau2[[#This Row],[Durée du projet]]+Tableau2[[#This Row],[Durée suppl'' pour pièces]])</f>
        <v>42</v>
      </c>
      <c r="Q141" s="39">
        <v>42683</v>
      </c>
      <c r="R141" s="60">
        <v>42683</v>
      </c>
      <c r="S141" s="6">
        <f>IF(Tableau2[[#This Row],[Date signature ]]="","",EOMONTH((EDATE(Tableau2[[#This Row],[Début éligibilité dépenses]],Tableau2[[#This Row],[Durée du projet]])),-1))</f>
        <v>43769</v>
      </c>
      <c r="T141" s="6">
        <f>IF(Tableau2[[#This Row],[Fin éligibilité dépenses]]="","",EDATE(Tableau2[[#This Row],[Fin éligibilité dépenses]],-6))</f>
        <v>43585</v>
      </c>
      <c r="U141" s="6">
        <f>IF(Tableau2[[#This Row],[Début éligibilité dépenses]]="","",EOMONTH(EDATE(Tableau2[[#This Row],[Début éligibilité dépenses]],Tableau2[[#This Row],[Durée du projet]]/2),0))</f>
        <v>43251</v>
      </c>
      <c r="V141" s="59">
        <f>IF(Tableau2[[#This Row],[Date signature ]]="","",EDATE(Tableau2[[#This Row],[Date signature ]],Tableau2[[#This Row],[Durée totale conv'' ]])-1)</f>
        <v>43959</v>
      </c>
      <c r="W141" s="40" t="s">
        <v>21</v>
      </c>
      <c r="X141" s="2"/>
      <c r="Y141" s="40" t="s">
        <v>145</v>
      </c>
      <c r="Z141" s="2"/>
      <c r="AA141" s="2"/>
      <c r="AB141" s="19"/>
      <c r="AC141" s="21">
        <f>IF(Tableau2[[#This Row],[PORTEUR
DE
PROJET]]="",0,IF(COUNTIF(Tableau2[[#This Row],[PORTEUR
DE
PROJET]],"CRA*")=1,Tableau2[[#This Row],[Montant participation à signature]]/2,Tableau2[[#This Row],[Montant participation à signature]]*0.3))</f>
        <v>45000</v>
      </c>
      <c r="AD141" s="6">
        <f>IF(Tableau2[[#This Row],[Date signature ]]="","",EDATE(Tableau2[[#This Row],[Date signature ]],1))</f>
        <v>42713</v>
      </c>
      <c r="AE141" s="21">
        <f>IF(Tableau2[[#This Row],[PORTEUR
DE
PROJET]]="",0,IF(COUNTIF(Tableau2[[#This Row],[PORTEUR
DE
PROJET]],"CRA*")=1,,Tableau2[[#This Row],[Montant participation à signature]]*0.4))</f>
        <v>60000</v>
      </c>
      <c r="AF141" s="6">
        <f>IF(Tableau2[[#This Row],[Date signature ]]="","",IF(Tableau2[[#This Row],[ACOMPTE PREVU]]=0,"",EOMONTH(EDATE(Tableau2[[#This Row],[Date signature ]],Tableau2[[#This Row],[Durée du projet]]/2),0)))</f>
        <v>43251</v>
      </c>
      <c r="AG141" s="21">
        <f>IF(Tableau2[[#This Row],[PORTEUR
DE
PROJET]]="",0,IF(COUNTIF(Tableau2[[#This Row],[PORTEUR
DE
PROJET]],"CRA*")=1,Tableau2[[#This Row],[Montant participation à signature]]/2,Tableau2[[#This Row],[Montant participation à signature]]*0.3))</f>
        <v>45000</v>
      </c>
      <c r="AH141" s="6">
        <f>IF(Tableau2[[#This Row],[Date signature ]]="","",EOMONTH(EDATE(Tableau2[[#This Row],[Date signature ]],Tableau2[[#This Row],[Durée du projet]]),0))</f>
        <v>43799</v>
      </c>
      <c r="AI141" s="29">
        <f>IF(COUNTBLANK(Tableau2[[#This Row],[Date du mandat Avance]])=1,,Tableau2[[#This Row],[AVANCE PREVUE]])</f>
        <v>45000</v>
      </c>
      <c r="AJ141" s="64">
        <v>42692</v>
      </c>
      <c r="AK141" s="2"/>
      <c r="AL141" s="6"/>
      <c r="AM141" s="6"/>
      <c r="AN141" s="17">
        <f>IF(COUNTBLANK(Tableau2[[#This Row],[Date envoi ASF Acompte]])=1,,Tableau2[[#This Row],[ACOMPTE PREVU]])</f>
        <v>0</v>
      </c>
      <c r="AO141" s="17"/>
      <c r="AP141" s="2"/>
      <c r="AQ141" s="6"/>
      <c r="AR141" s="6"/>
      <c r="AS141" s="17"/>
      <c r="AT141" s="17"/>
      <c r="AU141" s="20"/>
      <c r="AV141" s="17"/>
      <c r="AW141" s="17"/>
      <c r="AX141" s="17">
        <f>IF(Tableau2[[#This Row],[Montant participation voté au CA]]="",0,Tableau2[[#This Row],[Montant participation voté au CA]]-Tableau2[[#This Row],[Montant participation à signature]])</f>
        <v>0</v>
      </c>
      <c r="AY141" s="53">
        <v>150000</v>
      </c>
      <c r="AZ141" s="17">
        <f>Tableau2[[#This Row],[AVANCE VERSEE]]+Tableau2[[#This Row],[ACOMPTE VERSE]]+Tableau2[[#This Row],[SOLDE VERSE]]</f>
        <v>45000</v>
      </c>
      <c r="BA141" s="17">
        <f>IF(Tableau2[[#This Row],[STATUT]]="Soldée",0,Tableau2[[#This Row],[Montant participation à signature]]-Tableau2[[#This Row],[Total CP payés]])</f>
        <v>105000</v>
      </c>
      <c r="BB141" s="17">
        <f>IF(Tableau2[[#This Row],[SOLDE VERSE]]&lt;0,-Tableau2[[#This Row],[SOLDE VERSE]],0)</f>
        <v>0</v>
      </c>
      <c r="BC141" s="17">
        <f>IF(Tableau2[[#This Row],[STATUT]]="Soldée",Tableau2[[#This Row],[Montant participation à signature]]-Tableau2[[#This Row],[Total CP payés]],0)</f>
        <v>0</v>
      </c>
      <c r="BD141" s="17">
        <f>IF(Tableau2[[#This Row],[Montant participation voté au CA]]="",0,Tableau2[[#This Row],[Réfaction]]+Tableau2[[#This Row],[Montant des crédits non engagés]])</f>
        <v>0</v>
      </c>
      <c r="BF141"/>
      <c r="BJ141"/>
      <c r="BK141"/>
      <c r="BL141"/>
      <c r="BM141"/>
      <c r="BP141"/>
      <c r="BQ141"/>
      <c r="BR141"/>
      <c r="BS141"/>
      <c r="BT141"/>
      <c r="BU141"/>
      <c r="BV141"/>
      <c r="BW141"/>
      <c r="BX141"/>
      <c r="BY141"/>
      <c r="CA141"/>
      <c r="CB141"/>
    </row>
    <row r="142" spans="1:80" ht="15" customHeight="1" x14ac:dyDescent="0.25">
      <c r="A142" s="4">
        <v>144</v>
      </c>
      <c r="B142" s="36">
        <v>2882</v>
      </c>
      <c r="C142" s="63" t="s">
        <v>74</v>
      </c>
      <c r="D142" s="73" t="s">
        <v>154</v>
      </c>
      <c r="E142" s="38">
        <v>1</v>
      </c>
      <c r="F142" s="38" t="s">
        <v>49</v>
      </c>
      <c r="G142" s="96" t="s">
        <v>143</v>
      </c>
      <c r="H142" s="96" t="s">
        <v>144</v>
      </c>
      <c r="I142" s="40" t="s">
        <v>48</v>
      </c>
      <c r="J142" s="79"/>
      <c r="K142" s="72"/>
      <c r="L142" s="34"/>
      <c r="M142" s="35"/>
      <c r="N142" s="38">
        <v>27</v>
      </c>
      <c r="O142" s="37">
        <v>6</v>
      </c>
      <c r="P142" s="37">
        <f>IF(Tableau2[[#This Row],[Durée du projet]]="","-",Tableau2[[#This Row],[Durée du projet]]+Tableau2[[#This Row],[Durée suppl'' pour pièces]])</f>
        <v>33</v>
      </c>
      <c r="Q142" s="39">
        <v>42683</v>
      </c>
      <c r="R142" s="60">
        <v>42683</v>
      </c>
      <c r="S142" s="6">
        <f>IF(Tableau2[[#This Row],[Date signature ]]="","",EOMONTH((EDATE(Tableau2[[#This Row],[Début éligibilité dépenses]],Tableau2[[#This Row],[Durée du projet]])),-1))</f>
        <v>43496</v>
      </c>
      <c r="T142" s="6">
        <f>IF(Tableau2[[#This Row],[Fin éligibilité dépenses]]="","",EDATE(Tableau2[[#This Row],[Fin éligibilité dépenses]],-6))</f>
        <v>43312</v>
      </c>
      <c r="U142" s="6">
        <f>IF(Tableau2[[#This Row],[Début éligibilité dépenses]]="","",EOMONTH(EDATE(Tableau2[[#This Row],[Début éligibilité dépenses]],Tableau2[[#This Row],[Durée du projet]]/2),0))</f>
        <v>43100</v>
      </c>
      <c r="V142" s="59">
        <f>IF(Tableau2[[#This Row],[Date signature ]]="","",EDATE(Tableau2[[#This Row],[Date signature ]],Tableau2[[#This Row],[Durée totale conv'' ]])-1)</f>
        <v>43685</v>
      </c>
      <c r="W142" s="40" t="s">
        <v>21</v>
      </c>
      <c r="X142" s="2"/>
      <c r="Y142" s="40" t="s">
        <v>145</v>
      </c>
      <c r="Z142" s="2"/>
      <c r="AA142" s="2"/>
      <c r="AB142" s="19"/>
      <c r="AC142" s="21">
        <f>IF(Tableau2[[#This Row],[PORTEUR
DE
PROJET]]="",0,IF(COUNTIF(Tableau2[[#This Row],[PORTEUR
DE
PROJET]],"CRA*")=1,Tableau2[[#This Row],[Montant participation à signature]]/2,Tableau2[[#This Row],[Montant participation à signature]]*0.3))</f>
        <v>10074</v>
      </c>
      <c r="AD142" s="6">
        <f>IF(Tableau2[[#This Row],[Date signature ]]="","",EDATE(Tableau2[[#This Row],[Date signature ]],1))</f>
        <v>42713</v>
      </c>
      <c r="AE142" s="21">
        <f>IF(Tableau2[[#This Row],[PORTEUR
DE
PROJET]]="",0,IF(COUNTIF(Tableau2[[#This Row],[PORTEUR
DE
PROJET]],"CRA*")=1,,Tableau2[[#This Row],[Montant participation à signature]]*0.4))</f>
        <v>13432</v>
      </c>
      <c r="AF142" s="6">
        <f>IF(Tableau2[[#This Row],[Date signature ]]="","",IF(Tableau2[[#This Row],[ACOMPTE PREVU]]=0,"",EOMONTH(EDATE(Tableau2[[#This Row],[Date signature ]],Tableau2[[#This Row],[Durée du projet]]/2),0)))</f>
        <v>43100</v>
      </c>
      <c r="AG142" s="21">
        <f>IF(Tableau2[[#This Row],[PORTEUR
DE
PROJET]]="",0,IF(COUNTIF(Tableau2[[#This Row],[PORTEUR
DE
PROJET]],"CRA*")=1,Tableau2[[#This Row],[Montant participation à signature]]/2,Tableau2[[#This Row],[Montant participation à signature]]*0.3))</f>
        <v>10074</v>
      </c>
      <c r="AH142" s="6">
        <f>IF(Tableau2[[#This Row],[Date signature ]]="","",EOMONTH(EDATE(Tableau2[[#This Row],[Date signature ]],Tableau2[[#This Row],[Durée du projet]]),0))</f>
        <v>43524</v>
      </c>
      <c r="AI142" s="29">
        <f>IF(COUNTBLANK(Tableau2[[#This Row],[Date du mandat Avance]])=1,,Tableau2[[#This Row],[AVANCE PREVUE]])</f>
        <v>10074</v>
      </c>
      <c r="AJ142" s="64">
        <v>42692</v>
      </c>
      <c r="AK142" s="2"/>
      <c r="AL142" s="6"/>
      <c r="AM142" s="6"/>
      <c r="AN142" s="17">
        <f>IF(COUNTBLANK(Tableau2[[#This Row],[Date envoi ASF Acompte]])=1,,Tableau2[[#This Row],[ACOMPTE PREVU]])</f>
        <v>0</v>
      </c>
      <c r="AO142" s="17"/>
      <c r="AP142" s="2"/>
      <c r="AQ142" s="6"/>
      <c r="AR142" s="6"/>
      <c r="AS142" s="17"/>
      <c r="AT142" s="17"/>
      <c r="AU142" s="20"/>
      <c r="AV142" s="17"/>
      <c r="AW142" s="17"/>
      <c r="AX142" s="17">
        <f>IF(Tableau2[[#This Row],[Montant participation voté au CA]]="",0,Tableau2[[#This Row],[Montant participation voté au CA]]-Tableau2[[#This Row],[Montant participation à signature]])</f>
        <v>0</v>
      </c>
      <c r="AY142" s="53">
        <v>33580</v>
      </c>
      <c r="AZ142" s="17">
        <f>Tableau2[[#This Row],[AVANCE VERSEE]]+Tableau2[[#This Row],[ACOMPTE VERSE]]+Tableau2[[#This Row],[SOLDE VERSE]]</f>
        <v>10074</v>
      </c>
      <c r="BA142" s="17">
        <f>IF(Tableau2[[#This Row],[STATUT]]="Soldée",0,Tableau2[[#This Row],[Montant participation à signature]]-Tableau2[[#This Row],[Total CP payés]])</f>
        <v>23506</v>
      </c>
      <c r="BB142" s="17">
        <f>IF(Tableau2[[#This Row],[SOLDE VERSE]]&lt;0,-Tableau2[[#This Row],[SOLDE VERSE]],0)</f>
        <v>0</v>
      </c>
      <c r="BC142" s="17">
        <f>IF(Tableau2[[#This Row],[STATUT]]="Soldée",Tableau2[[#This Row],[Montant participation à signature]]-Tableau2[[#This Row],[Total CP payés]],0)</f>
        <v>0</v>
      </c>
      <c r="BD142" s="17">
        <f>IF(Tableau2[[#This Row],[Montant participation voté au CA]]="",0,Tableau2[[#This Row],[Réfaction]]+Tableau2[[#This Row],[Montant des crédits non engagés]])</f>
        <v>0</v>
      </c>
      <c r="BF142"/>
      <c r="BJ142"/>
      <c r="BK142"/>
      <c r="BL142"/>
      <c r="BM142"/>
      <c r="BP142"/>
      <c r="BQ142"/>
      <c r="BR142"/>
      <c r="BS142"/>
      <c r="BT142"/>
      <c r="BU142"/>
      <c r="BV142"/>
      <c r="BW142"/>
      <c r="BX142"/>
      <c r="BY142"/>
      <c r="CA142"/>
      <c r="CB142"/>
    </row>
    <row r="143" spans="1:80" ht="15" customHeight="1" x14ac:dyDescent="0.25">
      <c r="A143" s="4">
        <v>145</v>
      </c>
      <c r="B143" s="36">
        <v>2883</v>
      </c>
      <c r="C143" s="63" t="s">
        <v>74</v>
      </c>
      <c r="D143" s="73" t="s">
        <v>154</v>
      </c>
      <c r="E143" s="38">
        <v>3</v>
      </c>
      <c r="F143" s="38">
        <v>11</v>
      </c>
      <c r="G143" s="96" t="s">
        <v>143</v>
      </c>
      <c r="H143" s="96" t="s">
        <v>144</v>
      </c>
      <c r="I143" s="40" t="s">
        <v>48</v>
      </c>
      <c r="J143" s="79"/>
      <c r="K143" s="72"/>
      <c r="L143" s="34"/>
      <c r="M143" s="35"/>
      <c r="N143" s="38">
        <v>36</v>
      </c>
      <c r="O143" s="37">
        <v>6</v>
      </c>
      <c r="P143" s="37">
        <f>IF(Tableau2[[#This Row],[Durée du projet]]="","-",Tableau2[[#This Row],[Durée du projet]]+Tableau2[[#This Row],[Durée suppl'' pour pièces]])</f>
        <v>42</v>
      </c>
      <c r="Q143" s="39">
        <v>42683</v>
      </c>
      <c r="R143" s="60">
        <v>42683</v>
      </c>
      <c r="S143" s="6">
        <f>IF(Tableau2[[#This Row],[Date signature ]]="","",EOMONTH((EDATE(Tableau2[[#This Row],[Début éligibilité dépenses]],Tableau2[[#This Row],[Durée du projet]])),-1))</f>
        <v>43769</v>
      </c>
      <c r="T143" s="6">
        <f>IF(Tableau2[[#This Row],[Fin éligibilité dépenses]]="","",EDATE(Tableau2[[#This Row],[Fin éligibilité dépenses]],-6))</f>
        <v>43585</v>
      </c>
      <c r="U143" s="6">
        <f>IF(Tableau2[[#This Row],[Début éligibilité dépenses]]="","",EOMONTH(EDATE(Tableau2[[#This Row],[Début éligibilité dépenses]],Tableau2[[#This Row],[Durée du projet]]/2),0))</f>
        <v>43251</v>
      </c>
      <c r="V143" s="59">
        <f>IF(Tableau2[[#This Row],[Date signature ]]="","",EDATE(Tableau2[[#This Row],[Date signature ]],Tableau2[[#This Row],[Durée totale conv'' ]])-1)</f>
        <v>43959</v>
      </c>
      <c r="W143" s="40" t="s">
        <v>21</v>
      </c>
      <c r="X143" s="2"/>
      <c r="Y143" s="40" t="s">
        <v>145</v>
      </c>
      <c r="Z143" s="2"/>
      <c r="AA143" s="2"/>
      <c r="AB143" s="19"/>
      <c r="AC143" s="21">
        <f>IF(Tableau2[[#This Row],[PORTEUR
DE
PROJET]]="",0,IF(COUNTIF(Tableau2[[#This Row],[PORTEUR
DE
PROJET]],"CRA*")=1,Tableau2[[#This Row],[Montant participation à signature]]/2,Tableau2[[#This Row],[Montant participation à signature]]*0.3))</f>
        <v>11025</v>
      </c>
      <c r="AD143" s="6">
        <f>IF(Tableau2[[#This Row],[Date signature ]]="","",EDATE(Tableau2[[#This Row],[Date signature ]],1))</f>
        <v>42713</v>
      </c>
      <c r="AE143" s="21">
        <f>IF(Tableau2[[#This Row],[PORTEUR
DE
PROJET]]="",0,IF(COUNTIF(Tableau2[[#This Row],[PORTEUR
DE
PROJET]],"CRA*")=1,,Tableau2[[#This Row],[Montant participation à signature]]*0.4))</f>
        <v>14700</v>
      </c>
      <c r="AF143" s="6">
        <f>IF(Tableau2[[#This Row],[Date signature ]]="","",IF(Tableau2[[#This Row],[ACOMPTE PREVU]]=0,"",EOMONTH(EDATE(Tableau2[[#This Row],[Date signature ]],Tableau2[[#This Row],[Durée du projet]]/2),0)))</f>
        <v>43251</v>
      </c>
      <c r="AG143" s="21">
        <f>IF(Tableau2[[#This Row],[PORTEUR
DE
PROJET]]="",0,IF(COUNTIF(Tableau2[[#This Row],[PORTEUR
DE
PROJET]],"CRA*")=1,Tableau2[[#This Row],[Montant participation à signature]]/2,Tableau2[[#This Row],[Montant participation à signature]]*0.3))</f>
        <v>11025</v>
      </c>
      <c r="AH143" s="6">
        <f>IF(Tableau2[[#This Row],[Date signature ]]="","",EOMONTH(EDATE(Tableau2[[#This Row],[Date signature ]],Tableau2[[#This Row],[Durée du projet]]),0))</f>
        <v>43799</v>
      </c>
      <c r="AI143" s="29">
        <f>IF(COUNTBLANK(Tableau2[[#This Row],[Date du mandat Avance]])=1,,Tableau2[[#This Row],[AVANCE PREVUE]])</f>
        <v>11025</v>
      </c>
      <c r="AJ143" s="64">
        <v>42692</v>
      </c>
      <c r="AK143" s="2"/>
      <c r="AL143" s="6"/>
      <c r="AM143" s="6"/>
      <c r="AN143" s="17">
        <f>IF(COUNTBLANK(Tableau2[[#This Row],[Date envoi ASF Acompte]])=1,,Tableau2[[#This Row],[ACOMPTE PREVU]])</f>
        <v>0</v>
      </c>
      <c r="AO143" s="17"/>
      <c r="AP143" s="2"/>
      <c r="AQ143" s="6"/>
      <c r="AR143" s="6"/>
      <c r="AS143" s="17"/>
      <c r="AT143" s="17"/>
      <c r="AU143" s="20"/>
      <c r="AV143" s="17"/>
      <c r="AW143" s="17"/>
      <c r="AX143" s="17">
        <f>IF(Tableau2[[#This Row],[Montant participation voté au CA]]="",0,Tableau2[[#This Row],[Montant participation voté au CA]]-Tableau2[[#This Row],[Montant participation à signature]])</f>
        <v>0</v>
      </c>
      <c r="AY143" s="53">
        <v>36750</v>
      </c>
      <c r="AZ143" s="17">
        <f>Tableau2[[#This Row],[AVANCE VERSEE]]+Tableau2[[#This Row],[ACOMPTE VERSE]]+Tableau2[[#This Row],[SOLDE VERSE]]</f>
        <v>11025</v>
      </c>
      <c r="BA143" s="17">
        <f>IF(Tableau2[[#This Row],[STATUT]]="Soldée",0,Tableau2[[#This Row],[Montant participation à signature]]-Tableau2[[#This Row],[Total CP payés]])</f>
        <v>25725</v>
      </c>
      <c r="BB143" s="17">
        <f>IF(Tableau2[[#This Row],[SOLDE VERSE]]&lt;0,-Tableau2[[#This Row],[SOLDE VERSE]],0)</f>
        <v>0</v>
      </c>
      <c r="BC143" s="17">
        <f>IF(Tableau2[[#This Row],[STATUT]]="Soldée",Tableau2[[#This Row],[Montant participation à signature]]-Tableau2[[#This Row],[Total CP payés]],0)</f>
        <v>0</v>
      </c>
      <c r="BD143" s="17">
        <f>IF(Tableau2[[#This Row],[Montant participation voté au CA]]="",0,Tableau2[[#This Row],[Réfaction]]+Tableau2[[#This Row],[Montant des crédits non engagés]])</f>
        <v>0</v>
      </c>
      <c r="BF143"/>
      <c r="BJ143"/>
      <c r="BK143"/>
      <c r="BL143"/>
      <c r="BM143"/>
      <c r="BP143"/>
      <c r="BQ143"/>
      <c r="BR143"/>
      <c r="BS143"/>
      <c r="BT143"/>
      <c r="BU143"/>
      <c r="BV143"/>
      <c r="BW143"/>
      <c r="BX143"/>
      <c r="BY143"/>
      <c r="CA143"/>
      <c r="CB143"/>
    </row>
    <row r="144" spans="1:80" ht="15" customHeight="1" x14ac:dyDescent="0.25">
      <c r="A144" s="4">
        <v>146</v>
      </c>
      <c r="B144" s="36">
        <v>2884</v>
      </c>
      <c r="C144" s="63" t="s">
        <v>74</v>
      </c>
      <c r="D144" s="73" t="s">
        <v>154</v>
      </c>
      <c r="E144" s="38">
        <v>4</v>
      </c>
      <c r="F144" s="38" t="s">
        <v>42</v>
      </c>
      <c r="G144" s="96" t="s">
        <v>143</v>
      </c>
      <c r="H144" s="96" t="s">
        <v>144</v>
      </c>
      <c r="I144" s="40" t="s">
        <v>48</v>
      </c>
      <c r="J144" s="79"/>
      <c r="K144" s="72"/>
      <c r="L144" s="34"/>
      <c r="M144" s="35"/>
      <c r="N144" s="38">
        <v>36</v>
      </c>
      <c r="O144" s="37">
        <v>6</v>
      </c>
      <c r="P144" s="37">
        <f>IF(Tableau2[[#This Row],[Durée du projet]]="","-",Tableau2[[#This Row],[Durée du projet]]+Tableau2[[#This Row],[Durée suppl'' pour pièces]])</f>
        <v>42</v>
      </c>
      <c r="Q144" s="39">
        <v>42683</v>
      </c>
      <c r="R144" s="60">
        <v>42683</v>
      </c>
      <c r="S144" s="6">
        <f>IF(Tableau2[[#This Row],[Date signature ]]="","",EOMONTH((EDATE(Tableau2[[#This Row],[Début éligibilité dépenses]],Tableau2[[#This Row],[Durée du projet]])),-1))</f>
        <v>43769</v>
      </c>
      <c r="T144" s="6">
        <f>IF(Tableau2[[#This Row],[Fin éligibilité dépenses]]="","",EDATE(Tableau2[[#This Row],[Fin éligibilité dépenses]],-6))</f>
        <v>43585</v>
      </c>
      <c r="U144" s="6">
        <f>IF(Tableau2[[#This Row],[Début éligibilité dépenses]]="","",EOMONTH(EDATE(Tableau2[[#This Row],[Début éligibilité dépenses]],Tableau2[[#This Row],[Durée du projet]]/2),0))</f>
        <v>43251</v>
      </c>
      <c r="V144" s="59">
        <f>IF(Tableau2[[#This Row],[Date signature ]]="","",EDATE(Tableau2[[#This Row],[Date signature ]],Tableau2[[#This Row],[Durée totale conv'' ]])-1)</f>
        <v>43959</v>
      </c>
      <c r="W144" s="40" t="s">
        <v>21</v>
      </c>
      <c r="X144" s="2"/>
      <c r="Y144" s="40" t="s">
        <v>145</v>
      </c>
      <c r="Z144" s="2"/>
      <c r="AA144" s="2"/>
      <c r="AB144" s="19"/>
      <c r="AC144" s="21">
        <f>IF(Tableau2[[#This Row],[PORTEUR
DE
PROJET]]="",0,IF(COUNTIF(Tableau2[[#This Row],[PORTEUR
DE
PROJET]],"CRA*")=1,Tableau2[[#This Row],[Montant participation à signature]]/2,Tableau2[[#This Row],[Montant participation à signature]]*0.3))</f>
        <v>13275</v>
      </c>
      <c r="AD144" s="6">
        <f>IF(Tableau2[[#This Row],[Date signature ]]="","",EDATE(Tableau2[[#This Row],[Date signature ]],1))</f>
        <v>42713</v>
      </c>
      <c r="AE144" s="21">
        <f>IF(Tableau2[[#This Row],[PORTEUR
DE
PROJET]]="",0,IF(COUNTIF(Tableau2[[#This Row],[PORTEUR
DE
PROJET]],"CRA*")=1,,Tableau2[[#This Row],[Montant participation à signature]]*0.4))</f>
        <v>17700</v>
      </c>
      <c r="AF144" s="6">
        <f>IF(Tableau2[[#This Row],[Date signature ]]="","",IF(Tableau2[[#This Row],[ACOMPTE PREVU]]=0,"",EOMONTH(EDATE(Tableau2[[#This Row],[Date signature ]],Tableau2[[#This Row],[Durée du projet]]/2),0)))</f>
        <v>43251</v>
      </c>
      <c r="AG144" s="21">
        <f>IF(Tableau2[[#This Row],[PORTEUR
DE
PROJET]]="",0,IF(COUNTIF(Tableau2[[#This Row],[PORTEUR
DE
PROJET]],"CRA*")=1,Tableau2[[#This Row],[Montant participation à signature]]/2,Tableau2[[#This Row],[Montant participation à signature]]*0.3))</f>
        <v>13275</v>
      </c>
      <c r="AH144" s="6">
        <f>IF(Tableau2[[#This Row],[Date signature ]]="","",EOMONTH(EDATE(Tableau2[[#This Row],[Date signature ]],Tableau2[[#This Row],[Durée du projet]]),0))</f>
        <v>43799</v>
      </c>
      <c r="AI144" s="29">
        <f>IF(COUNTBLANK(Tableau2[[#This Row],[Date du mandat Avance]])=1,,Tableau2[[#This Row],[AVANCE PREVUE]])</f>
        <v>13275</v>
      </c>
      <c r="AJ144" s="64">
        <v>42692</v>
      </c>
      <c r="AK144" s="2"/>
      <c r="AL144" s="6"/>
      <c r="AM144" s="6"/>
      <c r="AN144" s="17">
        <f>IF(COUNTBLANK(Tableau2[[#This Row],[Date envoi ASF Acompte]])=1,,Tableau2[[#This Row],[ACOMPTE PREVU]])</f>
        <v>0</v>
      </c>
      <c r="AO144" s="17"/>
      <c r="AP144" s="2"/>
      <c r="AQ144" s="6"/>
      <c r="AR144" s="6"/>
      <c r="AS144" s="17"/>
      <c r="AT144" s="17"/>
      <c r="AU144" s="20"/>
      <c r="AV144" s="17"/>
      <c r="AW144" s="17"/>
      <c r="AX144" s="17">
        <f>IF(Tableau2[[#This Row],[Montant participation voté au CA]]="",0,Tableau2[[#This Row],[Montant participation voté au CA]]-Tableau2[[#This Row],[Montant participation à signature]])</f>
        <v>0</v>
      </c>
      <c r="AY144" s="53">
        <v>44250</v>
      </c>
      <c r="AZ144" s="17">
        <f>Tableau2[[#This Row],[AVANCE VERSEE]]+Tableau2[[#This Row],[ACOMPTE VERSE]]+Tableau2[[#This Row],[SOLDE VERSE]]</f>
        <v>13275</v>
      </c>
      <c r="BA144" s="17">
        <f>IF(Tableau2[[#This Row],[STATUT]]="Soldée",0,Tableau2[[#This Row],[Montant participation à signature]]-Tableau2[[#This Row],[Total CP payés]])</f>
        <v>30975</v>
      </c>
      <c r="BB144" s="17">
        <f>IF(Tableau2[[#This Row],[SOLDE VERSE]]&lt;0,-Tableau2[[#This Row],[SOLDE VERSE]],0)</f>
        <v>0</v>
      </c>
      <c r="BC144" s="17">
        <f>IF(Tableau2[[#This Row],[STATUT]]="Soldée",Tableau2[[#This Row],[Montant participation à signature]]-Tableau2[[#This Row],[Total CP payés]],0)</f>
        <v>0</v>
      </c>
      <c r="BD144" s="17">
        <f>IF(Tableau2[[#This Row],[Montant participation voté au CA]]="",0,Tableau2[[#This Row],[Réfaction]]+Tableau2[[#This Row],[Montant des crédits non engagés]])</f>
        <v>0</v>
      </c>
      <c r="BF144"/>
      <c r="BJ144"/>
      <c r="BK144"/>
      <c r="BL144"/>
      <c r="BM144"/>
      <c r="BP144"/>
      <c r="BQ144"/>
      <c r="BR144"/>
      <c r="BS144"/>
      <c r="BT144"/>
      <c r="BU144"/>
      <c r="BV144"/>
      <c r="BW144"/>
      <c r="BX144"/>
      <c r="BY144"/>
      <c r="CA144"/>
      <c r="CB144"/>
    </row>
    <row r="145" spans="1:80" ht="15" customHeight="1" x14ac:dyDescent="0.25">
      <c r="A145" s="4">
        <v>147</v>
      </c>
      <c r="B145" s="36">
        <v>2885</v>
      </c>
      <c r="C145" s="63" t="s">
        <v>74</v>
      </c>
      <c r="D145" s="73" t="s">
        <v>154</v>
      </c>
      <c r="E145" s="38">
        <v>1</v>
      </c>
      <c r="F145" s="38" t="s">
        <v>60</v>
      </c>
      <c r="G145" s="96" t="s">
        <v>143</v>
      </c>
      <c r="H145" s="96" t="s">
        <v>144</v>
      </c>
      <c r="I145" s="40" t="s">
        <v>48</v>
      </c>
      <c r="J145" s="79"/>
      <c r="K145" s="72"/>
      <c r="L145" s="34"/>
      <c r="M145" s="35"/>
      <c r="N145" s="38">
        <v>27</v>
      </c>
      <c r="O145" s="37">
        <v>6</v>
      </c>
      <c r="P145" s="37">
        <f>IF(Tableau2[[#This Row],[Durée du projet]]="","-",Tableau2[[#This Row],[Durée du projet]]+Tableau2[[#This Row],[Durée suppl'' pour pièces]])</f>
        <v>33</v>
      </c>
      <c r="Q145" s="39">
        <v>42683</v>
      </c>
      <c r="R145" s="60">
        <v>42683</v>
      </c>
      <c r="S145" s="6">
        <f>IF(Tableau2[[#This Row],[Date signature ]]="","",EOMONTH((EDATE(Tableau2[[#This Row],[Début éligibilité dépenses]],Tableau2[[#This Row],[Durée du projet]])),-1))</f>
        <v>43496</v>
      </c>
      <c r="T145" s="6">
        <f>IF(Tableau2[[#This Row],[Fin éligibilité dépenses]]="","",EDATE(Tableau2[[#This Row],[Fin éligibilité dépenses]],-6))</f>
        <v>43312</v>
      </c>
      <c r="U145" s="6">
        <f>IF(Tableau2[[#This Row],[Début éligibilité dépenses]]="","",EOMONTH(EDATE(Tableau2[[#This Row],[Début éligibilité dépenses]],Tableau2[[#This Row],[Durée du projet]]/2),0))</f>
        <v>43100</v>
      </c>
      <c r="V145" s="59">
        <f>IF(Tableau2[[#This Row],[Date signature ]]="","",EDATE(Tableau2[[#This Row],[Date signature ]],Tableau2[[#This Row],[Durée totale conv'' ]])-1)</f>
        <v>43685</v>
      </c>
      <c r="W145" s="40" t="s">
        <v>21</v>
      </c>
      <c r="X145" s="2"/>
      <c r="Y145" s="40" t="s">
        <v>145</v>
      </c>
      <c r="Z145" s="2"/>
      <c r="AA145" s="2"/>
      <c r="AB145" s="19"/>
      <c r="AC145" s="21">
        <f>IF(Tableau2[[#This Row],[PORTEUR
DE
PROJET]]="",0,IF(COUNTIF(Tableau2[[#This Row],[PORTEUR
DE
PROJET]],"CRA*")=1,Tableau2[[#This Row],[Montant participation à signature]]/2,Tableau2[[#This Row],[Montant participation à signature]]*0.3))</f>
        <v>11250</v>
      </c>
      <c r="AD145" s="6">
        <f>IF(Tableau2[[#This Row],[Date signature ]]="","",EDATE(Tableau2[[#This Row],[Date signature ]],1))</f>
        <v>42713</v>
      </c>
      <c r="AE145" s="21">
        <f>IF(Tableau2[[#This Row],[PORTEUR
DE
PROJET]]="",0,IF(COUNTIF(Tableau2[[#This Row],[PORTEUR
DE
PROJET]],"CRA*")=1,,Tableau2[[#This Row],[Montant participation à signature]]*0.4))</f>
        <v>15000</v>
      </c>
      <c r="AF145" s="6">
        <f>IF(Tableau2[[#This Row],[Date signature ]]="","",IF(Tableau2[[#This Row],[ACOMPTE PREVU]]=0,"",EOMONTH(EDATE(Tableau2[[#This Row],[Date signature ]],Tableau2[[#This Row],[Durée du projet]]/2),0)))</f>
        <v>43100</v>
      </c>
      <c r="AG145" s="21">
        <f>IF(Tableau2[[#This Row],[PORTEUR
DE
PROJET]]="",0,IF(COUNTIF(Tableau2[[#This Row],[PORTEUR
DE
PROJET]],"CRA*")=1,Tableau2[[#This Row],[Montant participation à signature]]/2,Tableau2[[#This Row],[Montant participation à signature]]*0.3))</f>
        <v>11250</v>
      </c>
      <c r="AH145" s="6">
        <f>IF(Tableau2[[#This Row],[Date signature ]]="","",EOMONTH(EDATE(Tableau2[[#This Row],[Date signature ]],Tableau2[[#This Row],[Durée du projet]]),0))</f>
        <v>43524</v>
      </c>
      <c r="AI145" s="29">
        <f>IF(COUNTBLANK(Tableau2[[#This Row],[Date du mandat Avance]])=1,,Tableau2[[#This Row],[AVANCE PREVUE]])</f>
        <v>11250</v>
      </c>
      <c r="AJ145" s="64">
        <v>42692</v>
      </c>
      <c r="AK145" s="2"/>
      <c r="AL145" s="6"/>
      <c r="AM145" s="6"/>
      <c r="AN145" s="17">
        <f>IF(COUNTBLANK(Tableau2[[#This Row],[Date envoi ASF Acompte]])=1,,Tableau2[[#This Row],[ACOMPTE PREVU]])</f>
        <v>0</v>
      </c>
      <c r="AO145" s="17"/>
      <c r="AP145" s="2"/>
      <c r="AQ145" s="6"/>
      <c r="AR145" s="6"/>
      <c r="AS145" s="17"/>
      <c r="AT145" s="17"/>
      <c r="AU145" s="20"/>
      <c r="AV145" s="17"/>
      <c r="AW145" s="17"/>
      <c r="AX145" s="17">
        <f>IF(Tableau2[[#This Row],[Montant participation voté au CA]]="",0,Tableau2[[#This Row],[Montant participation voté au CA]]-Tableau2[[#This Row],[Montant participation à signature]])</f>
        <v>0</v>
      </c>
      <c r="AY145" s="53">
        <v>37500</v>
      </c>
      <c r="AZ145" s="17">
        <f>Tableau2[[#This Row],[AVANCE VERSEE]]+Tableau2[[#This Row],[ACOMPTE VERSE]]+Tableau2[[#This Row],[SOLDE VERSE]]</f>
        <v>11250</v>
      </c>
      <c r="BA145" s="17">
        <f>IF(Tableau2[[#This Row],[STATUT]]="Soldée",0,Tableau2[[#This Row],[Montant participation à signature]]-Tableau2[[#This Row],[Total CP payés]])</f>
        <v>26250</v>
      </c>
      <c r="BB145" s="17">
        <f>IF(Tableau2[[#This Row],[SOLDE VERSE]]&lt;0,-Tableau2[[#This Row],[SOLDE VERSE]],0)</f>
        <v>0</v>
      </c>
      <c r="BC145" s="17">
        <f>IF(Tableau2[[#This Row],[STATUT]]="Soldée",Tableau2[[#This Row],[Montant participation à signature]]-Tableau2[[#This Row],[Total CP payés]],0)</f>
        <v>0</v>
      </c>
      <c r="BD145" s="17">
        <f>IF(Tableau2[[#This Row],[Montant participation voté au CA]]="",0,Tableau2[[#This Row],[Réfaction]]+Tableau2[[#This Row],[Montant des crédits non engagés]])</f>
        <v>0</v>
      </c>
      <c r="BF145"/>
      <c r="BJ145"/>
      <c r="BK145"/>
      <c r="BL145"/>
      <c r="BM145"/>
      <c r="BP145"/>
      <c r="BQ145"/>
      <c r="BR145"/>
      <c r="BS145"/>
      <c r="BT145"/>
      <c r="BU145"/>
      <c r="BV145"/>
      <c r="BW145"/>
      <c r="BX145"/>
      <c r="BY145"/>
      <c r="CA145"/>
      <c r="CB145"/>
    </row>
    <row r="146" spans="1:80" ht="15" customHeight="1" x14ac:dyDescent="0.25">
      <c r="A146" s="4">
        <v>148</v>
      </c>
      <c r="B146" s="36">
        <v>2891</v>
      </c>
      <c r="C146" s="63" t="s">
        <v>74</v>
      </c>
      <c r="D146" s="73" t="s">
        <v>154</v>
      </c>
      <c r="E146" s="38">
        <v>4</v>
      </c>
      <c r="F146" s="38" t="s">
        <v>42</v>
      </c>
      <c r="G146" s="96" t="s">
        <v>143</v>
      </c>
      <c r="H146" s="96" t="s">
        <v>144</v>
      </c>
      <c r="I146" s="40" t="s">
        <v>48</v>
      </c>
      <c r="J146" s="79"/>
      <c r="K146" s="72"/>
      <c r="L146" s="34"/>
      <c r="M146" s="35"/>
      <c r="N146" s="38">
        <v>36</v>
      </c>
      <c r="O146" s="37">
        <v>6</v>
      </c>
      <c r="P146" s="37">
        <f>IF(Tableau2[[#This Row],[Durée du projet]]="","-",Tableau2[[#This Row],[Durée du projet]]+Tableau2[[#This Row],[Durée suppl'' pour pièces]])</f>
        <v>42</v>
      </c>
      <c r="Q146" s="39">
        <v>42683</v>
      </c>
      <c r="R146" s="39">
        <v>42683</v>
      </c>
      <c r="S146" s="6">
        <f>IF(Tableau2[[#This Row],[Date signature ]]="","",EOMONTH((EDATE(Tableau2[[#This Row],[Début éligibilité dépenses]],Tableau2[[#This Row],[Durée du projet]])),-1))</f>
        <v>43769</v>
      </c>
      <c r="T146" s="6">
        <f>IF(Tableau2[[#This Row],[Fin éligibilité dépenses]]="","",EDATE(Tableau2[[#This Row],[Fin éligibilité dépenses]],-6))</f>
        <v>43585</v>
      </c>
      <c r="U146" s="6">
        <f>IF(Tableau2[[#This Row],[Début éligibilité dépenses]]="","",EOMONTH(EDATE(Tableau2[[#This Row],[Début éligibilité dépenses]],Tableau2[[#This Row],[Durée du projet]]/2),0))</f>
        <v>43251</v>
      </c>
      <c r="V146" s="59">
        <f>IF(Tableau2[[#This Row],[Date signature ]]="","",EDATE(Tableau2[[#This Row],[Date signature ]],Tableau2[[#This Row],[Durée totale conv'' ]])-1)</f>
        <v>43959</v>
      </c>
      <c r="W146" s="40" t="s">
        <v>21</v>
      </c>
      <c r="X146" s="2"/>
      <c r="Y146" s="40" t="s">
        <v>145</v>
      </c>
      <c r="Z146" s="2"/>
      <c r="AA146" s="2"/>
      <c r="AB146" s="19"/>
      <c r="AC146" s="21">
        <f>IF(Tableau2[[#This Row],[PORTEUR
DE
PROJET]]="",0,IF(COUNTIF(Tableau2[[#This Row],[PORTEUR
DE
PROJET]],"CRA*")=1,Tableau2[[#This Row],[Montant participation à signature]]/2,Tableau2[[#This Row],[Montant participation à signature]]*0.3))</f>
        <v>15254.699999999999</v>
      </c>
      <c r="AD146" s="6">
        <f>IF(Tableau2[[#This Row],[Date signature ]]="","",EDATE(Tableau2[[#This Row],[Date signature ]],1))</f>
        <v>42713</v>
      </c>
      <c r="AE146" s="21">
        <f>IF(Tableau2[[#This Row],[PORTEUR
DE
PROJET]]="",0,IF(COUNTIF(Tableau2[[#This Row],[PORTEUR
DE
PROJET]],"CRA*")=1,,Tableau2[[#This Row],[Montant participation à signature]]*0.4))</f>
        <v>20339.600000000002</v>
      </c>
      <c r="AF146" s="6">
        <f>IF(Tableau2[[#This Row],[Date signature ]]="","",IF(Tableau2[[#This Row],[ACOMPTE PREVU]]=0,"",EOMONTH(EDATE(Tableau2[[#This Row],[Date signature ]],Tableau2[[#This Row],[Durée du projet]]/2),0)))</f>
        <v>43251</v>
      </c>
      <c r="AG146" s="21">
        <f>IF(Tableau2[[#This Row],[PORTEUR
DE
PROJET]]="",0,IF(COUNTIF(Tableau2[[#This Row],[PORTEUR
DE
PROJET]],"CRA*")=1,Tableau2[[#This Row],[Montant participation à signature]]/2,Tableau2[[#This Row],[Montant participation à signature]]*0.3))</f>
        <v>15254.699999999999</v>
      </c>
      <c r="AH146" s="6">
        <f>IF(Tableau2[[#This Row],[Date signature ]]="","",EOMONTH(EDATE(Tableau2[[#This Row],[Date signature ]],Tableau2[[#This Row],[Durée du projet]]),0))</f>
        <v>43799</v>
      </c>
      <c r="AI146" s="29">
        <f>IF(COUNTBLANK(Tableau2[[#This Row],[Date du mandat Avance]])=1,,Tableau2[[#This Row],[AVANCE PREVUE]])</f>
        <v>15254.699999999999</v>
      </c>
      <c r="AJ146" s="64">
        <v>42690</v>
      </c>
      <c r="AK146" s="2"/>
      <c r="AL146" s="6"/>
      <c r="AM146" s="6"/>
      <c r="AN146" s="17">
        <f>IF(COUNTBLANK(Tableau2[[#This Row],[Date envoi ASF Acompte]])=1,,Tableau2[[#This Row],[ACOMPTE PREVU]])</f>
        <v>0</v>
      </c>
      <c r="AO146" s="17"/>
      <c r="AP146" s="2"/>
      <c r="AQ146" s="6"/>
      <c r="AR146" s="6"/>
      <c r="AS146" s="17"/>
      <c r="AT146" s="17"/>
      <c r="AU146" s="20"/>
      <c r="AV146" s="17"/>
      <c r="AW146" s="17"/>
      <c r="AX146" s="17">
        <f>IF(Tableau2[[#This Row],[Montant participation voté au CA]]="",0,Tableau2[[#This Row],[Montant participation voté au CA]]-Tableau2[[#This Row],[Montant participation à signature]])</f>
        <v>0</v>
      </c>
      <c r="AY146" s="53">
        <v>50849</v>
      </c>
      <c r="AZ146" s="17">
        <f>Tableau2[[#This Row],[AVANCE VERSEE]]+Tableau2[[#This Row],[ACOMPTE VERSE]]+Tableau2[[#This Row],[SOLDE VERSE]]</f>
        <v>15254.699999999999</v>
      </c>
      <c r="BA146" s="17">
        <f>IF(Tableau2[[#This Row],[STATUT]]="Soldée",0,Tableau2[[#This Row],[Montant participation à signature]]-Tableau2[[#This Row],[Total CP payés]])</f>
        <v>35594.300000000003</v>
      </c>
      <c r="BB146" s="17">
        <f>IF(Tableau2[[#This Row],[SOLDE VERSE]]&lt;0,-Tableau2[[#This Row],[SOLDE VERSE]],0)</f>
        <v>0</v>
      </c>
      <c r="BC146" s="17">
        <f>IF(Tableau2[[#This Row],[STATUT]]="Soldée",Tableau2[[#This Row],[Montant participation à signature]]-Tableau2[[#This Row],[Total CP payés]],0)</f>
        <v>0</v>
      </c>
      <c r="BD146" s="17">
        <f>IF(Tableau2[[#This Row],[Montant participation voté au CA]]="",0,Tableau2[[#This Row],[Réfaction]]+Tableau2[[#This Row],[Montant des crédits non engagés]])</f>
        <v>0</v>
      </c>
      <c r="BF146"/>
      <c r="BJ146"/>
      <c r="BK146"/>
      <c r="BL146"/>
      <c r="BM146"/>
      <c r="BP146"/>
      <c r="BQ146"/>
      <c r="BR146"/>
      <c r="BS146"/>
      <c r="BT146"/>
      <c r="BU146"/>
      <c r="BV146"/>
      <c r="BW146"/>
      <c r="BX146"/>
      <c r="BY146"/>
      <c r="CA146"/>
      <c r="CB146"/>
    </row>
    <row r="147" spans="1:80" ht="15" customHeight="1" x14ac:dyDescent="0.25">
      <c r="A147" s="4">
        <v>149</v>
      </c>
      <c r="B147" s="36">
        <v>2892</v>
      </c>
      <c r="C147" s="63" t="s">
        <v>74</v>
      </c>
      <c r="D147" s="73" t="s">
        <v>154</v>
      </c>
      <c r="E147" s="38">
        <v>5</v>
      </c>
      <c r="F147" s="38">
        <v>20</v>
      </c>
      <c r="G147" s="96" t="s">
        <v>143</v>
      </c>
      <c r="H147" s="96" t="s">
        <v>144</v>
      </c>
      <c r="I147" s="40" t="s">
        <v>48</v>
      </c>
      <c r="J147" s="79"/>
      <c r="K147" s="72"/>
      <c r="L147" s="34"/>
      <c r="M147" s="35"/>
      <c r="N147" s="38">
        <v>36</v>
      </c>
      <c r="O147" s="37">
        <v>6</v>
      </c>
      <c r="P147" s="37">
        <f>IF(Tableau2[[#This Row],[Durée du projet]]="","-",Tableau2[[#This Row],[Durée du projet]]+Tableau2[[#This Row],[Durée suppl'' pour pièces]])</f>
        <v>42</v>
      </c>
      <c r="Q147" s="39">
        <v>42683</v>
      </c>
      <c r="R147" s="60">
        <v>42683</v>
      </c>
      <c r="S147" s="6">
        <f>IF(Tableau2[[#This Row],[Date signature ]]="","",EOMONTH((EDATE(Tableau2[[#This Row],[Début éligibilité dépenses]],Tableau2[[#This Row],[Durée du projet]])),-1))</f>
        <v>43769</v>
      </c>
      <c r="T147" s="6">
        <f>IF(Tableau2[[#This Row],[Fin éligibilité dépenses]]="","",EDATE(Tableau2[[#This Row],[Fin éligibilité dépenses]],-6))</f>
        <v>43585</v>
      </c>
      <c r="U147" s="6">
        <f>IF(Tableau2[[#This Row],[Début éligibilité dépenses]]="","",EOMONTH(EDATE(Tableau2[[#This Row],[Début éligibilité dépenses]],Tableau2[[#This Row],[Durée du projet]]/2),0))</f>
        <v>43251</v>
      </c>
      <c r="V147" s="59">
        <f>IF(Tableau2[[#This Row],[Date signature ]]="","",EDATE(Tableau2[[#This Row],[Date signature ]],Tableau2[[#This Row],[Durée totale conv'' ]])-1)</f>
        <v>43959</v>
      </c>
      <c r="W147" s="40" t="s">
        <v>21</v>
      </c>
      <c r="X147" s="2"/>
      <c r="Y147" s="40" t="s">
        <v>145</v>
      </c>
      <c r="Z147" s="2"/>
      <c r="AA147" s="2"/>
      <c r="AB147" s="19"/>
      <c r="AC147" s="21">
        <f>IF(Tableau2[[#This Row],[PORTEUR
DE
PROJET]]="",0,IF(COUNTIF(Tableau2[[#This Row],[PORTEUR
DE
PROJET]],"CRA*")=1,Tableau2[[#This Row],[Montant participation à signature]]/2,Tableau2[[#This Row],[Montant participation à signature]]*0.3))</f>
        <v>22464.674999999999</v>
      </c>
      <c r="AD147" s="6">
        <f>IF(Tableau2[[#This Row],[Date signature ]]="","",EDATE(Tableau2[[#This Row],[Date signature ]],1))</f>
        <v>42713</v>
      </c>
      <c r="AE147" s="21">
        <f>IF(Tableau2[[#This Row],[PORTEUR
DE
PROJET]]="",0,IF(COUNTIF(Tableau2[[#This Row],[PORTEUR
DE
PROJET]],"CRA*")=1,,Tableau2[[#This Row],[Montant participation à signature]]*0.4))</f>
        <v>29952.9</v>
      </c>
      <c r="AF147" s="6">
        <f>IF(Tableau2[[#This Row],[Date signature ]]="","",IF(Tableau2[[#This Row],[ACOMPTE PREVU]]=0,"",EOMONTH(EDATE(Tableau2[[#This Row],[Date signature ]],Tableau2[[#This Row],[Durée du projet]]/2),0)))</f>
        <v>43251</v>
      </c>
      <c r="AG147" s="21">
        <f>IF(Tableau2[[#This Row],[PORTEUR
DE
PROJET]]="",0,IF(COUNTIF(Tableau2[[#This Row],[PORTEUR
DE
PROJET]],"CRA*")=1,Tableau2[[#This Row],[Montant participation à signature]]/2,Tableau2[[#This Row],[Montant participation à signature]]*0.3))</f>
        <v>22464.674999999999</v>
      </c>
      <c r="AH147" s="6">
        <f>IF(Tableau2[[#This Row],[Date signature ]]="","",EOMONTH(EDATE(Tableau2[[#This Row],[Date signature ]],Tableau2[[#This Row],[Durée du projet]]),0))</f>
        <v>43799</v>
      </c>
      <c r="AI147" s="29">
        <f>IF(COUNTBLANK(Tableau2[[#This Row],[Date du mandat Avance]])=1,,Tableau2[[#This Row],[AVANCE PREVUE]])</f>
        <v>22464.674999999999</v>
      </c>
      <c r="AJ147" s="64">
        <v>42690</v>
      </c>
      <c r="AK147" s="2"/>
      <c r="AL147" s="6"/>
      <c r="AM147" s="6"/>
      <c r="AN147" s="17">
        <f>IF(COUNTBLANK(Tableau2[[#This Row],[Date envoi ASF Acompte]])=1,,Tableau2[[#This Row],[ACOMPTE PREVU]])</f>
        <v>0</v>
      </c>
      <c r="AO147" s="17"/>
      <c r="AP147" s="2"/>
      <c r="AQ147" s="6"/>
      <c r="AR147" s="6"/>
      <c r="AS147" s="17"/>
      <c r="AT147" s="17"/>
      <c r="AU147" s="20"/>
      <c r="AV147" s="17"/>
      <c r="AW147" s="17"/>
      <c r="AX147" s="17">
        <f>IF(Tableau2[[#This Row],[Montant participation voté au CA]]="",0,Tableau2[[#This Row],[Montant participation voté au CA]]-Tableau2[[#This Row],[Montant participation à signature]])</f>
        <v>0</v>
      </c>
      <c r="AY147" s="53">
        <v>74882.25</v>
      </c>
      <c r="AZ147" s="17">
        <f>Tableau2[[#This Row],[AVANCE VERSEE]]+Tableau2[[#This Row],[ACOMPTE VERSE]]+Tableau2[[#This Row],[SOLDE VERSE]]</f>
        <v>22464.674999999999</v>
      </c>
      <c r="BA147" s="17">
        <f>IF(Tableau2[[#This Row],[STATUT]]="Soldée",0,Tableau2[[#This Row],[Montant participation à signature]]-Tableau2[[#This Row],[Total CP payés]])</f>
        <v>52417.574999999997</v>
      </c>
      <c r="BB147" s="17">
        <f>IF(Tableau2[[#This Row],[SOLDE VERSE]]&lt;0,-Tableau2[[#This Row],[SOLDE VERSE]],0)</f>
        <v>0</v>
      </c>
      <c r="BC147" s="17">
        <f>IF(Tableau2[[#This Row],[STATUT]]="Soldée",Tableau2[[#This Row],[Montant participation à signature]]-Tableau2[[#This Row],[Total CP payés]],0)</f>
        <v>0</v>
      </c>
      <c r="BD147" s="17">
        <f>IF(Tableau2[[#This Row],[Montant participation voté au CA]]="",0,Tableau2[[#This Row],[Réfaction]]+Tableau2[[#This Row],[Montant des crédits non engagés]])</f>
        <v>0</v>
      </c>
      <c r="BF147"/>
      <c r="BJ147"/>
      <c r="BK147"/>
      <c r="BL147"/>
      <c r="BM147"/>
      <c r="BP147"/>
      <c r="BQ147"/>
      <c r="BR147"/>
      <c r="BS147"/>
      <c r="BT147"/>
      <c r="BU147"/>
      <c r="BV147"/>
      <c r="BW147"/>
      <c r="BX147"/>
      <c r="BY147"/>
      <c r="CA147"/>
      <c r="CB147"/>
    </row>
    <row r="148" spans="1:80" ht="15" customHeight="1" x14ac:dyDescent="0.25">
      <c r="A148" s="4">
        <v>150</v>
      </c>
      <c r="B148" s="36">
        <v>2897</v>
      </c>
      <c r="C148" s="63" t="s">
        <v>74</v>
      </c>
      <c r="D148" s="73" t="s">
        <v>154</v>
      </c>
      <c r="E148" s="38">
        <v>1</v>
      </c>
      <c r="F148" s="38">
        <v>4</v>
      </c>
      <c r="G148" s="96" t="s">
        <v>143</v>
      </c>
      <c r="H148" s="96" t="s">
        <v>144</v>
      </c>
      <c r="I148" s="40" t="s">
        <v>48</v>
      </c>
      <c r="J148" s="79"/>
      <c r="K148" s="72"/>
      <c r="L148" s="34"/>
      <c r="M148" s="35"/>
      <c r="N148" s="3">
        <v>23</v>
      </c>
      <c r="O148" s="37">
        <v>6</v>
      </c>
      <c r="P148" s="37">
        <f>IF(Tableau2[[#This Row],[Durée du projet]]="","-",Tableau2[[#This Row],[Durée du projet]]+Tableau2[[#This Row],[Durée suppl'' pour pièces]])</f>
        <v>29</v>
      </c>
      <c r="Q148" s="39">
        <v>42689</v>
      </c>
      <c r="R148" s="60">
        <v>42689</v>
      </c>
      <c r="S148" s="6">
        <f>IF(Tableau2[[#This Row],[Date signature ]]="","",EOMONTH((EDATE(Tableau2[[#This Row],[Début éligibilité dépenses]],Tableau2[[#This Row],[Durée du projet]])),-1))</f>
        <v>43373</v>
      </c>
      <c r="T148" s="6">
        <f>IF(Tableau2[[#This Row],[Fin éligibilité dépenses]]="","",EDATE(Tableau2[[#This Row],[Fin éligibilité dépenses]],-6))</f>
        <v>43189</v>
      </c>
      <c r="U148" s="6">
        <f>IF(Tableau2[[#This Row],[Début éligibilité dépenses]]="","",EOMONTH(EDATE(Tableau2[[#This Row],[Début éligibilité dépenses]],Tableau2[[#This Row],[Durée du projet]]/2),0))</f>
        <v>43039</v>
      </c>
      <c r="V148" s="59">
        <f>IF(Tableau2[[#This Row],[Date signature ]]="","",EDATE(Tableau2[[#This Row],[Date signature ]],Tableau2[[#This Row],[Durée totale conv'' ]])-1)</f>
        <v>43569</v>
      </c>
      <c r="W148" s="40" t="s">
        <v>21</v>
      </c>
      <c r="X148" s="2"/>
      <c r="Y148" s="40" t="s">
        <v>145</v>
      </c>
      <c r="Z148" s="2"/>
      <c r="AA148" s="2"/>
      <c r="AB148" s="19"/>
      <c r="AC148" s="21">
        <f>IF(Tableau2[[#This Row],[PORTEUR
DE
PROJET]]="",0,IF(COUNTIF(Tableau2[[#This Row],[PORTEUR
DE
PROJET]],"CRA*")=1,Tableau2[[#This Row],[Montant participation à signature]]/2,Tableau2[[#This Row],[Montant participation à signature]]*0.3))</f>
        <v>6865.5</v>
      </c>
      <c r="AD148" s="6">
        <f>IF(Tableau2[[#This Row],[Date signature ]]="","",EDATE(Tableau2[[#This Row],[Date signature ]],1))</f>
        <v>42719</v>
      </c>
      <c r="AE148" s="21">
        <f>IF(Tableau2[[#This Row],[PORTEUR
DE
PROJET]]="",0,IF(COUNTIF(Tableau2[[#This Row],[PORTEUR
DE
PROJET]],"CRA*")=1,,Tableau2[[#This Row],[Montant participation à signature]]*0.4))</f>
        <v>9154</v>
      </c>
      <c r="AF148" s="6">
        <f>IF(Tableau2[[#This Row],[Date signature ]]="","",IF(Tableau2[[#This Row],[ACOMPTE PREVU]]=0,"",EOMONTH(EDATE(Tableau2[[#This Row],[Date signature ]],Tableau2[[#This Row],[Durée du projet]]/2),0)))</f>
        <v>43039</v>
      </c>
      <c r="AG148" s="21">
        <f>IF(Tableau2[[#This Row],[PORTEUR
DE
PROJET]]="",0,IF(COUNTIF(Tableau2[[#This Row],[PORTEUR
DE
PROJET]],"CRA*")=1,Tableau2[[#This Row],[Montant participation à signature]]/2,Tableau2[[#This Row],[Montant participation à signature]]*0.3))</f>
        <v>6865.5</v>
      </c>
      <c r="AH148" s="6">
        <f>IF(Tableau2[[#This Row],[Date signature ]]="","",EOMONTH(EDATE(Tableau2[[#This Row],[Date signature ]],Tableau2[[#This Row],[Durée du projet]]),0))</f>
        <v>43404</v>
      </c>
      <c r="AI148" s="29">
        <f>IF(COUNTBLANK(Tableau2[[#This Row],[Date du mandat Avance]])=1,,Tableau2[[#This Row],[AVANCE PREVUE]])</f>
        <v>6865.5</v>
      </c>
      <c r="AJ148" s="64">
        <v>42692</v>
      </c>
      <c r="AK148" s="2"/>
      <c r="AL148" s="6"/>
      <c r="AM148" s="6"/>
      <c r="AN148" s="17">
        <f>IF(COUNTBLANK(Tableau2[[#This Row],[Date envoi ASF Acompte]])=1,,Tableau2[[#This Row],[ACOMPTE PREVU]])</f>
        <v>0</v>
      </c>
      <c r="AO148" s="17"/>
      <c r="AP148" s="2"/>
      <c r="AQ148" s="6"/>
      <c r="AR148" s="6"/>
      <c r="AS148" s="17"/>
      <c r="AT148" s="17"/>
      <c r="AU148" s="20"/>
      <c r="AV148" s="17"/>
      <c r="AW148" s="17"/>
      <c r="AX148" s="17">
        <f>IF(Tableau2[[#This Row],[Montant participation voté au CA]]="",0,Tableau2[[#This Row],[Montant participation voté au CA]]-Tableau2[[#This Row],[Montant participation à signature]])</f>
        <v>0</v>
      </c>
      <c r="AY148" s="54">
        <v>22885</v>
      </c>
      <c r="AZ148" s="17">
        <f>Tableau2[[#This Row],[AVANCE VERSEE]]+Tableau2[[#This Row],[ACOMPTE VERSE]]+Tableau2[[#This Row],[SOLDE VERSE]]</f>
        <v>6865.5</v>
      </c>
      <c r="BA148" s="17">
        <f>IF(Tableau2[[#This Row],[STATUT]]="Soldée",0,Tableau2[[#This Row],[Montant participation à signature]]-Tableau2[[#This Row],[Total CP payés]])</f>
        <v>16019.5</v>
      </c>
      <c r="BB148" s="17">
        <f>IF(Tableau2[[#This Row],[SOLDE VERSE]]&lt;0,-Tableau2[[#This Row],[SOLDE VERSE]],0)</f>
        <v>0</v>
      </c>
      <c r="BC148" s="17">
        <f>IF(Tableau2[[#This Row],[STATUT]]="Soldée",Tableau2[[#This Row],[Montant participation à signature]]-Tableau2[[#This Row],[Total CP payés]],0)</f>
        <v>0</v>
      </c>
      <c r="BD148" s="17">
        <f>IF(Tableau2[[#This Row],[Montant participation voté au CA]]="",0,Tableau2[[#This Row],[Réfaction]]+Tableau2[[#This Row],[Montant des crédits non engagés]])</f>
        <v>0</v>
      </c>
      <c r="BF148"/>
      <c r="BJ148"/>
      <c r="BK148"/>
      <c r="BL148"/>
      <c r="BM148"/>
      <c r="BP148"/>
      <c r="BQ148"/>
      <c r="BR148"/>
      <c r="BS148"/>
      <c r="BT148"/>
      <c r="BU148"/>
      <c r="BV148"/>
      <c r="BW148"/>
      <c r="BX148"/>
      <c r="BY148"/>
      <c r="CA148"/>
      <c r="CB148"/>
    </row>
    <row r="149" spans="1:80" ht="15" customHeight="1" x14ac:dyDescent="0.25">
      <c r="A149" s="4">
        <v>151</v>
      </c>
      <c r="B149" s="36">
        <v>2898</v>
      </c>
      <c r="C149" s="63" t="s">
        <v>74</v>
      </c>
      <c r="D149" s="73" t="s">
        <v>154</v>
      </c>
      <c r="E149" s="38">
        <v>3</v>
      </c>
      <c r="F149" s="38">
        <v>13</v>
      </c>
      <c r="G149" s="96" t="s">
        <v>143</v>
      </c>
      <c r="H149" s="96" t="s">
        <v>144</v>
      </c>
      <c r="I149" s="40" t="s">
        <v>48</v>
      </c>
      <c r="J149" s="79"/>
      <c r="K149" s="72"/>
      <c r="L149" s="34"/>
      <c r="M149" s="35"/>
      <c r="N149" s="3">
        <v>12</v>
      </c>
      <c r="O149" s="37">
        <v>6</v>
      </c>
      <c r="P149" s="37">
        <f>IF(Tableau2[[#This Row],[Durée du projet]]="","-",Tableau2[[#This Row],[Durée du projet]]+Tableau2[[#This Row],[Durée suppl'' pour pièces]])</f>
        <v>18</v>
      </c>
      <c r="Q149" s="39">
        <v>42689</v>
      </c>
      <c r="R149" s="60">
        <v>42689</v>
      </c>
      <c r="S149" s="6">
        <f>IF(Tableau2[[#This Row],[Date signature ]]="","",EOMONTH((EDATE(Tableau2[[#This Row],[Début éligibilité dépenses]],Tableau2[[#This Row],[Durée du projet]])),-1))</f>
        <v>43039</v>
      </c>
      <c r="T149" s="6">
        <f>IF(Tableau2[[#This Row],[Fin éligibilité dépenses]]="","",EDATE(Tableau2[[#This Row],[Fin éligibilité dépenses]],-6))</f>
        <v>42855</v>
      </c>
      <c r="U149" s="6">
        <f>IF(Tableau2[[#This Row],[Début éligibilité dépenses]]="","",EOMONTH(EDATE(Tableau2[[#This Row],[Début éligibilité dépenses]],Tableau2[[#This Row],[Durée du projet]]/2),0))</f>
        <v>42886</v>
      </c>
      <c r="V149" s="59">
        <f>IF(Tableau2[[#This Row],[Date signature ]]="","",EDATE(Tableau2[[#This Row],[Date signature ]],Tableau2[[#This Row],[Durée totale conv'' ]])-1)</f>
        <v>43234</v>
      </c>
      <c r="W149" s="40" t="s">
        <v>21</v>
      </c>
      <c r="X149" s="2"/>
      <c r="Y149" s="40" t="s">
        <v>145</v>
      </c>
      <c r="Z149" s="2"/>
      <c r="AA149" s="2"/>
      <c r="AB149" s="19"/>
      <c r="AC149" s="21">
        <f>IF(Tableau2[[#This Row],[PORTEUR
DE
PROJET]]="",0,IF(COUNTIF(Tableau2[[#This Row],[PORTEUR
DE
PROJET]],"CRA*")=1,Tableau2[[#This Row],[Montant participation à signature]]/2,Tableau2[[#This Row],[Montant participation à signature]]*0.3))</f>
        <v>8520</v>
      </c>
      <c r="AD149" s="6">
        <f>IF(Tableau2[[#This Row],[Date signature ]]="","",EDATE(Tableau2[[#This Row],[Date signature ]],1))</f>
        <v>42719</v>
      </c>
      <c r="AE149" s="21">
        <f>IF(Tableau2[[#This Row],[PORTEUR
DE
PROJET]]="",0,IF(COUNTIF(Tableau2[[#This Row],[PORTEUR
DE
PROJET]],"CRA*")=1,,Tableau2[[#This Row],[Montant participation à signature]]*0.4))</f>
        <v>11360</v>
      </c>
      <c r="AF149" s="6">
        <f>IF(Tableau2[[#This Row],[Date signature ]]="","",IF(Tableau2[[#This Row],[ACOMPTE PREVU]]=0,"",EOMONTH(EDATE(Tableau2[[#This Row],[Date signature ]],Tableau2[[#This Row],[Durée du projet]]/2),0)))</f>
        <v>42886</v>
      </c>
      <c r="AG149" s="21">
        <f>IF(Tableau2[[#This Row],[PORTEUR
DE
PROJET]]="",0,IF(COUNTIF(Tableau2[[#This Row],[PORTEUR
DE
PROJET]],"CRA*")=1,Tableau2[[#This Row],[Montant participation à signature]]/2,Tableau2[[#This Row],[Montant participation à signature]]*0.3))</f>
        <v>8520</v>
      </c>
      <c r="AH149" s="6">
        <f>IF(Tableau2[[#This Row],[Date signature ]]="","",EOMONTH(EDATE(Tableau2[[#This Row],[Date signature ]],Tableau2[[#This Row],[Durée du projet]]),0))</f>
        <v>43069</v>
      </c>
      <c r="AI149" s="29">
        <f>IF(COUNTBLANK(Tableau2[[#This Row],[Date du mandat Avance]])=1,,Tableau2[[#This Row],[AVANCE PREVUE]])</f>
        <v>8520</v>
      </c>
      <c r="AJ149" s="64">
        <v>42692</v>
      </c>
      <c r="AK149" s="2"/>
      <c r="AL149" s="6"/>
      <c r="AM149" s="6"/>
      <c r="AN149" s="17">
        <f>IF(COUNTBLANK(Tableau2[[#This Row],[Date envoi ASF Acompte]])=1,,Tableau2[[#This Row],[ACOMPTE PREVU]])</f>
        <v>0</v>
      </c>
      <c r="AO149" s="17"/>
      <c r="AP149" s="2"/>
      <c r="AQ149" s="6"/>
      <c r="AR149" s="6"/>
      <c r="AS149" s="17"/>
      <c r="AT149" s="17"/>
      <c r="AU149" s="20"/>
      <c r="AV149" s="17"/>
      <c r="AW149" s="17"/>
      <c r="AX149" s="17">
        <f>IF(Tableau2[[#This Row],[Montant participation voté au CA]]="",0,Tableau2[[#This Row],[Montant participation voté au CA]]-Tableau2[[#This Row],[Montant participation à signature]])</f>
        <v>0</v>
      </c>
      <c r="AY149" s="54">
        <v>28400</v>
      </c>
      <c r="AZ149" s="17">
        <f>Tableau2[[#This Row],[AVANCE VERSEE]]+Tableau2[[#This Row],[ACOMPTE VERSE]]+Tableau2[[#This Row],[SOLDE VERSE]]</f>
        <v>8520</v>
      </c>
      <c r="BA149" s="17">
        <f>IF(Tableau2[[#This Row],[STATUT]]="Soldée",0,Tableau2[[#This Row],[Montant participation à signature]]-Tableau2[[#This Row],[Total CP payés]])</f>
        <v>19880</v>
      </c>
      <c r="BB149" s="17">
        <f>IF(Tableau2[[#This Row],[SOLDE VERSE]]&lt;0,-Tableau2[[#This Row],[SOLDE VERSE]],0)</f>
        <v>0</v>
      </c>
      <c r="BC149" s="17">
        <f>IF(Tableau2[[#This Row],[STATUT]]="Soldée",Tableau2[[#This Row],[Montant participation à signature]]-Tableau2[[#This Row],[Total CP payés]],0)</f>
        <v>0</v>
      </c>
      <c r="BD149" s="17">
        <f>IF(Tableau2[[#This Row],[Montant participation voté au CA]]="",0,Tableau2[[#This Row],[Réfaction]]+Tableau2[[#This Row],[Montant des crédits non engagés]])</f>
        <v>0</v>
      </c>
      <c r="BF149"/>
      <c r="BJ149"/>
      <c r="BK149"/>
      <c r="BL149"/>
      <c r="BM149"/>
      <c r="BP149"/>
      <c r="BQ149"/>
      <c r="BR149"/>
      <c r="BS149"/>
      <c r="BT149"/>
      <c r="BU149"/>
      <c r="BV149"/>
      <c r="BW149"/>
      <c r="BX149"/>
      <c r="BY149"/>
      <c r="CA149"/>
      <c r="CB149"/>
    </row>
    <row r="150" spans="1:80" ht="15" customHeight="1" x14ac:dyDescent="0.25">
      <c r="A150" s="4">
        <v>152</v>
      </c>
      <c r="B150" s="36">
        <v>2902</v>
      </c>
      <c r="C150" s="63" t="s">
        <v>74</v>
      </c>
      <c r="D150" s="73" t="s">
        <v>154</v>
      </c>
      <c r="E150" s="38">
        <v>1</v>
      </c>
      <c r="F150" s="38" t="s">
        <v>60</v>
      </c>
      <c r="G150" s="96" t="s">
        <v>143</v>
      </c>
      <c r="H150" s="96" t="s">
        <v>144</v>
      </c>
      <c r="I150" s="40" t="s">
        <v>48</v>
      </c>
      <c r="J150" s="79"/>
      <c r="K150" s="72"/>
      <c r="L150" s="34"/>
      <c r="M150" s="35"/>
      <c r="N150" s="38">
        <v>16</v>
      </c>
      <c r="O150" s="37">
        <v>6</v>
      </c>
      <c r="P150" s="37">
        <f>IF(Tableau2[[#This Row],[Durée du projet]]="","-",Tableau2[[#This Row],[Durée du projet]]+Tableau2[[#This Row],[Durée suppl'' pour pièces]])</f>
        <v>22</v>
      </c>
      <c r="Q150" s="39">
        <v>42689</v>
      </c>
      <c r="R150" s="60">
        <v>42689</v>
      </c>
      <c r="S150" s="6">
        <f>IF(Tableau2[[#This Row],[Date signature ]]="","",EOMONTH((EDATE(Tableau2[[#This Row],[Début éligibilité dépenses]],Tableau2[[#This Row],[Durée du projet]])),-1))</f>
        <v>43159</v>
      </c>
      <c r="T150" s="6">
        <f>IF(Tableau2[[#This Row],[Fin éligibilité dépenses]]="","",EDATE(Tableau2[[#This Row],[Fin éligibilité dépenses]],-6))</f>
        <v>42975</v>
      </c>
      <c r="U150" s="6">
        <f>IF(Tableau2[[#This Row],[Début éligibilité dépenses]]="","",EOMONTH(EDATE(Tableau2[[#This Row],[Début éligibilité dépenses]],Tableau2[[#This Row],[Durée du projet]]/2),0))</f>
        <v>42947</v>
      </c>
      <c r="V150" s="59">
        <f>IF(Tableau2[[#This Row],[Date signature ]]="","",EDATE(Tableau2[[#This Row],[Date signature ]],Tableau2[[#This Row],[Durée totale conv'' ]])-1)</f>
        <v>43357</v>
      </c>
      <c r="W150" s="40" t="s">
        <v>21</v>
      </c>
      <c r="X150" s="2"/>
      <c r="Y150" s="40" t="s">
        <v>145</v>
      </c>
      <c r="Z150" s="2"/>
      <c r="AA150" s="2"/>
      <c r="AB150" s="19"/>
      <c r="AC150" s="21">
        <f>IF(Tableau2[[#This Row],[PORTEUR
DE
PROJET]]="",0,IF(COUNTIF(Tableau2[[#This Row],[PORTEUR
DE
PROJET]],"CRA*")=1,Tableau2[[#This Row],[Montant participation à signature]]/2,Tableau2[[#This Row],[Montant participation à signature]]*0.3))</f>
        <v>14467.5</v>
      </c>
      <c r="AD150" s="6">
        <f>IF(Tableau2[[#This Row],[Date signature ]]="","",EDATE(Tableau2[[#This Row],[Date signature ]],1))</f>
        <v>42719</v>
      </c>
      <c r="AE150" s="21">
        <f>IF(Tableau2[[#This Row],[PORTEUR
DE
PROJET]]="",0,IF(COUNTIF(Tableau2[[#This Row],[PORTEUR
DE
PROJET]],"CRA*")=1,,Tableau2[[#This Row],[Montant participation à signature]]*0.4))</f>
        <v>19290</v>
      </c>
      <c r="AF150" s="6">
        <f>IF(Tableau2[[#This Row],[Date signature ]]="","",IF(Tableau2[[#This Row],[ACOMPTE PREVU]]=0,"",EOMONTH(EDATE(Tableau2[[#This Row],[Date signature ]],Tableau2[[#This Row],[Durée du projet]]/2),0)))</f>
        <v>42947</v>
      </c>
      <c r="AG150" s="21">
        <f>IF(Tableau2[[#This Row],[PORTEUR
DE
PROJET]]="",0,IF(COUNTIF(Tableau2[[#This Row],[PORTEUR
DE
PROJET]],"CRA*")=1,Tableau2[[#This Row],[Montant participation à signature]]/2,Tableau2[[#This Row],[Montant participation à signature]]*0.3))</f>
        <v>14467.5</v>
      </c>
      <c r="AH150" s="6">
        <f>IF(Tableau2[[#This Row],[Date signature ]]="","",EOMONTH(EDATE(Tableau2[[#This Row],[Date signature ]],Tableau2[[#This Row],[Durée du projet]]),0))</f>
        <v>43190</v>
      </c>
      <c r="AI150" s="29">
        <f>IF(COUNTBLANK(Tableau2[[#This Row],[Date du mandat Avance]])=1,,Tableau2[[#This Row],[AVANCE PREVUE]])</f>
        <v>14467.5</v>
      </c>
      <c r="AJ150" s="64">
        <v>42697</v>
      </c>
      <c r="AK150" s="2"/>
      <c r="AL150" s="6"/>
      <c r="AM150" s="6"/>
      <c r="AN150" s="17">
        <f>IF(COUNTBLANK(Tableau2[[#This Row],[Date envoi ASF Acompte]])=1,,Tableau2[[#This Row],[ACOMPTE PREVU]])</f>
        <v>0</v>
      </c>
      <c r="AO150" s="17"/>
      <c r="AP150" s="2"/>
      <c r="AQ150" s="6"/>
      <c r="AR150" s="6"/>
      <c r="AS150" s="17"/>
      <c r="AT150" s="17"/>
      <c r="AU150" s="20"/>
      <c r="AV150" s="17"/>
      <c r="AW150" s="17"/>
      <c r="AX150" s="17">
        <f>IF(Tableau2[[#This Row],[Montant participation voté au CA]]="",0,Tableau2[[#This Row],[Montant participation voté au CA]]-Tableau2[[#This Row],[Montant participation à signature]])</f>
        <v>0</v>
      </c>
      <c r="AY150" s="54">
        <v>48225</v>
      </c>
      <c r="AZ150" s="17">
        <f>Tableau2[[#This Row],[AVANCE VERSEE]]+Tableau2[[#This Row],[ACOMPTE VERSE]]+Tableau2[[#This Row],[SOLDE VERSE]]</f>
        <v>14467.5</v>
      </c>
      <c r="BA150" s="17">
        <f>IF(Tableau2[[#This Row],[STATUT]]="Soldée",0,Tableau2[[#This Row],[Montant participation à signature]]-Tableau2[[#This Row],[Total CP payés]])</f>
        <v>33757.5</v>
      </c>
      <c r="BB150" s="17">
        <f>IF(Tableau2[[#This Row],[SOLDE VERSE]]&lt;0,-Tableau2[[#This Row],[SOLDE VERSE]],0)</f>
        <v>0</v>
      </c>
      <c r="BC150" s="17">
        <f>IF(Tableau2[[#This Row],[STATUT]]="Soldée",Tableau2[[#This Row],[Montant participation à signature]]-Tableau2[[#This Row],[Total CP payés]],0)</f>
        <v>0</v>
      </c>
      <c r="BD150" s="17">
        <f>IF(Tableau2[[#This Row],[Montant participation voté au CA]]="",0,Tableau2[[#This Row],[Réfaction]]+Tableau2[[#This Row],[Montant des crédits non engagés]])</f>
        <v>0</v>
      </c>
      <c r="BF150"/>
      <c r="BJ150"/>
      <c r="BK150"/>
      <c r="BL150"/>
      <c r="BM150"/>
      <c r="BP150"/>
      <c r="BQ150"/>
      <c r="BR150"/>
      <c r="BS150"/>
      <c r="BT150"/>
      <c r="BU150"/>
      <c r="BV150"/>
      <c r="BW150"/>
      <c r="BX150"/>
      <c r="BY150"/>
      <c r="CA150"/>
      <c r="CB150"/>
    </row>
    <row r="151" spans="1:80" ht="15" customHeight="1" x14ac:dyDescent="0.25">
      <c r="A151" s="4">
        <v>153</v>
      </c>
      <c r="B151" s="36">
        <v>2904</v>
      </c>
      <c r="C151" s="63" t="s">
        <v>74</v>
      </c>
      <c r="D151" s="73" t="s">
        <v>154</v>
      </c>
      <c r="E151" s="38">
        <v>1</v>
      </c>
      <c r="F151" s="38" t="s">
        <v>49</v>
      </c>
      <c r="G151" s="96" t="s">
        <v>143</v>
      </c>
      <c r="H151" s="96" t="s">
        <v>144</v>
      </c>
      <c r="I151" s="40" t="s">
        <v>48</v>
      </c>
      <c r="J151" s="79"/>
      <c r="K151" s="72"/>
      <c r="L151" s="34"/>
      <c r="M151" s="35"/>
      <c r="N151" s="38">
        <v>32</v>
      </c>
      <c r="O151" s="37">
        <v>6</v>
      </c>
      <c r="P151" s="37">
        <f>IF(Tableau2[[#This Row],[Durée du projet]]="","-",Tableau2[[#This Row],[Durée du projet]]+Tableau2[[#This Row],[Durée suppl'' pour pièces]])</f>
        <v>38</v>
      </c>
      <c r="Q151" s="39">
        <v>42689</v>
      </c>
      <c r="R151" s="60">
        <v>42689</v>
      </c>
      <c r="S151" s="6">
        <f>IF(Tableau2[[#This Row],[Date signature ]]="","",EOMONTH((EDATE(Tableau2[[#This Row],[Début éligibilité dépenses]],Tableau2[[#This Row],[Durée du projet]])),-1))</f>
        <v>43646</v>
      </c>
      <c r="T151" s="6">
        <f>IF(Tableau2[[#This Row],[Fin éligibilité dépenses]]="","",EDATE(Tableau2[[#This Row],[Fin éligibilité dépenses]],-6))</f>
        <v>43464</v>
      </c>
      <c r="U151" s="6">
        <f>IF(Tableau2[[#This Row],[Début éligibilité dépenses]]="","",EOMONTH(EDATE(Tableau2[[#This Row],[Début éligibilité dépenses]],Tableau2[[#This Row],[Durée du projet]]/2),0))</f>
        <v>43190</v>
      </c>
      <c r="V151" s="59">
        <f>IF(Tableau2[[#This Row],[Date signature ]]="","",EDATE(Tableau2[[#This Row],[Date signature ]],Tableau2[[#This Row],[Durée totale conv'' ]])-1)</f>
        <v>43844</v>
      </c>
      <c r="W151" s="40" t="s">
        <v>21</v>
      </c>
      <c r="X151" s="2"/>
      <c r="Y151" s="40" t="s">
        <v>145</v>
      </c>
      <c r="Z151" s="2"/>
      <c r="AA151" s="2"/>
      <c r="AB151" s="19"/>
      <c r="AC151" s="21">
        <f>IF(Tableau2[[#This Row],[PORTEUR
DE
PROJET]]="",0,IF(COUNTIF(Tableau2[[#This Row],[PORTEUR
DE
PROJET]],"CRA*")=1,Tableau2[[#This Row],[Montant participation à signature]]/2,Tableau2[[#This Row],[Montant participation à signature]]*0.3))</f>
        <v>8004</v>
      </c>
      <c r="AD151" s="6">
        <f>IF(Tableau2[[#This Row],[Date signature ]]="","",EDATE(Tableau2[[#This Row],[Date signature ]],1))</f>
        <v>42719</v>
      </c>
      <c r="AE151" s="21">
        <f>IF(Tableau2[[#This Row],[PORTEUR
DE
PROJET]]="",0,IF(COUNTIF(Tableau2[[#This Row],[PORTEUR
DE
PROJET]],"CRA*")=1,,Tableau2[[#This Row],[Montant participation à signature]]*0.4))</f>
        <v>10672</v>
      </c>
      <c r="AF151" s="6">
        <f>IF(Tableau2[[#This Row],[Date signature ]]="","",IF(Tableau2[[#This Row],[ACOMPTE PREVU]]=0,"",EOMONTH(EDATE(Tableau2[[#This Row],[Date signature ]],Tableau2[[#This Row],[Durée du projet]]/2),0)))</f>
        <v>43190</v>
      </c>
      <c r="AG151" s="21">
        <f>IF(Tableau2[[#This Row],[PORTEUR
DE
PROJET]]="",0,IF(COUNTIF(Tableau2[[#This Row],[PORTEUR
DE
PROJET]],"CRA*")=1,Tableau2[[#This Row],[Montant participation à signature]]/2,Tableau2[[#This Row],[Montant participation à signature]]*0.3))</f>
        <v>8004</v>
      </c>
      <c r="AH151" s="6">
        <f>IF(Tableau2[[#This Row],[Date signature ]]="","",EOMONTH(EDATE(Tableau2[[#This Row],[Date signature ]],Tableau2[[#This Row],[Durée du projet]]),0))</f>
        <v>43677</v>
      </c>
      <c r="AI151" s="29">
        <f>IF(COUNTBLANK(Tableau2[[#This Row],[Date du mandat Avance]])=1,,Tableau2[[#This Row],[AVANCE PREVUE]])</f>
        <v>8004</v>
      </c>
      <c r="AJ151" s="64">
        <v>42697</v>
      </c>
      <c r="AK151" s="2"/>
      <c r="AL151" s="6"/>
      <c r="AM151" s="6"/>
      <c r="AN151" s="17">
        <f>IF(COUNTBLANK(Tableau2[[#This Row],[Date envoi ASF Acompte]])=1,,Tableau2[[#This Row],[ACOMPTE PREVU]])</f>
        <v>0</v>
      </c>
      <c r="AO151" s="17"/>
      <c r="AP151" s="2"/>
      <c r="AQ151" s="6"/>
      <c r="AR151" s="6"/>
      <c r="AS151" s="17"/>
      <c r="AT151" s="17"/>
      <c r="AU151" s="20"/>
      <c r="AV151" s="17"/>
      <c r="AW151" s="17"/>
      <c r="AX151" s="17">
        <f>IF(Tableau2[[#This Row],[Montant participation voté au CA]]="",0,Tableau2[[#This Row],[Montant participation voté au CA]]-Tableau2[[#This Row],[Montant participation à signature]])</f>
        <v>0</v>
      </c>
      <c r="AY151" s="53">
        <v>26680</v>
      </c>
      <c r="AZ151" s="17">
        <f>Tableau2[[#This Row],[AVANCE VERSEE]]+Tableau2[[#This Row],[ACOMPTE VERSE]]+Tableau2[[#This Row],[SOLDE VERSE]]</f>
        <v>8004</v>
      </c>
      <c r="BA151" s="17">
        <f>IF(Tableau2[[#This Row],[STATUT]]="Soldée",0,Tableau2[[#This Row],[Montant participation à signature]]-Tableau2[[#This Row],[Total CP payés]])</f>
        <v>18676</v>
      </c>
      <c r="BB151" s="17">
        <f>IF(Tableau2[[#This Row],[SOLDE VERSE]]&lt;0,-Tableau2[[#This Row],[SOLDE VERSE]],0)</f>
        <v>0</v>
      </c>
      <c r="BC151" s="17">
        <f>IF(Tableau2[[#This Row],[STATUT]]="Soldée",Tableau2[[#This Row],[Montant participation à signature]]-Tableau2[[#This Row],[Total CP payés]],0)</f>
        <v>0</v>
      </c>
      <c r="BD151" s="17">
        <f>IF(Tableau2[[#This Row],[Montant participation voté au CA]]="",0,Tableau2[[#This Row],[Réfaction]]+Tableau2[[#This Row],[Montant des crédits non engagés]])</f>
        <v>0</v>
      </c>
      <c r="BF151"/>
      <c r="BJ151"/>
      <c r="BK151"/>
      <c r="BL151"/>
      <c r="BM151"/>
      <c r="BP151"/>
      <c r="BQ151"/>
      <c r="BR151"/>
      <c r="BS151"/>
      <c r="BT151"/>
      <c r="BU151"/>
      <c r="BV151"/>
      <c r="BW151"/>
      <c r="BX151"/>
      <c r="BY151"/>
      <c r="CA151"/>
      <c r="CB151"/>
    </row>
    <row r="152" spans="1:80" ht="15" customHeight="1" x14ac:dyDescent="0.25">
      <c r="A152" s="4">
        <v>154</v>
      </c>
      <c r="B152" s="36">
        <v>2905</v>
      </c>
      <c r="C152" s="63" t="s">
        <v>74</v>
      </c>
      <c r="D152" s="73" t="s">
        <v>154</v>
      </c>
      <c r="E152" s="38">
        <v>5</v>
      </c>
      <c r="F152" s="38">
        <v>22</v>
      </c>
      <c r="G152" s="96" t="s">
        <v>143</v>
      </c>
      <c r="H152" s="96" t="s">
        <v>144</v>
      </c>
      <c r="I152" s="40" t="s">
        <v>48</v>
      </c>
      <c r="J152" s="79"/>
      <c r="K152" s="72"/>
      <c r="L152" s="34"/>
      <c r="M152" s="35"/>
      <c r="N152" s="3">
        <v>17</v>
      </c>
      <c r="O152" s="37">
        <v>6</v>
      </c>
      <c r="P152" s="37">
        <f>IF(Tableau2[[#This Row],[Durée du projet]]="","-",Tableau2[[#This Row],[Durée du projet]]+Tableau2[[#This Row],[Durée suppl'' pour pièces]])</f>
        <v>23</v>
      </c>
      <c r="Q152" s="39">
        <v>42683</v>
      </c>
      <c r="R152" s="60">
        <v>42689</v>
      </c>
      <c r="S152" s="6">
        <f>IF(Tableau2[[#This Row],[Date signature ]]="","",EOMONTH((EDATE(Tableau2[[#This Row],[Début éligibilité dépenses]],Tableau2[[#This Row],[Durée du projet]])),-1))</f>
        <v>43190</v>
      </c>
      <c r="T152" s="6">
        <f>IF(Tableau2[[#This Row],[Fin éligibilité dépenses]]="","",EDATE(Tableau2[[#This Row],[Fin éligibilité dépenses]],-6))</f>
        <v>43008</v>
      </c>
      <c r="U152" s="6">
        <f>IF(Tableau2[[#This Row],[Début éligibilité dépenses]]="","",EOMONTH(EDATE(Tableau2[[#This Row],[Début éligibilité dépenses]],Tableau2[[#This Row],[Durée du projet]]/2),0))</f>
        <v>42947</v>
      </c>
      <c r="V152" s="59">
        <f>IF(Tableau2[[#This Row],[Date signature ]]="","",EDATE(Tableau2[[#This Row],[Date signature ]],Tableau2[[#This Row],[Durée totale conv'' ]])-1)</f>
        <v>43381</v>
      </c>
      <c r="W152" s="40" t="s">
        <v>21</v>
      </c>
      <c r="X152" s="2"/>
      <c r="Y152" s="40" t="s">
        <v>145</v>
      </c>
      <c r="Z152" s="2"/>
      <c r="AA152" s="2"/>
      <c r="AB152" s="19"/>
      <c r="AC152" s="21">
        <f>IF(Tableau2[[#This Row],[PORTEUR
DE
PROJET]]="",0,IF(COUNTIF(Tableau2[[#This Row],[PORTEUR
DE
PROJET]],"CRA*")=1,Tableau2[[#This Row],[Montant participation à signature]]/2,Tableau2[[#This Row],[Montant participation à signature]]*0.3))</f>
        <v>15900</v>
      </c>
      <c r="AD152" s="6">
        <f>IF(Tableau2[[#This Row],[Date signature ]]="","",EDATE(Tableau2[[#This Row],[Date signature ]],1))</f>
        <v>42713</v>
      </c>
      <c r="AE152" s="21">
        <f>IF(Tableau2[[#This Row],[PORTEUR
DE
PROJET]]="",0,IF(COUNTIF(Tableau2[[#This Row],[PORTEUR
DE
PROJET]],"CRA*")=1,,Tableau2[[#This Row],[Montant participation à signature]]*0.4))</f>
        <v>21200</v>
      </c>
      <c r="AF152" s="6">
        <f>IF(Tableau2[[#This Row],[Date signature ]]="","",IF(Tableau2[[#This Row],[ACOMPTE PREVU]]=0,"",EOMONTH(EDATE(Tableau2[[#This Row],[Date signature ]],Tableau2[[#This Row],[Durée du projet]]/2),0)))</f>
        <v>42947</v>
      </c>
      <c r="AG152" s="21">
        <f>IF(Tableau2[[#This Row],[PORTEUR
DE
PROJET]]="",0,IF(COUNTIF(Tableau2[[#This Row],[PORTEUR
DE
PROJET]],"CRA*")=1,Tableau2[[#This Row],[Montant participation à signature]]/2,Tableau2[[#This Row],[Montant participation à signature]]*0.3))</f>
        <v>15900</v>
      </c>
      <c r="AH152" s="6">
        <f>IF(Tableau2[[#This Row],[Date signature ]]="","",EOMONTH(EDATE(Tableau2[[#This Row],[Date signature ]],Tableau2[[#This Row],[Durée du projet]]),0))</f>
        <v>43220</v>
      </c>
      <c r="AI152" s="29">
        <f>IF(COUNTBLANK(Tableau2[[#This Row],[Date du mandat Avance]])=1,,Tableau2[[#This Row],[AVANCE PREVUE]])</f>
        <v>15900</v>
      </c>
      <c r="AJ152" s="64">
        <v>42697</v>
      </c>
      <c r="AK152" s="2"/>
      <c r="AL152" s="6"/>
      <c r="AM152" s="6"/>
      <c r="AN152" s="17">
        <f>IF(COUNTBLANK(Tableau2[[#This Row],[Date envoi ASF Acompte]])=1,,Tableau2[[#This Row],[ACOMPTE PREVU]])</f>
        <v>0</v>
      </c>
      <c r="AO152" s="17"/>
      <c r="AP152" s="2"/>
      <c r="AQ152" s="6"/>
      <c r="AR152" s="6"/>
      <c r="AS152" s="17"/>
      <c r="AT152" s="17"/>
      <c r="AU152" s="20"/>
      <c r="AV152" s="17"/>
      <c r="AW152" s="17"/>
      <c r="AX152" s="17">
        <f>IF(Tableau2[[#This Row],[Montant participation voté au CA]]="",0,Tableau2[[#This Row],[Montant participation voté au CA]]-Tableau2[[#This Row],[Montant participation à signature]])</f>
        <v>0</v>
      </c>
      <c r="AY152" s="54">
        <v>53000</v>
      </c>
      <c r="AZ152" s="17">
        <f>Tableau2[[#This Row],[AVANCE VERSEE]]+Tableau2[[#This Row],[ACOMPTE VERSE]]+Tableau2[[#This Row],[SOLDE VERSE]]</f>
        <v>15900</v>
      </c>
      <c r="BA152" s="17">
        <f>IF(Tableau2[[#This Row],[STATUT]]="Soldée",0,Tableau2[[#This Row],[Montant participation à signature]]-Tableau2[[#This Row],[Total CP payés]])</f>
        <v>37100</v>
      </c>
      <c r="BB152" s="17">
        <f>IF(Tableau2[[#This Row],[SOLDE VERSE]]&lt;0,-Tableau2[[#This Row],[SOLDE VERSE]],0)</f>
        <v>0</v>
      </c>
      <c r="BC152" s="17">
        <f>IF(Tableau2[[#This Row],[STATUT]]="Soldée",Tableau2[[#This Row],[Montant participation à signature]]-Tableau2[[#This Row],[Total CP payés]],0)</f>
        <v>0</v>
      </c>
      <c r="BD152" s="17">
        <f>IF(Tableau2[[#This Row],[Montant participation voté au CA]]="",0,Tableau2[[#This Row],[Réfaction]]+Tableau2[[#This Row],[Montant des crédits non engagés]])</f>
        <v>0</v>
      </c>
      <c r="BF152"/>
      <c r="BJ152"/>
      <c r="BK152"/>
      <c r="BL152"/>
      <c r="BM152"/>
      <c r="BP152"/>
      <c r="BQ152"/>
      <c r="BR152"/>
      <c r="BS152"/>
      <c r="BT152"/>
      <c r="BU152"/>
      <c r="BV152"/>
      <c r="BW152"/>
      <c r="BX152"/>
      <c r="BY152"/>
      <c r="CA152"/>
      <c r="CB152"/>
    </row>
    <row r="153" spans="1:80" ht="15" customHeight="1" x14ac:dyDescent="0.25">
      <c r="A153" s="4">
        <v>155</v>
      </c>
      <c r="B153" s="36">
        <v>2906</v>
      </c>
      <c r="C153" s="63" t="s">
        <v>74</v>
      </c>
      <c r="D153" s="73" t="s">
        <v>154</v>
      </c>
      <c r="E153" s="38">
        <v>4</v>
      </c>
      <c r="F153" s="38" t="s">
        <v>42</v>
      </c>
      <c r="G153" s="96" t="s">
        <v>143</v>
      </c>
      <c r="H153" s="96" t="s">
        <v>144</v>
      </c>
      <c r="I153" s="40" t="s">
        <v>48</v>
      </c>
      <c r="J153" s="79"/>
      <c r="K153" s="72"/>
      <c r="L153" s="34"/>
      <c r="M153" s="35"/>
      <c r="N153" s="3">
        <v>17</v>
      </c>
      <c r="O153" s="37">
        <v>6</v>
      </c>
      <c r="P153" s="37">
        <f>IF(Tableau2[[#This Row],[Durée du projet]]="","-",Tableau2[[#This Row],[Durée du projet]]+Tableau2[[#This Row],[Durée suppl'' pour pièces]])</f>
        <v>23</v>
      </c>
      <c r="Q153" s="39">
        <v>42683</v>
      </c>
      <c r="R153" s="60">
        <v>42683</v>
      </c>
      <c r="S153" s="6">
        <f>IF(Tableau2[[#This Row],[Date signature ]]="","",EOMONTH((EDATE(Tableau2[[#This Row],[Début éligibilité dépenses]],Tableau2[[#This Row],[Durée du projet]])),-1))</f>
        <v>43190</v>
      </c>
      <c r="T153" s="6">
        <f>IF(Tableau2[[#This Row],[Fin éligibilité dépenses]]="","",EDATE(Tableau2[[#This Row],[Fin éligibilité dépenses]],-6))</f>
        <v>43008</v>
      </c>
      <c r="U153" s="6">
        <f>IF(Tableau2[[#This Row],[Début éligibilité dépenses]]="","",EOMONTH(EDATE(Tableau2[[#This Row],[Début éligibilité dépenses]],Tableau2[[#This Row],[Durée du projet]]/2),0))</f>
        <v>42947</v>
      </c>
      <c r="V153" s="59">
        <f>IF(Tableau2[[#This Row],[Date signature ]]="","",EDATE(Tableau2[[#This Row],[Date signature ]],Tableau2[[#This Row],[Durée totale conv'' ]])-1)</f>
        <v>43381</v>
      </c>
      <c r="W153" s="40" t="s">
        <v>21</v>
      </c>
      <c r="X153" s="2"/>
      <c r="Y153" s="40" t="s">
        <v>145</v>
      </c>
      <c r="Z153" s="2"/>
      <c r="AA153" s="2"/>
      <c r="AB153" s="19"/>
      <c r="AC153" s="21">
        <f>IF(Tableau2[[#This Row],[PORTEUR
DE
PROJET]]="",0,IF(COUNTIF(Tableau2[[#This Row],[PORTEUR
DE
PROJET]],"CRA*")=1,Tableau2[[#This Row],[Montant participation à signature]]/2,Tableau2[[#This Row],[Montant participation à signature]]*0.3))</f>
        <v>18825</v>
      </c>
      <c r="AD153" s="6">
        <f>IF(Tableau2[[#This Row],[Date signature ]]="","",EDATE(Tableau2[[#This Row],[Date signature ]],1))</f>
        <v>42713</v>
      </c>
      <c r="AE153" s="21">
        <f>IF(Tableau2[[#This Row],[PORTEUR
DE
PROJET]]="",0,IF(COUNTIF(Tableau2[[#This Row],[PORTEUR
DE
PROJET]],"CRA*")=1,,Tableau2[[#This Row],[Montant participation à signature]]*0.4))</f>
        <v>25100</v>
      </c>
      <c r="AF153" s="6">
        <f>IF(Tableau2[[#This Row],[Date signature ]]="","",IF(Tableau2[[#This Row],[ACOMPTE PREVU]]=0,"",EOMONTH(EDATE(Tableau2[[#This Row],[Date signature ]],Tableau2[[#This Row],[Durée du projet]]/2),0)))</f>
        <v>42947</v>
      </c>
      <c r="AG153" s="21">
        <f>IF(Tableau2[[#This Row],[PORTEUR
DE
PROJET]]="",0,IF(COUNTIF(Tableau2[[#This Row],[PORTEUR
DE
PROJET]],"CRA*")=1,Tableau2[[#This Row],[Montant participation à signature]]/2,Tableau2[[#This Row],[Montant participation à signature]]*0.3))</f>
        <v>18825</v>
      </c>
      <c r="AH153" s="6">
        <f>IF(Tableau2[[#This Row],[Date signature ]]="","",EOMONTH(EDATE(Tableau2[[#This Row],[Date signature ]],Tableau2[[#This Row],[Durée du projet]]),0))</f>
        <v>43220</v>
      </c>
      <c r="AI153" s="29">
        <f>IF(COUNTBLANK(Tableau2[[#This Row],[Date du mandat Avance]])=1,,Tableau2[[#This Row],[AVANCE PREVUE]])</f>
        <v>18825</v>
      </c>
      <c r="AJ153" s="64">
        <v>42697</v>
      </c>
      <c r="AK153" s="2"/>
      <c r="AL153" s="6"/>
      <c r="AM153" s="6"/>
      <c r="AN153" s="17">
        <f>IF(COUNTBLANK(Tableau2[[#This Row],[Date envoi ASF Acompte]])=1,,Tableau2[[#This Row],[ACOMPTE PREVU]])</f>
        <v>0</v>
      </c>
      <c r="AO153" s="17"/>
      <c r="AP153" s="2"/>
      <c r="AQ153" s="6"/>
      <c r="AR153" s="6"/>
      <c r="AS153" s="17"/>
      <c r="AT153" s="17"/>
      <c r="AU153" s="20"/>
      <c r="AV153" s="17"/>
      <c r="AW153" s="17"/>
      <c r="AX153" s="17">
        <f>IF(Tableau2[[#This Row],[Montant participation voté au CA]]="",0,Tableau2[[#This Row],[Montant participation voté au CA]]-Tableau2[[#This Row],[Montant participation à signature]])</f>
        <v>0</v>
      </c>
      <c r="AY153" s="54">
        <v>62750</v>
      </c>
      <c r="AZ153" s="17">
        <f>Tableau2[[#This Row],[AVANCE VERSEE]]+Tableau2[[#This Row],[ACOMPTE VERSE]]+Tableau2[[#This Row],[SOLDE VERSE]]</f>
        <v>18825</v>
      </c>
      <c r="BA153" s="17">
        <f>IF(Tableau2[[#This Row],[STATUT]]="Soldée",0,Tableau2[[#This Row],[Montant participation à signature]]-Tableau2[[#This Row],[Total CP payés]])</f>
        <v>43925</v>
      </c>
      <c r="BB153" s="17">
        <f>IF(Tableau2[[#This Row],[SOLDE VERSE]]&lt;0,-Tableau2[[#This Row],[SOLDE VERSE]],0)</f>
        <v>0</v>
      </c>
      <c r="BC153" s="17">
        <f>IF(Tableau2[[#This Row],[STATUT]]="Soldée",Tableau2[[#This Row],[Montant participation à signature]]-Tableau2[[#This Row],[Total CP payés]],0)</f>
        <v>0</v>
      </c>
      <c r="BD153" s="17">
        <f>IF(Tableau2[[#This Row],[Montant participation voté au CA]]="",0,Tableau2[[#This Row],[Réfaction]]+Tableau2[[#This Row],[Montant des crédits non engagés]])</f>
        <v>0</v>
      </c>
      <c r="BF153"/>
      <c r="BJ153"/>
      <c r="BK153"/>
      <c r="BL153"/>
      <c r="BM153"/>
      <c r="BP153"/>
      <c r="BQ153"/>
      <c r="BR153"/>
      <c r="BS153"/>
      <c r="BT153"/>
      <c r="BU153"/>
      <c r="BV153"/>
      <c r="BW153"/>
      <c r="BX153"/>
      <c r="BY153"/>
      <c r="CA153"/>
      <c r="CB153"/>
    </row>
    <row r="154" spans="1:80" ht="15" customHeight="1" x14ac:dyDescent="0.25">
      <c r="A154" s="4">
        <v>156</v>
      </c>
      <c r="B154" s="36">
        <v>2907</v>
      </c>
      <c r="C154" s="63" t="s">
        <v>74</v>
      </c>
      <c r="D154" s="73" t="s">
        <v>154</v>
      </c>
      <c r="E154" s="38">
        <v>5</v>
      </c>
      <c r="F154" s="38">
        <v>27</v>
      </c>
      <c r="G154" s="96" t="s">
        <v>143</v>
      </c>
      <c r="H154" s="96" t="s">
        <v>144</v>
      </c>
      <c r="I154" s="40" t="s">
        <v>48</v>
      </c>
      <c r="J154" s="79"/>
      <c r="K154" s="72"/>
      <c r="L154" s="34"/>
      <c r="M154" s="35"/>
      <c r="N154" s="3">
        <v>12</v>
      </c>
      <c r="O154" s="37">
        <v>6</v>
      </c>
      <c r="P154" s="37">
        <f>IF(Tableau2[[#This Row],[Durée du projet]]="","-",Tableau2[[#This Row],[Durée du projet]]+Tableau2[[#This Row],[Durée suppl'' pour pièces]])</f>
        <v>18</v>
      </c>
      <c r="Q154" s="39">
        <v>42691</v>
      </c>
      <c r="R154" s="60">
        <v>42691</v>
      </c>
      <c r="S154" s="6">
        <f>IF(Tableau2[[#This Row],[Date signature ]]="","",EOMONTH((EDATE(Tableau2[[#This Row],[Début éligibilité dépenses]],Tableau2[[#This Row],[Durée du projet]])),-1))</f>
        <v>43039</v>
      </c>
      <c r="T154" s="6">
        <f>IF(Tableau2[[#This Row],[Fin éligibilité dépenses]]="","",EDATE(Tableau2[[#This Row],[Fin éligibilité dépenses]],-6))</f>
        <v>42855</v>
      </c>
      <c r="U154" s="6">
        <f>IF(Tableau2[[#This Row],[Début éligibilité dépenses]]="","",EOMONTH(EDATE(Tableau2[[#This Row],[Début éligibilité dépenses]],Tableau2[[#This Row],[Durée du projet]]/2),0))</f>
        <v>42886</v>
      </c>
      <c r="V154" s="59">
        <f>IF(Tableau2[[#This Row],[Date signature ]]="","",EDATE(Tableau2[[#This Row],[Date signature ]],Tableau2[[#This Row],[Durée totale conv'' ]])-1)</f>
        <v>43236</v>
      </c>
      <c r="W154" s="40" t="s">
        <v>21</v>
      </c>
      <c r="X154" s="2"/>
      <c r="Y154" s="40" t="s">
        <v>145</v>
      </c>
      <c r="Z154" s="2"/>
      <c r="AA154" s="2"/>
      <c r="AB154" s="19"/>
      <c r="AC154" s="21">
        <f>IF(Tableau2[[#This Row],[PORTEUR
DE
PROJET]]="",0,IF(COUNTIF(Tableau2[[#This Row],[PORTEUR
DE
PROJET]],"CRA*")=1,Tableau2[[#This Row],[Montant participation à signature]]/2,Tableau2[[#This Row],[Montant participation à signature]]*0.3))</f>
        <v>330437.39999999997</v>
      </c>
      <c r="AD154" s="6">
        <f>IF(Tableau2[[#This Row],[Date signature ]]="","",EDATE(Tableau2[[#This Row],[Date signature ]],1))</f>
        <v>42721</v>
      </c>
      <c r="AE154" s="21">
        <f>IF(Tableau2[[#This Row],[PORTEUR
DE
PROJET]]="",0,IF(COUNTIF(Tableau2[[#This Row],[PORTEUR
DE
PROJET]],"CRA*")=1,,Tableau2[[#This Row],[Montant participation à signature]]*0.4))</f>
        <v>440583.2</v>
      </c>
      <c r="AF154" s="6">
        <f>IF(Tableau2[[#This Row],[Date signature ]]="","",IF(Tableau2[[#This Row],[ACOMPTE PREVU]]=0,"",EOMONTH(EDATE(Tableau2[[#This Row],[Date signature ]],Tableau2[[#This Row],[Durée du projet]]/2),0)))</f>
        <v>42886</v>
      </c>
      <c r="AG154" s="21">
        <f>IF(Tableau2[[#This Row],[PORTEUR
DE
PROJET]]="",0,IF(COUNTIF(Tableau2[[#This Row],[PORTEUR
DE
PROJET]],"CRA*")=1,Tableau2[[#This Row],[Montant participation à signature]]/2,Tableau2[[#This Row],[Montant participation à signature]]*0.3))</f>
        <v>330437.39999999997</v>
      </c>
      <c r="AH154" s="6">
        <f>IF(Tableau2[[#This Row],[Date signature ]]="","",EOMONTH(EDATE(Tableau2[[#This Row],[Date signature ]],Tableau2[[#This Row],[Durée du projet]]),0))</f>
        <v>43069</v>
      </c>
      <c r="AI154" s="29">
        <f>IF(COUNTBLANK(Tableau2[[#This Row],[Date du mandat Avance]])=1,,Tableau2[[#This Row],[AVANCE PREVUE]])</f>
        <v>330437.39999999997</v>
      </c>
      <c r="AJ154" s="64">
        <v>42699</v>
      </c>
      <c r="AK154" s="2"/>
      <c r="AL154" s="6"/>
      <c r="AM154" s="6"/>
      <c r="AN154" s="17">
        <f>IF(COUNTBLANK(Tableau2[[#This Row],[Date envoi ASF Acompte]])=1,,Tableau2[[#This Row],[ACOMPTE PREVU]])</f>
        <v>0</v>
      </c>
      <c r="AO154" s="17"/>
      <c r="AP154" s="2"/>
      <c r="AQ154" s="6"/>
      <c r="AR154" s="6"/>
      <c r="AS154" s="17"/>
      <c r="AT154" s="17"/>
      <c r="AU154" s="20"/>
      <c r="AV154" s="17"/>
      <c r="AW154" s="17"/>
      <c r="AX154" s="17">
        <f>IF(Tableau2[[#This Row],[Montant participation voté au CA]]="",0,Tableau2[[#This Row],[Montant participation voté au CA]]-Tableau2[[#This Row],[Montant participation à signature]])</f>
        <v>0</v>
      </c>
      <c r="AY154" s="54">
        <v>1101458</v>
      </c>
      <c r="AZ154" s="17">
        <f>Tableau2[[#This Row],[AVANCE VERSEE]]+Tableau2[[#This Row],[ACOMPTE VERSE]]+Tableau2[[#This Row],[SOLDE VERSE]]</f>
        <v>330437.39999999997</v>
      </c>
      <c r="BA154" s="17">
        <f>IF(Tableau2[[#This Row],[STATUT]]="Soldée",0,Tableau2[[#This Row],[Montant participation à signature]]-Tableau2[[#This Row],[Total CP payés]])</f>
        <v>771020.60000000009</v>
      </c>
      <c r="BB154" s="17">
        <f>IF(Tableau2[[#This Row],[SOLDE VERSE]]&lt;0,-Tableau2[[#This Row],[SOLDE VERSE]],0)</f>
        <v>0</v>
      </c>
      <c r="BC154" s="17">
        <f>IF(Tableau2[[#This Row],[STATUT]]="Soldée",Tableau2[[#This Row],[Montant participation à signature]]-Tableau2[[#This Row],[Total CP payés]],0)</f>
        <v>0</v>
      </c>
      <c r="BD154" s="17">
        <f>IF(Tableau2[[#This Row],[Montant participation voté au CA]]="",0,Tableau2[[#This Row],[Réfaction]]+Tableau2[[#This Row],[Montant des crédits non engagés]])</f>
        <v>0</v>
      </c>
      <c r="BF154"/>
      <c r="BJ154"/>
      <c r="BK154"/>
      <c r="BL154"/>
      <c r="BM154"/>
      <c r="BP154"/>
      <c r="BQ154"/>
      <c r="BR154"/>
      <c r="BS154"/>
      <c r="BT154"/>
      <c r="BU154"/>
      <c r="BV154"/>
      <c r="BW154"/>
      <c r="BX154"/>
      <c r="BY154"/>
      <c r="CA154"/>
      <c r="CB154"/>
    </row>
    <row r="155" spans="1:80" ht="15" customHeight="1" x14ac:dyDescent="0.25">
      <c r="A155" s="4">
        <v>157</v>
      </c>
      <c r="B155" s="36">
        <v>2908</v>
      </c>
      <c r="C155" s="63" t="s">
        <v>74</v>
      </c>
      <c r="D155" s="73" t="s">
        <v>154</v>
      </c>
      <c r="E155" s="38">
        <v>5</v>
      </c>
      <c r="F155" s="38">
        <v>26</v>
      </c>
      <c r="G155" s="96" t="s">
        <v>143</v>
      </c>
      <c r="H155" s="96" t="s">
        <v>144</v>
      </c>
      <c r="I155" s="40" t="s">
        <v>48</v>
      </c>
      <c r="J155" s="79"/>
      <c r="K155" s="72"/>
      <c r="L155" s="34"/>
      <c r="M155" s="35"/>
      <c r="N155" s="38">
        <v>12</v>
      </c>
      <c r="O155" s="37">
        <v>6</v>
      </c>
      <c r="P155" s="37">
        <f>IF(Tableau2[[#This Row],[Durée du projet]]="","-",Tableau2[[#This Row],[Durée du projet]]+Tableau2[[#This Row],[Durée suppl'' pour pièces]])</f>
        <v>18</v>
      </c>
      <c r="Q155" s="39">
        <v>42690</v>
      </c>
      <c r="R155" s="60">
        <v>42690</v>
      </c>
      <c r="S155" s="6">
        <f>IF(Tableau2[[#This Row],[Date signature ]]="","",EOMONTH((EDATE(Tableau2[[#This Row],[Début éligibilité dépenses]],Tableau2[[#This Row],[Durée du projet]])),-1))</f>
        <v>43039</v>
      </c>
      <c r="T155" s="6">
        <f>IF(Tableau2[[#This Row],[Fin éligibilité dépenses]]="","",EDATE(Tableau2[[#This Row],[Fin éligibilité dépenses]],-6))</f>
        <v>42855</v>
      </c>
      <c r="U155" s="6">
        <f>IF(Tableau2[[#This Row],[Début éligibilité dépenses]]="","",EOMONTH(EDATE(Tableau2[[#This Row],[Début éligibilité dépenses]],Tableau2[[#This Row],[Durée du projet]]/2),0))</f>
        <v>42886</v>
      </c>
      <c r="V155" s="59">
        <f>IF(Tableau2[[#This Row],[Date signature ]]="","",EDATE(Tableau2[[#This Row],[Date signature ]],Tableau2[[#This Row],[Durée totale conv'' ]])-1)</f>
        <v>43235</v>
      </c>
      <c r="W155" s="40" t="s">
        <v>21</v>
      </c>
      <c r="X155" s="2"/>
      <c r="Y155" s="40" t="s">
        <v>145</v>
      </c>
      <c r="Z155" s="2"/>
      <c r="AA155" s="2"/>
      <c r="AB155" s="19"/>
      <c r="AC155" s="21">
        <f>IF(Tableau2[[#This Row],[PORTEUR
DE
PROJET]]="",0,IF(COUNTIF(Tableau2[[#This Row],[PORTEUR
DE
PROJET]],"CRA*")=1,Tableau2[[#This Row],[Montant participation à signature]]/2,Tableau2[[#This Row],[Montant participation à signature]]*0.3))</f>
        <v>3000</v>
      </c>
      <c r="AD155" s="6">
        <f>IF(Tableau2[[#This Row],[Date signature ]]="","",EDATE(Tableau2[[#This Row],[Date signature ]],1))</f>
        <v>42720</v>
      </c>
      <c r="AE155" s="21">
        <f>IF(Tableau2[[#This Row],[PORTEUR
DE
PROJET]]="",0,IF(COUNTIF(Tableau2[[#This Row],[PORTEUR
DE
PROJET]],"CRA*")=1,,Tableau2[[#This Row],[Montant participation à signature]]*0.4))</f>
        <v>4000</v>
      </c>
      <c r="AF155" s="6">
        <f>IF(Tableau2[[#This Row],[Date signature ]]="","",IF(Tableau2[[#This Row],[ACOMPTE PREVU]]=0,"",EOMONTH(EDATE(Tableau2[[#This Row],[Date signature ]],Tableau2[[#This Row],[Durée du projet]]/2),0)))</f>
        <v>42886</v>
      </c>
      <c r="AG155" s="21">
        <f>IF(Tableau2[[#This Row],[PORTEUR
DE
PROJET]]="",0,IF(COUNTIF(Tableau2[[#This Row],[PORTEUR
DE
PROJET]],"CRA*")=1,Tableau2[[#This Row],[Montant participation à signature]]/2,Tableau2[[#This Row],[Montant participation à signature]]*0.3))</f>
        <v>3000</v>
      </c>
      <c r="AH155" s="6">
        <f>IF(Tableau2[[#This Row],[Date signature ]]="","",EOMONTH(EDATE(Tableau2[[#This Row],[Date signature ]],Tableau2[[#This Row],[Durée du projet]]),0))</f>
        <v>43069</v>
      </c>
      <c r="AI155" s="29">
        <f>IF(COUNTBLANK(Tableau2[[#This Row],[Date du mandat Avance]])=1,,Tableau2[[#This Row],[AVANCE PREVUE]])</f>
        <v>3000</v>
      </c>
      <c r="AJ155" s="64">
        <v>42699</v>
      </c>
      <c r="AK155" s="2"/>
      <c r="AL155" s="6"/>
      <c r="AM155" s="6"/>
      <c r="AN155" s="17">
        <f>IF(COUNTBLANK(Tableau2[[#This Row],[Date envoi ASF Acompte]])=1,,Tableau2[[#This Row],[ACOMPTE PREVU]])</f>
        <v>0</v>
      </c>
      <c r="AO155" s="17"/>
      <c r="AP155" s="2"/>
      <c r="AQ155" s="6"/>
      <c r="AR155" s="6"/>
      <c r="AS155" s="17"/>
      <c r="AT155" s="17"/>
      <c r="AU155" s="20"/>
      <c r="AV155" s="17"/>
      <c r="AW155" s="17"/>
      <c r="AX155" s="17">
        <f>IF(Tableau2[[#This Row],[Montant participation voté au CA]]="",0,Tableau2[[#This Row],[Montant participation voté au CA]]-Tableau2[[#This Row],[Montant participation à signature]])</f>
        <v>0</v>
      </c>
      <c r="AY155" s="54">
        <v>10000</v>
      </c>
      <c r="AZ155" s="17">
        <f>Tableau2[[#This Row],[AVANCE VERSEE]]+Tableau2[[#This Row],[ACOMPTE VERSE]]+Tableau2[[#This Row],[SOLDE VERSE]]</f>
        <v>3000</v>
      </c>
      <c r="BA155" s="17">
        <f>IF(Tableau2[[#This Row],[STATUT]]="Soldée",0,Tableau2[[#This Row],[Montant participation à signature]]-Tableau2[[#This Row],[Total CP payés]])</f>
        <v>7000</v>
      </c>
      <c r="BB155" s="17">
        <f>IF(Tableau2[[#This Row],[SOLDE VERSE]]&lt;0,-Tableau2[[#This Row],[SOLDE VERSE]],0)</f>
        <v>0</v>
      </c>
      <c r="BC155" s="17">
        <f>IF(Tableau2[[#This Row],[STATUT]]="Soldée",Tableau2[[#This Row],[Montant participation à signature]]-Tableau2[[#This Row],[Total CP payés]],0)</f>
        <v>0</v>
      </c>
      <c r="BD155" s="17">
        <f>IF(Tableau2[[#This Row],[Montant participation voté au CA]]="",0,Tableau2[[#This Row],[Réfaction]]+Tableau2[[#This Row],[Montant des crédits non engagés]])</f>
        <v>0</v>
      </c>
      <c r="BF155"/>
      <c r="BJ155"/>
      <c r="BK155"/>
      <c r="BL155"/>
      <c r="BM155"/>
      <c r="BP155"/>
      <c r="BQ155"/>
      <c r="BR155"/>
      <c r="BS155"/>
      <c r="BT155"/>
      <c r="BU155"/>
      <c r="BV155"/>
      <c r="BW155"/>
      <c r="BX155"/>
      <c r="BY155"/>
      <c r="CA155"/>
      <c r="CB155"/>
    </row>
    <row r="156" spans="1:80" ht="15" customHeight="1" x14ac:dyDescent="0.25">
      <c r="A156" s="4">
        <v>158</v>
      </c>
      <c r="B156" s="36">
        <v>2909</v>
      </c>
      <c r="C156" s="63" t="s">
        <v>74</v>
      </c>
      <c r="D156" s="73" t="s">
        <v>154</v>
      </c>
      <c r="E156" s="38">
        <v>4</v>
      </c>
      <c r="F156" s="38" t="s">
        <v>42</v>
      </c>
      <c r="G156" s="96" t="s">
        <v>143</v>
      </c>
      <c r="H156" s="96" t="s">
        <v>144</v>
      </c>
      <c r="I156" s="40" t="s">
        <v>48</v>
      </c>
      <c r="J156" s="79"/>
      <c r="K156" s="72"/>
      <c r="L156" s="34"/>
      <c r="M156" s="35"/>
      <c r="N156" s="38">
        <v>36</v>
      </c>
      <c r="O156" s="37">
        <v>6</v>
      </c>
      <c r="P156" s="37">
        <f>IF(Tableau2[[#This Row],[Durée du projet]]="","-",Tableau2[[#This Row],[Durée du projet]]+Tableau2[[#This Row],[Durée suppl'' pour pièces]])</f>
        <v>42</v>
      </c>
      <c r="Q156" s="39">
        <v>42690</v>
      </c>
      <c r="R156" s="60">
        <v>42690</v>
      </c>
      <c r="S156" s="6">
        <f>IF(Tableau2[[#This Row],[Date signature ]]="","",EOMONTH((EDATE(Tableau2[[#This Row],[Début éligibilité dépenses]],Tableau2[[#This Row],[Durée du projet]])),-1))</f>
        <v>43769</v>
      </c>
      <c r="T156" s="6">
        <f>IF(Tableau2[[#This Row],[Fin éligibilité dépenses]]="","",EDATE(Tableau2[[#This Row],[Fin éligibilité dépenses]],-6))</f>
        <v>43585</v>
      </c>
      <c r="U156" s="6">
        <f>IF(Tableau2[[#This Row],[Début éligibilité dépenses]]="","",EOMONTH(EDATE(Tableau2[[#This Row],[Début éligibilité dépenses]],Tableau2[[#This Row],[Durée du projet]]/2),0))</f>
        <v>43251</v>
      </c>
      <c r="V156" s="59">
        <f>IF(Tableau2[[#This Row],[Date signature ]]="","",EDATE(Tableau2[[#This Row],[Date signature ]],Tableau2[[#This Row],[Durée totale conv'' ]])-1)</f>
        <v>43966</v>
      </c>
      <c r="W156" s="40" t="s">
        <v>21</v>
      </c>
      <c r="X156" s="2"/>
      <c r="Y156" s="40" t="s">
        <v>145</v>
      </c>
      <c r="Z156" s="2"/>
      <c r="AA156" s="2"/>
      <c r="AB156" s="19"/>
      <c r="AC156" s="21">
        <f>IF(Tableau2[[#This Row],[PORTEUR
DE
PROJET]]="",0,IF(COUNTIF(Tableau2[[#This Row],[PORTEUR
DE
PROJET]],"CRA*")=1,Tableau2[[#This Row],[Montant participation à signature]]/2,Tableau2[[#This Row],[Montant participation à signature]]*0.3))</f>
        <v>3127.5</v>
      </c>
      <c r="AD156" s="6">
        <f>IF(Tableau2[[#This Row],[Date signature ]]="","",EDATE(Tableau2[[#This Row],[Date signature ]],1))</f>
        <v>42720</v>
      </c>
      <c r="AE156" s="21">
        <f>IF(Tableau2[[#This Row],[PORTEUR
DE
PROJET]]="",0,IF(COUNTIF(Tableau2[[#This Row],[PORTEUR
DE
PROJET]],"CRA*")=1,,Tableau2[[#This Row],[Montant participation à signature]]*0.4))</f>
        <v>4170</v>
      </c>
      <c r="AF156" s="6">
        <f>IF(Tableau2[[#This Row],[Date signature ]]="","",IF(Tableau2[[#This Row],[ACOMPTE PREVU]]=0,"",EOMONTH(EDATE(Tableau2[[#This Row],[Date signature ]],Tableau2[[#This Row],[Durée du projet]]/2),0)))</f>
        <v>43251</v>
      </c>
      <c r="AG156" s="21">
        <f>IF(Tableau2[[#This Row],[PORTEUR
DE
PROJET]]="",0,IF(COUNTIF(Tableau2[[#This Row],[PORTEUR
DE
PROJET]],"CRA*")=1,Tableau2[[#This Row],[Montant participation à signature]]/2,Tableau2[[#This Row],[Montant participation à signature]]*0.3))</f>
        <v>3127.5</v>
      </c>
      <c r="AH156" s="6">
        <f>IF(Tableau2[[#This Row],[Date signature ]]="","",EOMONTH(EDATE(Tableau2[[#This Row],[Date signature ]],Tableau2[[#This Row],[Durée du projet]]),0))</f>
        <v>43799</v>
      </c>
      <c r="AI156" s="29">
        <f>IF(COUNTBLANK(Tableau2[[#This Row],[Date du mandat Avance]])=1,,Tableau2[[#This Row],[AVANCE PREVUE]])</f>
        <v>3127.5</v>
      </c>
      <c r="AJ156" s="64">
        <v>42699</v>
      </c>
      <c r="AK156" s="2"/>
      <c r="AL156" s="6"/>
      <c r="AM156" s="6"/>
      <c r="AN156" s="17">
        <f>IF(COUNTBLANK(Tableau2[[#This Row],[Date envoi ASF Acompte]])=1,,Tableau2[[#This Row],[ACOMPTE PREVU]])</f>
        <v>0</v>
      </c>
      <c r="AO156" s="17"/>
      <c r="AP156" s="2"/>
      <c r="AQ156" s="6"/>
      <c r="AR156" s="6"/>
      <c r="AS156" s="17"/>
      <c r="AT156" s="17"/>
      <c r="AU156" s="20"/>
      <c r="AV156" s="17"/>
      <c r="AW156" s="17"/>
      <c r="AX156" s="17">
        <f>IF(Tableau2[[#This Row],[Montant participation voté au CA]]="",0,Tableau2[[#This Row],[Montant participation voté au CA]]-Tableau2[[#This Row],[Montant participation à signature]])</f>
        <v>0</v>
      </c>
      <c r="AY156" s="54">
        <v>10425</v>
      </c>
      <c r="AZ156" s="17">
        <f>Tableau2[[#This Row],[AVANCE VERSEE]]+Tableau2[[#This Row],[ACOMPTE VERSE]]+Tableau2[[#This Row],[SOLDE VERSE]]</f>
        <v>3127.5</v>
      </c>
      <c r="BA156" s="17">
        <f>IF(Tableau2[[#This Row],[STATUT]]="Soldée",0,Tableau2[[#This Row],[Montant participation à signature]]-Tableau2[[#This Row],[Total CP payés]])</f>
        <v>7297.5</v>
      </c>
      <c r="BB156" s="17">
        <f>IF(Tableau2[[#This Row],[SOLDE VERSE]]&lt;0,-Tableau2[[#This Row],[SOLDE VERSE]],0)</f>
        <v>0</v>
      </c>
      <c r="BC156" s="17">
        <f>IF(Tableau2[[#This Row],[STATUT]]="Soldée",Tableau2[[#This Row],[Montant participation à signature]]-Tableau2[[#This Row],[Total CP payés]],0)</f>
        <v>0</v>
      </c>
      <c r="BD156" s="17">
        <f>IF(Tableau2[[#This Row],[Montant participation voté au CA]]="",0,Tableau2[[#This Row],[Réfaction]]+Tableau2[[#This Row],[Montant des crédits non engagés]])</f>
        <v>0</v>
      </c>
      <c r="BF156"/>
      <c r="BJ156"/>
      <c r="BK156"/>
      <c r="BL156"/>
      <c r="BM156"/>
      <c r="BP156"/>
      <c r="BQ156"/>
      <c r="BR156"/>
      <c r="BS156"/>
      <c r="BT156"/>
      <c r="BU156"/>
      <c r="BV156"/>
      <c r="BW156"/>
      <c r="BX156"/>
      <c r="BY156"/>
      <c r="CA156"/>
      <c r="CB156"/>
    </row>
    <row r="157" spans="1:80" ht="15" customHeight="1" x14ac:dyDescent="0.25">
      <c r="A157" s="4">
        <v>159</v>
      </c>
      <c r="B157" s="36">
        <v>2910</v>
      </c>
      <c r="C157" s="63" t="s">
        <v>74</v>
      </c>
      <c r="D157" s="73" t="s">
        <v>154</v>
      </c>
      <c r="E157" s="38">
        <v>1</v>
      </c>
      <c r="F157" s="38">
        <v>4</v>
      </c>
      <c r="G157" s="96" t="s">
        <v>143</v>
      </c>
      <c r="H157" s="96" t="s">
        <v>144</v>
      </c>
      <c r="I157" s="40" t="s">
        <v>48</v>
      </c>
      <c r="J157" s="79"/>
      <c r="K157" s="72"/>
      <c r="L157" s="34"/>
      <c r="M157" s="35"/>
      <c r="N157" s="3">
        <v>18</v>
      </c>
      <c r="O157" s="37">
        <v>6</v>
      </c>
      <c r="P157" s="37">
        <f>IF(Tableau2[[#This Row],[Durée du projet]]="","-",Tableau2[[#This Row],[Durée du projet]]+Tableau2[[#This Row],[Durée suppl'' pour pièces]])</f>
        <v>24</v>
      </c>
      <c r="Q157" s="39">
        <v>42689</v>
      </c>
      <c r="R157" s="60">
        <v>42689</v>
      </c>
      <c r="S157" s="6">
        <f>IF(Tableau2[[#This Row],[Date signature ]]="","",EOMONTH((EDATE(Tableau2[[#This Row],[Début éligibilité dépenses]],Tableau2[[#This Row],[Durée du projet]])),-1))</f>
        <v>43220</v>
      </c>
      <c r="T157" s="6">
        <f>IF(Tableau2[[#This Row],[Fin éligibilité dépenses]]="","",EDATE(Tableau2[[#This Row],[Fin éligibilité dépenses]],-6))</f>
        <v>43038</v>
      </c>
      <c r="U157" s="6">
        <f>IF(Tableau2[[#This Row],[Début éligibilité dépenses]]="","",EOMONTH(EDATE(Tableau2[[#This Row],[Début éligibilité dépenses]],Tableau2[[#This Row],[Durée du projet]]/2),0))</f>
        <v>42978</v>
      </c>
      <c r="V157" s="59">
        <f>IF(Tableau2[[#This Row],[Date signature ]]="","",EDATE(Tableau2[[#This Row],[Date signature ]],Tableau2[[#This Row],[Durée totale conv'' ]])-1)</f>
        <v>43418</v>
      </c>
      <c r="W157" s="40" t="s">
        <v>21</v>
      </c>
      <c r="X157" s="2"/>
      <c r="Y157" s="40" t="s">
        <v>145</v>
      </c>
      <c r="Z157" s="2"/>
      <c r="AA157" s="2"/>
      <c r="AB157" s="19"/>
      <c r="AC157" s="21">
        <f>IF(Tableau2[[#This Row],[PORTEUR
DE
PROJET]]="",0,IF(COUNTIF(Tableau2[[#This Row],[PORTEUR
DE
PROJET]],"CRA*")=1,Tableau2[[#This Row],[Montant participation à signature]]/2,Tableau2[[#This Row],[Montant participation à signature]]*0.3))</f>
        <v>23303.7</v>
      </c>
      <c r="AD157" s="6">
        <f>IF(Tableau2[[#This Row],[Date signature ]]="","",EDATE(Tableau2[[#This Row],[Date signature ]],1))</f>
        <v>42719</v>
      </c>
      <c r="AE157" s="21">
        <f>IF(Tableau2[[#This Row],[PORTEUR
DE
PROJET]]="",0,IF(COUNTIF(Tableau2[[#This Row],[PORTEUR
DE
PROJET]],"CRA*")=1,,Tableau2[[#This Row],[Montant participation à signature]]*0.4))</f>
        <v>31071.600000000002</v>
      </c>
      <c r="AF157" s="6">
        <f>IF(Tableau2[[#This Row],[Date signature ]]="","",IF(Tableau2[[#This Row],[ACOMPTE PREVU]]=0,"",EOMONTH(EDATE(Tableau2[[#This Row],[Date signature ]],Tableau2[[#This Row],[Durée du projet]]/2),0)))</f>
        <v>42978</v>
      </c>
      <c r="AG157" s="21">
        <f>IF(Tableau2[[#This Row],[PORTEUR
DE
PROJET]]="",0,IF(COUNTIF(Tableau2[[#This Row],[PORTEUR
DE
PROJET]],"CRA*")=1,Tableau2[[#This Row],[Montant participation à signature]]/2,Tableau2[[#This Row],[Montant participation à signature]]*0.3))</f>
        <v>23303.7</v>
      </c>
      <c r="AH157" s="6">
        <f>IF(Tableau2[[#This Row],[Date signature ]]="","",EOMONTH(EDATE(Tableau2[[#This Row],[Date signature ]],Tableau2[[#This Row],[Durée du projet]]),0))</f>
        <v>43251</v>
      </c>
      <c r="AI157" s="29">
        <f>IF(COUNTBLANK(Tableau2[[#This Row],[Date du mandat Avance]])=1,,Tableau2[[#This Row],[AVANCE PREVUE]])</f>
        <v>23303.7</v>
      </c>
      <c r="AJ157" s="64">
        <v>42697</v>
      </c>
      <c r="AK157" s="2"/>
      <c r="AL157" s="6"/>
      <c r="AM157" s="6"/>
      <c r="AN157" s="17">
        <f>IF(COUNTBLANK(Tableau2[[#This Row],[Date envoi ASF Acompte]])=1,,Tableau2[[#This Row],[ACOMPTE PREVU]])</f>
        <v>0</v>
      </c>
      <c r="AO157" s="17"/>
      <c r="AP157" s="2"/>
      <c r="AQ157" s="6"/>
      <c r="AR157" s="6"/>
      <c r="AS157" s="17"/>
      <c r="AT157" s="17"/>
      <c r="AU157" s="20"/>
      <c r="AV157" s="17"/>
      <c r="AW157" s="17"/>
      <c r="AX157" s="17">
        <f>IF(Tableau2[[#This Row],[Montant participation voté au CA]]="",0,Tableau2[[#This Row],[Montant participation voté au CA]]-Tableau2[[#This Row],[Montant participation à signature]])</f>
        <v>0</v>
      </c>
      <c r="AY157" s="53">
        <v>77679</v>
      </c>
      <c r="AZ157" s="17">
        <f>Tableau2[[#This Row],[AVANCE VERSEE]]+Tableau2[[#This Row],[ACOMPTE VERSE]]+Tableau2[[#This Row],[SOLDE VERSE]]</f>
        <v>23303.7</v>
      </c>
      <c r="BA157" s="17">
        <f>IF(Tableau2[[#This Row],[STATUT]]="Soldée",0,Tableau2[[#This Row],[Montant participation à signature]]-Tableau2[[#This Row],[Total CP payés]])</f>
        <v>54375.3</v>
      </c>
      <c r="BB157" s="17">
        <f>IF(Tableau2[[#This Row],[SOLDE VERSE]]&lt;0,-Tableau2[[#This Row],[SOLDE VERSE]],0)</f>
        <v>0</v>
      </c>
      <c r="BC157" s="17">
        <f>IF(Tableau2[[#This Row],[STATUT]]="Soldée",Tableau2[[#This Row],[Montant participation à signature]]-Tableau2[[#This Row],[Total CP payés]],0)</f>
        <v>0</v>
      </c>
      <c r="BD157" s="17">
        <f>IF(Tableau2[[#This Row],[Montant participation voté au CA]]="",0,Tableau2[[#This Row],[Réfaction]]+Tableau2[[#This Row],[Montant des crédits non engagés]])</f>
        <v>0</v>
      </c>
      <c r="BF157"/>
      <c r="BJ157"/>
      <c r="BK157"/>
      <c r="BL157"/>
      <c r="BM157"/>
      <c r="BP157"/>
      <c r="BQ157"/>
      <c r="BR157"/>
      <c r="BS157"/>
      <c r="BT157"/>
      <c r="BU157"/>
      <c r="BV157"/>
      <c r="BW157"/>
      <c r="BX157"/>
      <c r="BY157"/>
      <c r="CA157"/>
      <c r="CB157"/>
    </row>
    <row r="158" spans="1:80" ht="15" customHeight="1" x14ac:dyDescent="0.25">
      <c r="A158" s="4">
        <v>160</v>
      </c>
      <c r="B158" s="36">
        <v>2911</v>
      </c>
      <c r="C158" s="63" t="s">
        <v>74</v>
      </c>
      <c r="D158" s="73" t="s">
        <v>154</v>
      </c>
      <c r="E158" s="38">
        <v>1</v>
      </c>
      <c r="F158" s="38" t="s">
        <v>60</v>
      </c>
      <c r="G158" s="96" t="s">
        <v>143</v>
      </c>
      <c r="H158" s="96" t="s">
        <v>144</v>
      </c>
      <c r="I158" s="40" t="s">
        <v>48</v>
      </c>
      <c r="J158" s="79"/>
      <c r="K158" s="72"/>
      <c r="L158" s="34"/>
      <c r="M158" s="35"/>
      <c r="N158" s="38">
        <v>36</v>
      </c>
      <c r="O158" s="37">
        <v>6</v>
      </c>
      <c r="P158" s="37">
        <f>IF(Tableau2[[#This Row],[Durée du projet]]="","-",Tableau2[[#This Row],[Durée du projet]]+Tableau2[[#This Row],[Durée suppl'' pour pièces]])</f>
        <v>42</v>
      </c>
      <c r="Q158" s="39">
        <v>42690</v>
      </c>
      <c r="R158" s="60">
        <v>42690</v>
      </c>
      <c r="S158" s="6">
        <f>IF(Tableau2[[#This Row],[Date signature ]]="","",EOMONTH((EDATE(Tableau2[[#This Row],[Début éligibilité dépenses]],Tableau2[[#This Row],[Durée du projet]])),-1))</f>
        <v>43769</v>
      </c>
      <c r="T158" s="6">
        <f>IF(Tableau2[[#This Row],[Fin éligibilité dépenses]]="","",EDATE(Tableau2[[#This Row],[Fin éligibilité dépenses]],-6))</f>
        <v>43585</v>
      </c>
      <c r="U158" s="6">
        <f>IF(Tableau2[[#This Row],[Début éligibilité dépenses]]="","",EOMONTH(EDATE(Tableau2[[#This Row],[Début éligibilité dépenses]],Tableau2[[#This Row],[Durée du projet]]/2),0))</f>
        <v>43251</v>
      </c>
      <c r="V158" s="59">
        <f>IF(Tableau2[[#This Row],[Date signature ]]="","",EDATE(Tableau2[[#This Row],[Date signature ]],Tableau2[[#This Row],[Durée totale conv'' ]])-1)</f>
        <v>43966</v>
      </c>
      <c r="W158" s="40" t="s">
        <v>21</v>
      </c>
      <c r="X158" s="2"/>
      <c r="Y158" s="40" t="s">
        <v>145</v>
      </c>
      <c r="Z158" s="2"/>
      <c r="AA158" s="2"/>
      <c r="AB158" s="19"/>
      <c r="AC158" s="21">
        <f>IF(Tableau2[[#This Row],[PORTEUR
DE
PROJET]]="",0,IF(COUNTIF(Tableau2[[#This Row],[PORTEUR
DE
PROJET]],"CRA*")=1,Tableau2[[#This Row],[Montant participation à signature]]/2,Tableau2[[#This Row],[Montant participation à signature]]*0.3))</f>
        <v>90000</v>
      </c>
      <c r="AD158" s="6">
        <f>IF(Tableau2[[#This Row],[Date signature ]]="","",EDATE(Tableau2[[#This Row],[Date signature ]],1))</f>
        <v>42720</v>
      </c>
      <c r="AE158" s="21">
        <f>IF(Tableau2[[#This Row],[PORTEUR
DE
PROJET]]="",0,IF(COUNTIF(Tableau2[[#This Row],[PORTEUR
DE
PROJET]],"CRA*")=1,,Tableau2[[#This Row],[Montant participation à signature]]*0.4))</f>
        <v>120000</v>
      </c>
      <c r="AF158" s="6">
        <f>IF(Tableau2[[#This Row],[Date signature ]]="","",IF(Tableau2[[#This Row],[ACOMPTE PREVU]]=0,"",EOMONTH(EDATE(Tableau2[[#This Row],[Date signature ]],Tableau2[[#This Row],[Durée du projet]]/2),0)))</f>
        <v>43251</v>
      </c>
      <c r="AG158" s="21">
        <f>IF(Tableau2[[#This Row],[PORTEUR
DE
PROJET]]="",0,IF(COUNTIF(Tableau2[[#This Row],[PORTEUR
DE
PROJET]],"CRA*")=1,Tableau2[[#This Row],[Montant participation à signature]]/2,Tableau2[[#This Row],[Montant participation à signature]]*0.3))</f>
        <v>90000</v>
      </c>
      <c r="AH158" s="6">
        <f>IF(Tableau2[[#This Row],[Date signature ]]="","",EOMONTH(EDATE(Tableau2[[#This Row],[Date signature ]],Tableau2[[#This Row],[Durée du projet]]),0))</f>
        <v>43799</v>
      </c>
      <c r="AI158" s="29">
        <f>IF(COUNTBLANK(Tableau2[[#This Row],[Date du mandat Avance]])=1,,Tableau2[[#This Row],[AVANCE PREVUE]])</f>
        <v>90000</v>
      </c>
      <c r="AJ158" s="64">
        <v>42697</v>
      </c>
      <c r="AK158" s="2"/>
      <c r="AL158" s="6"/>
      <c r="AM158" s="6"/>
      <c r="AN158" s="17">
        <f>IF(COUNTBLANK(Tableau2[[#This Row],[Date envoi ASF Acompte]])=1,,Tableau2[[#This Row],[ACOMPTE PREVU]])</f>
        <v>0</v>
      </c>
      <c r="AO158" s="17"/>
      <c r="AP158" s="2"/>
      <c r="AQ158" s="6"/>
      <c r="AR158" s="6"/>
      <c r="AS158" s="17"/>
      <c r="AT158" s="17"/>
      <c r="AU158" s="20"/>
      <c r="AV158" s="17"/>
      <c r="AW158" s="17"/>
      <c r="AX158" s="17">
        <f>IF(Tableau2[[#This Row],[Montant participation voté au CA]]="",0,Tableau2[[#This Row],[Montant participation voté au CA]]-Tableau2[[#This Row],[Montant participation à signature]])</f>
        <v>0</v>
      </c>
      <c r="AY158" s="54">
        <v>300000</v>
      </c>
      <c r="AZ158" s="17">
        <f>Tableau2[[#This Row],[AVANCE VERSEE]]+Tableau2[[#This Row],[ACOMPTE VERSE]]+Tableau2[[#This Row],[SOLDE VERSE]]</f>
        <v>90000</v>
      </c>
      <c r="BA158" s="17">
        <f>IF(Tableau2[[#This Row],[STATUT]]="Soldée",0,Tableau2[[#This Row],[Montant participation à signature]]-Tableau2[[#This Row],[Total CP payés]])</f>
        <v>210000</v>
      </c>
      <c r="BB158" s="17">
        <f>IF(Tableau2[[#This Row],[SOLDE VERSE]]&lt;0,-Tableau2[[#This Row],[SOLDE VERSE]],0)</f>
        <v>0</v>
      </c>
      <c r="BC158" s="17">
        <f>IF(Tableau2[[#This Row],[STATUT]]="Soldée",Tableau2[[#This Row],[Montant participation à signature]]-Tableau2[[#This Row],[Total CP payés]],0)</f>
        <v>0</v>
      </c>
      <c r="BD158" s="17">
        <f>IF(Tableau2[[#This Row],[Montant participation voté au CA]]="",0,Tableau2[[#This Row],[Réfaction]]+Tableau2[[#This Row],[Montant des crédits non engagés]])</f>
        <v>0</v>
      </c>
      <c r="BF158"/>
      <c r="BJ158"/>
      <c r="BK158"/>
      <c r="BL158"/>
      <c r="BM158"/>
      <c r="BP158"/>
      <c r="BQ158"/>
      <c r="BR158"/>
      <c r="BS158"/>
      <c r="BT158"/>
      <c r="BU158"/>
      <c r="BV158"/>
      <c r="BW158"/>
      <c r="BX158"/>
      <c r="BY158"/>
      <c r="CA158"/>
      <c r="CB158"/>
    </row>
    <row r="159" spans="1:80" ht="15" customHeight="1" x14ac:dyDescent="0.25">
      <c r="A159" s="4">
        <v>161</v>
      </c>
      <c r="B159" s="36">
        <v>2919</v>
      </c>
      <c r="C159" s="63" t="s">
        <v>74</v>
      </c>
      <c r="D159" s="73" t="s">
        <v>154</v>
      </c>
      <c r="E159" s="38">
        <v>4</v>
      </c>
      <c r="F159" s="38" t="s">
        <v>42</v>
      </c>
      <c r="G159" s="96" t="s">
        <v>143</v>
      </c>
      <c r="H159" s="96" t="s">
        <v>144</v>
      </c>
      <c r="I159" s="40" t="s">
        <v>48</v>
      </c>
      <c r="J159" s="79"/>
      <c r="K159" s="72"/>
      <c r="L159" s="34"/>
      <c r="M159" s="35"/>
      <c r="N159" s="3">
        <v>18</v>
      </c>
      <c r="O159" s="37">
        <v>6</v>
      </c>
      <c r="P159" s="37">
        <f>IF(Tableau2[[#This Row],[Durée du projet]]="","-",Tableau2[[#This Row],[Durée du projet]]+Tableau2[[#This Row],[Durée suppl'' pour pièces]])</f>
        <v>24</v>
      </c>
      <c r="Q159" s="39">
        <v>42692</v>
      </c>
      <c r="R159" s="60">
        <v>42692</v>
      </c>
      <c r="S159" s="6">
        <f>IF(Tableau2[[#This Row],[Date signature ]]="","",EOMONTH((EDATE(Tableau2[[#This Row],[Début éligibilité dépenses]],Tableau2[[#This Row],[Durée du projet]])),-1))</f>
        <v>43220</v>
      </c>
      <c r="T159" s="6">
        <f>IF(Tableau2[[#This Row],[Fin éligibilité dépenses]]="","",EDATE(Tableau2[[#This Row],[Fin éligibilité dépenses]],-6))</f>
        <v>43038</v>
      </c>
      <c r="U159" s="6">
        <f>IF(Tableau2[[#This Row],[Début éligibilité dépenses]]="","",EOMONTH(EDATE(Tableau2[[#This Row],[Début éligibilité dépenses]],Tableau2[[#This Row],[Durée du projet]]/2),0))</f>
        <v>42978</v>
      </c>
      <c r="V159" s="59">
        <f>IF(Tableau2[[#This Row],[Date signature ]]="","",EDATE(Tableau2[[#This Row],[Date signature ]],Tableau2[[#This Row],[Durée totale conv'' ]])-1)</f>
        <v>43421</v>
      </c>
      <c r="W159" s="40" t="s">
        <v>21</v>
      </c>
      <c r="X159" s="2"/>
      <c r="Y159" s="40" t="s">
        <v>145</v>
      </c>
      <c r="Z159" s="2"/>
      <c r="AA159" s="2"/>
      <c r="AB159" s="19"/>
      <c r="AC159" s="21">
        <f>IF(Tableau2[[#This Row],[PORTEUR
DE
PROJET]]="",0,IF(COUNTIF(Tableau2[[#This Row],[PORTEUR
DE
PROJET]],"CRA*")=1,Tableau2[[#This Row],[Montant participation à signature]]/2,Tableau2[[#This Row],[Montant participation à signature]]*0.3))</f>
        <v>9274.5</v>
      </c>
      <c r="AD159" s="6">
        <f>IF(Tableau2[[#This Row],[Date signature ]]="","",EDATE(Tableau2[[#This Row],[Date signature ]],1))</f>
        <v>42722</v>
      </c>
      <c r="AE159" s="21">
        <f>IF(Tableau2[[#This Row],[PORTEUR
DE
PROJET]]="",0,IF(COUNTIF(Tableau2[[#This Row],[PORTEUR
DE
PROJET]],"CRA*")=1,,Tableau2[[#This Row],[Montant participation à signature]]*0.4))</f>
        <v>12366</v>
      </c>
      <c r="AF159" s="6">
        <f>IF(Tableau2[[#This Row],[Date signature ]]="","",IF(Tableau2[[#This Row],[ACOMPTE PREVU]]=0,"",EOMONTH(EDATE(Tableau2[[#This Row],[Date signature ]],Tableau2[[#This Row],[Durée du projet]]/2),0)))</f>
        <v>42978</v>
      </c>
      <c r="AG159" s="21">
        <f>IF(Tableau2[[#This Row],[PORTEUR
DE
PROJET]]="",0,IF(COUNTIF(Tableau2[[#This Row],[PORTEUR
DE
PROJET]],"CRA*")=1,Tableau2[[#This Row],[Montant participation à signature]]/2,Tableau2[[#This Row],[Montant participation à signature]]*0.3))</f>
        <v>9274.5</v>
      </c>
      <c r="AH159" s="6">
        <f>IF(Tableau2[[#This Row],[Date signature ]]="","",EOMONTH(EDATE(Tableau2[[#This Row],[Date signature ]],Tableau2[[#This Row],[Durée du projet]]),0))</f>
        <v>43251</v>
      </c>
      <c r="AI159" s="29">
        <f>IF(COUNTBLANK(Tableau2[[#This Row],[Date du mandat Avance]])=1,,Tableau2[[#This Row],[AVANCE PREVUE]])</f>
        <v>9274.5</v>
      </c>
      <c r="AJ159" s="64">
        <v>42698</v>
      </c>
      <c r="AK159" s="2"/>
      <c r="AL159" s="6"/>
      <c r="AM159" s="6"/>
      <c r="AN159" s="17">
        <f>IF(COUNTBLANK(Tableau2[[#This Row],[Date envoi ASF Acompte]])=1,,Tableau2[[#This Row],[ACOMPTE PREVU]])</f>
        <v>0</v>
      </c>
      <c r="AO159" s="17"/>
      <c r="AP159" s="2"/>
      <c r="AQ159" s="6"/>
      <c r="AR159" s="6"/>
      <c r="AS159" s="17"/>
      <c r="AT159" s="17"/>
      <c r="AU159" s="20"/>
      <c r="AV159" s="17"/>
      <c r="AW159" s="17"/>
      <c r="AX159" s="17">
        <f>IF(Tableau2[[#This Row],[Montant participation voté au CA]]="",0,Tableau2[[#This Row],[Montant participation voté au CA]]-Tableau2[[#This Row],[Montant participation à signature]])</f>
        <v>0</v>
      </c>
      <c r="AY159" s="54">
        <v>30915</v>
      </c>
      <c r="AZ159" s="17">
        <f>Tableau2[[#This Row],[AVANCE VERSEE]]+Tableau2[[#This Row],[ACOMPTE VERSE]]+Tableau2[[#This Row],[SOLDE VERSE]]</f>
        <v>9274.5</v>
      </c>
      <c r="BA159" s="17">
        <f>IF(Tableau2[[#This Row],[STATUT]]="Soldée",0,Tableau2[[#This Row],[Montant participation à signature]]-Tableau2[[#This Row],[Total CP payés]])</f>
        <v>21640.5</v>
      </c>
      <c r="BB159" s="17">
        <f>IF(Tableau2[[#This Row],[SOLDE VERSE]]&lt;0,-Tableau2[[#This Row],[SOLDE VERSE]],0)</f>
        <v>0</v>
      </c>
      <c r="BC159" s="17">
        <f>IF(Tableau2[[#This Row],[STATUT]]="Soldée",Tableau2[[#This Row],[Montant participation à signature]]-Tableau2[[#This Row],[Total CP payés]],0)</f>
        <v>0</v>
      </c>
      <c r="BD159" s="17">
        <f>IF(Tableau2[[#This Row],[Montant participation voté au CA]]="",0,Tableau2[[#This Row],[Réfaction]]+Tableau2[[#This Row],[Montant des crédits non engagés]])</f>
        <v>0</v>
      </c>
      <c r="BF159"/>
      <c r="BJ159"/>
      <c r="BK159"/>
      <c r="BL159"/>
      <c r="BM159"/>
      <c r="BP159"/>
      <c r="BQ159"/>
      <c r="BR159"/>
      <c r="BS159"/>
      <c r="BT159"/>
      <c r="BU159"/>
      <c r="BV159"/>
      <c r="BW159"/>
      <c r="BX159"/>
      <c r="BY159"/>
      <c r="CA159"/>
      <c r="CB159"/>
    </row>
    <row r="160" spans="1:80" ht="15" customHeight="1" x14ac:dyDescent="0.25">
      <c r="A160" s="4">
        <v>162</v>
      </c>
      <c r="B160" s="36">
        <v>2920</v>
      </c>
      <c r="C160" s="63" t="s">
        <v>74</v>
      </c>
      <c r="D160" s="73" t="s">
        <v>154</v>
      </c>
      <c r="E160" s="38">
        <v>4</v>
      </c>
      <c r="F160" s="38" t="s">
        <v>42</v>
      </c>
      <c r="G160" s="96" t="s">
        <v>143</v>
      </c>
      <c r="H160" s="96" t="s">
        <v>144</v>
      </c>
      <c r="I160" s="40" t="s">
        <v>48</v>
      </c>
      <c r="J160" s="79"/>
      <c r="K160" s="72"/>
      <c r="L160" s="34"/>
      <c r="M160" s="35"/>
      <c r="N160" s="38">
        <v>8</v>
      </c>
      <c r="O160" s="37">
        <v>6</v>
      </c>
      <c r="P160" s="37">
        <f>IF(Tableau2[[#This Row],[Durée du projet]]="","-",Tableau2[[#This Row],[Durée du projet]]+Tableau2[[#This Row],[Durée suppl'' pour pièces]])</f>
        <v>14</v>
      </c>
      <c r="Q160" s="39">
        <v>42692</v>
      </c>
      <c r="R160" s="60">
        <v>42696</v>
      </c>
      <c r="S160" s="6">
        <f>IF(Tableau2[[#This Row],[Date signature ]]="","",EOMONTH((EDATE(Tableau2[[#This Row],[Début éligibilité dépenses]],Tableau2[[#This Row],[Durée du projet]])),-1))</f>
        <v>42916</v>
      </c>
      <c r="T160" s="6">
        <f>IF(Tableau2[[#This Row],[Fin éligibilité dépenses]]="","",EDATE(Tableau2[[#This Row],[Fin éligibilité dépenses]],-6))</f>
        <v>42734</v>
      </c>
      <c r="U160" s="6">
        <f>IF(Tableau2[[#This Row],[Début éligibilité dépenses]]="","",EOMONTH(EDATE(Tableau2[[#This Row],[Début éligibilité dépenses]],Tableau2[[#This Row],[Durée du projet]]/2),0))</f>
        <v>42825</v>
      </c>
      <c r="V160" s="59">
        <f>IF(Tableau2[[#This Row],[Date signature ]]="","",EDATE(Tableau2[[#This Row],[Date signature ]],Tableau2[[#This Row],[Durée totale conv'' ]])-1)</f>
        <v>43117</v>
      </c>
      <c r="W160" s="40" t="s">
        <v>21</v>
      </c>
      <c r="X160" s="2"/>
      <c r="Y160" s="40" t="s">
        <v>145</v>
      </c>
      <c r="Z160" s="2"/>
      <c r="AA160" s="2"/>
      <c r="AB160" s="19"/>
      <c r="AC160" s="21">
        <f>IF(Tableau2[[#This Row],[PORTEUR
DE
PROJET]]="",0,IF(COUNTIF(Tableau2[[#This Row],[PORTEUR
DE
PROJET]],"CRA*")=1,Tableau2[[#This Row],[Montant participation à signature]]/2,Tableau2[[#This Row],[Montant participation à signature]]*0.3))</f>
        <v>7500</v>
      </c>
      <c r="AD160" s="6">
        <f>IF(Tableau2[[#This Row],[Date signature ]]="","",EDATE(Tableau2[[#This Row],[Date signature ]],1))</f>
        <v>42722</v>
      </c>
      <c r="AE160" s="21">
        <f>IF(Tableau2[[#This Row],[PORTEUR
DE
PROJET]]="",0,IF(COUNTIF(Tableau2[[#This Row],[PORTEUR
DE
PROJET]],"CRA*")=1,,Tableau2[[#This Row],[Montant participation à signature]]*0.4))</f>
        <v>10000</v>
      </c>
      <c r="AF160" s="6">
        <f>IF(Tableau2[[#This Row],[Date signature ]]="","",IF(Tableau2[[#This Row],[ACOMPTE PREVU]]=0,"",EOMONTH(EDATE(Tableau2[[#This Row],[Date signature ]],Tableau2[[#This Row],[Durée du projet]]/2),0)))</f>
        <v>42825</v>
      </c>
      <c r="AG160" s="21">
        <f>IF(Tableau2[[#This Row],[PORTEUR
DE
PROJET]]="",0,IF(COUNTIF(Tableau2[[#This Row],[PORTEUR
DE
PROJET]],"CRA*")=1,Tableau2[[#This Row],[Montant participation à signature]]/2,Tableau2[[#This Row],[Montant participation à signature]]*0.3))</f>
        <v>7500</v>
      </c>
      <c r="AH160" s="6">
        <f>IF(Tableau2[[#This Row],[Date signature ]]="","",EOMONTH(EDATE(Tableau2[[#This Row],[Date signature ]],Tableau2[[#This Row],[Durée du projet]]),0))</f>
        <v>42947</v>
      </c>
      <c r="AI160" s="29">
        <f>IF(COUNTBLANK(Tableau2[[#This Row],[Date du mandat Avance]])=1,,Tableau2[[#This Row],[AVANCE PREVUE]])</f>
        <v>7500</v>
      </c>
      <c r="AJ160" s="64">
        <v>42698</v>
      </c>
      <c r="AK160" s="2"/>
      <c r="AL160" s="6"/>
      <c r="AM160" s="6"/>
      <c r="AN160" s="17">
        <f>IF(COUNTBLANK(Tableau2[[#This Row],[Date envoi ASF Acompte]])=1,,Tableau2[[#This Row],[ACOMPTE PREVU]])</f>
        <v>0</v>
      </c>
      <c r="AO160" s="17"/>
      <c r="AP160" s="2"/>
      <c r="AQ160" s="6"/>
      <c r="AR160" s="6"/>
      <c r="AS160" s="17"/>
      <c r="AT160" s="17"/>
      <c r="AU160" s="20"/>
      <c r="AV160" s="17"/>
      <c r="AW160" s="17"/>
      <c r="AX160" s="17">
        <f>IF(Tableau2[[#This Row],[Montant participation voté au CA]]="",0,Tableau2[[#This Row],[Montant participation voté au CA]]-Tableau2[[#This Row],[Montant participation à signature]])</f>
        <v>0</v>
      </c>
      <c r="AY160" s="54">
        <v>25000</v>
      </c>
      <c r="AZ160" s="17">
        <f>Tableau2[[#This Row],[AVANCE VERSEE]]+Tableau2[[#This Row],[ACOMPTE VERSE]]+Tableau2[[#This Row],[SOLDE VERSE]]</f>
        <v>7500</v>
      </c>
      <c r="BA160" s="17">
        <f>IF(Tableau2[[#This Row],[STATUT]]="Soldée",0,Tableau2[[#This Row],[Montant participation à signature]]-Tableau2[[#This Row],[Total CP payés]])</f>
        <v>17500</v>
      </c>
      <c r="BB160" s="17">
        <f>IF(Tableau2[[#This Row],[SOLDE VERSE]]&lt;0,-Tableau2[[#This Row],[SOLDE VERSE]],0)</f>
        <v>0</v>
      </c>
      <c r="BC160" s="17">
        <f>IF(Tableau2[[#This Row],[STATUT]]="Soldée",Tableau2[[#This Row],[Montant participation à signature]]-Tableau2[[#This Row],[Total CP payés]],0)</f>
        <v>0</v>
      </c>
      <c r="BD160" s="17">
        <f>IF(Tableau2[[#This Row],[Montant participation voté au CA]]="",0,Tableau2[[#This Row],[Réfaction]]+Tableau2[[#This Row],[Montant des crédits non engagés]])</f>
        <v>0</v>
      </c>
      <c r="BF160"/>
      <c r="BJ160"/>
      <c r="BK160"/>
      <c r="BL160"/>
      <c r="BM160"/>
      <c r="BP160"/>
      <c r="BQ160"/>
      <c r="BR160"/>
      <c r="BS160"/>
      <c r="BT160"/>
      <c r="BU160"/>
      <c r="BV160"/>
      <c r="BW160"/>
      <c r="BX160"/>
      <c r="BY160"/>
      <c r="CA160"/>
      <c r="CB160"/>
    </row>
    <row r="161" spans="1:80" ht="15" customHeight="1" x14ac:dyDescent="0.25">
      <c r="A161" s="4">
        <v>163</v>
      </c>
      <c r="B161" s="36">
        <v>2921</v>
      </c>
      <c r="C161" s="63" t="s">
        <v>74</v>
      </c>
      <c r="D161" s="73" t="s">
        <v>154</v>
      </c>
      <c r="E161" s="38">
        <v>1</v>
      </c>
      <c r="F161" s="38">
        <v>4</v>
      </c>
      <c r="G161" s="96" t="s">
        <v>143</v>
      </c>
      <c r="H161" s="96" t="s">
        <v>144</v>
      </c>
      <c r="I161" s="40" t="s">
        <v>48</v>
      </c>
      <c r="J161" s="79"/>
      <c r="K161" s="72"/>
      <c r="L161" s="34"/>
      <c r="M161" s="35"/>
      <c r="N161" s="38">
        <v>18</v>
      </c>
      <c r="O161" s="37">
        <v>6</v>
      </c>
      <c r="P161" s="37">
        <f>IF(Tableau2[[#This Row],[Durée du projet]]="","-",Tableau2[[#This Row],[Durée du projet]]+Tableau2[[#This Row],[Durée suppl'' pour pièces]])</f>
        <v>24</v>
      </c>
      <c r="Q161" s="39">
        <v>42696</v>
      </c>
      <c r="R161" s="60">
        <v>42696</v>
      </c>
      <c r="S161" s="6">
        <f>IF(Tableau2[[#This Row],[Date signature ]]="","",EOMONTH((EDATE(Tableau2[[#This Row],[Début éligibilité dépenses]],Tableau2[[#This Row],[Durée du projet]])),-1))</f>
        <v>43220</v>
      </c>
      <c r="T161" s="6">
        <f>IF(Tableau2[[#This Row],[Fin éligibilité dépenses]]="","",EDATE(Tableau2[[#This Row],[Fin éligibilité dépenses]],-6))</f>
        <v>43038</v>
      </c>
      <c r="U161" s="6">
        <f>IF(Tableau2[[#This Row],[Début éligibilité dépenses]]="","",EOMONTH(EDATE(Tableau2[[#This Row],[Début éligibilité dépenses]],Tableau2[[#This Row],[Durée du projet]]/2),0))</f>
        <v>42978</v>
      </c>
      <c r="V161" s="59">
        <f>IF(Tableau2[[#This Row],[Date signature ]]="","",EDATE(Tableau2[[#This Row],[Date signature ]],Tableau2[[#This Row],[Durée totale conv'' ]])-1)</f>
        <v>43425</v>
      </c>
      <c r="W161" s="40" t="s">
        <v>21</v>
      </c>
      <c r="X161" s="2"/>
      <c r="Y161" s="40" t="s">
        <v>145</v>
      </c>
      <c r="Z161" s="2"/>
      <c r="AA161" s="2"/>
      <c r="AB161" s="19"/>
      <c r="AC161" s="21">
        <f>IF(Tableau2[[#This Row],[PORTEUR
DE
PROJET]]="",0,IF(COUNTIF(Tableau2[[#This Row],[PORTEUR
DE
PROJET]],"CRA*")=1,Tableau2[[#This Row],[Montant participation à signature]]/2,Tableau2[[#This Row],[Montant participation à signature]]*0.3))</f>
        <v>51450</v>
      </c>
      <c r="AD161" s="6">
        <f>IF(Tableau2[[#This Row],[Date signature ]]="","",EDATE(Tableau2[[#This Row],[Date signature ]],1))</f>
        <v>42726</v>
      </c>
      <c r="AE161" s="21">
        <f>IF(Tableau2[[#This Row],[PORTEUR
DE
PROJET]]="",0,IF(COUNTIF(Tableau2[[#This Row],[PORTEUR
DE
PROJET]],"CRA*")=1,,Tableau2[[#This Row],[Montant participation à signature]]*0.4))</f>
        <v>68600</v>
      </c>
      <c r="AF161" s="6">
        <f>IF(Tableau2[[#This Row],[Date signature ]]="","",IF(Tableau2[[#This Row],[ACOMPTE PREVU]]=0,"",EOMONTH(EDATE(Tableau2[[#This Row],[Date signature ]],Tableau2[[#This Row],[Durée du projet]]/2),0)))</f>
        <v>42978</v>
      </c>
      <c r="AG161" s="21">
        <f>IF(Tableau2[[#This Row],[PORTEUR
DE
PROJET]]="",0,IF(COUNTIF(Tableau2[[#This Row],[PORTEUR
DE
PROJET]],"CRA*")=1,Tableau2[[#This Row],[Montant participation à signature]]/2,Tableau2[[#This Row],[Montant participation à signature]]*0.3))</f>
        <v>51450</v>
      </c>
      <c r="AH161" s="6">
        <f>IF(Tableau2[[#This Row],[Date signature ]]="","",EOMONTH(EDATE(Tableau2[[#This Row],[Date signature ]],Tableau2[[#This Row],[Durée du projet]]),0))</f>
        <v>43251</v>
      </c>
      <c r="AI161" s="29">
        <f>IF(COUNTBLANK(Tableau2[[#This Row],[Date du mandat Avance]])=1,,Tableau2[[#This Row],[AVANCE PREVUE]])</f>
        <v>51450</v>
      </c>
      <c r="AJ161" s="64">
        <v>42698</v>
      </c>
      <c r="AK161" s="2"/>
      <c r="AL161" s="6"/>
      <c r="AM161" s="6"/>
      <c r="AN161" s="17">
        <f>IF(COUNTBLANK(Tableau2[[#This Row],[Date envoi ASF Acompte]])=1,,Tableau2[[#This Row],[ACOMPTE PREVU]])</f>
        <v>0</v>
      </c>
      <c r="AO161" s="17"/>
      <c r="AP161" s="2"/>
      <c r="AQ161" s="6"/>
      <c r="AR161" s="6"/>
      <c r="AS161" s="17"/>
      <c r="AT161" s="17"/>
      <c r="AU161" s="20"/>
      <c r="AV161" s="17"/>
      <c r="AW161" s="17"/>
      <c r="AX161" s="17">
        <f>IF(Tableau2[[#This Row],[Montant participation voté au CA]]="",0,Tableau2[[#This Row],[Montant participation voté au CA]]-Tableau2[[#This Row],[Montant participation à signature]])</f>
        <v>0</v>
      </c>
      <c r="AY161" s="54">
        <v>171500</v>
      </c>
      <c r="AZ161" s="17">
        <f>Tableau2[[#This Row],[AVANCE VERSEE]]+Tableau2[[#This Row],[ACOMPTE VERSE]]+Tableau2[[#This Row],[SOLDE VERSE]]</f>
        <v>51450</v>
      </c>
      <c r="BA161" s="17">
        <f>IF(Tableau2[[#This Row],[STATUT]]="Soldée",0,Tableau2[[#This Row],[Montant participation à signature]]-Tableau2[[#This Row],[Total CP payés]])</f>
        <v>120050</v>
      </c>
      <c r="BB161" s="17">
        <f>IF(Tableau2[[#This Row],[SOLDE VERSE]]&lt;0,-Tableau2[[#This Row],[SOLDE VERSE]],0)</f>
        <v>0</v>
      </c>
      <c r="BC161" s="17">
        <f>IF(Tableau2[[#This Row],[STATUT]]="Soldée",Tableau2[[#This Row],[Montant participation à signature]]-Tableau2[[#This Row],[Total CP payés]],0)</f>
        <v>0</v>
      </c>
      <c r="BD161" s="17">
        <f>IF(Tableau2[[#This Row],[Montant participation voté au CA]]="",0,Tableau2[[#This Row],[Réfaction]]+Tableau2[[#This Row],[Montant des crédits non engagés]])</f>
        <v>0</v>
      </c>
      <c r="BF161"/>
      <c r="BJ161"/>
      <c r="BK161"/>
      <c r="BL161"/>
      <c r="BM161"/>
      <c r="BP161"/>
      <c r="BQ161"/>
      <c r="BR161"/>
      <c r="BS161"/>
      <c r="BT161"/>
      <c r="BU161"/>
      <c r="BV161"/>
      <c r="BW161"/>
      <c r="BX161"/>
      <c r="BY161"/>
      <c r="CA161"/>
      <c r="CB161"/>
    </row>
    <row r="162" spans="1:80" ht="15" customHeight="1" x14ac:dyDescent="0.25">
      <c r="A162" s="4">
        <v>164</v>
      </c>
      <c r="B162" s="36">
        <v>2922</v>
      </c>
      <c r="C162" s="63" t="s">
        <v>74</v>
      </c>
      <c r="D162" s="73" t="s">
        <v>154</v>
      </c>
      <c r="E162" s="38">
        <v>3</v>
      </c>
      <c r="F162" s="38">
        <v>12</v>
      </c>
      <c r="G162" s="96" t="s">
        <v>143</v>
      </c>
      <c r="H162" s="96" t="s">
        <v>144</v>
      </c>
      <c r="I162" s="40" t="s">
        <v>48</v>
      </c>
      <c r="J162" s="79"/>
      <c r="K162" s="72"/>
      <c r="L162" s="34"/>
      <c r="M162" s="35"/>
      <c r="N162" s="38">
        <v>36</v>
      </c>
      <c r="O162" s="37">
        <v>6</v>
      </c>
      <c r="P162" s="37">
        <f>IF(Tableau2[[#This Row],[Durée du projet]]="","-",Tableau2[[#This Row],[Durée du projet]]+Tableau2[[#This Row],[Durée suppl'' pour pièces]])</f>
        <v>42</v>
      </c>
      <c r="Q162" s="39">
        <v>42696</v>
      </c>
      <c r="R162" s="60">
        <v>42695</v>
      </c>
      <c r="S162" s="6">
        <f>IF(Tableau2[[#This Row],[Date signature ]]="","",EOMONTH((EDATE(Tableau2[[#This Row],[Début éligibilité dépenses]],Tableau2[[#This Row],[Durée du projet]])),-1))</f>
        <v>43769</v>
      </c>
      <c r="T162" s="6">
        <f>IF(Tableau2[[#This Row],[Fin éligibilité dépenses]]="","",EDATE(Tableau2[[#This Row],[Fin éligibilité dépenses]],-6))</f>
        <v>43585</v>
      </c>
      <c r="U162" s="6">
        <f>IF(Tableau2[[#This Row],[Début éligibilité dépenses]]="","",EOMONTH(EDATE(Tableau2[[#This Row],[Début éligibilité dépenses]],Tableau2[[#This Row],[Durée du projet]]/2),0))</f>
        <v>43251</v>
      </c>
      <c r="V162" s="59">
        <f>IF(Tableau2[[#This Row],[Date signature ]]="","",EDATE(Tableau2[[#This Row],[Date signature ]],Tableau2[[#This Row],[Durée totale conv'' ]])-1)</f>
        <v>43972</v>
      </c>
      <c r="W162" s="40" t="s">
        <v>21</v>
      </c>
      <c r="X162" s="2"/>
      <c r="Y162" s="40" t="s">
        <v>145</v>
      </c>
      <c r="Z162" s="2"/>
      <c r="AA162" s="2"/>
      <c r="AB162" s="19"/>
      <c r="AC162" s="21">
        <f>IF(Tableau2[[#This Row],[PORTEUR
DE
PROJET]]="",0,IF(COUNTIF(Tableau2[[#This Row],[PORTEUR
DE
PROJET]],"CRA*")=1,Tableau2[[#This Row],[Montant participation à signature]]/2,Tableau2[[#This Row],[Montant participation à signature]]*0.3))</f>
        <v>64151.61</v>
      </c>
      <c r="AD162" s="6">
        <f>IF(Tableau2[[#This Row],[Date signature ]]="","",EDATE(Tableau2[[#This Row],[Date signature ]],1))</f>
        <v>42726</v>
      </c>
      <c r="AE162" s="21">
        <f>IF(Tableau2[[#This Row],[PORTEUR
DE
PROJET]]="",0,IF(COUNTIF(Tableau2[[#This Row],[PORTEUR
DE
PROJET]],"CRA*")=1,,Tableau2[[#This Row],[Montant participation à signature]]*0.4))</f>
        <v>85535.48000000001</v>
      </c>
      <c r="AF162" s="6">
        <f>IF(Tableau2[[#This Row],[Date signature ]]="","",IF(Tableau2[[#This Row],[ACOMPTE PREVU]]=0,"",EOMONTH(EDATE(Tableau2[[#This Row],[Date signature ]],Tableau2[[#This Row],[Durée du projet]]/2),0)))</f>
        <v>43251</v>
      </c>
      <c r="AG162" s="21">
        <f>IF(Tableau2[[#This Row],[PORTEUR
DE
PROJET]]="",0,IF(COUNTIF(Tableau2[[#This Row],[PORTEUR
DE
PROJET]],"CRA*")=1,Tableau2[[#This Row],[Montant participation à signature]]/2,Tableau2[[#This Row],[Montant participation à signature]]*0.3))</f>
        <v>64151.61</v>
      </c>
      <c r="AH162" s="6">
        <f>IF(Tableau2[[#This Row],[Date signature ]]="","",EOMONTH(EDATE(Tableau2[[#This Row],[Date signature ]],Tableau2[[#This Row],[Durée du projet]]),0))</f>
        <v>43799</v>
      </c>
      <c r="AI162" s="29">
        <f>IF(COUNTBLANK(Tableau2[[#This Row],[Date du mandat Avance]])=1,,Tableau2[[#This Row],[AVANCE PREVUE]])</f>
        <v>64151.61</v>
      </c>
      <c r="AJ162" s="64">
        <v>42704</v>
      </c>
      <c r="AK162" s="2"/>
      <c r="AL162" s="6"/>
      <c r="AM162" s="6"/>
      <c r="AN162" s="17">
        <f>IF(COUNTBLANK(Tableau2[[#This Row],[Date envoi ASF Acompte]])=1,,Tableau2[[#This Row],[ACOMPTE PREVU]])</f>
        <v>0</v>
      </c>
      <c r="AO162" s="17"/>
      <c r="AP162" s="2"/>
      <c r="AQ162" s="6"/>
      <c r="AR162" s="6"/>
      <c r="AS162" s="17"/>
      <c r="AT162" s="17"/>
      <c r="AU162" s="20"/>
      <c r="AV162" s="17"/>
      <c r="AW162" s="17"/>
      <c r="AX162" s="17">
        <f>IF(Tableau2[[#This Row],[Montant participation voté au CA]]="",0,Tableau2[[#This Row],[Montant participation voté au CA]]-Tableau2[[#This Row],[Montant participation à signature]])</f>
        <v>0</v>
      </c>
      <c r="AY162" s="54">
        <v>213838.7</v>
      </c>
      <c r="AZ162" s="17">
        <f>Tableau2[[#This Row],[AVANCE VERSEE]]+Tableau2[[#This Row],[ACOMPTE VERSE]]+Tableau2[[#This Row],[SOLDE VERSE]]</f>
        <v>64151.61</v>
      </c>
      <c r="BA162" s="17">
        <f>IF(Tableau2[[#This Row],[STATUT]]="Soldée",0,Tableau2[[#This Row],[Montant participation à signature]]-Tableau2[[#This Row],[Total CP payés]])</f>
        <v>149687.09000000003</v>
      </c>
      <c r="BB162" s="17">
        <f>IF(Tableau2[[#This Row],[SOLDE VERSE]]&lt;0,-Tableau2[[#This Row],[SOLDE VERSE]],0)</f>
        <v>0</v>
      </c>
      <c r="BC162" s="17">
        <f>IF(Tableau2[[#This Row],[STATUT]]="Soldée",Tableau2[[#This Row],[Montant participation à signature]]-Tableau2[[#This Row],[Total CP payés]],0)</f>
        <v>0</v>
      </c>
      <c r="BD162" s="17">
        <f>IF(Tableau2[[#This Row],[Montant participation voté au CA]]="",0,Tableau2[[#This Row],[Réfaction]]+Tableau2[[#This Row],[Montant des crédits non engagés]])</f>
        <v>0</v>
      </c>
      <c r="BF162"/>
      <c r="BJ162"/>
      <c r="BK162"/>
      <c r="BL162"/>
      <c r="BM162"/>
      <c r="BP162"/>
      <c r="BQ162"/>
      <c r="BR162"/>
      <c r="BS162"/>
      <c r="BT162"/>
      <c r="BU162"/>
      <c r="BV162"/>
      <c r="BW162"/>
      <c r="BX162"/>
      <c r="BY162"/>
      <c r="CA162"/>
      <c r="CB162"/>
    </row>
    <row r="163" spans="1:80" ht="15" customHeight="1" x14ac:dyDescent="0.25">
      <c r="A163" s="4">
        <v>165</v>
      </c>
      <c r="B163" s="36">
        <v>2923</v>
      </c>
      <c r="C163" s="63" t="s">
        <v>74</v>
      </c>
      <c r="D163" s="73" t="s">
        <v>154</v>
      </c>
      <c r="E163" s="38">
        <v>4</v>
      </c>
      <c r="F163" s="38" t="s">
        <v>42</v>
      </c>
      <c r="G163" s="96" t="s">
        <v>143</v>
      </c>
      <c r="H163" s="96" t="s">
        <v>144</v>
      </c>
      <c r="I163" s="40" t="s">
        <v>48</v>
      </c>
      <c r="J163" s="79"/>
      <c r="K163" s="72"/>
      <c r="L163" s="34"/>
      <c r="M163" s="35"/>
      <c r="N163" s="3">
        <v>12</v>
      </c>
      <c r="O163" s="37">
        <v>6</v>
      </c>
      <c r="P163" s="37">
        <f>IF(Tableau2[[#This Row],[Durée du projet]]="","-",Tableau2[[#This Row],[Durée du projet]]+Tableau2[[#This Row],[Durée suppl'' pour pièces]])</f>
        <v>18</v>
      </c>
      <c r="Q163" s="39">
        <v>42695</v>
      </c>
      <c r="R163" s="60">
        <v>42695</v>
      </c>
      <c r="S163" s="6">
        <f>IF(Tableau2[[#This Row],[Date signature ]]="","",EOMONTH((EDATE(Tableau2[[#This Row],[Début éligibilité dépenses]],Tableau2[[#This Row],[Durée du projet]])),-1))</f>
        <v>43039</v>
      </c>
      <c r="T163" s="6">
        <f>IF(Tableau2[[#This Row],[Fin éligibilité dépenses]]="","",EDATE(Tableau2[[#This Row],[Fin éligibilité dépenses]],-6))</f>
        <v>42855</v>
      </c>
      <c r="U163" s="6">
        <f>IF(Tableau2[[#This Row],[Début éligibilité dépenses]]="","",EOMONTH(EDATE(Tableau2[[#This Row],[Début éligibilité dépenses]],Tableau2[[#This Row],[Durée du projet]]/2),0))</f>
        <v>42886</v>
      </c>
      <c r="V163" s="59">
        <f>IF(Tableau2[[#This Row],[Date signature ]]="","",EDATE(Tableau2[[#This Row],[Date signature ]],Tableau2[[#This Row],[Durée totale conv'' ]])-1)</f>
        <v>43240</v>
      </c>
      <c r="W163" s="40" t="s">
        <v>21</v>
      </c>
      <c r="X163" s="2"/>
      <c r="Y163" s="40" t="s">
        <v>145</v>
      </c>
      <c r="Z163" s="2"/>
      <c r="AA163" s="2"/>
      <c r="AB163" s="19"/>
      <c r="AC163" s="21">
        <f>IF(Tableau2[[#This Row],[PORTEUR
DE
PROJET]]="",0,IF(COUNTIF(Tableau2[[#This Row],[PORTEUR
DE
PROJET]],"CRA*")=1,Tableau2[[#This Row],[Montant participation à signature]]/2,Tableau2[[#This Row],[Montant participation à signature]]*0.3))</f>
        <v>18337.5</v>
      </c>
      <c r="AD163" s="6">
        <f>IF(Tableau2[[#This Row],[Date signature ]]="","",EDATE(Tableau2[[#This Row],[Date signature ]],1))</f>
        <v>42725</v>
      </c>
      <c r="AE163" s="21">
        <f>IF(Tableau2[[#This Row],[PORTEUR
DE
PROJET]]="",0,IF(COUNTIF(Tableau2[[#This Row],[PORTEUR
DE
PROJET]],"CRA*")=1,,Tableau2[[#This Row],[Montant participation à signature]]*0.4))</f>
        <v>24450</v>
      </c>
      <c r="AF163" s="6">
        <f>IF(Tableau2[[#This Row],[Date signature ]]="","",IF(Tableau2[[#This Row],[ACOMPTE PREVU]]=0,"",EOMONTH(EDATE(Tableau2[[#This Row],[Date signature ]],Tableau2[[#This Row],[Durée du projet]]/2),0)))</f>
        <v>42886</v>
      </c>
      <c r="AG163" s="21">
        <f>IF(Tableau2[[#This Row],[PORTEUR
DE
PROJET]]="",0,IF(COUNTIF(Tableau2[[#This Row],[PORTEUR
DE
PROJET]],"CRA*")=1,Tableau2[[#This Row],[Montant participation à signature]]/2,Tableau2[[#This Row],[Montant participation à signature]]*0.3))</f>
        <v>18337.5</v>
      </c>
      <c r="AH163" s="6">
        <f>IF(Tableau2[[#This Row],[Date signature ]]="","",EOMONTH(EDATE(Tableau2[[#This Row],[Date signature ]],Tableau2[[#This Row],[Durée du projet]]),0))</f>
        <v>43069</v>
      </c>
      <c r="AI163" s="29">
        <f>IF(COUNTBLANK(Tableau2[[#This Row],[Date du mandat Avance]])=1,,Tableau2[[#This Row],[AVANCE PREVUE]])</f>
        <v>18337.5</v>
      </c>
      <c r="AJ163" s="64" t="s">
        <v>71</v>
      </c>
      <c r="AK163" s="2"/>
      <c r="AL163" s="6"/>
      <c r="AM163" s="6"/>
      <c r="AN163" s="17">
        <f>IF(COUNTBLANK(Tableau2[[#This Row],[Date envoi ASF Acompte]])=1,,Tableau2[[#This Row],[ACOMPTE PREVU]])</f>
        <v>0</v>
      </c>
      <c r="AO163" s="17"/>
      <c r="AP163" s="2"/>
      <c r="AQ163" s="6"/>
      <c r="AR163" s="6"/>
      <c r="AS163" s="17"/>
      <c r="AT163" s="17"/>
      <c r="AU163" s="20"/>
      <c r="AV163" s="17"/>
      <c r="AW163" s="17"/>
      <c r="AX163" s="17">
        <f>IF(Tableau2[[#This Row],[Montant participation voté au CA]]="",0,Tableau2[[#This Row],[Montant participation voté au CA]]-Tableau2[[#This Row],[Montant participation à signature]])</f>
        <v>0</v>
      </c>
      <c r="AY163" s="54">
        <v>61125</v>
      </c>
      <c r="AZ163" s="17">
        <f>Tableau2[[#This Row],[AVANCE VERSEE]]+Tableau2[[#This Row],[ACOMPTE VERSE]]+Tableau2[[#This Row],[SOLDE VERSE]]</f>
        <v>18337.5</v>
      </c>
      <c r="BA163" s="17">
        <f>IF(Tableau2[[#This Row],[STATUT]]="Soldée",0,Tableau2[[#This Row],[Montant participation à signature]]-Tableau2[[#This Row],[Total CP payés]])</f>
        <v>42787.5</v>
      </c>
      <c r="BB163" s="17">
        <f>IF(Tableau2[[#This Row],[SOLDE VERSE]]&lt;0,-Tableau2[[#This Row],[SOLDE VERSE]],0)</f>
        <v>0</v>
      </c>
      <c r="BC163" s="17">
        <f>IF(Tableau2[[#This Row],[STATUT]]="Soldée",Tableau2[[#This Row],[Montant participation à signature]]-Tableau2[[#This Row],[Total CP payés]],0)</f>
        <v>0</v>
      </c>
      <c r="BD163" s="17">
        <f>IF(Tableau2[[#This Row],[Montant participation voté au CA]]="",0,Tableau2[[#This Row],[Réfaction]]+Tableau2[[#This Row],[Montant des crédits non engagés]])</f>
        <v>0</v>
      </c>
      <c r="BF163"/>
      <c r="BJ163"/>
      <c r="BK163"/>
      <c r="BL163"/>
      <c r="BM163"/>
      <c r="BP163"/>
      <c r="BQ163"/>
      <c r="BR163"/>
      <c r="BS163"/>
      <c r="BT163"/>
      <c r="BU163"/>
      <c r="BV163"/>
      <c r="BW163"/>
      <c r="BX163"/>
      <c r="BY163"/>
      <c r="CA163"/>
      <c r="CB163"/>
    </row>
    <row r="164" spans="1:80" ht="15" customHeight="1" x14ac:dyDescent="0.25">
      <c r="A164" s="4">
        <v>166</v>
      </c>
      <c r="B164" s="36">
        <v>2924</v>
      </c>
      <c r="C164" s="63" t="s">
        <v>74</v>
      </c>
      <c r="D164" s="73" t="s">
        <v>154</v>
      </c>
      <c r="E164" s="38">
        <v>3</v>
      </c>
      <c r="F164" s="38">
        <v>13</v>
      </c>
      <c r="G164" s="96" t="s">
        <v>143</v>
      </c>
      <c r="H164" s="96" t="s">
        <v>144</v>
      </c>
      <c r="I164" s="40" t="s">
        <v>48</v>
      </c>
      <c r="J164" s="79"/>
      <c r="K164" s="72"/>
      <c r="L164" s="34"/>
      <c r="M164" s="35"/>
      <c r="N164" s="38">
        <v>36</v>
      </c>
      <c r="O164" s="37">
        <v>6</v>
      </c>
      <c r="P164" s="37">
        <f>IF(Tableau2[[#This Row],[Durée du projet]]="","-",Tableau2[[#This Row],[Durée du projet]]+Tableau2[[#This Row],[Durée suppl'' pour pièces]])</f>
        <v>42</v>
      </c>
      <c r="Q164" s="39">
        <v>42696</v>
      </c>
      <c r="R164" s="60">
        <v>42696</v>
      </c>
      <c r="S164" s="6">
        <f>IF(Tableau2[[#This Row],[Date signature ]]="","",EOMONTH((EDATE(Tableau2[[#This Row],[Début éligibilité dépenses]],Tableau2[[#This Row],[Durée du projet]])),-1))</f>
        <v>43769</v>
      </c>
      <c r="T164" s="6">
        <f>IF(Tableau2[[#This Row],[Fin éligibilité dépenses]]="","",EDATE(Tableau2[[#This Row],[Fin éligibilité dépenses]],-6))</f>
        <v>43585</v>
      </c>
      <c r="U164" s="6">
        <f>IF(Tableau2[[#This Row],[Début éligibilité dépenses]]="","",EOMONTH(EDATE(Tableau2[[#This Row],[Début éligibilité dépenses]],Tableau2[[#This Row],[Durée du projet]]/2),0))</f>
        <v>43251</v>
      </c>
      <c r="V164" s="59">
        <f>IF(Tableau2[[#This Row],[Date signature ]]="","",EDATE(Tableau2[[#This Row],[Date signature ]],Tableau2[[#This Row],[Durée totale conv'' ]])-1)</f>
        <v>43972</v>
      </c>
      <c r="W164" s="40" t="s">
        <v>21</v>
      </c>
      <c r="X164" s="2"/>
      <c r="Y164" s="40" t="s">
        <v>145</v>
      </c>
      <c r="Z164" s="2"/>
      <c r="AA164" s="2"/>
      <c r="AB164" s="19"/>
      <c r="AC164" s="21">
        <f>IF(Tableau2[[#This Row],[PORTEUR
DE
PROJET]]="",0,IF(COUNTIF(Tableau2[[#This Row],[PORTEUR
DE
PROJET]],"CRA*")=1,Tableau2[[#This Row],[Montant participation à signature]]/2,Tableau2[[#This Row],[Montant participation à signature]]*0.3))</f>
        <v>40224</v>
      </c>
      <c r="AD164" s="6">
        <f>IF(Tableau2[[#This Row],[Date signature ]]="","",EDATE(Tableau2[[#This Row],[Date signature ]],1))</f>
        <v>42726</v>
      </c>
      <c r="AE164" s="21">
        <f>IF(Tableau2[[#This Row],[PORTEUR
DE
PROJET]]="",0,IF(COUNTIF(Tableau2[[#This Row],[PORTEUR
DE
PROJET]],"CRA*")=1,,Tableau2[[#This Row],[Montant participation à signature]]*0.4))</f>
        <v>53632</v>
      </c>
      <c r="AF164" s="6">
        <f>IF(Tableau2[[#This Row],[Date signature ]]="","",IF(Tableau2[[#This Row],[ACOMPTE PREVU]]=0,"",EOMONTH(EDATE(Tableau2[[#This Row],[Date signature ]],Tableau2[[#This Row],[Durée du projet]]/2),0)))</f>
        <v>43251</v>
      </c>
      <c r="AG164" s="21">
        <f>IF(Tableau2[[#This Row],[PORTEUR
DE
PROJET]]="",0,IF(COUNTIF(Tableau2[[#This Row],[PORTEUR
DE
PROJET]],"CRA*")=1,Tableau2[[#This Row],[Montant participation à signature]]/2,Tableau2[[#This Row],[Montant participation à signature]]*0.3))</f>
        <v>40224</v>
      </c>
      <c r="AH164" s="6">
        <f>IF(Tableau2[[#This Row],[Date signature ]]="","",EOMONTH(EDATE(Tableau2[[#This Row],[Date signature ]],Tableau2[[#This Row],[Durée du projet]]),0))</f>
        <v>43799</v>
      </c>
      <c r="AI164" s="29">
        <f>IF(COUNTBLANK(Tableau2[[#This Row],[Date du mandat Avance]])=1,,Tableau2[[#This Row],[AVANCE PREVUE]])</f>
        <v>40224</v>
      </c>
      <c r="AJ164" s="64">
        <v>42704</v>
      </c>
      <c r="AK164" s="2"/>
      <c r="AL164" s="6"/>
      <c r="AM164" s="6"/>
      <c r="AN164" s="17">
        <f>IF(COUNTBLANK(Tableau2[[#This Row],[Date envoi ASF Acompte]])=1,,Tableau2[[#This Row],[ACOMPTE PREVU]])</f>
        <v>0</v>
      </c>
      <c r="AO164" s="17"/>
      <c r="AP164" s="2"/>
      <c r="AQ164" s="6"/>
      <c r="AR164" s="6"/>
      <c r="AS164" s="17"/>
      <c r="AT164" s="17"/>
      <c r="AU164" s="20"/>
      <c r="AV164" s="17"/>
      <c r="AW164" s="17"/>
      <c r="AX164" s="17">
        <f>IF(Tableau2[[#This Row],[Montant participation voté au CA]]="",0,Tableau2[[#This Row],[Montant participation voté au CA]]-Tableau2[[#This Row],[Montant participation à signature]])</f>
        <v>0</v>
      </c>
      <c r="AY164" s="54">
        <v>134080</v>
      </c>
      <c r="AZ164" s="17">
        <f>Tableau2[[#This Row],[AVANCE VERSEE]]+Tableau2[[#This Row],[ACOMPTE VERSE]]+Tableau2[[#This Row],[SOLDE VERSE]]</f>
        <v>40224</v>
      </c>
      <c r="BA164" s="17">
        <f>IF(Tableau2[[#This Row],[STATUT]]="Soldée",0,Tableau2[[#This Row],[Montant participation à signature]]-Tableau2[[#This Row],[Total CP payés]])</f>
        <v>93856</v>
      </c>
      <c r="BB164" s="17">
        <f>IF(Tableau2[[#This Row],[SOLDE VERSE]]&lt;0,-Tableau2[[#This Row],[SOLDE VERSE]],0)</f>
        <v>0</v>
      </c>
      <c r="BC164" s="17">
        <f>IF(Tableau2[[#This Row],[STATUT]]="Soldée",Tableau2[[#This Row],[Montant participation à signature]]-Tableau2[[#This Row],[Total CP payés]],0)</f>
        <v>0</v>
      </c>
      <c r="BD164" s="17">
        <f>IF(Tableau2[[#This Row],[Montant participation voté au CA]]="",0,Tableau2[[#This Row],[Réfaction]]+Tableau2[[#This Row],[Montant des crédits non engagés]])</f>
        <v>0</v>
      </c>
      <c r="BF164"/>
      <c r="BJ164"/>
      <c r="BK164"/>
      <c r="BL164"/>
      <c r="BM164"/>
      <c r="BP164"/>
      <c r="BQ164"/>
      <c r="BR164"/>
      <c r="BS164"/>
      <c r="BT164"/>
      <c r="BU164"/>
      <c r="BV164"/>
      <c r="BW164"/>
      <c r="BX164"/>
      <c r="BY164"/>
      <c r="CA164"/>
      <c r="CB164"/>
    </row>
    <row r="165" spans="1:80" ht="15" customHeight="1" x14ac:dyDescent="0.25">
      <c r="A165" s="4">
        <v>167</v>
      </c>
      <c r="B165" s="36">
        <v>2925</v>
      </c>
      <c r="C165" s="63" t="s">
        <v>74</v>
      </c>
      <c r="D165" s="73" t="s">
        <v>154</v>
      </c>
      <c r="E165" s="38">
        <v>4</v>
      </c>
      <c r="F165" s="38" t="s">
        <v>42</v>
      </c>
      <c r="G165" s="96" t="s">
        <v>143</v>
      </c>
      <c r="H165" s="96" t="s">
        <v>144</v>
      </c>
      <c r="I165" s="40" t="s">
        <v>48</v>
      </c>
      <c r="J165" s="79"/>
      <c r="K165" s="72"/>
      <c r="L165" s="34"/>
      <c r="M165" s="35"/>
      <c r="N165" s="3">
        <v>36</v>
      </c>
      <c r="O165" s="37">
        <v>6</v>
      </c>
      <c r="P165" s="37">
        <f>IF(Tableau2[[#This Row],[Durée du projet]]="","-",Tableau2[[#This Row],[Durée du projet]]+Tableau2[[#This Row],[Durée suppl'' pour pièces]])</f>
        <v>42</v>
      </c>
      <c r="Q165" s="39">
        <v>42696</v>
      </c>
      <c r="R165" s="60">
        <v>42696</v>
      </c>
      <c r="S165" s="6">
        <f>IF(Tableau2[[#This Row],[Date signature ]]="","",EOMONTH((EDATE(Tableau2[[#This Row],[Début éligibilité dépenses]],Tableau2[[#This Row],[Durée du projet]])),-1))</f>
        <v>43769</v>
      </c>
      <c r="T165" s="6">
        <f>IF(Tableau2[[#This Row],[Fin éligibilité dépenses]]="","",EDATE(Tableau2[[#This Row],[Fin éligibilité dépenses]],-6))</f>
        <v>43585</v>
      </c>
      <c r="U165" s="6">
        <f>IF(Tableau2[[#This Row],[Début éligibilité dépenses]]="","",EOMONTH(EDATE(Tableau2[[#This Row],[Début éligibilité dépenses]],Tableau2[[#This Row],[Durée du projet]]/2),0))</f>
        <v>43251</v>
      </c>
      <c r="V165" s="59">
        <f>IF(Tableau2[[#This Row],[Date signature ]]="","",EDATE(Tableau2[[#This Row],[Date signature ]],Tableau2[[#This Row],[Durée totale conv'' ]])-1)</f>
        <v>43972</v>
      </c>
      <c r="W165" s="40" t="s">
        <v>21</v>
      </c>
      <c r="X165" s="2"/>
      <c r="Y165" s="40" t="s">
        <v>145</v>
      </c>
      <c r="Z165" s="2"/>
      <c r="AA165" s="2"/>
      <c r="AB165" s="19"/>
      <c r="AC165" s="21">
        <f>IF(Tableau2[[#This Row],[PORTEUR
DE
PROJET]]="",0,IF(COUNTIF(Tableau2[[#This Row],[PORTEUR
DE
PROJET]],"CRA*")=1,Tableau2[[#This Row],[Montant participation à signature]]/2,Tableau2[[#This Row],[Montant participation à signature]]*0.3))</f>
        <v>31500</v>
      </c>
      <c r="AD165" s="6">
        <f>IF(Tableau2[[#This Row],[Date signature ]]="","",EDATE(Tableau2[[#This Row],[Date signature ]],1))</f>
        <v>42726</v>
      </c>
      <c r="AE165" s="21">
        <f>IF(Tableau2[[#This Row],[PORTEUR
DE
PROJET]]="",0,IF(COUNTIF(Tableau2[[#This Row],[PORTEUR
DE
PROJET]],"CRA*")=1,,Tableau2[[#This Row],[Montant participation à signature]]*0.4))</f>
        <v>42000</v>
      </c>
      <c r="AF165" s="6">
        <f>IF(Tableau2[[#This Row],[Date signature ]]="","",IF(Tableau2[[#This Row],[ACOMPTE PREVU]]=0,"",EOMONTH(EDATE(Tableau2[[#This Row],[Date signature ]],Tableau2[[#This Row],[Durée du projet]]/2),0)))</f>
        <v>43251</v>
      </c>
      <c r="AG165" s="21">
        <f>IF(Tableau2[[#This Row],[PORTEUR
DE
PROJET]]="",0,IF(COUNTIF(Tableau2[[#This Row],[PORTEUR
DE
PROJET]],"CRA*")=1,Tableau2[[#This Row],[Montant participation à signature]]/2,Tableau2[[#This Row],[Montant participation à signature]]*0.3))</f>
        <v>31500</v>
      </c>
      <c r="AH165" s="6">
        <f>IF(Tableau2[[#This Row],[Date signature ]]="","",EOMONTH(EDATE(Tableau2[[#This Row],[Date signature ]],Tableau2[[#This Row],[Durée du projet]]),0))</f>
        <v>43799</v>
      </c>
      <c r="AI165" s="29">
        <f>IF(COUNTBLANK(Tableau2[[#This Row],[Date du mandat Avance]])=1,,Tableau2[[#This Row],[AVANCE PREVUE]])</f>
        <v>0</v>
      </c>
      <c r="AJ165" s="64"/>
      <c r="AK165" s="2"/>
      <c r="AL165" s="6"/>
      <c r="AM165" s="6"/>
      <c r="AN165" s="17">
        <f>IF(COUNTBLANK(Tableau2[[#This Row],[Date envoi ASF Acompte]])=1,,Tableau2[[#This Row],[ACOMPTE PREVU]])</f>
        <v>0</v>
      </c>
      <c r="AO165" s="17"/>
      <c r="AP165" s="2"/>
      <c r="AQ165" s="6"/>
      <c r="AR165" s="6"/>
      <c r="AS165" s="17"/>
      <c r="AT165" s="17"/>
      <c r="AU165" s="20"/>
      <c r="AV165" s="17"/>
      <c r="AW165" s="17"/>
      <c r="AX165" s="17">
        <f>IF(Tableau2[[#This Row],[Montant participation voté au CA]]="",0,Tableau2[[#This Row],[Montant participation voté au CA]]-Tableau2[[#This Row],[Montant participation à signature]])</f>
        <v>0</v>
      </c>
      <c r="AY165" s="54">
        <v>105000</v>
      </c>
      <c r="AZ165" s="17">
        <f>Tableau2[[#This Row],[AVANCE VERSEE]]+Tableau2[[#This Row],[ACOMPTE VERSE]]+Tableau2[[#This Row],[SOLDE VERSE]]</f>
        <v>0</v>
      </c>
      <c r="BA165" s="17">
        <f>IF(Tableau2[[#This Row],[STATUT]]="Soldée",0,Tableau2[[#This Row],[Montant participation à signature]]-Tableau2[[#This Row],[Total CP payés]])</f>
        <v>105000</v>
      </c>
      <c r="BB165" s="17">
        <f>IF(Tableau2[[#This Row],[SOLDE VERSE]]&lt;0,-Tableau2[[#This Row],[SOLDE VERSE]],0)</f>
        <v>0</v>
      </c>
      <c r="BC165" s="17">
        <f>IF(Tableau2[[#This Row],[STATUT]]="Soldée",Tableau2[[#This Row],[Montant participation à signature]]-Tableau2[[#This Row],[Total CP payés]],0)</f>
        <v>0</v>
      </c>
      <c r="BD165" s="17">
        <f>IF(Tableau2[[#This Row],[Montant participation voté au CA]]="",0,Tableau2[[#This Row],[Réfaction]]+Tableau2[[#This Row],[Montant des crédits non engagés]])</f>
        <v>0</v>
      </c>
      <c r="BF165"/>
      <c r="BJ165"/>
      <c r="BK165"/>
      <c r="BL165"/>
      <c r="BM165"/>
      <c r="BP165"/>
      <c r="BQ165"/>
      <c r="BR165"/>
      <c r="BS165"/>
      <c r="BT165"/>
      <c r="BU165"/>
      <c r="BV165"/>
      <c r="BW165"/>
      <c r="BX165"/>
      <c r="BY165"/>
      <c r="CA165"/>
      <c r="CB165"/>
    </row>
    <row r="166" spans="1:80" ht="15" customHeight="1" x14ac:dyDescent="0.25">
      <c r="A166" s="4">
        <v>168</v>
      </c>
      <c r="B166" s="36">
        <v>2926</v>
      </c>
      <c r="C166" s="63" t="s">
        <v>74</v>
      </c>
      <c r="D166" s="73" t="s">
        <v>154</v>
      </c>
      <c r="E166" s="38">
        <v>4</v>
      </c>
      <c r="F166" s="38" t="s">
        <v>42</v>
      </c>
      <c r="G166" s="96" t="s">
        <v>143</v>
      </c>
      <c r="H166" s="96" t="s">
        <v>144</v>
      </c>
      <c r="I166" s="40" t="s">
        <v>48</v>
      </c>
      <c r="J166" s="79"/>
      <c r="K166" s="72"/>
      <c r="L166" s="34"/>
      <c r="M166" s="35"/>
      <c r="N166" s="3">
        <v>12</v>
      </c>
      <c r="O166" s="37">
        <v>6</v>
      </c>
      <c r="P166" s="37">
        <f>IF(Tableau2[[#This Row],[Durée du projet]]="","-",Tableau2[[#This Row],[Durée du projet]]+Tableau2[[#This Row],[Durée suppl'' pour pièces]])</f>
        <v>18</v>
      </c>
      <c r="Q166" s="39">
        <v>42695</v>
      </c>
      <c r="R166" s="60">
        <v>42692</v>
      </c>
      <c r="S166" s="6">
        <f>IF(Tableau2[[#This Row],[Date signature ]]="","",EOMONTH((EDATE(Tableau2[[#This Row],[Début éligibilité dépenses]],Tableau2[[#This Row],[Durée du projet]])),-1))</f>
        <v>43039</v>
      </c>
      <c r="T166" s="6">
        <f>IF(Tableau2[[#This Row],[Fin éligibilité dépenses]]="","",EDATE(Tableau2[[#This Row],[Fin éligibilité dépenses]],-6))</f>
        <v>42855</v>
      </c>
      <c r="U166" s="6">
        <f>IF(Tableau2[[#This Row],[Début éligibilité dépenses]]="","",EOMONTH(EDATE(Tableau2[[#This Row],[Début éligibilité dépenses]],Tableau2[[#This Row],[Durée du projet]]/2),0))</f>
        <v>42886</v>
      </c>
      <c r="V166" s="59">
        <f>IF(Tableau2[[#This Row],[Date signature ]]="","",EDATE(Tableau2[[#This Row],[Date signature ]],Tableau2[[#This Row],[Durée totale conv'' ]])-1)</f>
        <v>43240</v>
      </c>
      <c r="W166" s="40" t="s">
        <v>21</v>
      </c>
      <c r="X166" s="2"/>
      <c r="Y166" s="40" t="s">
        <v>145</v>
      </c>
      <c r="Z166" s="2"/>
      <c r="AA166" s="2"/>
      <c r="AB166" s="19"/>
      <c r="AC166" s="21">
        <f>IF(Tableau2[[#This Row],[PORTEUR
DE
PROJET]]="",0,IF(COUNTIF(Tableau2[[#This Row],[PORTEUR
DE
PROJET]],"CRA*")=1,Tableau2[[#This Row],[Montant participation à signature]]/2,Tableau2[[#This Row],[Montant participation à signature]]*0.3))</f>
        <v>30487.5</v>
      </c>
      <c r="AD166" s="6">
        <f>IF(Tableau2[[#This Row],[Date signature ]]="","",EDATE(Tableau2[[#This Row],[Date signature ]],1))</f>
        <v>42725</v>
      </c>
      <c r="AE166" s="21">
        <f>IF(Tableau2[[#This Row],[PORTEUR
DE
PROJET]]="",0,IF(COUNTIF(Tableau2[[#This Row],[PORTEUR
DE
PROJET]],"CRA*")=1,,Tableau2[[#This Row],[Montant participation à signature]]*0.4))</f>
        <v>40650</v>
      </c>
      <c r="AF166" s="6">
        <f>IF(Tableau2[[#This Row],[Date signature ]]="","",IF(Tableau2[[#This Row],[ACOMPTE PREVU]]=0,"",EOMONTH(EDATE(Tableau2[[#This Row],[Date signature ]],Tableau2[[#This Row],[Durée du projet]]/2),0)))</f>
        <v>42886</v>
      </c>
      <c r="AG166" s="21">
        <f>IF(Tableau2[[#This Row],[PORTEUR
DE
PROJET]]="",0,IF(COUNTIF(Tableau2[[#This Row],[PORTEUR
DE
PROJET]],"CRA*")=1,Tableau2[[#This Row],[Montant participation à signature]]/2,Tableau2[[#This Row],[Montant participation à signature]]*0.3))</f>
        <v>30487.5</v>
      </c>
      <c r="AH166" s="6">
        <f>IF(Tableau2[[#This Row],[Date signature ]]="","",EOMONTH(EDATE(Tableau2[[#This Row],[Date signature ]],Tableau2[[#This Row],[Durée du projet]]),0))</f>
        <v>43069</v>
      </c>
      <c r="AI166" s="29">
        <f>IF(COUNTBLANK(Tableau2[[#This Row],[Date du mandat Avance]])=1,,Tableau2[[#This Row],[AVANCE PREVUE]])</f>
        <v>30487.5</v>
      </c>
      <c r="AJ166" s="64">
        <v>42703</v>
      </c>
      <c r="AK166" s="2"/>
      <c r="AL166" s="6"/>
      <c r="AM166" s="6"/>
      <c r="AN166" s="17">
        <f>IF(COUNTBLANK(Tableau2[[#This Row],[Date envoi ASF Acompte]])=1,,Tableau2[[#This Row],[ACOMPTE PREVU]])</f>
        <v>0</v>
      </c>
      <c r="AO166" s="17"/>
      <c r="AP166" s="2"/>
      <c r="AQ166" s="6"/>
      <c r="AR166" s="6"/>
      <c r="AS166" s="17"/>
      <c r="AT166" s="17"/>
      <c r="AU166" s="20"/>
      <c r="AV166" s="17"/>
      <c r="AW166" s="17"/>
      <c r="AX166" s="17">
        <f>IF(Tableau2[[#This Row],[Montant participation voté au CA]]="",0,Tableau2[[#This Row],[Montant participation voté au CA]]-Tableau2[[#This Row],[Montant participation à signature]])</f>
        <v>0</v>
      </c>
      <c r="AY166" s="54">
        <v>101625</v>
      </c>
      <c r="AZ166" s="17">
        <f>Tableau2[[#This Row],[AVANCE VERSEE]]+Tableau2[[#This Row],[ACOMPTE VERSE]]+Tableau2[[#This Row],[SOLDE VERSE]]</f>
        <v>30487.5</v>
      </c>
      <c r="BA166" s="17">
        <f>IF(Tableau2[[#This Row],[STATUT]]="Soldée",0,Tableau2[[#This Row],[Montant participation à signature]]-Tableau2[[#This Row],[Total CP payés]])</f>
        <v>71137.5</v>
      </c>
      <c r="BB166" s="17">
        <f>IF(Tableau2[[#This Row],[SOLDE VERSE]]&lt;0,-Tableau2[[#This Row],[SOLDE VERSE]],0)</f>
        <v>0</v>
      </c>
      <c r="BC166" s="17">
        <f>IF(Tableau2[[#This Row],[STATUT]]="Soldée",Tableau2[[#This Row],[Montant participation à signature]]-Tableau2[[#This Row],[Total CP payés]],0)</f>
        <v>0</v>
      </c>
      <c r="BD166" s="17">
        <f>IF(Tableau2[[#This Row],[Montant participation voté au CA]]="",0,Tableau2[[#This Row],[Réfaction]]+Tableau2[[#This Row],[Montant des crédits non engagés]])</f>
        <v>0</v>
      </c>
      <c r="BF166"/>
      <c r="BJ166"/>
      <c r="BK166"/>
      <c r="BL166"/>
      <c r="BM166"/>
      <c r="BP166"/>
      <c r="BQ166"/>
      <c r="BR166"/>
      <c r="BS166"/>
      <c r="BT166"/>
      <c r="BU166"/>
      <c r="BV166"/>
      <c r="BW166"/>
      <c r="BX166"/>
      <c r="BY166"/>
      <c r="CA166"/>
      <c r="CB166"/>
    </row>
    <row r="167" spans="1:80" ht="15" customHeight="1" x14ac:dyDescent="0.25">
      <c r="A167" s="4">
        <v>169</v>
      </c>
      <c r="B167" s="36">
        <v>2927</v>
      </c>
      <c r="C167" s="63" t="s">
        <v>74</v>
      </c>
      <c r="D167" s="73" t="s">
        <v>154</v>
      </c>
      <c r="E167" s="38">
        <v>3</v>
      </c>
      <c r="F167" s="38">
        <v>11</v>
      </c>
      <c r="G167" s="96" t="s">
        <v>143</v>
      </c>
      <c r="H167" s="96" t="s">
        <v>144</v>
      </c>
      <c r="I167" s="40" t="s">
        <v>48</v>
      </c>
      <c r="J167" s="79"/>
      <c r="K167" s="72"/>
      <c r="L167" s="34"/>
      <c r="M167" s="35"/>
      <c r="N167" s="38">
        <v>24</v>
      </c>
      <c r="O167" s="37">
        <v>6</v>
      </c>
      <c r="P167" s="37">
        <f>IF(Tableau2[[#This Row],[Durée du projet]]="","-",Tableau2[[#This Row],[Durée du projet]]+Tableau2[[#This Row],[Durée suppl'' pour pièces]])</f>
        <v>30</v>
      </c>
      <c r="Q167" s="39">
        <v>42696</v>
      </c>
      <c r="R167" s="60">
        <v>42696</v>
      </c>
      <c r="S167" s="6">
        <f>IF(Tableau2[[#This Row],[Date signature ]]="","",EOMONTH((EDATE(Tableau2[[#This Row],[Début éligibilité dépenses]],Tableau2[[#This Row],[Durée du projet]])),-1))</f>
        <v>43404</v>
      </c>
      <c r="T167" s="6">
        <f>IF(Tableau2[[#This Row],[Fin éligibilité dépenses]]="","",EDATE(Tableau2[[#This Row],[Fin éligibilité dépenses]],-6))</f>
        <v>43220</v>
      </c>
      <c r="U167" s="6">
        <f>IF(Tableau2[[#This Row],[Début éligibilité dépenses]]="","",EOMONTH(EDATE(Tableau2[[#This Row],[Début éligibilité dépenses]],Tableau2[[#This Row],[Durée du projet]]/2),0))</f>
        <v>43069</v>
      </c>
      <c r="V167" s="59">
        <f>IF(Tableau2[[#This Row],[Date signature ]]="","",EDATE(Tableau2[[#This Row],[Date signature ]],Tableau2[[#This Row],[Durée totale conv'' ]])-1)</f>
        <v>43606</v>
      </c>
      <c r="W167" s="40" t="s">
        <v>21</v>
      </c>
      <c r="X167" s="2"/>
      <c r="Y167" s="40" t="s">
        <v>145</v>
      </c>
      <c r="Z167" s="2"/>
      <c r="AA167" s="2"/>
      <c r="AB167" s="19"/>
      <c r="AC167" s="21">
        <f>IF(Tableau2[[#This Row],[PORTEUR
DE
PROJET]]="",0,IF(COUNTIF(Tableau2[[#This Row],[PORTEUR
DE
PROJET]],"CRA*")=1,Tableau2[[#This Row],[Montant participation à signature]]/2,Tableau2[[#This Row],[Montant participation à signature]]*0.3))</f>
        <v>30000</v>
      </c>
      <c r="AD167" s="6">
        <f>IF(Tableau2[[#This Row],[Date signature ]]="","",EDATE(Tableau2[[#This Row],[Date signature ]],1))</f>
        <v>42726</v>
      </c>
      <c r="AE167" s="21">
        <f>IF(Tableau2[[#This Row],[PORTEUR
DE
PROJET]]="",0,IF(COUNTIF(Tableau2[[#This Row],[PORTEUR
DE
PROJET]],"CRA*")=1,,Tableau2[[#This Row],[Montant participation à signature]]*0.4))</f>
        <v>40000</v>
      </c>
      <c r="AF167" s="6">
        <f>IF(Tableau2[[#This Row],[Date signature ]]="","",IF(Tableau2[[#This Row],[ACOMPTE PREVU]]=0,"",EOMONTH(EDATE(Tableau2[[#This Row],[Date signature ]],Tableau2[[#This Row],[Durée du projet]]/2),0)))</f>
        <v>43069</v>
      </c>
      <c r="AG167" s="21">
        <f>IF(Tableau2[[#This Row],[PORTEUR
DE
PROJET]]="",0,IF(COUNTIF(Tableau2[[#This Row],[PORTEUR
DE
PROJET]],"CRA*")=1,Tableau2[[#This Row],[Montant participation à signature]]/2,Tableau2[[#This Row],[Montant participation à signature]]*0.3))</f>
        <v>30000</v>
      </c>
      <c r="AH167" s="6">
        <f>IF(Tableau2[[#This Row],[Date signature ]]="","",EOMONTH(EDATE(Tableau2[[#This Row],[Date signature ]],Tableau2[[#This Row],[Durée du projet]]),0))</f>
        <v>43434</v>
      </c>
      <c r="AI167" s="29">
        <f>IF(COUNTBLANK(Tableau2[[#This Row],[Date du mandat Avance]])=1,,Tableau2[[#This Row],[AVANCE PREVUE]])</f>
        <v>30000</v>
      </c>
      <c r="AJ167" s="64">
        <v>42704</v>
      </c>
      <c r="AK167" s="2"/>
      <c r="AL167" s="6"/>
      <c r="AM167" s="6"/>
      <c r="AN167" s="17">
        <f>IF(COUNTBLANK(Tableau2[[#This Row],[Date envoi ASF Acompte]])=1,,Tableau2[[#This Row],[ACOMPTE PREVU]])</f>
        <v>0</v>
      </c>
      <c r="AO167" s="17"/>
      <c r="AP167" s="2"/>
      <c r="AQ167" s="6"/>
      <c r="AR167" s="6"/>
      <c r="AS167" s="17"/>
      <c r="AT167" s="17"/>
      <c r="AU167" s="20"/>
      <c r="AV167" s="17"/>
      <c r="AW167" s="17"/>
      <c r="AX167" s="17">
        <f>IF(Tableau2[[#This Row],[Montant participation voté au CA]]="",0,Tableau2[[#This Row],[Montant participation voté au CA]]-Tableau2[[#This Row],[Montant participation à signature]])</f>
        <v>0</v>
      </c>
      <c r="AY167" s="54">
        <v>100000</v>
      </c>
      <c r="AZ167" s="17">
        <f>Tableau2[[#This Row],[AVANCE VERSEE]]+Tableau2[[#This Row],[ACOMPTE VERSE]]+Tableau2[[#This Row],[SOLDE VERSE]]</f>
        <v>30000</v>
      </c>
      <c r="BA167" s="17">
        <f>IF(Tableau2[[#This Row],[STATUT]]="Soldée",0,Tableau2[[#This Row],[Montant participation à signature]]-Tableau2[[#This Row],[Total CP payés]])</f>
        <v>70000</v>
      </c>
      <c r="BB167" s="17">
        <f>IF(Tableau2[[#This Row],[SOLDE VERSE]]&lt;0,-Tableau2[[#This Row],[SOLDE VERSE]],0)</f>
        <v>0</v>
      </c>
      <c r="BC167" s="17">
        <f>IF(Tableau2[[#This Row],[STATUT]]="Soldée",Tableau2[[#This Row],[Montant participation à signature]]-Tableau2[[#This Row],[Total CP payés]],0)</f>
        <v>0</v>
      </c>
      <c r="BD167" s="17">
        <f>IF(Tableau2[[#This Row],[Montant participation voté au CA]]="",0,Tableau2[[#This Row],[Réfaction]]+Tableau2[[#This Row],[Montant des crédits non engagés]])</f>
        <v>0</v>
      </c>
      <c r="BF167"/>
      <c r="BJ167"/>
      <c r="BK167"/>
      <c r="BL167"/>
      <c r="BM167"/>
      <c r="BP167"/>
      <c r="BQ167"/>
      <c r="BR167"/>
      <c r="BS167"/>
      <c r="BT167"/>
      <c r="BU167"/>
      <c r="BV167"/>
      <c r="BW167"/>
      <c r="BX167"/>
      <c r="BY167"/>
      <c r="CA167"/>
      <c r="CB167"/>
    </row>
    <row r="168" spans="1:80" ht="15" customHeight="1" x14ac:dyDescent="0.25">
      <c r="A168" s="4">
        <v>170</v>
      </c>
      <c r="B168" s="36">
        <v>2928</v>
      </c>
      <c r="C168" s="63" t="s">
        <v>74</v>
      </c>
      <c r="D168" s="73" t="s">
        <v>154</v>
      </c>
      <c r="E168" s="38">
        <v>1</v>
      </c>
      <c r="F168" s="38" t="s">
        <v>49</v>
      </c>
      <c r="G168" s="96" t="s">
        <v>143</v>
      </c>
      <c r="H168" s="96" t="s">
        <v>144</v>
      </c>
      <c r="I168" s="40" t="s">
        <v>48</v>
      </c>
      <c r="J168" s="79"/>
      <c r="K168" s="72"/>
      <c r="L168" s="34"/>
      <c r="M168" s="35"/>
      <c r="N168" s="38">
        <v>36</v>
      </c>
      <c r="O168" s="37">
        <v>6</v>
      </c>
      <c r="P168" s="37">
        <f>IF(Tableau2[[#This Row],[Durée du projet]]="","-",Tableau2[[#This Row],[Durée du projet]]+Tableau2[[#This Row],[Durée suppl'' pour pièces]])</f>
        <v>42</v>
      </c>
      <c r="Q168" s="39">
        <v>42696</v>
      </c>
      <c r="R168" s="60">
        <v>42696</v>
      </c>
      <c r="S168" s="6">
        <f>IF(Tableau2[[#This Row],[Date signature ]]="","",EOMONTH((EDATE(Tableau2[[#This Row],[Début éligibilité dépenses]],Tableau2[[#This Row],[Durée du projet]])),-1))</f>
        <v>43769</v>
      </c>
      <c r="T168" s="6">
        <f>IF(Tableau2[[#This Row],[Fin éligibilité dépenses]]="","",EDATE(Tableau2[[#This Row],[Fin éligibilité dépenses]],-6))</f>
        <v>43585</v>
      </c>
      <c r="U168" s="6">
        <f>IF(Tableau2[[#This Row],[Début éligibilité dépenses]]="","",EOMONTH(EDATE(Tableau2[[#This Row],[Début éligibilité dépenses]],Tableau2[[#This Row],[Durée du projet]]/2),0))</f>
        <v>43251</v>
      </c>
      <c r="V168" s="59">
        <f>IF(Tableau2[[#This Row],[Date signature ]]="","",EDATE(Tableau2[[#This Row],[Date signature ]],Tableau2[[#This Row],[Durée totale conv'' ]])-1)</f>
        <v>43972</v>
      </c>
      <c r="W168" s="40" t="s">
        <v>21</v>
      </c>
      <c r="X168" s="2"/>
      <c r="Y168" s="40" t="s">
        <v>145</v>
      </c>
      <c r="Z168" s="2"/>
      <c r="AA168" s="2"/>
      <c r="AB168" s="19"/>
      <c r="AC168" s="21">
        <f>IF(Tableau2[[#This Row],[PORTEUR
DE
PROJET]]="",0,IF(COUNTIF(Tableau2[[#This Row],[PORTEUR
DE
PROJET]],"CRA*")=1,Tableau2[[#This Row],[Montant participation à signature]]/2,Tableau2[[#This Row],[Montant participation à signature]]*0.3))</f>
        <v>18856.555980000001</v>
      </c>
      <c r="AD168" s="6">
        <f>IF(Tableau2[[#This Row],[Date signature ]]="","",EDATE(Tableau2[[#This Row],[Date signature ]],1))</f>
        <v>42726</v>
      </c>
      <c r="AE168" s="21">
        <f>IF(Tableau2[[#This Row],[PORTEUR
DE
PROJET]]="",0,IF(COUNTIF(Tableau2[[#This Row],[PORTEUR
DE
PROJET]],"CRA*")=1,,Tableau2[[#This Row],[Montant participation à signature]]*0.4))</f>
        <v>25142.074640000003</v>
      </c>
      <c r="AF168" s="6">
        <f>IF(Tableau2[[#This Row],[Date signature ]]="","",IF(Tableau2[[#This Row],[ACOMPTE PREVU]]=0,"",EOMONTH(EDATE(Tableau2[[#This Row],[Date signature ]],Tableau2[[#This Row],[Durée du projet]]/2),0)))</f>
        <v>43251</v>
      </c>
      <c r="AG168" s="21">
        <f>IF(Tableau2[[#This Row],[PORTEUR
DE
PROJET]]="",0,IF(COUNTIF(Tableau2[[#This Row],[PORTEUR
DE
PROJET]],"CRA*")=1,Tableau2[[#This Row],[Montant participation à signature]]/2,Tableau2[[#This Row],[Montant participation à signature]]*0.3))</f>
        <v>18856.555980000001</v>
      </c>
      <c r="AH168" s="6">
        <f>IF(Tableau2[[#This Row],[Date signature ]]="","",EOMONTH(EDATE(Tableau2[[#This Row],[Date signature ]],Tableau2[[#This Row],[Durée du projet]]),0))</f>
        <v>43799</v>
      </c>
      <c r="AI168" s="29">
        <f>IF(COUNTBLANK(Tableau2[[#This Row],[Date du mandat Avance]])=1,,Tableau2[[#This Row],[AVANCE PREVUE]])</f>
        <v>18856.555980000001</v>
      </c>
      <c r="AJ168" s="64">
        <v>42703</v>
      </c>
      <c r="AK168" s="2"/>
      <c r="AL168" s="6"/>
      <c r="AM168" s="6"/>
      <c r="AN168" s="17">
        <f>IF(COUNTBLANK(Tableau2[[#This Row],[Date envoi ASF Acompte]])=1,,Tableau2[[#This Row],[ACOMPTE PREVU]])</f>
        <v>0</v>
      </c>
      <c r="AO168" s="17"/>
      <c r="AP168" s="2"/>
      <c r="AQ168" s="6"/>
      <c r="AR168" s="6"/>
      <c r="AS168" s="17"/>
      <c r="AT168" s="17"/>
      <c r="AU168" s="20"/>
      <c r="AV168" s="17"/>
      <c r="AW168" s="17"/>
      <c r="AX168" s="17">
        <f>IF(Tableau2[[#This Row],[Montant participation voté au CA]]="",0,Tableau2[[#This Row],[Montant participation voté au CA]]-Tableau2[[#This Row],[Montant participation à signature]])</f>
        <v>0</v>
      </c>
      <c r="AY168" s="54">
        <v>62855.186600000001</v>
      </c>
      <c r="AZ168" s="17">
        <f>Tableau2[[#This Row],[AVANCE VERSEE]]+Tableau2[[#This Row],[ACOMPTE VERSE]]+Tableau2[[#This Row],[SOLDE VERSE]]</f>
        <v>18856.555980000001</v>
      </c>
      <c r="BA168" s="17">
        <f>IF(Tableau2[[#This Row],[STATUT]]="Soldée",0,Tableau2[[#This Row],[Montant participation à signature]]-Tableau2[[#This Row],[Total CP payés]])</f>
        <v>43998.630619999996</v>
      </c>
      <c r="BB168" s="17">
        <f>IF(Tableau2[[#This Row],[SOLDE VERSE]]&lt;0,-Tableau2[[#This Row],[SOLDE VERSE]],0)</f>
        <v>0</v>
      </c>
      <c r="BC168" s="17">
        <f>IF(Tableau2[[#This Row],[STATUT]]="Soldée",Tableau2[[#This Row],[Montant participation à signature]]-Tableau2[[#This Row],[Total CP payés]],0)</f>
        <v>0</v>
      </c>
      <c r="BD168" s="17">
        <f>IF(Tableau2[[#This Row],[Montant participation voté au CA]]="",0,Tableau2[[#This Row],[Réfaction]]+Tableau2[[#This Row],[Montant des crédits non engagés]])</f>
        <v>0</v>
      </c>
      <c r="BF168"/>
      <c r="BJ168"/>
      <c r="BK168"/>
      <c r="BL168"/>
      <c r="BM168"/>
      <c r="BP168"/>
      <c r="BQ168"/>
      <c r="BR168"/>
      <c r="BS168"/>
      <c r="BT168"/>
      <c r="BU168"/>
      <c r="BV168"/>
      <c r="BW168"/>
      <c r="BX168"/>
      <c r="BY168"/>
      <c r="CA168"/>
      <c r="CB168"/>
    </row>
    <row r="169" spans="1:80" ht="15" customHeight="1" x14ac:dyDescent="0.25">
      <c r="A169" s="4">
        <v>171</v>
      </c>
      <c r="B169" s="36">
        <v>2929</v>
      </c>
      <c r="C169" s="63" t="s">
        <v>74</v>
      </c>
      <c r="D169" s="73" t="s">
        <v>154</v>
      </c>
      <c r="E169" s="38">
        <v>5</v>
      </c>
      <c r="F169" s="38">
        <v>22</v>
      </c>
      <c r="G169" s="96" t="s">
        <v>143</v>
      </c>
      <c r="H169" s="96" t="s">
        <v>144</v>
      </c>
      <c r="I169" s="40" t="s">
        <v>48</v>
      </c>
      <c r="J169" s="79"/>
      <c r="K169" s="72"/>
      <c r="L169" s="34"/>
      <c r="M169" s="35"/>
      <c r="N169" s="3">
        <v>8</v>
      </c>
      <c r="O169" s="37">
        <v>6</v>
      </c>
      <c r="P169" s="37">
        <f>IF(Tableau2[[#This Row],[Durée du projet]]="","-",Tableau2[[#This Row],[Durée du projet]]+Tableau2[[#This Row],[Durée suppl'' pour pièces]])</f>
        <v>14</v>
      </c>
      <c r="Q169" s="39">
        <v>42696</v>
      </c>
      <c r="R169" s="60">
        <v>42696</v>
      </c>
      <c r="S169" s="6">
        <f>IF(Tableau2[[#This Row],[Date signature ]]="","",EOMONTH((EDATE(Tableau2[[#This Row],[Début éligibilité dépenses]],Tableau2[[#This Row],[Durée du projet]])),-1))</f>
        <v>42916</v>
      </c>
      <c r="T169" s="6">
        <f>IF(Tableau2[[#This Row],[Fin éligibilité dépenses]]="","",EDATE(Tableau2[[#This Row],[Fin éligibilité dépenses]],-6))</f>
        <v>42734</v>
      </c>
      <c r="U169" s="6">
        <f>IF(Tableau2[[#This Row],[Début éligibilité dépenses]]="","",EOMONTH(EDATE(Tableau2[[#This Row],[Début éligibilité dépenses]],Tableau2[[#This Row],[Durée du projet]]/2),0))</f>
        <v>42825</v>
      </c>
      <c r="V169" s="59">
        <f>IF(Tableau2[[#This Row],[Date signature ]]="","",EDATE(Tableau2[[#This Row],[Date signature ]],Tableau2[[#This Row],[Durée totale conv'' ]])-1)</f>
        <v>43121</v>
      </c>
      <c r="W169" s="40" t="s">
        <v>21</v>
      </c>
      <c r="X169" s="2"/>
      <c r="Y169" s="40" t="s">
        <v>145</v>
      </c>
      <c r="Z169" s="2"/>
      <c r="AA169" s="2"/>
      <c r="AB169" s="19"/>
      <c r="AC169" s="21">
        <f>IF(Tableau2[[#This Row],[PORTEUR
DE
PROJET]]="",0,IF(COUNTIF(Tableau2[[#This Row],[PORTEUR
DE
PROJET]],"CRA*")=1,Tableau2[[#This Row],[Montant participation à signature]]/2,Tableau2[[#This Row],[Montant participation à signature]]*0.3))</f>
        <v>6750</v>
      </c>
      <c r="AD169" s="6">
        <f>IF(Tableau2[[#This Row],[Date signature ]]="","",EDATE(Tableau2[[#This Row],[Date signature ]],1))</f>
        <v>42726</v>
      </c>
      <c r="AE169" s="21">
        <f>IF(Tableau2[[#This Row],[PORTEUR
DE
PROJET]]="",0,IF(COUNTIF(Tableau2[[#This Row],[PORTEUR
DE
PROJET]],"CRA*")=1,,Tableau2[[#This Row],[Montant participation à signature]]*0.4))</f>
        <v>9000</v>
      </c>
      <c r="AF169" s="6">
        <f>IF(Tableau2[[#This Row],[Date signature ]]="","",IF(Tableau2[[#This Row],[ACOMPTE PREVU]]=0,"",EOMONTH(EDATE(Tableau2[[#This Row],[Date signature ]],Tableau2[[#This Row],[Durée du projet]]/2),0)))</f>
        <v>42825</v>
      </c>
      <c r="AG169" s="21">
        <f>IF(Tableau2[[#This Row],[PORTEUR
DE
PROJET]]="",0,IF(COUNTIF(Tableau2[[#This Row],[PORTEUR
DE
PROJET]],"CRA*")=1,Tableau2[[#This Row],[Montant participation à signature]]/2,Tableau2[[#This Row],[Montant participation à signature]]*0.3))</f>
        <v>6750</v>
      </c>
      <c r="AH169" s="6">
        <f>IF(Tableau2[[#This Row],[Date signature ]]="","",EOMONTH(EDATE(Tableau2[[#This Row],[Date signature ]],Tableau2[[#This Row],[Durée du projet]]),0))</f>
        <v>42947</v>
      </c>
      <c r="AI169" s="29">
        <f>IF(COUNTBLANK(Tableau2[[#This Row],[Date du mandat Avance]])=1,,Tableau2[[#This Row],[AVANCE PREVUE]])</f>
        <v>6750</v>
      </c>
      <c r="AJ169" s="64">
        <v>42704</v>
      </c>
      <c r="AK169" s="2"/>
      <c r="AL169" s="6"/>
      <c r="AM169" s="6"/>
      <c r="AN169" s="17">
        <f>IF(COUNTBLANK(Tableau2[[#This Row],[Date envoi ASF Acompte]])=1,,Tableau2[[#This Row],[ACOMPTE PREVU]])</f>
        <v>0</v>
      </c>
      <c r="AO169" s="17"/>
      <c r="AP169" s="2"/>
      <c r="AQ169" s="6"/>
      <c r="AR169" s="6"/>
      <c r="AS169" s="17"/>
      <c r="AT169" s="17"/>
      <c r="AU169" s="20"/>
      <c r="AV169" s="17"/>
      <c r="AW169" s="17"/>
      <c r="AX169" s="17">
        <f>IF(Tableau2[[#This Row],[Montant participation voté au CA]]="",0,Tableau2[[#This Row],[Montant participation voté au CA]]-Tableau2[[#This Row],[Montant participation à signature]])</f>
        <v>0</v>
      </c>
      <c r="AY169" s="54">
        <v>22500</v>
      </c>
      <c r="AZ169" s="17">
        <f>Tableau2[[#This Row],[AVANCE VERSEE]]+Tableau2[[#This Row],[ACOMPTE VERSE]]+Tableau2[[#This Row],[SOLDE VERSE]]</f>
        <v>6750</v>
      </c>
      <c r="BA169" s="17">
        <f>IF(Tableau2[[#This Row],[STATUT]]="Soldée",0,Tableau2[[#This Row],[Montant participation à signature]]-Tableau2[[#This Row],[Total CP payés]])</f>
        <v>15750</v>
      </c>
      <c r="BB169" s="17">
        <f>IF(Tableau2[[#This Row],[SOLDE VERSE]]&lt;0,-Tableau2[[#This Row],[SOLDE VERSE]],0)</f>
        <v>0</v>
      </c>
      <c r="BC169" s="17">
        <f>IF(Tableau2[[#This Row],[STATUT]]="Soldée",Tableau2[[#This Row],[Montant participation à signature]]-Tableau2[[#This Row],[Total CP payés]],0)</f>
        <v>0</v>
      </c>
      <c r="BD169" s="17">
        <f>IF(Tableau2[[#This Row],[Montant participation voté au CA]]="",0,Tableau2[[#This Row],[Réfaction]]+Tableau2[[#This Row],[Montant des crédits non engagés]])</f>
        <v>0</v>
      </c>
      <c r="BF169"/>
      <c r="BJ169"/>
      <c r="BK169"/>
      <c r="BL169"/>
      <c r="BM169"/>
      <c r="BP169"/>
      <c r="BQ169"/>
      <c r="BR169"/>
      <c r="BS169"/>
      <c r="BT169"/>
      <c r="BU169"/>
      <c r="BV169"/>
      <c r="BW169"/>
      <c r="BX169"/>
      <c r="BY169"/>
      <c r="CA169"/>
      <c r="CB169"/>
    </row>
    <row r="170" spans="1:80" ht="15" customHeight="1" x14ac:dyDescent="0.25">
      <c r="A170" s="4">
        <v>172</v>
      </c>
      <c r="B170" s="36">
        <v>2930</v>
      </c>
      <c r="C170" s="63" t="s">
        <v>74</v>
      </c>
      <c r="D170" s="73" t="s">
        <v>154</v>
      </c>
      <c r="E170" s="38">
        <v>4</v>
      </c>
      <c r="F170" s="38" t="s">
        <v>42</v>
      </c>
      <c r="G170" s="96" t="s">
        <v>143</v>
      </c>
      <c r="H170" s="96" t="s">
        <v>144</v>
      </c>
      <c r="I170" s="40" t="s">
        <v>48</v>
      </c>
      <c r="J170" s="79"/>
      <c r="K170" s="72"/>
      <c r="L170" s="34"/>
      <c r="M170" s="35"/>
      <c r="N170" s="3">
        <v>14</v>
      </c>
      <c r="O170" s="37">
        <v>6</v>
      </c>
      <c r="P170" s="37">
        <f>IF(Tableau2[[#This Row],[Durée du projet]]="","-",Tableau2[[#This Row],[Durée du projet]]+Tableau2[[#This Row],[Durée suppl'' pour pièces]])</f>
        <v>20</v>
      </c>
      <c r="Q170" s="39">
        <v>42696</v>
      </c>
      <c r="R170" s="60">
        <v>42696</v>
      </c>
      <c r="S170" s="6">
        <f>IF(Tableau2[[#This Row],[Date signature ]]="","",EOMONTH((EDATE(Tableau2[[#This Row],[Début éligibilité dépenses]],Tableau2[[#This Row],[Durée du projet]])),-1))</f>
        <v>43100</v>
      </c>
      <c r="T170" s="6">
        <f>IF(Tableau2[[#This Row],[Fin éligibilité dépenses]]="","",EDATE(Tableau2[[#This Row],[Fin éligibilité dépenses]],-6))</f>
        <v>42916</v>
      </c>
      <c r="U170" s="6">
        <f>IF(Tableau2[[#This Row],[Début éligibilité dépenses]]="","",EOMONTH(EDATE(Tableau2[[#This Row],[Début éligibilité dépenses]],Tableau2[[#This Row],[Durée du projet]]/2),0))</f>
        <v>42916</v>
      </c>
      <c r="V170" s="59">
        <f>IF(Tableau2[[#This Row],[Date signature ]]="","",EDATE(Tableau2[[#This Row],[Date signature ]],Tableau2[[#This Row],[Durée totale conv'' ]])-1)</f>
        <v>43302</v>
      </c>
      <c r="W170" s="40" t="s">
        <v>21</v>
      </c>
      <c r="X170" s="2"/>
      <c r="Y170" s="40" t="s">
        <v>145</v>
      </c>
      <c r="Z170" s="2"/>
      <c r="AA170" s="2"/>
      <c r="AB170" s="19"/>
      <c r="AC170" s="21">
        <f>IF(Tableau2[[#This Row],[PORTEUR
DE
PROJET]]="",0,IF(COUNTIF(Tableau2[[#This Row],[PORTEUR
DE
PROJET]],"CRA*")=1,Tableau2[[#This Row],[Montant participation à signature]]/2,Tableau2[[#This Row],[Montant participation à signature]]*0.3))</f>
        <v>2550</v>
      </c>
      <c r="AD170" s="6">
        <f>IF(Tableau2[[#This Row],[Date signature ]]="","",EDATE(Tableau2[[#This Row],[Date signature ]],1))</f>
        <v>42726</v>
      </c>
      <c r="AE170" s="21">
        <f>IF(Tableau2[[#This Row],[PORTEUR
DE
PROJET]]="",0,IF(COUNTIF(Tableau2[[#This Row],[PORTEUR
DE
PROJET]],"CRA*")=1,,Tableau2[[#This Row],[Montant participation à signature]]*0.4))</f>
        <v>3400</v>
      </c>
      <c r="AF170" s="6">
        <f>IF(Tableau2[[#This Row],[Date signature ]]="","",IF(Tableau2[[#This Row],[ACOMPTE PREVU]]=0,"",EOMONTH(EDATE(Tableau2[[#This Row],[Date signature ]],Tableau2[[#This Row],[Durée du projet]]/2),0)))</f>
        <v>42916</v>
      </c>
      <c r="AG170" s="21">
        <f>IF(Tableau2[[#This Row],[PORTEUR
DE
PROJET]]="",0,IF(COUNTIF(Tableau2[[#This Row],[PORTEUR
DE
PROJET]],"CRA*")=1,Tableau2[[#This Row],[Montant participation à signature]]/2,Tableau2[[#This Row],[Montant participation à signature]]*0.3))</f>
        <v>2550</v>
      </c>
      <c r="AH170" s="6">
        <f>IF(Tableau2[[#This Row],[Date signature ]]="","",EOMONTH(EDATE(Tableau2[[#This Row],[Date signature ]],Tableau2[[#This Row],[Durée du projet]]),0))</f>
        <v>43131</v>
      </c>
      <c r="AI170" s="29">
        <f>IF(COUNTBLANK(Tableau2[[#This Row],[Date du mandat Avance]])=1,,Tableau2[[#This Row],[AVANCE PREVUE]])</f>
        <v>2550</v>
      </c>
      <c r="AJ170" s="64">
        <v>42704</v>
      </c>
      <c r="AK170" s="2"/>
      <c r="AL170" s="6"/>
      <c r="AM170" s="6"/>
      <c r="AN170" s="17">
        <f>IF(COUNTBLANK(Tableau2[[#This Row],[Date envoi ASF Acompte]])=1,,Tableau2[[#This Row],[ACOMPTE PREVU]])</f>
        <v>0</v>
      </c>
      <c r="AO170" s="17"/>
      <c r="AP170" s="2"/>
      <c r="AQ170" s="6"/>
      <c r="AR170" s="6"/>
      <c r="AS170" s="17"/>
      <c r="AT170" s="17"/>
      <c r="AU170" s="20"/>
      <c r="AV170" s="17"/>
      <c r="AW170" s="17"/>
      <c r="AX170" s="17">
        <f>IF(Tableau2[[#This Row],[Montant participation voté au CA]]="",0,Tableau2[[#This Row],[Montant participation voté au CA]]-Tableau2[[#This Row],[Montant participation à signature]])</f>
        <v>0</v>
      </c>
      <c r="AY170" s="54">
        <v>8500</v>
      </c>
      <c r="AZ170" s="17">
        <f>Tableau2[[#This Row],[AVANCE VERSEE]]+Tableau2[[#This Row],[ACOMPTE VERSE]]+Tableau2[[#This Row],[SOLDE VERSE]]</f>
        <v>2550</v>
      </c>
      <c r="BA170" s="17">
        <f>IF(Tableau2[[#This Row],[STATUT]]="Soldée",0,Tableau2[[#This Row],[Montant participation à signature]]-Tableau2[[#This Row],[Total CP payés]])</f>
        <v>5950</v>
      </c>
      <c r="BB170" s="17">
        <f>IF(Tableau2[[#This Row],[SOLDE VERSE]]&lt;0,-Tableau2[[#This Row],[SOLDE VERSE]],0)</f>
        <v>0</v>
      </c>
      <c r="BC170" s="17">
        <f>IF(Tableau2[[#This Row],[STATUT]]="Soldée",Tableau2[[#This Row],[Montant participation à signature]]-Tableau2[[#This Row],[Total CP payés]],0)</f>
        <v>0</v>
      </c>
      <c r="BD170" s="17">
        <f>IF(Tableau2[[#This Row],[Montant participation voté au CA]]="",0,Tableau2[[#This Row],[Réfaction]]+Tableau2[[#This Row],[Montant des crédits non engagés]])</f>
        <v>0</v>
      </c>
      <c r="BF170"/>
      <c r="BJ170"/>
      <c r="BK170"/>
      <c r="BL170"/>
      <c r="BM170"/>
      <c r="BP170"/>
      <c r="BQ170"/>
      <c r="BR170"/>
      <c r="BS170"/>
      <c r="BT170"/>
      <c r="BU170"/>
      <c r="BV170"/>
      <c r="BW170"/>
      <c r="BX170"/>
      <c r="BY170"/>
      <c r="CA170"/>
      <c r="CB170"/>
    </row>
    <row r="171" spans="1:80" ht="15" customHeight="1" x14ac:dyDescent="0.25">
      <c r="A171" s="4">
        <v>173</v>
      </c>
      <c r="B171" s="36">
        <v>2935</v>
      </c>
      <c r="C171" s="63" t="s">
        <v>74</v>
      </c>
      <c r="D171" s="73" t="s">
        <v>154</v>
      </c>
      <c r="E171" s="38">
        <v>3</v>
      </c>
      <c r="F171" s="38">
        <v>11</v>
      </c>
      <c r="G171" s="96" t="s">
        <v>143</v>
      </c>
      <c r="H171" s="96" t="s">
        <v>144</v>
      </c>
      <c r="I171" s="40" t="s">
        <v>48</v>
      </c>
      <c r="J171" s="79"/>
      <c r="K171" s="72"/>
      <c r="L171" s="34"/>
      <c r="M171" s="35"/>
      <c r="N171" s="38">
        <v>36</v>
      </c>
      <c r="O171" s="37">
        <v>6</v>
      </c>
      <c r="P171" s="37">
        <f>IF(Tableau2[[#This Row],[Durée du projet]]="","-",Tableau2[[#This Row],[Durée du projet]]+Tableau2[[#This Row],[Durée suppl'' pour pièces]])</f>
        <v>42</v>
      </c>
      <c r="Q171" s="39">
        <v>42697</v>
      </c>
      <c r="R171" s="60">
        <v>42696</v>
      </c>
      <c r="S171" s="6">
        <f>IF(Tableau2[[#This Row],[Date signature ]]="","",EOMONTH((EDATE(Tableau2[[#This Row],[Début éligibilité dépenses]],Tableau2[[#This Row],[Durée du projet]])),-1))</f>
        <v>43769</v>
      </c>
      <c r="T171" s="6">
        <f>IF(Tableau2[[#This Row],[Fin éligibilité dépenses]]="","",EDATE(Tableau2[[#This Row],[Fin éligibilité dépenses]],-6))</f>
        <v>43585</v>
      </c>
      <c r="U171" s="6">
        <f>IF(Tableau2[[#This Row],[Début éligibilité dépenses]]="","",EOMONTH(EDATE(Tableau2[[#This Row],[Début éligibilité dépenses]],Tableau2[[#This Row],[Durée du projet]]/2),0))</f>
        <v>43251</v>
      </c>
      <c r="V171" s="59">
        <f>IF(Tableau2[[#This Row],[Date signature ]]="","",EDATE(Tableau2[[#This Row],[Date signature ]],Tableau2[[#This Row],[Durée totale conv'' ]])-1)</f>
        <v>43973</v>
      </c>
      <c r="W171" s="40" t="s">
        <v>21</v>
      </c>
      <c r="X171" s="2"/>
      <c r="Y171" s="40" t="s">
        <v>145</v>
      </c>
      <c r="Z171" s="2"/>
      <c r="AA171" s="2"/>
      <c r="AB171" s="19"/>
      <c r="AC171" s="21">
        <f>IF(Tableau2[[#This Row],[PORTEUR
DE
PROJET]]="",0,IF(COUNTIF(Tableau2[[#This Row],[PORTEUR
DE
PROJET]],"CRA*")=1,Tableau2[[#This Row],[Montant participation à signature]]/2,Tableau2[[#This Row],[Montant participation à signature]]*0.3))</f>
        <v>5625</v>
      </c>
      <c r="AD171" s="6">
        <f>IF(Tableau2[[#This Row],[Date signature ]]="","",EDATE(Tableau2[[#This Row],[Date signature ]],1))</f>
        <v>42727</v>
      </c>
      <c r="AE171" s="21">
        <f>IF(Tableau2[[#This Row],[PORTEUR
DE
PROJET]]="",0,IF(COUNTIF(Tableau2[[#This Row],[PORTEUR
DE
PROJET]],"CRA*")=1,,Tableau2[[#This Row],[Montant participation à signature]]*0.4))</f>
        <v>7500</v>
      </c>
      <c r="AF171" s="6">
        <f>IF(Tableau2[[#This Row],[Date signature ]]="","",IF(Tableau2[[#This Row],[ACOMPTE PREVU]]=0,"",EOMONTH(EDATE(Tableau2[[#This Row],[Date signature ]],Tableau2[[#This Row],[Durée du projet]]/2),0)))</f>
        <v>43251</v>
      </c>
      <c r="AG171" s="21">
        <f>IF(Tableau2[[#This Row],[PORTEUR
DE
PROJET]]="",0,IF(COUNTIF(Tableau2[[#This Row],[PORTEUR
DE
PROJET]],"CRA*")=1,Tableau2[[#This Row],[Montant participation à signature]]/2,Tableau2[[#This Row],[Montant participation à signature]]*0.3))</f>
        <v>5625</v>
      </c>
      <c r="AH171" s="6">
        <f>IF(Tableau2[[#This Row],[Date signature ]]="","",EOMONTH(EDATE(Tableau2[[#This Row],[Date signature ]],Tableau2[[#This Row],[Durée du projet]]),0))</f>
        <v>43799</v>
      </c>
      <c r="AI171" s="29">
        <f>IF(COUNTBLANK(Tableau2[[#This Row],[Date du mandat Avance]])=1,,Tableau2[[#This Row],[AVANCE PREVUE]])</f>
        <v>5625</v>
      </c>
      <c r="AJ171" s="64" t="s">
        <v>71</v>
      </c>
      <c r="AK171" s="2"/>
      <c r="AL171" s="6"/>
      <c r="AM171" s="6"/>
      <c r="AN171" s="17">
        <f>IF(COUNTBLANK(Tableau2[[#This Row],[Date envoi ASF Acompte]])=1,,Tableau2[[#This Row],[ACOMPTE PREVU]])</f>
        <v>0</v>
      </c>
      <c r="AO171" s="17"/>
      <c r="AP171" s="2"/>
      <c r="AQ171" s="6"/>
      <c r="AR171" s="6"/>
      <c r="AS171" s="17"/>
      <c r="AT171" s="17"/>
      <c r="AU171" s="20"/>
      <c r="AV171" s="17"/>
      <c r="AW171" s="17"/>
      <c r="AX171" s="17">
        <f>IF(Tableau2[[#This Row],[Montant participation voté au CA]]="",0,Tableau2[[#This Row],[Montant participation voté au CA]]-Tableau2[[#This Row],[Montant participation à signature]])</f>
        <v>0</v>
      </c>
      <c r="AY171" s="54">
        <v>18750</v>
      </c>
      <c r="AZ171" s="17">
        <f>Tableau2[[#This Row],[AVANCE VERSEE]]+Tableau2[[#This Row],[ACOMPTE VERSE]]+Tableau2[[#This Row],[SOLDE VERSE]]</f>
        <v>5625</v>
      </c>
      <c r="BA171" s="17">
        <f>IF(Tableau2[[#This Row],[STATUT]]="Soldée",0,Tableau2[[#This Row],[Montant participation à signature]]-Tableau2[[#This Row],[Total CP payés]])</f>
        <v>13125</v>
      </c>
      <c r="BB171" s="17">
        <f>IF(Tableau2[[#This Row],[SOLDE VERSE]]&lt;0,-Tableau2[[#This Row],[SOLDE VERSE]],0)</f>
        <v>0</v>
      </c>
      <c r="BC171" s="17">
        <f>IF(Tableau2[[#This Row],[STATUT]]="Soldée",Tableau2[[#This Row],[Montant participation à signature]]-Tableau2[[#This Row],[Total CP payés]],0)</f>
        <v>0</v>
      </c>
      <c r="BD171" s="17">
        <f>IF(Tableau2[[#This Row],[Montant participation voté au CA]]="",0,Tableau2[[#This Row],[Réfaction]]+Tableau2[[#This Row],[Montant des crédits non engagés]])</f>
        <v>0</v>
      </c>
      <c r="BF171"/>
      <c r="BJ171"/>
      <c r="BK171"/>
      <c r="BL171"/>
      <c r="BM171"/>
      <c r="BP171"/>
      <c r="BQ171"/>
      <c r="BR171"/>
      <c r="BS171"/>
      <c r="BT171"/>
      <c r="BU171"/>
      <c r="BV171"/>
      <c r="BW171"/>
      <c r="BX171"/>
      <c r="BY171"/>
      <c r="CA171"/>
      <c r="CB171"/>
    </row>
    <row r="172" spans="1:80" ht="15" customHeight="1" x14ac:dyDescent="0.25">
      <c r="A172" s="4">
        <v>174</v>
      </c>
      <c r="B172" s="36">
        <v>2936</v>
      </c>
      <c r="C172" s="63" t="s">
        <v>74</v>
      </c>
      <c r="D172" s="73" t="s">
        <v>154</v>
      </c>
      <c r="E172" s="38">
        <v>1</v>
      </c>
      <c r="F172" s="38">
        <v>4</v>
      </c>
      <c r="G172" s="96" t="s">
        <v>143</v>
      </c>
      <c r="H172" s="96" t="s">
        <v>144</v>
      </c>
      <c r="I172" s="40" t="s">
        <v>48</v>
      </c>
      <c r="J172" s="79"/>
      <c r="K172" s="72"/>
      <c r="L172" s="34"/>
      <c r="M172" s="35"/>
      <c r="N172" s="38">
        <v>24</v>
      </c>
      <c r="O172" s="37">
        <v>6</v>
      </c>
      <c r="P172" s="37">
        <f>IF(Tableau2[[#This Row],[Durée du projet]]="","-",Tableau2[[#This Row],[Durée du projet]]+Tableau2[[#This Row],[Durée suppl'' pour pièces]])</f>
        <v>30</v>
      </c>
      <c r="Q172" s="39">
        <v>42698</v>
      </c>
      <c r="R172" s="39">
        <v>42698</v>
      </c>
      <c r="S172" s="6">
        <f>IF(Tableau2[[#This Row],[Date signature ]]="","",EOMONTH((EDATE(Tableau2[[#This Row],[Début éligibilité dépenses]],Tableau2[[#This Row],[Durée du projet]])),-1))</f>
        <v>43404</v>
      </c>
      <c r="T172" s="6">
        <f>IF(Tableau2[[#This Row],[Fin éligibilité dépenses]]="","",EDATE(Tableau2[[#This Row],[Fin éligibilité dépenses]],-6))</f>
        <v>43220</v>
      </c>
      <c r="U172" s="6">
        <f>IF(Tableau2[[#This Row],[Début éligibilité dépenses]]="","",EOMONTH(EDATE(Tableau2[[#This Row],[Début éligibilité dépenses]],Tableau2[[#This Row],[Durée du projet]]/2),0))</f>
        <v>43069</v>
      </c>
      <c r="V172" s="59">
        <f>IF(Tableau2[[#This Row],[Date signature ]]="","",EDATE(Tableau2[[#This Row],[Date signature ]],Tableau2[[#This Row],[Durée totale conv'' ]])-1)</f>
        <v>43608</v>
      </c>
      <c r="W172" s="40" t="s">
        <v>21</v>
      </c>
      <c r="X172" s="2"/>
      <c r="Y172" s="40" t="s">
        <v>145</v>
      </c>
      <c r="Z172" s="2"/>
      <c r="AA172" s="2"/>
      <c r="AB172" s="19"/>
      <c r="AC172" s="21">
        <f>IF(Tableau2[[#This Row],[PORTEUR
DE
PROJET]]="",0,IF(COUNTIF(Tableau2[[#This Row],[PORTEUR
DE
PROJET]],"CRA*")=1,Tableau2[[#This Row],[Montant participation à signature]]/2,Tableau2[[#This Row],[Montant participation à signature]]*0.3))</f>
        <v>51000</v>
      </c>
      <c r="AD172" s="6">
        <f>IF(Tableau2[[#This Row],[Date signature ]]="","",EDATE(Tableau2[[#This Row],[Date signature ]],1))</f>
        <v>42728</v>
      </c>
      <c r="AE172" s="21">
        <f>IF(Tableau2[[#This Row],[PORTEUR
DE
PROJET]]="",0,IF(COUNTIF(Tableau2[[#This Row],[PORTEUR
DE
PROJET]],"CRA*")=1,,Tableau2[[#This Row],[Montant participation à signature]]*0.4))</f>
        <v>68000</v>
      </c>
      <c r="AF172" s="6">
        <f>IF(Tableau2[[#This Row],[Date signature ]]="","",IF(Tableau2[[#This Row],[ACOMPTE PREVU]]=0,"",EOMONTH(EDATE(Tableau2[[#This Row],[Date signature ]],Tableau2[[#This Row],[Durée du projet]]/2),0)))</f>
        <v>43069</v>
      </c>
      <c r="AG172" s="21">
        <f>IF(Tableau2[[#This Row],[PORTEUR
DE
PROJET]]="",0,IF(COUNTIF(Tableau2[[#This Row],[PORTEUR
DE
PROJET]],"CRA*")=1,Tableau2[[#This Row],[Montant participation à signature]]/2,Tableau2[[#This Row],[Montant participation à signature]]*0.3))</f>
        <v>51000</v>
      </c>
      <c r="AH172" s="6">
        <f>IF(Tableau2[[#This Row],[Date signature ]]="","",EOMONTH(EDATE(Tableau2[[#This Row],[Date signature ]],Tableau2[[#This Row],[Durée du projet]]),0))</f>
        <v>43434</v>
      </c>
      <c r="AI172" s="29">
        <f>IF(COUNTBLANK(Tableau2[[#This Row],[Date du mandat Avance]])=1,,Tableau2[[#This Row],[AVANCE PREVUE]])</f>
        <v>0</v>
      </c>
      <c r="AJ172" s="64"/>
      <c r="AK172" s="2"/>
      <c r="AL172" s="6"/>
      <c r="AM172" s="6"/>
      <c r="AN172" s="17">
        <f>IF(COUNTBLANK(Tableau2[[#This Row],[Date envoi ASF Acompte]])=1,,Tableau2[[#This Row],[ACOMPTE PREVU]])</f>
        <v>0</v>
      </c>
      <c r="AO172" s="17"/>
      <c r="AP172" s="2"/>
      <c r="AQ172" s="6"/>
      <c r="AR172" s="6"/>
      <c r="AS172" s="17"/>
      <c r="AT172" s="17"/>
      <c r="AU172" s="20"/>
      <c r="AV172" s="17"/>
      <c r="AW172" s="17"/>
      <c r="AX172" s="17">
        <f>IF(Tableau2[[#This Row],[Montant participation voté au CA]]="",0,Tableau2[[#This Row],[Montant participation voté au CA]]-Tableau2[[#This Row],[Montant participation à signature]])</f>
        <v>0</v>
      </c>
      <c r="AY172" s="54">
        <v>170000</v>
      </c>
      <c r="AZ172" s="17">
        <f>Tableau2[[#This Row],[AVANCE VERSEE]]+Tableau2[[#This Row],[ACOMPTE VERSE]]+Tableau2[[#This Row],[SOLDE VERSE]]</f>
        <v>0</v>
      </c>
      <c r="BA172" s="17">
        <f>IF(Tableau2[[#This Row],[STATUT]]="Soldée",0,Tableau2[[#This Row],[Montant participation à signature]]-Tableau2[[#This Row],[Total CP payés]])</f>
        <v>170000</v>
      </c>
      <c r="BB172" s="17">
        <f>IF(Tableau2[[#This Row],[SOLDE VERSE]]&lt;0,-Tableau2[[#This Row],[SOLDE VERSE]],0)</f>
        <v>0</v>
      </c>
      <c r="BC172" s="17">
        <f>IF(Tableau2[[#This Row],[STATUT]]="Soldée",Tableau2[[#This Row],[Montant participation à signature]]-Tableau2[[#This Row],[Total CP payés]],0)</f>
        <v>0</v>
      </c>
      <c r="BD172" s="17">
        <f>IF(Tableau2[[#This Row],[Montant participation voté au CA]]="",0,Tableau2[[#This Row],[Réfaction]]+Tableau2[[#This Row],[Montant des crédits non engagés]])</f>
        <v>0</v>
      </c>
      <c r="BF172"/>
      <c r="BJ172"/>
      <c r="BK172"/>
      <c r="BL172"/>
      <c r="BM172"/>
      <c r="BP172"/>
      <c r="BQ172"/>
      <c r="BR172"/>
      <c r="BS172"/>
      <c r="BT172"/>
      <c r="BU172"/>
      <c r="BV172"/>
      <c r="BW172"/>
      <c r="BX172"/>
      <c r="BY172"/>
      <c r="CA172"/>
      <c r="CB172"/>
    </row>
    <row r="173" spans="1:80" ht="15" customHeight="1" x14ac:dyDescent="0.25">
      <c r="A173" s="4">
        <v>175</v>
      </c>
      <c r="B173" s="36">
        <v>2937</v>
      </c>
      <c r="C173" s="63" t="s">
        <v>74</v>
      </c>
      <c r="D173" s="73" t="s">
        <v>154</v>
      </c>
      <c r="E173" s="38">
        <v>1</v>
      </c>
      <c r="F173" s="38" t="s">
        <v>49</v>
      </c>
      <c r="G173" s="96" t="s">
        <v>143</v>
      </c>
      <c r="H173" s="96" t="s">
        <v>144</v>
      </c>
      <c r="I173" s="44" t="s">
        <v>48</v>
      </c>
      <c r="J173" s="79"/>
      <c r="K173" s="72"/>
      <c r="L173" s="34"/>
      <c r="M173" s="35"/>
      <c r="N173" s="38">
        <v>24</v>
      </c>
      <c r="O173" s="37">
        <v>6</v>
      </c>
      <c r="P173" s="37">
        <f>IF(Tableau2[[#This Row],[Durée du projet]]="","-",Tableau2[[#This Row],[Durée du projet]]+Tableau2[[#This Row],[Durée suppl'' pour pièces]])</f>
        <v>30</v>
      </c>
      <c r="Q173" s="39">
        <v>42698</v>
      </c>
      <c r="R173" s="39">
        <v>42698</v>
      </c>
      <c r="S173" s="6">
        <f>IF(Tableau2[[#This Row],[Date signature ]]="","",EOMONTH((EDATE(Tableau2[[#This Row],[Début éligibilité dépenses]],Tableau2[[#This Row],[Durée du projet]])),-1))</f>
        <v>43404</v>
      </c>
      <c r="T173" s="6">
        <f>IF(Tableau2[[#This Row],[Fin éligibilité dépenses]]="","",EDATE(Tableau2[[#This Row],[Fin éligibilité dépenses]],-6))</f>
        <v>43220</v>
      </c>
      <c r="U173" s="6">
        <f>IF(Tableau2[[#This Row],[Début éligibilité dépenses]]="","",EOMONTH(EDATE(Tableau2[[#This Row],[Début éligibilité dépenses]],Tableau2[[#This Row],[Durée du projet]]/2),0))</f>
        <v>43069</v>
      </c>
      <c r="V173" s="59">
        <f>IF(Tableau2[[#This Row],[Date signature ]]="","",EDATE(Tableau2[[#This Row],[Date signature ]],Tableau2[[#This Row],[Durée totale conv'' ]])-1)</f>
        <v>43608</v>
      </c>
      <c r="W173" s="40" t="s">
        <v>21</v>
      </c>
      <c r="X173" s="2"/>
      <c r="Y173" s="40" t="s">
        <v>145</v>
      </c>
      <c r="Z173" s="2"/>
      <c r="AA173" s="2"/>
      <c r="AB173" s="19"/>
      <c r="AC173" s="21">
        <f>IF(Tableau2[[#This Row],[PORTEUR
DE
PROJET]]="",0,IF(COUNTIF(Tableau2[[#This Row],[PORTEUR
DE
PROJET]],"CRA*")=1,Tableau2[[#This Row],[Montant participation à signature]]/2,Tableau2[[#This Row],[Montant participation à signature]]*0.3))</f>
        <v>29531.171999999999</v>
      </c>
      <c r="AD173" s="6">
        <f>IF(Tableau2[[#This Row],[Date signature ]]="","",EDATE(Tableau2[[#This Row],[Date signature ]],1))</f>
        <v>42728</v>
      </c>
      <c r="AE173" s="21">
        <f>IF(Tableau2[[#This Row],[PORTEUR
DE
PROJET]]="",0,IF(COUNTIF(Tableau2[[#This Row],[PORTEUR
DE
PROJET]],"CRA*")=1,,Tableau2[[#This Row],[Montant participation à signature]]*0.4))</f>
        <v>39374.896000000008</v>
      </c>
      <c r="AF173" s="6">
        <f>IF(Tableau2[[#This Row],[Date signature ]]="","",IF(Tableau2[[#This Row],[ACOMPTE PREVU]]=0,"",EOMONTH(EDATE(Tableau2[[#This Row],[Date signature ]],Tableau2[[#This Row],[Durée du projet]]/2),0)))</f>
        <v>43069</v>
      </c>
      <c r="AG173" s="21">
        <f>IF(Tableau2[[#This Row],[PORTEUR
DE
PROJET]]="",0,IF(COUNTIF(Tableau2[[#This Row],[PORTEUR
DE
PROJET]],"CRA*")=1,Tableau2[[#This Row],[Montant participation à signature]]/2,Tableau2[[#This Row],[Montant participation à signature]]*0.3))</f>
        <v>29531.171999999999</v>
      </c>
      <c r="AH173" s="6">
        <f>IF(Tableau2[[#This Row],[Date signature ]]="","",EOMONTH(EDATE(Tableau2[[#This Row],[Date signature ]],Tableau2[[#This Row],[Durée du projet]]),0))</f>
        <v>43434</v>
      </c>
      <c r="AI173" s="29">
        <f>IF(COUNTBLANK(Tableau2[[#This Row],[Date du mandat Avance]])=1,,Tableau2[[#This Row],[AVANCE PREVUE]])</f>
        <v>29531.171999999999</v>
      </c>
      <c r="AJ173" s="64" t="s">
        <v>71</v>
      </c>
      <c r="AK173" s="2"/>
      <c r="AL173" s="6"/>
      <c r="AM173" s="6"/>
      <c r="AN173" s="17">
        <f>IF(COUNTBLANK(Tableau2[[#This Row],[Date envoi ASF Acompte]])=1,,Tableau2[[#This Row],[ACOMPTE PREVU]])</f>
        <v>0</v>
      </c>
      <c r="AO173" s="17"/>
      <c r="AP173" s="2"/>
      <c r="AQ173" s="6"/>
      <c r="AR173" s="6"/>
      <c r="AS173" s="17"/>
      <c r="AT173" s="17"/>
      <c r="AU173" s="20"/>
      <c r="AV173" s="17"/>
      <c r="AW173" s="17"/>
      <c r="AX173" s="17">
        <f>IF(Tableau2[[#This Row],[Montant participation voté au CA]]="",0,Tableau2[[#This Row],[Montant participation voté au CA]]-Tableau2[[#This Row],[Montant participation à signature]])</f>
        <v>0</v>
      </c>
      <c r="AY173" s="54">
        <v>98437.24</v>
      </c>
      <c r="AZ173" s="17">
        <f>Tableau2[[#This Row],[AVANCE VERSEE]]+Tableau2[[#This Row],[ACOMPTE VERSE]]+Tableau2[[#This Row],[SOLDE VERSE]]</f>
        <v>29531.171999999999</v>
      </c>
      <c r="BA173" s="17">
        <f>IF(Tableau2[[#This Row],[STATUT]]="Soldée",0,Tableau2[[#This Row],[Montant participation à signature]]-Tableau2[[#This Row],[Total CP payés]])</f>
        <v>68906.067999999999</v>
      </c>
      <c r="BB173" s="17">
        <f>IF(Tableau2[[#This Row],[SOLDE VERSE]]&lt;0,-Tableau2[[#This Row],[SOLDE VERSE]],0)</f>
        <v>0</v>
      </c>
      <c r="BC173" s="17">
        <f>IF(Tableau2[[#This Row],[STATUT]]="Soldée",Tableau2[[#This Row],[Montant participation à signature]]-Tableau2[[#This Row],[Total CP payés]],0)</f>
        <v>0</v>
      </c>
      <c r="BD173" s="17">
        <f>IF(Tableau2[[#This Row],[Montant participation voté au CA]]="",0,Tableau2[[#This Row],[Réfaction]]+Tableau2[[#This Row],[Montant des crédits non engagés]])</f>
        <v>0</v>
      </c>
      <c r="BF173"/>
      <c r="BJ173"/>
      <c r="BK173"/>
      <c r="BL173"/>
      <c r="BM173"/>
      <c r="BP173"/>
      <c r="BQ173"/>
      <c r="BR173"/>
      <c r="BS173"/>
      <c r="BT173"/>
      <c r="BU173"/>
      <c r="BV173"/>
      <c r="BW173"/>
      <c r="BX173"/>
      <c r="BY173"/>
      <c r="CA173"/>
      <c r="CB173"/>
    </row>
    <row r="174" spans="1:80" ht="15" customHeight="1" x14ac:dyDescent="0.25">
      <c r="A174" s="4">
        <v>176</v>
      </c>
      <c r="B174" s="36">
        <v>2938</v>
      </c>
      <c r="C174" s="63" t="s">
        <v>74</v>
      </c>
      <c r="D174" s="73" t="s">
        <v>154</v>
      </c>
      <c r="E174" s="38">
        <v>4</v>
      </c>
      <c r="F174" s="38" t="s">
        <v>42</v>
      </c>
      <c r="G174" s="96" t="s">
        <v>143</v>
      </c>
      <c r="H174" s="96" t="s">
        <v>144</v>
      </c>
      <c r="I174" s="40" t="s">
        <v>48</v>
      </c>
      <c r="J174" s="79"/>
      <c r="K174" s="72"/>
      <c r="L174" s="34"/>
      <c r="M174" s="35"/>
      <c r="N174" s="3">
        <v>12</v>
      </c>
      <c r="O174" s="37">
        <v>6</v>
      </c>
      <c r="P174" s="37">
        <f>IF(Tableau2[[#This Row],[Durée du projet]]="","-",Tableau2[[#This Row],[Durée du projet]]+Tableau2[[#This Row],[Durée suppl'' pour pièces]])</f>
        <v>18</v>
      </c>
      <c r="Q174" s="39">
        <v>42698</v>
      </c>
      <c r="R174" s="60">
        <v>42698</v>
      </c>
      <c r="S174" s="6">
        <f>IF(Tableau2[[#This Row],[Date signature ]]="","",EOMONTH((EDATE(Tableau2[[#This Row],[Début éligibilité dépenses]],Tableau2[[#This Row],[Durée du projet]])),-1))</f>
        <v>43039</v>
      </c>
      <c r="T174" s="6">
        <f>IF(Tableau2[[#This Row],[Fin éligibilité dépenses]]="","",EDATE(Tableau2[[#This Row],[Fin éligibilité dépenses]],-6))</f>
        <v>42855</v>
      </c>
      <c r="U174" s="6">
        <f>IF(Tableau2[[#This Row],[Début éligibilité dépenses]]="","",EOMONTH(EDATE(Tableau2[[#This Row],[Début éligibilité dépenses]],Tableau2[[#This Row],[Durée du projet]]/2),0))</f>
        <v>42886</v>
      </c>
      <c r="V174" s="59">
        <f>IF(Tableau2[[#This Row],[Date signature ]]="","",EDATE(Tableau2[[#This Row],[Date signature ]],Tableau2[[#This Row],[Durée totale conv'' ]])-1)</f>
        <v>43243</v>
      </c>
      <c r="W174" s="40" t="s">
        <v>21</v>
      </c>
      <c r="X174" s="2"/>
      <c r="Y174" s="40" t="s">
        <v>145</v>
      </c>
      <c r="Z174" s="2"/>
      <c r="AA174" s="2"/>
      <c r="AB174" s="19"/>
      <c r="AC174" s="21">
        <f>IF(Tableau2[[#This Row],[PORTEUR
DE
PROJET]]="",0,IF(COUNTIF(Tableau2[[#This Row],[PORTEUR
DE
PROJET]],"CRA*")=1,Tableau2[[#This Row],[Montant participation à signature]]/2,Tableau2[[#This Row],[Montant participation à signature]]*0.3))</f>
        <v>5850</v>
      </c>
      <c r="AD174" s="6">
        <f>IF(Tableau2[[#This Row],[Date signature ]]="","",EDATE(Tableau2[[#This Row],[Date signature ]],1))</f>
        <v>42728</v>
      </c>
      <c r="AE174" s="21">
        <f>IF(Tableau2[[#This Row],[PORTEUR
DE
PROJET]]="",0,IF(COUNTIF(Tableau2[[#This Row],[PORTEUR
DE
PROJET]],"CRA*")=1,,Tableau2[[#This Row],[Montant participation à signature]]*0.4))</f>
        <v>7800</v>
      </c>
      <c r="AF174" s="6">
        <f>IF(Tableau2[[#This Row],[Date signature ]]="","",IF(Tableau2[[#This Row],[ACOMPTE PREVU]]=0,"",EOMONTH(EDATE(Tableau2[[#This Row],[Date signature ]],Tableau2[[#This Row],[Durée du projet]]/2),0)))</f>
        <v>42886</v>
      </c>
      <c r="AG174" s="21">
        <f>IF(Tableau2[[#This Row],[PORTEUR
DE
PROJET]]="",0,IF(COUNTIF(Tableau2[[#This Row],[PORTEUR
DE
PROJET]],"CRA*")=1,Tableau2[[#This Row],[Montant participation à signature]]/2,Tableau2[[#This Row],[Montant participation à signature]]*0.3))</f>
        <v>5850</v>
      </c>
      <c r="AH174" s="6">
        <f>IF(Tableau2[[#This Row],[Date signature ]]="","",EOMONTH(EDATE(Tableau2[[#This Row],[Date signature ]],Tableau2[[#This Row],[Durée du projet]]),0))</f>
        <v>43069</v>
      </c>
      <c r="AI174" s="29">
        <f>IF(COUNTBLANK(Tableau2[[#This Row],[Date du mandat Avance]])=1,,Tableau2[[#This Row],[AVANCE PREVUE]])</f>
        <v>0</v>
      </c>
      <c r="AJ174" s="64"/>
      <c r="AK174" s="2"/>
      <c r="AL174" s="6"/>
      <c r="AM174" s="6"/>
      <c r="AN174" s="17">
        <f>IF(COUNTBLANK(Tableau2[[#This Row],[Date envoi ASF Acompte]])=1,,Tableau2[[#This Row],[ACOMPTE PREVU]])</f>
        <v>0</v>
      </c>
      <c r="AO174" s="17"/>
      <c r="AP174" s="2"/>
      <c r="AQ174" s="6"/>
      <c r="AR174" s="6"/>
      <c r="AS174" s="17"/>
      <c r="AT174" s="17"/>
      <c r="AU174" s="20"/>
      <c r="AV174" s="17"/>
      <c r="AW174" s="17"/>
      <c r="AX174" s="17">
        <f>IF(Tableau2[[#This Row],[Montant participation voté au CA]]="",0,Tableau2[[#This Row],[Montant participation voté au CA]]-Tableau2[[#This Row],[Montant participation à signature]])</f>
        <v>0</v>
      </c>
      <c r="AY174" s="54">
        <v>19500</v>
      </c>
      <c r="AZ174" s="17">
        <f>Tableau2[[#This Row],[AVANCE VERSEE]]+Tableau2[[#This Row],[ACOMPTE VERSE]]+Tableau2[[#This Row],[SOLDE VERSE]]</f>
        <v>0</v>
      </c>
      <c r="BA174" s="17">
        <f>IF(Tableau2[[#This Row],[STATUT]]="Soldée",0,Tableau2[[#This Row],[Montant participation à signature]]-Tableau2[[#This Row],[Total CP payés]])</f>
        <v>19500</v>
      </c>
      <c r="BB174" s="17">
        <f>IF(Tableau2[[#This Row],[SOLDE VERSE]]&lt;0,-Tableau2[[#This Row],[SOLDE VERSE]],0)</f>
        <v>0</v>
      </c>
      <c r="BC174" s="17">
        <f>IF(Tableau2[[#This Row],[STATUT]]="Soldée",Tableau2[[#This Row],[Montant participation à signature]]-Tableau2[[#This Row],[Total CP payés]],0)</f>
        <v>0</v>
      </c>
      <c r="BD174" s="17">
        <f>IF(Tableau2[[#This Row],[Montant participation voté au CA]]="",0,Tableau2[[#This Row],[Réfaction]]+Tableau2[[#This Row],[Montant des crédits non engagés]])</f>
        <v>0</v>
      </c>
      <c r="BF174"/>
      <c r="BJ174"/>
      <c r="BK174"/>
      <c r="BL174"/>
      <c r="BM174"/>
      <c r="BP174"/>
      <c r="BQ174"/>
      <c r="BR174"/>
      <c r="BS174"/>
      <c r="BT174"/>
      <c r="BU174"/>
      <c r="BV174"/>
      <c r="BW174"/>
      <c r="BX174"/>
      <c r="BY174"/>
      <c r="CA174"/>
      <c r="CB174"/>
    </row>
    <row r="175" spans="1:80" ht="15" customHeight="1" x14ac:dyDescent="0.25">
      <c r="A175" s="4">
        <v>177</v>
      </c>
      <c r="B175" s="36">
        <v>2939</v>
      </c>
      <c r="C175" s="63" t="s">
        <v>74</v>
      </c>
      <c r="D175" s="73" t="s">
        <v>154</v>
      </c>
      <c r="E175" s="38">
        <v>1</v>
      </c>
      <c r="F175" s="38" t="s">
        <v>49</v>
      </c>
      <c r="G175" s="96" t="s">
        <v>143</v>
      </c>
      <c r="H175" s="96" t="s">
        <v>144</v>
      </c>
      <c r="I175" s="40" t="s">
        <v>48</v>
      </c>
      <c r="J175" s="79"/>
      <c r="K175" s="72"/>
      <c r="L175" s="34"/>
      <c r="M175" s="35"/>
      <c r="N175" s="38">
        <v>36</v>
      </c>
      <c r="O175" s="37">
        <v>6</v>
      </c>
      <c r="P175" s="37">
        <f>IF(Tableau2[[#This Row],[Durée du projet]]="","-",Tableau2[[#This Row],[Durée du projet]]+Tableau2[[#This Row],[Durée suppl'' pour pièces]])</f>
        <v>42</v>
      </c>
      <c r="Q175" s="39">
        <v>42690</v>
      </c>
      <c r="R175" s="60">
        <v>42690</v>
      </c>
      <c r="S175" s="6">
        <f>IF(Tableau2[[#This Row],[Date signature ]]="","",EOMONTH((EDATE(Tableau2[[#This Row],[Début éligibilité dépenses]],Tableau2[[#This Row],[Durée du projet]])),-1))</f>
        <v>43769</v>
      </c>
      <c r="T175" s="6">
        <f>IF(Tableau2[[#This Row],[Fin éligibilité dépenses]]="","",EDATE(Tableau2[[#This Row],[Fin éligibilité dépenses]],-6))</f>
        <v>43585</v>
      </c>
      <c r="U175" s="6">
        <f>IF(Tableau2[[#This Row],[Début éligibilité dépenses]]="","",EOMONTH(EDATE(Tableau2[[#This Row],[Début éligibilité dépenses]],Tableau2[[#This Row],[Durée du projet]]/2),0))</f>
        <v>43251</v>
      </c>
      <c r="V175" s="59">
        <f>IF(Tableau2[[#This Row],[Date signature ]]="","",EDATE(Tableau2[[#This Row],[Date signature ]],Tableau2[[#This Row],[Durée totale conv'' ]])-1)</f>
        <v>43966</v>
      </c>
      <c r="W175" s="40" t="s">
        <v>21</v>
      </c>
      <c r="X175" s="2"/>
      <c r="Y175" s="40" t="s">
        <v>145</v>
      </c>
      <c r="Z175" s="2"/>
      <c r="AA175" s="2"/>
      <c r="AB175" s="19"/>
      <c r="AC175" s="21">
        <f>IF(Tableau2[[#This Row],[PORTEUR
DE
PROJET]]="",0,IF(COUNTIF(Tableau2[[#This Row],[PORTEUR
DE
PROJET]],"CRA*")=1,Tableau2[[#This Row],[Montant participation à signature]]/2,Tableau2[[#This Row],[Montant participation à signature]]*0.3))</f>
        <v>37950</v>
      </c>
      <c r="AD175" s="6">
        <f>IF(Tableau2[[#This Row],[Date signature ]]="","",EDATE(Tableau2[[#This Row],[Date signature ]],1))</f>
        <v>42720</v>
      </c>
      <c r="AE175" s="21">
        <f>IF(Tableau2[[#This Row],[PORTEUR
DE
PROJET]]="",0,IF(COUNTIF(Tableau2[[#This Row],[PORTEUR
DE
PROJET]],"CRA*")=1,,Tableau2[[#This Row],[Montant participation à signature]]*0.4))</f>
        <v>50600</v>
      </c>
      <c r="AF175" s="6">
        <f>IF(Tableau2[[#This Row],[Date signature ]]="","",IF(Tableau2[[#This Row],[ACOMPTE PREVU]]=0,"",EOMONTH(EDATE(Tableau2[[#This Row],[Date signature ]],Tableau2[[#This Row],[Durée du projet]]/2),0)))</f>
        <v>43251</v>
      </c>
      <c r="AG175" s="21">
        <f>IF(Tableau2[[#This Row],[PORTEUR
DE
PROJET]]="",0,IF(COUNTIF(Tableau2[[#This Row],[PORTEUR
DE
PROJET]],"CRA*")=1,Tableau2[[#This Row],[Montant participation à signature]]/2,Tableau2[[#This Row],[Montant participation à signature]]*0.3))</f>
        <v>37950</v>
      </c>
      <c r="AH175" s="6">
        <f>IF(Tableau2[[#This Row],[Date signature ]]="","",EOMONTH(EDATE(Tableau2[[#This Row],[Date signature ]],Tableau2[[#This Row],[Durée du projet]]),0))</f>
        <v>43799</v>
      </c>
      <c r="AI175" s="29">
        <f>IF(COUNTBLANK(Tableau2[[#This Row],[Date du mandat Avance]])=1,,Tableau2[[#This Row],[AVANCE PREVUE]])</f>
        <v>37950</v>
      </c>
      <c r="AJ175" s="64" t="s">
        <v>71</v>
      </c>
      <c r="AK175" s="2"/>
      <c r="AL175" s="6"/>
      <c r="AM175" s="6"/>
      <c r="AN175" s="17">
        <f>IF(COUNTBLANK(Tableau2[[#This Row],[Date envoi ASF Acompte]])=1,,Tableau2[[#This Row],[ACOMPTE PREVU]])</f>
        <v>0</v>
      </c>
      <c r="AO175" s="17"/>
      <c r="AP175" s="2"/>
      <c r="AQ175" s="6"/>
      <c r="AR175" s="6"/>
      <c r="AS175" s="17"/>
      <c r="AT175" s="17"/>
      <c r="AU175" s="20"/>
      <c r="AV175" s="17"/>
      <c r="AW175" s="17"/>
      <c r="AX175" s="17">
        <f>IF(Tableau2[[#This Row],[Montant participation voté au CA]]="",0,Tableau2[[#This Row],[Montant participation voté au CA]]-Tableau2[[#This Row],[Montant participation à signature]])</f>
        <v>0</v>
      </c>
      <c r="AY175" s="45">
        <v>126500</v>
      </c>
      <c r="AZ175" s="17">
        <f>Tableau2[[#This Row],[AVANCE VERSEE]]+Tableau2[[#This Row],[ACOMPTE VERSE]]+Tableau2[[#This Row],[SOLDE VERSE]]</f>
        <v>37950</v>
      </c>
      <c r="BA175" s="17">
        <f>IF(Tableau2[[#This Row],[STATUT]]="Soldée",0,Tableau2[[#This Row],[Montant participation à signature]]-Tableau2[[#This Row],[Total CP payés]])</f>
        <v>88550</v>
      </c>
      <c r="BB175" s="17">
        <f>IF(Tableau2[[#This Row],[SOLDE VERSE]]&lt;0,-Tableau2[[#This Row],[SOLDE VERSE]],0)</f>
        <v>0</v>
      </c>
      <c r="BC175" s="17">
        <f>IF(Tableau2[[#This Row],[STATUT]]="Soldée",Tableau2[[#This Row],[Montant participation à signature]]-Tableau2[[#This Row],[Total CP payés]],0)</f>
        <v>0</v>
      </c>
      <c r="BD175" s="17">
        <f>IF(Tableau2[[#This Row],[Montant participation voté au CA]]="",0,Tableau2[[#This Row],[Réfaction]]+Tableau2[[#This Row],[Montant des crédits non engagés]])</f>
        <v>0</v>
      </c>
      <c r="BF175"/>
      <c r="BJ175"/>
      <c r="BK175"/>
      <c r="BL175"/>
      <c r="BM175"/>
      <c r="BP175"/>
      <c r="BQ175"/>
      <c r="BR175"/>
      <c r="BS175"/>
      <c r="BT175"/>
      <c r="BU175"/>
      <c r="BV175"/>
      <c r="BW175"/>
      <c r="BX175"/>
      <c r="BY175"/>
      <c r="CA175"/>
      <c r="CB175"/>
    </row>
    <row r="176" spans="1:80" ht="15" customHeight="1" x14ac:dyDescent="0.25">
      <c r="A176" s="4">
        <v>178</v>
      </c>
      <c r="B176" s="36">
        <v>2940</v>
      </c>
      <c r="C176" s="63" t="s">
        <v>74</v>
      </c>
      <c r="D176" s="73" t="s">
        <v>154</v>
      </c>
      <c r="E176" s="38">
        <v>1</v>
      </c>
      <c r="F176" s="38">
        <v>4</v>
      </c>
      <c r="G176" s="96" t="s">
        <v>143</v>
      </c>
      <c r="H176" s="96" t="s">
        <v>144</v>
      </c>
      <c r="I176" s="40" t="s">
        <v>48</v>
      </c>
      <c r="J176" s="79"/>
      <c r="K176" s="72"/>
      <c r="L176" s="34"/>
      <c r="M176" s="35"/>
      <c r="N176" s="44">
        <v>12</v>
      </c>
      <c r="O176" s="37">
        <v>6</v>
      </c>
      <c r="P176" s="37">
        <f>IF(Tableau2[[#This Row],[Durée du projet]]="","-",Tableau2[[#This Row],[Durée du projet]]+Tableau2[[#This Row],[Durée suppl'' pour pièces]])</f>
        <v>18</v>
      </c>
      <c r="Q176" s="39">
        <v>42696</v>
      </c>
      <c r="R176" s="39">
        <v>42696</v>
      </c>
      <c r="S176" s="6">
        <f>IF(Tableau2[[#This Row],[Date signature ]]="","",EOMONTH((EDATE(Tableau2[[#This Row],[Début éligibilité dépenses]],Tableau2[[#This Row],[Durée du projet]])),-1))</f>
        <v>43039</v>
      </c>
      <c r="T176" s="6">
        <f>IF(Tableau2[[#This Row],[Fin éligibilité dépenses]]="","",EDATE(Tableau2[[#This Row],[Fin éligibilité dépenses]],-6))</f>
        <v>42855</v>
      </c>
      <c r="U176" s="6">
        <f>IF(Tableau2[[#This Row],[Début éligibilité dépenses]]="","",EOMONTH(EDATE(Tableau2[[#This Row],[Début éligibilité dépenses]],Tableau2[[#This Row],[Durée du projet]]/2),0))</f>
        <v>42886</v>
      </c>
      <c r="V176" s="59">
        <f>IF(Tableau2[[#This Row],[Date signature ]]="","",EDATE(Tableau2[[#This Row],[Date signature ]],Tableau2[[#This Row],[Durée totale conv'' ]])-1)</f>
        <v>43241</v>
      </c>
      <c r="W176" s="40" t="s">
        <v>21</v>
      </c>
      <c r="X176" s="2"/>
      <c r="Y176" s="40" t="s">
        <v>145</v>
      </c>
      <c r="Z176" s="2"/>
      <c r="AA176" s="2"/>
      <c r="AB176" s="19"/>
      <c r="AC176" s="21">
        <f>IF(Tableau2[[#This Row],[PORTEUR
DE
PROJET]]="",0,IF(COUNTIF(Tableau2[[#This Row],[PORTEUR
DE
PROJET]],"CRA*")=1,Tableau2[[#This Row],[Montant participation à signature]]/2,Tableau2[[#This Row],[Montant participation à signature]]*0.3))</f>
        <v>16280.699999999999</v>
      </c>
      <c r="AD176" s="6">
        <f>IF(Tableau2[[#This Row],[Date signature ]]="","",EDATE(Tableau2[[#This Row],[Date signature ]],1))</f>
        <v>42726</v>
      </c>
      <c r="AE176" s="21">
        <f>IF(Tableau2[[#This Row],[PORTEUR
DE
PROJET]]="",0,IF(COUNTIF(Tableau2[[#This Row],[PORTEUR
DE
PROJET]],"CRA*")=1,,Tableau2[[#This Row],[Montant participation à signature]]*0.4))</f>
        <v>21707.600000000002</v>
      </c>
      <c r="AF176" s="6">
        <f>IF(Tableau2[[#This Row],[Date signature ]]="","",IF(Tableau2[[#This Row],[ACOMPTE PREVU]]=0,"",EOMONTH(EDATE(Tableau2[[#This Row],[Date signature ]],Tableau2[[#This Row],[Durée du projet]]/2),0)))</f>
        <v>42886</v>
      </c>
      <c r="AG176" s="21">
        <f>IF(Tableau2[[#This Row],[PORTEUR
DE
PROJET]]="",0,IF(COUNTIF(Tableau2[[#This Row],[PORTEUR
DE
PROJET]],"CRA*")=1,Tableau2[[#This Row],[Montant participation à signature]]/2,Tableau2[[#This Row],[Montant participation à signature]]*0.3))</f>
        <v>16280.699999999999</v>
      </c>
      <c r="AH176" s="6">
        <f>IF(Tableau2[[#This Row],[Date signature ]]="","",EOMONTH(EDATE(Tableau2[[#This Row],[Date signature ]],Tableau2[[#This Row],[Durée du projet]]),0))</f>
        <v>43069</v>
      </c>
      <c r="AI176" s="29">
        <f>IF(COUNTBLANK(Tableau2[[#This Row],[Date du mandat Avance]])=1,,Tableau2[[#This Row],[AVANCE PREVUE]])</f>
        <v>0</v>
      </c>
      <c r="AJ176" s="64"/>
      <c r="AK176" s="2"/>
      <c r="AL176" s="6"/>
      <c r="AM176" s="6"/>
      <c r="AN176" s="17">
        <f>IF(COUNTBLANK(Tableau2[[#This Row],[Date envoi ASF Acompte]])=1,,Tableau2[[#This Row],[ACOMPTE PREVU]])</f>
        <v>0</v>
      </c>
      <c r="AO176" s="17"/>
      <c r="AP176" s="2"/>
      <c r="AQ176" s="6"/>
      <c r="AR176" s="6"/>
      <c r="AS176" s="17"/>
      <c r="AT176" s="17"/>
      <c r="AU176" s="20"/>
      <c r="AV176" s="17"/>
      <c r="AW176" s="17"/>
      <c r="AX176" s="17">
        <f>IF(Tableau2[[#This Row],[Montant participation voté au CA]]="",0,Tableau2[[#This Row],[Montant participation voté au CA]]-Tableau2[[#This Row],[Montant participation à signature]])</f>
        <v>0</v>
      </c>
      <c r="AY176" s="54">
        <v>54269</v>
      </c>
      <c r="AZ176" s="17">
        <f>Tableau2[[#This Row],[AVANCE VERSEE]]+Tableau2[[#This Row],[ACOMPTE VERSE]]+Tableau2[[#This Row],[SOLDE VERSE]]</f>
        <v>0</v>
      </c>
      <c r="BA176" s="17">
        <f>IF(Tableau2[[#This Row],[STATUT]]="Soldée",0,Tableau2[[#This Row],[Montant participation à signature]]-Tableau2[[#This Row],[Total CP payés]])</f>
        <v>54269</v>
      </c>
      <c r="BB176" s="17">
        <f>IF(Tableau2[[#This Row],[SOLDE VERSE]]&lt;0,-Tableau2[[#This Row],[SOLDE VERSE]],0)</f>
        <v>0</v>
      </c>
      <c r="BC176" s="17">
        <f>IF(Tableau2[[#This Row],[STATUT]]="Soldée",Tableau2[[#This Row],[Montant participation à signature]]-Tableau2[[#This Row],[Total CP payés]],0)</f>
        <v>0</v>
      </c>
      <c r="BD176" s="17">
        <f>IF(Tableau2[[#This Row],[Montant participation voté au CA]]="",0,Tableau2[[#This Row],[Réfaction]]+Tableau2[[#This Row],[Montant des crédits non engagés]])</f>
        <v>0</v>
      </c>
      <c r="BF176"/>
      <c r="BJ176"/>
      <c r="BK176"/>
      <c r="BL176"/>
      <c r="BM176"/>
      <c r="BP176"/>
      <c r="BQ176"/>
      <c r="BR176"/>
      <c r="BS176"/>
      <c r="BT176"/>
      <c r="BU176"/>
      <c r="BV176"/>
      <c r="BW176"/>
      <c r="BX176"/>
      <c r="BY176"/>
      <c r="CA176"/>
      <c r="CB176"/>
    </row>
    <row r="177" spans="1:80" ht="15" customHeight="1" x14ac:dyDescent="0.25">
      <c r="A177" s="4">
        <v>179</v>
      </c>
      <c r="B177" s="36">
        <v>2799</v>
      </c>
      <c r="C177" s="28" t="s">
        <v>73</v>
      </c>
      <c r="D177" s="73" t="s">
        <v>154</v>
      </c>
      <c r="E177" s="40" t="s">
        <v>155</v>
      </c>
      <c r="F177" s="40" t="s">
        <v>155</v>
      </c>
      <c r="G177" s="96" t="s">
        <v>143</v>
      </c>
      <c r="H177" s="96" t="s">
        <v>144</v>
      </c>
      <c r="I177" s="40" t="s">
        <v>48</v>
      </c>
      <c r="J177" s="79"/>
      <c r="K177" s="72"/>
      <c r="L177" s="34"/>
      <c r="M177" s="35"/>
      <c r="N177" s="38">
        <v>18</v>
      </c>
      <c r="O177" s="37">
        <v>6</v>
      </c>
      <c r="P177" s="37">
        <f>IF(Tableau2[[#This Row],[Durée du projet]]="","-",Tableau2[[#This Row],[Durée du projet]]+Tableau2[[#This Row],[Durée suppl'' pour pièces]])</f>
        <v>24</v>
      </c>
      <c r="Q177" s="39">
        <v>42572</v>
      </c>
      <c r="R177" s="39">
        <v>42572</v>
      </c>
      <c r="S177" s="6">
        <f>IF(Tableau2[[#This Row],[Date signature ]]="","",EOMONTH((EDATE(Tableau2[[#This Row],[Début éligibilité dépenses]],Tableau2[[#This Row],[Durée du projet]])),-1))</f>
        <v>43100</v>
      </c>
      <c r="T177" s="6">
        <f>IF(Tableau2[[#This Row],[Fin éligibilité dépenses]]="","",EDATE(Tableau2[[#This Row],[Fin éligibilité dépenses]],-6))</f>
        <v>42916</v>
      </c>
      <c r="U177" s="6">
        <f>IF(Tableau2[[#This Row],[Début éligibilité dépenses]]="","",EOMONTH(EDATE(Tableau2[[#This Row],[Début éligibilité dépenses]],Tableau2[[#This Row],[Durée du projet]]/2),0))</f>
        <v>42855</v>
      </c>
      <c r="V177" s="59">
        <f>IF(Tableau2[[#This Row],[Date signature ]]="","",EDATE(Tableau2[[#This Row],[Date signature ]],Tableau2[[#This Row],[Durée totale conv'' ]])-1)</f>
        <v>43301</v>
      </c>
      <c r="W177" s="40" t="s">
        <v>21</v>
      </c>
      <c r="X177" s="2"/>
      <c r="Y177" s="40" t="s">
        <v>145</v>
      </c>
      <c r="Z177" s="2"/>
      <c r="AA177" s="2"/>
      <c r="AB177" s="19"/>
      <c r="AC177" s="21">
        <f>IF(Tableau2[[#This Row],[PORTEUR
DE
PROJET]]="",0,IF(COUNTIF(Tableau2[[#This Row],[PORTEUR
DE
PROJET]],"CRA*")=1,Tableau2[[#This Row],[Montant participation à signature]]/2,Tableau2[[#This Row],[Montant participation à signature]]*0.3))</f>
        <v>56641.5</v>
      </c>
      <c r="AD177" s="6">
        <f>IF(Tableau2[[#This Row],[Date signature ]]="","",EDATE(Tableau2[[#This Row],[Date signature ]],1))</f>
        <v>42603</v>
      </c>
      <c r="AE177" s="21">
        <f>IF(Tableau2[[#This Row],[PORTEUR
DE
PROJET]]="",0,IF(COUNTIF(Tableau2[[#This Row],[PORTEUR
DE
PROJET]],"CRA*")=1,,Tableau2[[#This Row],[Montant participation à signature]]*0.4))</f>
        <v>75522</v>
      </c>
      <c r="AF177" s="6">
        <f>IF(Tableau2[[#This Row],[Date signature ]]="","",IF(Tableau2[[#This Row],[ACOMPTE PREVU]]=0,"",EOMONTH(EDATE(Tableau2[[#This Row],[Date signature ]],Tableau2[[#This Row],[Durée du projet]]/2),0)))</f>
        <v>42855</v>
      </c>
      <c r="AG177" s="21">
        <f>IF(Tableau2[[#This Row],[PORTEUR
DE
PROJET]]="",0,IF(COUNTIF(Tableau2[[#This Row],[PORTEUR
DE
PROJET]],"CRA*")=1,Tableau2[[#This Row],[Montant participation à signature]]/2,Tableau2[[#This Row],[Montant participation à signature]]*0.3))</f>
        <v>56641.5</v>
      </c>
      <c r="AH177" s="6">
        <f>IF(Tableau2[[#This Row],[Date signature ]]="","",EOMONTH(EDATE(Tableau2[[#This Row],[Date signature ]],Tableau2[[#This Row],[Durée du projet]]),0))</f>
        <v>43131</v>
      </c>
      <c r="AI177" s="29">
        <f>IF(COUNTBLANK(Tableau2[[#This Row],[Date du mandat Avance]])=1,,Tableau2[[#This Row],[AVANCE PREVUE]])</f>
        <v>56641.5</v>
      </c>
      <c r="AJ177" s="65">
        <v>42573</v>
      </c>
      <c r="AK177" s="2"/>
      <c r="AL177" s="6"/>
      <c r="AM177" s="6"/>
      <c r="AN177" s="17">
        <f>IF(COUNTBLANK(Tableau2[[#This Row],[Date envoi ASF Acompte]])=1,,Tableau2[[#This Row],[ACOMPTE PREVU]])</f>
        <v>0</v>
      </c>
      <c r="AO177" s="17"/>
      <c r="AP177" s="2"/>
      <c r="AQ177" s="6"/>
      <c r="AR177" s="6"/>
      <c r="AS177" s="17"/>
      <c r="AT177" s="17"/>
      <c r="AU177" s="20"/>
      <c r="AV177" s="17"/>
      <c r="AW177" s="17"/>
      <c r="AX177" s="17">
        <f>IF(Tableau2[[#This Row],[Montant participation voté au CA]]="",0,Tableau2[[#This Row],[Montant participation voté au CA]]-Tableau2[[#This Row],[Montant participation à signature]])</f>
        <v>0</v>
      </c>
      <c r="AY177" s="45">
        <v>188805</v>
      </c>
      <c r="AZ177" s="17">
        <f>Tableau2[[#This Row],[AVANCE VERSEE]]+Tableau2[[#This Row],[ACOMPTE VERSE]]+Tableau2[[#This Row],[SOLDE VERSE]]</f>
        <v>56641.5</v>
      </c>
      <c r="BA177" s="17">
        <f>IF(Tableau2[[#This Row],[STATUT]]="Soldée",0,Tableau2[[#This Row],[Montant participation à signature]]-Tableau2[[#This Row],[Total CP payés]])</f>
        <v>132163.5</v>
      </c>
      <c r="BB177" s="17">
        <f>IF(Tableau2[[#This Row],[SOLDE VERSE]]&lt;0,-Tableau2[[#This Row],[SOLDE VERSE]],0)</f>
        <v>0</v>
      </c>
      <c r="BC177" s="17">
        <f>IF(Tableau2[[#This Row],[STATUT]]="Soldée",Tableau2[[#This Row],[Montant participation à signature]]-Tableau2[[#This Row],[Total CP payés]],0)</f>
        <v>0</v>
      </c>
      <c r="BD177" s="17">
        <f>IF(Tableau2[[#This Row],[Montant participation voté au CA]]="",0,Tableau2[[#This Row],[Réfaction]]+Tableau2[[#This Row],[Montant des crédits non engagés]])</f>
        <v>0</v>
      </c>
      <c r="BF177"/>
      <c r="BJ177"/>
      <c r="BK177"/>
      <c r="BL177"/>
      <c r="BM177"/>
      <c r="BP177"/>
      <c r="BQ177"/>
      <c r="BR177"/>
      <c r="BS177"/>
      <c r="BT177"/>
      <c r="BU177"/>
      <c r="BV177"/>
      <c r="BW177"/>
      <c r="BX177"/>
      <c r="BY177"/>
      <c r="CA177"/>
      <c r="CB177"/>
    </row>
    <row r="178" spans="1:80" ht="15" customHeight="1" x14ac:dyDescent="0.25">
      <c r="A178" s="4">
        <v>180</v>
      </c>
      <c r="B178" s="36">
        <v>2856</v>
      </c>
      <c r="C178" s="28" t="s">
        <v>73</v>
      </c>
      <c r="D178" s="73" t="s">
        <v>154</v>
      </c>
      <c r="E178" s="38">
        <v>2</v>
      </c>
      <c r="F178" s="38" t="s">
        <v>40</v>
      </c>
      <c r="G178" s="96" t="s">
        <v>143</v>
      </c>
      <c r="H178" s="96" t="s">
        <v>144</v>
      </c>
      <c r="I178" s="40" t="s">
        <v>48</v>
      </c>
      <c r="J178" s="79"/>
      <c r="K178" s="72"/>
      <c r="L178" s="34"/>
      <c r="M178" s="35"/>
      <c r="N178" s="38">
        <v>36</v>
      </c>
      <c r="O178" s="37">
        <v>6</v>
      </c>
      <c r="P178" s="37">
        <f>IF(Tableau2[[#This Row],[Durée du projet]]="","-",Tableau2[[#This Row],[Durée du projet]]+Tableau2[[#This Row],[Durée suppl'' pour pièces]])</f>
        <v>42</v>
      </c>
      <c r="Q178" s="39" t="s">
        <v>132</v>
      </c>
      <c r="R178" s="60" t="s">
        <v>133</v>
      </c>
      <c r="S178" s="6">
        <f>IF(Tableau2[[#This Row],[Date signature ]]="","",EOMONTH((EDATE(Tableau2[[#This Row],[Début éligibilité dépenses]],Tableau2[[#This Row],[Durée du projet]])),-1))</f>
        <v>43616</v>
      </c>
      <c r="T178" s="6">
        <f>IF(Tableau2[[#This Row],[Fin éligibilité dépenses]]="","",EDATE(Tableau2[[#This Row],[Fin éligibilité dépenses]],-6))</f>
        <v>43434</v>
      </c>
      <c r="U178" s="6">
        <f>IF(Tableau2[[#This Row],[Début éligibilité dépenses]]="","",EOMONTH(EDATE(Tableau2[[#This Row],[Début éligibilité dépenses]],Tableau2[[#This Row],[Durée du projet]]/2),0))</f>
        <v>43100</v>
      </c>
      <c r="V178" s="59">
        <f>IF(Tableau2[[#This Row],[Date signature ]]="","",EDATE(Tableau2[[#This Row],[Date signature ]],Tableau2[[#This Row],[Durée totale conv'' ]])-1)</f>
        <v>43919</v>
      </c>
      <c r="W178" s="40" t="s">
        <v>21</v>
      </c>
      <c r="X178" s="2"/>
      <c r="Y178" s="40" t="s">
        <v>145</v>
      </c>
      <c r="Z178" s="2"/>
      <c r="AA178" s="2"/>
      <c r="AB178" s="19"/>
      <c r="AC178" s="21">
        <f>IF(Tableau2[[#This Row],[PORTEUR
DE
PROJET]]="",0,IF(COUNTIF(Tableau2[[#This Row],[PORTEUR
DE
PROJET]],"CRA*")=1,Tableau2[[#This Row],[Montant participation à signature]]/2,Tableau2[[#This Row],[Montant participation à signature]]*0.3))</f>
        <v>59280</v>
      </c>
      <c r="AD178" s="6">
        <f>IF(Tableau2[[#This Row],[Date signature ]]="","",EDATE(Tableau2[[#This Row],[Date signature ]],1))</f>
        <v>42673</v>
      </c>
      <c r="AE178" s="21">
        <f>IF(Tableau2[[#This Row],[PORTEUR
DE
PROJET]]="",0,IF(COUNTIF(Tableau2[[#This Row],[PORTEUR
DE
PROJET]],"CRA*")=1,,Tableau2[[#This Row],[Montant participation à signature]]*0.4))</f>
        <v>79040</v>
      </c>
      <c r="AF178" s="6">
        <f>IF(Tableau2[[#This Row],[Date signature ]]="","",IF(Tableau2[[#This Row],[ACOMPTE PREVU]]=0,"",EOMONTH(EDATE(Tableau2[[#This Row],[Date signature ]],Tableau2[[#This Row],[Durée du projet]]/2),0)))</f>
        <v>43190</v>
      </c>
      <c r="AG178" s="21">
        <f>IF(Tableau2[[#This Row],[PORTEUR
DE
PROJET]]="",0,IF(COUNTIF(Tableau2[[#This Row],[PORTEUR
DE
PROJET]],"CRA*")=1,Tableau2[[#This Row],[Montant participation à signature]]/2,Tableau2[[#This Row],[Montant participation à signature]]*0.3))</f>
        <v>59280</v>
      </c>
      <c r="AH178" s="6">
        <f>IF(Tableau2[[#This Row],[Date signature ]]="","",EOMONTH(EDATE(Tableau2[[#This Row],[Date signature ]],Tableau2[[#This Row],[Durée du projet]]),0))</f>
        <v>43738</v>
      </c>
      <c r="AI178" s="29">
        <f>IF(COUNTBLANK(Tableau2[[#This Row],[Date du mandat Avance]])=1,,Tableau2[[#This Row],[AVANCE PREVUE]])</f>
        <v>59280</v>
      </c>
      <c r="AJ178" s="65">
        <v>42654</v>
      </c>
      <c r="AK178" s="2"/>
      <c r="AL178" s="6"/>
      <c r="AM178" s="6"/>
      <c r="AN178" s="17">
        <f>IF(COUNTBLANK(Tableau2[[#This Row],[Date envoi ASF Acompte]])=1,,Tableau2[[#This Row],[ACOMPTE PREVU]])</f>
        <v>0</v>
      </c>
      <c r="AO178" s="17"/>
      <c r="AP178" s="2"/>
      <c r="AQ178" s="6"/>
      <c r="AR178" s="6"/>
      <c r="AS178" s="17"/>
      <c r="AT178" s="17"/>
      <c r="AU178" s="20"/>
      <c r="AV178" s="17"/>
      <c r="AW178" s="17"/>
      <c r="AX178" s="17">
        <f>IF(Tableau2[[#This Row],[Montant participation voté au CA]]="",0,Tableau2[[#This Row],[Montant participation voté au CA]]-Tableau2[[#This Row],[Montant participation à signature]])</f>
        <v>0</v>
      </c>
      <c r="AY178" s="45">
        <v>197600</v>
      </c>
      <c r="AZ178" s="17">
        <f>Tableau2[[#This Row],[AVANCE VERSEE]]+Tableau2[[#This Row],[ACOMPTE VERSE]]+Tableau2[[#This Row],[SOLDE VERSE]]</f>
        <v>59280</v>
      </c>
      <c r="BA178" s="17">
        <f>IF(Tableau2[[#This Row],[STATUT]]="Soldée",0,Tableau2[[#This Row],[Montant participation à signature]]-Tableau2[[#This Row],[Total CP payés]])</f>
        <v>138320</v>
      </c>
      <c r="BB178" s="17">
        <f>IF(Tableau2[[#This Row],[SOLDE VERSE]]&lt;0,-Tableau2[[#This Row],[SOLDE VERSE]],0)</f>
        <v>0</v>
      </c>
      <c r="BC178" s="17">
        <f>IF(Tableau2[[#This Row],[STATUT]]="Soldée",Tableau2[[#This Row],[Montant participation à signature]]-Tableau2[[#This Row],[Total CP payés]],0)</f>
        <v>0</v>
      </c>
      <c r="BD178" s="17">
        <f>IF(Tableau2[[#This Row],[Montant participation voté au CA]]="",0,Tableau2[[#This Row],[Réfaction]]+Tableau2[[#This Row],[Montant des crédits non engagés]])</f>
        <v>0</v>
      </c>
      <c r="BF178"/>
      <c r="BJ178"/>
      <c r="BK178"/>
      <c r="BL178"/>
      <c r="BM178"/>
      <c r="BP178"/>
      <c r="BQ178"/>
      <c r="BR178"/>
      <c r="BS178"/>
      <c r="BT178"/>
      <c r="BU178"/>
      <c r="BV178"/>
      <c r="BW178"/>
      <c r="BX178"/>
      <c r="BY178"/>
      <c r="CA178"/>
      <c r="CB178"/>
    </row>
    <row r="179" spans="1:80" ht="15" customHeight="1" x14ac:dyDescent="0.25">
      <c r="A179" s="4">
        <v>181</v>
      </c>
      <c r="B179" s="103"/>
      <c r="C179" s="63" t="s">
        <v>74</v>
      </c>
      <c r="D179" s="104"/>
      <c r="E179" s="47">
        <v>3</v>
      </c>
      <c r="F179" s="47">
        <v>13</v>
      </c>
      <c r="G179" s="96" t="s">
        <v>143</v>
      </c>
      <c r="H179" s="96" t="s">
        <v>144</v>
      </c>
      <c r="I179" s="49" t="s">
        <v>65</v>
      </c>
      <c r="J179" s="79"/>
      <c r="K179" s="72"/>
      <c r="L179" s="34"/>
      <c r="M179" s="35"/>
      <c r="N179" s="51">
        <v>18</v>
      </c>
      <c r="O179" s="37">
        <v>6</v>
      </c>
      <c r="P179" s="37">
        <f>IF(Tableau2[[#This Row],[Durée du projet]]="","-",Tableau2[[#This Row],[Durée du projet]]+Tableau2[[#This Row],[Durée suppl'' pour pièces]])</f>
        <v>24</v>
      </c>
      <c r="Q179" s="47"/>
      <c r="R179" s="62"/>
      <c r="S179" s="6" t="str">
        <f>IF(Tableau2[[#This Row],[Date signature ]]="","",EOMONTH((EDATE(Tableau2[[#This Row],[Début éligibilité dépenses]],Tableau2[[#This Row],[Durée du projet]])),-1))</f>
        <v/>
      </c>
      <c r="T179" s="6" t="str">
        <f>IF(Tableau2[[#This Row],[Fin éligibilité dépenses]]="","",EDATE(Tableau2[[#This Row],[Fin éligibilité dépenses]],-6))</f>
        <v/>
      </c>
      <c r="U179" s="6" t="str">
        <f>IF(Tableau2[[#This Row],[Début éligibilité dépenses]]="","",EOMONTH(EDATE(Tableau2[[#This Row],[Début éligibilité dépenses]],Tableau2[[#This Row],[Durée du projet]]/2),0))</f>
        <v/>
      </c>
      <c r="V179" s="59" t="str">
        <f>IF(Tableau2[[#This Row],[Date signature ]]="","",EDATE(Tableau2[[#This Row],[Date signature ]],Tableau2[[#This Row],[Durée totale conv'' ]])-1)</f>
        <v/>
      </c>
      <c r="W179" s="40" t="s">
        <v>21</v>
      </c>
      <c r="X179" s="2"/>
      <c r="Y179" s="40" t="s">
        <v>145</v>
      </c>
      <c r="Z179" s="2"/>
      <c r="AA179" s="2"/>
      <c r="AB179" s="19"/>
      <c r="AC179" s="21">
        <f>IF(Tableau2[[#This Row],[PORTEUR
DE
PROJET]]="",0,IF(COUNTIF(Tableau2[[#This Row],[PORTEUR
DE
PROJET]],"CRA*")=1,Tableau2[[#This Row],[Montant participation à signature]]/2,Tableau2[[#This Row],[Montant participation à signature]]*0.3))</f>
        <v>44250</v>
      </c>
      <c r="AD179" s="6" t="str">
        <f>IF(Tableau2[[#This Row],[Date signature ]]="","",EDATE(Tableau2[[#This Row],[Date signature ]],1))</f>
        <v/>
      </c>
      <c r="AE179" s="21">
        <f>IF(Tableau2[[#This Row],[PORTEUR
DE
PROJET]]="",0,IF(COUNTIF(Tableau2[[#This Row],[PORTEUR
DE
PROJET]],"CRA*")=1,,Tableau2[[#This Row],[Montant participation à signature]]*0.4))</f>
        <v>59000</v>
      </c>
      <c r="AF179" s="6" t="str">
        <f>IF(Tableau2[[#This Row],[Date signature ]]="","",IF(Tableau2[[#This Row],[ACOMPTE PREVU]]=0,"",EOMONTH(EDATE(Tableau2[[#This Row],[Date signature ]],Tableau2[[#This Row],[Durée du projet]]/2),0)))</f>
        <v/>
      </c>
      <c r="AG179" s="21">
        <f>IF(Tableau2[[#This Row],[PORTEUR
DE
PROJET]]="",0,IF(COUNTIF(Tableau2[[#This Row],[PORTEUR
DE
PROJET]],"CRA*")=1,Tableau2[[#This Row],[Montant participation à signature]]/2,Tableau2[[#This Row],[Montant participation à signature]]*0.3))</f>
        <v>44250</v>
      </c>
      <c r="AH179" s="6" t="str">
        <f>IF(Tableau2[[#This Row],[Date signature ]]="","",EOMONTH(EDATE(Tableau2[[#This Row],[Date signature ]],Tableau2[[#This Row],[Durée du projet]]),0))</f>
        <v/>
      </c>
      <c r="AI179" s="29">
        <f>IF(COUNTBLANK(Tableau2[[#This Row],[Date du mandat Avance]])=1,,Tableau2[[#This Row],[AVANCE PREVUE]])</f>
        <v>0</v>
      </c>
      <c r="AJ179" s="67"/>
      <c r="AK179" s="2"/>
      <c r="AL179" s="6"/>
      <c r="AM179" s="6"/>
      <c r="AN179" s="17">
        <f>IF(COUNTBLANK(Tableau2[[#This Row],[Date envoi ASF Acompte]])=1,,Tableau2[[#This Row],[ACOMPTE PREVU]])</f>
        <v>0</v>
      </c>
      <c r="AO179" s="17"/>
      <c r="AP179" s="2"/>
      <c r="AQ179" s="6"/>
      <c r="AR179" s="6"/>
      <c r="AS179" s="17"/>
      <c r="AT179" s="17"/>
      <c r="AU179" s="20"/>
      <c r="AV179" s="17"/>
      <c r="AW179" s="17"/>
      <c r="AX179" s="17">
        <f>IF(Tableau2[[#This Row],[Montant participation voté au CA]]="",0,Tableau2[[#This Row],[Montant participation voté au CA]]-Tableau2[[#This Row],[Montant participation à signature]])</f>
        <v>0</v>
      </c>
      <c r="AY179" s="55">
        <v>147500</v>
      </c>
      <c r="AZ179" s="17">
        <f>Tableau2[[#This Row],[AVANCE VERSEE]]+Tableau2[[#This Row],[ACOMPTE VERSE]]+Tableau2[[#This Row],[SOLDE VERSE]]</f>
        <v>0</v>
      </c>
      <c r="BA179" s="17">
        <f>IF(Tableau2[[#This Row],[STATUT]]="Soldée",0,Tableau2[[#This Row],[Montant participation à signature]]-Tableau2[[#This Row],[Total CP payés]])</f>
        <v>147500</v>
      </c>
      <c r="BB179" s="17">
        <f>IF(Tableau2[[#This Row],[SOLDE VERSE]]&lt;0,-Tableau2[[#This Row],[SOLDE VERSE]],0)</f>
        <v>0</v>
      </c>
      <c r="BC179" s="17">
        <f>IF(Tableau2[[#This Row],[STATUT]]="Soldée",Tableau2[[#This Row],[Montant participation à signature]]-Tableau2[[#This Row],[Total CP payés]],0)</f>
        <v>0</v>
      </c>
      <c r="BD179" s="17">
        <f>IF(Tableau2[[#This Row],[Montant participation voté au CA]]="",0,Tableau2[[#This Row],[Réfaction]]+Tableau2[[#This Row],[Montant des crédits non engagés]])</f>
        <v>0</v>
      </c>
      <c r="BF179"/>
      <c r="BJ179"/>
      <c r="BK179"/>
      <c r="BL179"/>
      <c r="BM179"/>
      <c r="BP179"/>
      <c r="BQ179"/>
      <c r="BR179"/>
      <c r="BS179"/>
      <c r="BT179"/>
      <c r="BU179"/>
      <c r="BV179"/>
      <c r="BW179"/>
      <c r="BX179"/>
      <c r="BY179"/>
      <c r="CA179"/>
      <c r="CB179"/>
    </row>
  </sheetData>
  <conditionalFormatting sqref="AD2:AD179">
    <cfRule type="expression" dxfId="84" priority="4" stopIfTrue="1">
      <formula>COUNTBLANK(AJ2)=0</formula>
    </cfRule>
    <cfRule type="expression" dxfId="83" priority="5">
      <formula>TODAY()&gt;EDATE(AD2,1)</formula>
    </cfRule>
    <cfRule type="expression" dxfId="82" priority="16">
      <formula>TODAY()&gt;AD2</formula>
    </cfRule>
  </conditionalFormatting>
  <conditionalFormatting sqref="AF2:AF9 AF11:AF179">
    <cfRule type="expression" dxfId="81" priority="11" stopIfTrue="1">
      <formula>COUNTBLANK(AM2)=0</formula>
    </cfRule>
    <cfRule type="expression" dxfId="80" priority="12">
      <formula>TODAY()&gt;AF2</formula>
    </cfRule>
    <cfRule type="expression" dxfId="79" priority="13">
      <formula>TODAY()&gt;EDATE(AF2,-1)</formula>
    </cfRule>
  </conditionalFormatting>
  <conditionalFormatting sqref="AF10">
    <cfRule type="expression" dxfId="78" priority="67" stopIfTrue="1">
      <formula>COUNTBLANK(#REF!)=0</formula>
    </cfRule>
    <cfRule type="expression" dxfId="77" priority="68">
      <formula>TODAY()&gt;AF10</formula>
    </cfRule>
    <cfRule type="expression" dxfId="76" priority="69">
      <formula>TODAY()&gt;EDATE(AF10,-1)</formula>
    </cfRule>
  </conditionalFormatting>
  <conditionalFormatting sqref="AH2:AH179">
    <cfRule type="expression" dxfId="75" priority="70" stopIfTrue="1">
      <formula>COUNTBLANK(AR2)=0</formula>
    </cfRule>
    <cfRule type="expression" dxfId="74" priority="71">
      <formula>TODAY()&gt;AH2</formula>
    </cfRule>
    <cfRule type="expression" dxfId="73" priority="72">
      <formula>TODAY()&gt;EDATE(AH2,-1)</formula>
    </cfRule>
  </conditionalFormatting>
  <dataValidations count="1">
    <dataValidation type="list" allowBlank="1" showInputMessage="1" showErrorMessage="1" sqref="K2:K85">
      <formula1>avenant</formula1>
    </dataValidation>
  </dataValidations>
  <hyperlinks>
    <hyperlink ref="D4" r:id="rId1"/>
    <hyperlink ref="D22" r:id="rId2"/>
    <hyperlink ref="D10" r:id="rId3"/>
    <hyperlink ref="D6" r:id="rId4"/>
    <hyperlink ref="D13" r:id="rId5"/>
    <hyperlink ref="D23" r:id="rId6"/>
    <hyperlink ref="D2" r:id="rId7"/>
    <hyperlink ref="D9" r:id="rId8"/>
    <hyperlink ref="D12" r:id="rId9"/>
    <hyperlink ref="D25" r:id="rId10"/>
    <hyperlink ref="D17" r:id="rId11"/>
    <hyperlink ref="D11" r:id="rId12"/>
    <hyperlink ref="D16" r:id="rId13"/>
    <hyperlink ref="D15" r:id="rId14"/>
    <hyperlink ref="D8" r:id="rId15"/>
    <hyperlink ref="D3" r:id="rId16"/>
    <hyperlink ref="D5" r:id="rId17"/>
    <hyperlink ref="D7" r:id="rId18"/>
    <hyperlink ref="D37" r:id="rId19" display="\\dg94stoc.onema.fr\partages_$\dg94_dcuat\ECOPHYTO\ECOPHYTO 2018\CONVENTIONS\ECOPHYTO II\AXE 6  COMMUNIQUER ET GOUVERNANCE SIMPLIFIEE\FAM"/>
    <hyperlink ref="D21" r:id="rId20"/>
    <hyperlink ref="D29" r:id="rId21"/>
    <hyperlink ref="D36" r:id="rId22"/>
    <hyperlink ref="D18" r:id="rId23"/>
    <hyperlink ref="D24" r:id="rId24"/>
    <hyperlink ref="D30" r:id="rId25"/>
    <hyperlink ref="D31" r:id="rId26"/>
    <hyperlink ref="D28" r:id="rId27"/>
    <hyperlink ref="D27" r:id="rId28"/>
    <hyperlink ref="D26" r:id="rId29"/>
    <hyperlink ref="D38:D81" r:id="rId30" display="\\dg94stoc.onema.fr\partages_$\dg94_dcuat\ECOPHYTO\ECOPHYTO 2018\CONVENTIONS\ECOPHYTO II\AXE 6  COMMUNIQUER ET GOUVERNANCE SIMPLIFIEE\FAM"/>
    <hyperlink ref="D82" r:id="rId31" display="\\dg94stoc.onema.fr\partages_$\dg94_dcuat\ECOPHYTO\ECOPHYTO 2018\CONVENTIONS\ECOPHYTO II\AXE 6  COMMUNIQUER ET GOUVERNANCE SIMPLIFIEE\FAM"/>
    <hyperlink ref="D83" r:id="rId32" display="\\dg94stoc.onema.fr\partages_$\dg94_dcuat\ECOPHYTO\ECOPHYTO 2018\CONVENTIONS\ECOPHYTO II\AXE 6  COMMUNIQUER ET GOUVERNANCE SIMPLIFIEE\FAM"/>
    <hyperlink ref="D84" r:id="rId33" display="\\dg94stoc.onema.fr\partages_$\dg94_dcuat\ECOPHYTO\ECOPHYTO 2018\CONVENTIONS\ECOPHYTO II\AXE 6  COMMUNIQUER ET GOUVERNANCE SIMPLIFIEE\FAM"/>
    <hyperlink ref="D85" r:id="rId34" display="\\dg94stoc.onema.fr\partages_$\dg94_dcuat\ECOPHYTO\ECOPHYTO 2018\CONVENTIONS\ECOPHYTO II\AXE 6  COMMUNIQUER ET GOUVERNANCE SIMPLIFIEE\FAM"/>
    <hyperlink ref="D86" r:id="rId35" display="\\dg94stoc.onema.fr\partages_$\dg94_dcuat\ECOPHYTO\ECOPHYTO 2018\CONVENTIONS\ECOPHYTO II\AXE 6  COMMUNIQUER ET GOUVERNANCE SIMPLIFIEE\FAM"/>
    <hyperlink ref="D87:D129" r:id="rId36" display="\\dg94stoc.onema.fr\partages_$\dg94_dcuat\ECOPHYTO\ECOPHYTO 2018\CONVENTIONS\ECOPHYTO II\AXE 6  COMMUNIQUER ET GOUVERNANCE SIMPLIFIEE\FAM"/>
    <hyperlink ref="D130" r:id="rId37" display="\\dg94stoc.onema.fr\partages_$\dg94_dcuat\ECOPHYTO\ECOPHYTO 2018\CONVENTIONS\ECOPHYTO II\AXE 6  COMMUNIQUER ET GOUVERNANCE SIMPLIFIEE\FAM"/>
    <hyperlink ref="D131:D174" r:id="rId38" display="\\dg94stoc.onema.fr\partages_$\dg94_dcuat\ECOPHYTO\ECOPHYTO 2018\CONVENTIONS\ECOPHYTO II\AXE 6  COMMUNIQUER ET GOUVERNANCE SIMPLIFIEE\FAM"/>
    <hyperlink ref="D175" r:id="rId39" display="\\dg94stoc.onema.fr\partages_$\dg94_dcuat\ECOPHYTO\ECOPHYTO 2018\CONVENTIONS\ECOPHYTO II\AXE 6  COMMUNIQUER ET GOUVERNANCE SIMPLIFIEE\FAM"/>
    <hyperlink ref="D176" r:id="rId40" display="\\dg94stoc.onema.fr\partages_$\dg94_dcuat\ECOPHYTO\ECOPHYTO 2018\CONVENTIONS\ECOPHYTO II\AXE 6  COMMUNIQUER ET GOUVERNANCE SIMPLIFIEE\FAM"/>
    <hyperlink ref="D177" r:id="rId41" display="\\dg94stoc.onema.fr\partages_$\dg94_dcuat\ECOPHYTO\ECOPHYTO 2018\CONVENTIONS\ECOPHYTO II\AXE 6  COMMUNIQUER ET GOUVERNANCE SIMPLIFIEE\FAM"/>
    <hyperlink ref="D178" r:id="rId42" display="\\dg94stoc.onema.fr\partages_$\dg94_dcuat\ECOPHYTO\ECOPHYTO 2018\CONVENTIONS\ECOPHYTO II\AXE 6  COMMUNIQUER ET GOUVERNANCE SIMPLIFIEE\FAM"/>
  </hyperlinks>
  <pageMargins left="0.7" right="0.7" top="0.75" bottom="0.75" header="0.3" footer="0.3"/>
  <pageSetup paperSize="9" orientation="portrait" r:id="rId43"/>
  <drawing r:id="rId44"/>
  <tableParts count="1">
    <tablePart r:id="rId45"/>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LIST!$A$2:$A$17</xm:f>
          </x14:formula1>
          <xm:sqref>I2:I179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J4"/>
  <sheetViews>
    <sheetView workbookViewId="0">
      <selection activeCell="B9" sqref="B9"/>
    </sheetView>
  </sheetViews>
  <sheetFormatPr baseColWidth="10" defaultRowHeight="15" x14ac:dyDescent="0.25"/>
  <cols>
    <col min="1" max="1" width="17.140625" bestFit="1" customWidth="1"/>
    <col min="2" max="3" width="20.42578125" bestFit="1" customWidth="1"/>
    <col min="4" max="4" width="20.5703125" customWidth="1"/>
    <col min="5" max="5" width="20.42578125" bestFit="1" customWidth="1"/>
    <col min="6" max="6" width="6" customWidth="1"/>
    <col min="7" max="7" width="8" customWidth="1"/>
    <col min="8" max="9" width="9" customWidth="1"/>
    <col min="10" max="10" width="6" customWidth="1"/>
    <col min="11" max="11" width="7" customWidth="1"/>
    <col min="12" max="12" width="6" customWidth="1"/>
    <col min="13" max="13" width="9" customWidth="1"/>
    <col min="14" max="14" width="6" customWidth="1"/>
    <col min="15" max="15" width="9" customWidth="1"/>
    <col min="16" max="16" width="7" customWidth="1"/>
    <col min="17" max="17" width="11" customWidth="1"/>
    <col min="18" max="18" width="9" customWidth="1"/>
    <col min="19" max="19" width="10" customWidth="1"/>
    <col min="20" max="20" width="6" customWidth="1"/>
    <col min="21" max="21" width="9" customWidth="1"/>
    <col min="22" max="22" width="10" customWidth="1"/>
    <col min="23" max="24" width="7" customWidth="1"/>
    <col min="25" max="26" width="9" customWidth="1"/>
    <col min="27" max="27" width="8" customWidth="1"/>
    <col min="28" max="28" width="9" customWidth="1"/>
    <col min="29" max="29" width="11" customWidth="1"/>
    <col min="30" max="30" width="8" customWidth="1"/>
    <col min="31" max="31" width="10" customWidth="1"/>
    <col min="32" max="32" width="8" customWidth="1"/>
    <col min="33" max="33" width="10" customWidth="1"/>
    <col min="34" max="34" width="7" customWidth="1"/>
    <col min="35" max="35" width="8" customWidth="1"/>
    <col min="36" max="37" width="10" customWidth="1"/>
    <col min="38" max="38" width="7" customWidth="1"/>
    <col min="39" max="39" width="11" customWidth="1"/>
    <col min="40" max="40" width="9" customWidth="1"/>
    <col min="41" max="41" width="5" customWidth="1"/>
    <col min="42" max="42" width="6" customWidth="1"/>
    <col min="43" max="43" width="11" customWidth="1"/>
    <col min="44" max="44" width="7" customWidth="1"/>
    <col min="45" max="45" width="9" customWidth="1"/>
    <col min="46" max="47" width="11" customWidth="1"/>
    <col min="48" max="48" width="8" customWidth="1"/>
    <col min="49" max="50" width="9" customWidth="1"/>
    <col min="51" max="51" width="8" customWidth="1"/>
    <col min="52" max="52" width="6" customWidth="1"/>
    <col min="53" max="53" width="11" customWidth="1"/>
    <col min="54" max="54" width="5" customWidth="1"/>
    <col min="55" max="55" width="10" customWidth="1"/>
    <col min="56" max="56" width="12.5703125" customWidth="1"/>
    <col min="57" max="58" width="10.7109375" customWidth="1"/>
    <col min="59" max="59" width="11" customWidth="1"/>
    <col min="60" max="61" width="10.7109375" customWidth="1"/>
    <col min="62" max="62" width="12.5703125" customWidth="1"/>
    <col min="63" max="108" width="26.5703125" bestFit="1" customWidth="1"/>
    <col min="109" max="109" width="31" bestFit="1" customWidth="1"/>
    <col min="110" max="110" width="31.5703125" bestFit="1" customWidth="1"/>
    <col min="111" max="111" width="28.140625" bestFit="1" customWidth="1"/>
  </cols>
  <sheetData>
    <row r="1" spans="1:62" x14ac:dyDescent="0.25">
      <c r="B1" s="5">
        <v>2016</v>
      </c>
      <c r="C1" s="5">
        <v>2017</v>
      </c>
      <c r="D1" s="5">
        <v>2018</v>
      </c>
      <c r="E1" s="5">
        <v>2019</v>
      </c>
    </row>
    <row r="2" spans="1:62" x14ac:dyDescent="0.25">
      <c r="A2" t="s">
        <v>7</v>
      </c>
      <c r="B2" t="s">
        <v>156</v>
      </c>
      <c r="C2" t="s">
        <v>157</v>
      </c>
      <c r="D2" t="s">
        <v>158</v>
      </c>
      <c r="E2" t="s">
        <v>159</v>
      </c>
      <c r="BE2" s="9"/>
      <c r="BF2" s="9"/>
      <c r="BG2" s="9"/>
      <c r="BH2" s="9"/>
      <c r="BI2" s="9"/>
    </row>
    <row r="3" spans="1:62" x14ac:dyDescent="0.25">
      <c r="A3" t="s">
        <v>165</v>
      </c>
      <c r="B3" t="s">
        <v>167</v>
      </c>
      <c r="C3" t="s">
        <v>161</v>
      </c>
      <c r="D3" t="s">
        <v>162</v>
      </c>
      <c r="E3" t="s">
        <v>163</v>
      </c>
      <c r="BE3" s="8"/>
      <c r="BF3" s="8"/>
      <c r="BG3" s="8"/>
      <c r="BH3" s="8"/>
      <c r="BI3" s="8"/>
      <c r="BJ3" s="8"/>
    </row>
    <row r="4" spans="1:62" x14ac:dyDescent="0.25">
      <c r="A4" t="s">
        <v>166</v>
      </c>
      <c r="B4" t="s">
        <v>168</v>
      </c>
      <c r="C4" t="s">
        <v>169</v>
      </c>
      <c r="D4" t="s">
        <v>160</v>
      </c>
      <c r="E4" t="s">
        <v>164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F22"/>
  <sheetViews>
    <sheetView workbookViewId="0">
      <selection activeCell="C15" sqref="C15"/>
    </sheetView>
  </sheetViews>
  <sheetFormatPr baseColWidth="10" defaultRowHeight="15" x14ac:dyDescent="0.25"/>
  <cols>
    <col min="1" max="1" width="41.140625" customWidth="1"/>
    <col min="2" max="2" width="11.85546875" customWidth="1"/>
    <col min="3" max="3" width="19.28515625" customWidth="1"/>
    <col min="4" max="4" width="15.28515625" customWidth="1"/>
    <col min="5" max="5" width="14.28515625" customWidth="1"/>
    <col min="6" max="6" width="15.28515625" customWidth="1"/>
  </cols>
  <sheetData>
    <row r="1" spans="1:6" ht="30" x14ac:dyDescent="0.25">
      <c r="A1" s="108" t="s">
        <v>139</v>
      </c>
      <c r="B1" s="107" t="s">
        <v>138</v>
      </c>
      <c r="C1" s="107" t="s">
        <v>146</v>
      </c>
      <c r="D1" s="107" t="s">
        <v>140</v>
      </c>
      <c r="E1" s="107" t="s">
        <v>141</v>
      </c>
      <c r="F1" s="107" t="s">
        <v>142</v>
      </c>
    </row>
    <row r="2" spans="1:6" x14ac:dyDescent="0.25">
      <c r="A2" s="15" t="s">
        <v>55</v>
      </c>
      <c r="B2" s="8">
        <v>1</v>
      </c>
      <c r="C2" s="106">
        <v>240300</v>
      </c>
      <c r="D2" s="106">
        <v>72090</v>
      </c>
      <c r="E2" s="106">
        <v>96120</v>
      </c>
      <c r="F2" s="106">
        <v>72090</v>
      </c>
    </row>
    <row r="3" spans="1:6" x14ac:dyDescent="0.25">
      <c r="A3" s="15" t="s">
        <v>54</v>
      </c>
      <c r="B3" s="8">
        <v>2</v>
      </c>
      <c r="C3" s="106">
        <v>1100000</v>
      </c>
      <c r="D3" s="106">
        <v>330000</v>
      </c>
      <c r="E3" s="106">
        <v>440000</v>
      </c>
      <c r="F3" s="106">
        <v>330000</v>
      </c>
    </row>
    <row r="4" spans="1:6" x14ac:dyDescent="0.25">
      <c r="A4" s="15" t="s">
        <v>48</v>
      </c>
      <c r="B4" s="8">
        <v>80</v>
      </c>
      <c r="C4" s="106">
        <v>31732003.770000003</v>
      </c>
      <c r="D4" s="106">
        <v>13686209.885000002</v>
      </c>
      <c r="E4" s="106">
        <v>4359584</v>
      </c>
      <c r="F4" s="106">
        <v>13686209.885000002</v>
      </c>
    </row>
    <row r="5" spans="1:6" x14ac:dyDescent="0.25">
      <c r="A5" s="15" t="s">
        <v>136</v>
      </c>
      <c r="B5" s="8">
        <v>1</v>
      </c>
      <c r="C5" s="106">
        <v>19477.5</v>
      </c>
      <c r="D5" s="106">
        <v>9738.75</v>
      </c>
      <c r="E5" s="106">
        <v>0</v>
      </c>
      <c r="F5" s="106">
        <v>9738.75</v>
      </c>
    </row>
    <row r="6" spans="1:6" x14ac:dyDescent="0.25">
      <c r="A6" s="15" t="s">
        <v>135</v>
      </c>
      <c r="B6" s="8">
        <v>84</v>
      </c>
      <c r="C6" s="106">
        <v>33091781.270000003</v>
      </c>
      <c r="D6" s="106">
        <v>14098038.635000002</v>
      </c>
      <c r="E6" s="106">
        <v>4895704</v>
      </c>
      <c r="F6" s="106">
        <v>14098038.635000002</v>
      </c>
    </row>
    <row r="9" spans="1:6" x14ac:dyDescent="0.25">
      <c r="C9" s="9">
        <v>42327</v>
      </c>
      <c r="D9" t="s">
        <v>137</v>
      </c>
    </row>
    <row r="16" spans="1:6" x14ac:dyDescent="0.25">
      <c r="A16" s="15"/>
      <c r="B16" s="8"/>
    </row>
    <row r="17" spans="1:2" x14ac:dyDescent="0.25">
      <c r="A17" s="15"/>
      <c r="B17" s="8"/>
    </row>
    <row r="18" spans="1:2" x14ac:dyDescent="0.25">
      <c r="A18" s="15"/>
      <c r="B18" s="8"/>
    </row>
    <row r="19" spans="1:2" x14ac:dyDescent="0.25">
      <c r="A19" s="15"/>
      <c r="B19" s="8"/>
    </row>
    <row r="20" spans="1:2" x14ac:dyDescent="0.25">
      <c r="A20" s="15"/>
      <c r="B20" s="8"/>
    </row>
    <row r="21" spans="1:2" x14ac:dyDescent="0.25">
      <c r="A21" s="15"/>
      <c r="B21" s="8"/>
    </row>
    <row r="22" spans="1:2" x14ac:dyDescent="0.25">
      <c r="A22" s="15"/>
      <c r="B22" s="8"/>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showGridLines="0" view="pageLayout" zoomScaleNormal="100" workbookViewId="0">
      <selection activeCell="E4" sqref="E4"/>
    </sheetView>
  </sheetViews>
  <sheetFormatPr baseColWidth="10" defaultRowHeight="15" x14ac:dyDescent="0.25"/>
  <sheetData/>
  <pageMargins left="0.7" right="0.7" top="0.75" bottom="0.75" header="0.3" footer="0.3"/>
  <pageSetup paperSize="9" orientation="portrait" r:id="rId1"/>
  <headerFooter>
    <oddHeader xml:space="preserve">&amp;CIndicateurs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17"/>
  <sheetViews>
    <sheetView workbookViewId="0">
      <selection activeCell="A18" sqref="A18"/>
    </sheetView>
  </sheetViews>
  <sheetFormatPr baseColWidth="10" defaultColWidth="9.140625" defaultRowHeight="15" x14ac:dyDescent="0.25"/>
  <cols>
    <col min="1" max="1" width="46.140625" bestFit="1" customWidth="1"/>
    <col min="4" max="4" width="39.42578125" bestFit="1" customWidth="1"/>
    <col min="5" max="8" width="47" style="22" customWidth="1"/>
  </cols>
  <sheetData>
    <row r="1" spans="1:8" s="30" customFormat="1" x14ac:dyDescent="0.25">
      <c r="A1" s="32" t="s">
        <v>2</v>
      </c>
      <c r="B1" s="33" t="s">
        <v>19</v>
      </c>
      <c r="C1" s="30" t="s">
        <v>27</v>
      </c>
      <c r="D1" s="30" t="s">
        <v>28</v>
      </c>
      <c r="E1" s="26"/>
      <c r="F1" s="26"/>
      <c r="G1" s="26"/>
      <c r="H1" s="26"/>
    </row>
    <row r="2" spans="1:8" ht="15" customHeight="1" x14ac:dyDescent="0.25">
      <c r="A2" t="s">
        <v>147</v>
      </c>
      <c r="B2" s="3" t="s">
        <v>20</v>
      </c>
      <c r="C2">
        <v>1</v>
      </c>
      <c r="D2" t="s">
        <v>29</v>
      </c>
    </row>
    <row r="3" spans="1:8" ht="15" customHeight="1" x14ac:dyDescent="0.25">
      <c r="A3" t="s">
        <v>55</v>
      </c>
      <c r="B3" s="4" t="s">
        <v>21</v>
      </c>
      <c r="C3">
        <v>2</v>
      </c>
      <c r="D3" t="s">
        <v>30</v>
      </c>
    </row>
    <row r="4" spans="1:8" ht="15" customHeight="1" x14ac:dyDescent="0.25">
      <c r="A4" t="s">
        <v>61</v>
      </c>
      <c r="C4">
        <v>3</v>
      </c>
      <c r="D4" t="s">
        <v>31</v>
      </c>
    </row>
    <row r="5" spans="1:8" ht="15" customHeight="1" x14ac:dyDescent="0.25">
      <c r="A5" t="s">
        <v>48</v>
      </c>
      <c r="C5">
        <v>4</v>
      </c>
      <c r="D5" t="s">
        <v>32</v>
      </c>
    </row>
    <row r="6" spans="1:8" ht="15" customHeight="1" x14ac:dyDescent="0.25">
      <c r="A6" t="s">
        <v>54</v>
      </c>
      <c r="C6">
        <v>5</v>
      </c>
      <c r="D6" t="s">
        <v>33</v>
      </c>
    </row>
    <row r="7" spans="1:8" ht="15" customHeight="1" x14ac:dyDescent="0.25">
      <c r="A7" t="s">
        <v>62</v>
      </c>
      <c r="C7">
        <v>6</v>
      </c>
      <c r="D7" t="s">
        <v>34</v>
      </c>
    </row>
    <row r="8" spans="1:8" ht="15" customHeight="1" x14ac:dyDescent="0.25">
      <c r="A8" t="s">
        <v>148</v>
      </c>
      <c r="B8" s="8"/>
      <c r="C8" t="s">
        <v>43</v>
      </c>
      <c r="D8" t="s">
        <v>45</v>
      </c>
    </row>
    <row r="9" spans="1:8" ht="15" customHeight="1" x14ac:dyDescent="0.25">
      <c r="A9" t="s">
        <v>63</v>
      </c>
      <c r="B9" s="8"/>
    </row>
    <row r="10" spans="1:8" ht="15" customHeight="1" x14ac:dyDescent="0.25">
      <c r="A10" t="s">
        <v>149</v>
      </c>
      <c r="B10" s="8"/>
    </row>
    <row r="11" spans="1:8" ht="15" customHeight="1" x14ac:dyDescent="0.25">
      <c r="A11" t="s">
        <v>64</v>
      </c>
    </row>
    <row r="12" spans="1:8" ht="15" customHeight="1" x14ac:dyDescent="0.25">
      <c r="A12" t="s">
        <v>150</v>
      </c>
      <c r="E12" s="23"/>
      <c r="F12" s="23"/>
    </row>
    <row r="13" spans="1:8" ht="15" customHeight="1" x14ac:dyDescent="0.25">
      <c r="A13" t="s">
        <v>151</v>
      </c>
      <c r="E13" s="24"/>
      <c r="F13" s="24"/>
    </row>
    <row r="14" spans="1:8" ht="15" customHeight="1" x14ac:dyDescent="0.25">
      <c r="A14" t="s">
        <v>65</v>
      </c>
      <c r="E14" s="24"/>
      <c r="F14" s="24"/>
    </row>
    <row r="15" spans="1:8" ht="15" customHeight="1" x14ac:dyDescent="0.25">
      <c r="A15" t="s">
        <v>66</v>
      </c>
      <c r="E15" s="23"/>
      <c r="F15" s="23"/>
    </row>
    <row r="16" spans="1:8" ht="15" customHeight="1" x14ac:dyDescent="0.25">
      <c r="A16" t="s">
        <v>67</v>
      </c>
    </row>
    <row r="17" spans="1:1" ht="15" customHeight="1" x14ac:dyDescent="0.25">
      <c r="A17" t="s">
        <v>68</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13"/>
  <sheetViews>
    <sheetView workbookViewId="0">
      <selection activeCell="E24" sqref="E24"/>
    </sheetView>
  </sheetViews>
  <sheetFormatPr baseColWidth="10" defaultColWidth="9.140625" defaultRowHeight="15" x14ac:dyDescent="0.25"/>
  <cols>
    <col min="1" max="1" width="18.7109375" bestFit="1" customWidth="1"/>
    <col min="2" max="2" width="20.28515625" bestFit="1" customWidth="1"/>
    <col min="3" max="3" width="12.28515625" bestFit="1" customWidth="1"/>
    <col min="4" max="4" width="19.85546875" bestFit="1" customWidth="1"/>
    <col min="5" max="5" width="31.28515625" style="15" bestFit="1" customWidth="1"/>
    <col min="6" max="6" width="15.140625" bestFit="1" customWidth="1"/>
  </cols>
  <sheetData>
    <row r="1" spans="1:6" x14ac:dyDescent="0.25">
      <c r="A1" t="s">
        <v>35</v>
      </c>
      <c r="B1" s="5" t="s">
        <v>22</v>
      </c>
      <c r="C1" s="5" t="s">
        <v>23</v>
      </c>
      <c r="D1" s="5" t="s">
        <v>24</v>
      </c>
      <c r="E1" s="15" t="s">
        <v>25</v>
      </c>
      <c r="F1" s="5" t="s">
        <v>26</v>
      </c>
    </row>
    <row r="2" spans="1:6" x14ac:dyDescent="0.25">
      <c r="B2" s="5"/>
      <c r="C2" s="5"/>
      <c r="D2" s="5"/>
      <c r="E2" s="25"/>
      <c r="F2" s="5"/>
    </row>
    <row r="3" spans="1:6" x14ac:dyDescent="0.25">
      <c r="B3" s="5"/>
      <c r="C3" s="5"/>
      <c r="D3" s="5"/>
      <c r="E3" s="25"/>
      <c r="F3" s="5"/>
    </row>
    <row r="4" spans="1:6" x14ac:dyDescent="0.25">
      <c r="B4" s="5"/>
      <c r="C4" s="5"/>
      <c r="D4" s="5"/>
      <c r="E4" s="25"/>
      <c r="F4" s="5"/>
    </row>
    <row r="5" spans="1:6" x14ac:dyDescent="0.25">
      <c r="B5" s="5"/>
      <c r="C5" s="5"/>
      <c r="D5" s="5"/>
      <c r="E5" s="25"/>
      <c r="F5" s="5"/>
    </row>
    <row r="6" spans="1:6" x14ac:dyDescent="0.25">
      <c r="B6" s="5"/>
      <c r="C6" s="5"/>
      <c r="D6" s="5"/>
      <c r="F6" s="5"/>
    </row>
    <row r="7" spans="1:6" x14ac:dyDescent="0.25">
      <c r="B7" s="5"/>
      <c r="C7" s="5"/>
      <c r="D7" s="5"/>
      <c r="F7" s="5"/>
    </row>
    <row r="8" spans="1:6" x14ac:dyDescent="0.25">
      <c r="B8" s="5"/>
      <c r="C8" s="5"/>
      <c r="D8" s="5"/>
      <c r="F8" s="5"/>
    </row>
    <row r="9" spans="1:6" x14ac:dyDescent="0.25">
      <c r="B9" s="5"/>
      <c r="C9" s="5"/>
      <c r="D9" s="5"/>
      <c r="F9" s="5"/>
    </row>
    <row r="10" spans="1:6" x14ac:dyDescent="0.25">
      <c r="B10" s="5"/>
      <c r="C10" s="5"/>
      <c r="D10" s="5"/>
      <c r="F10" s="5"/>
    </row>
    <row r="11" spans="1:6" x14ac:dyDescent="0.25">
      <c r="B11" s="5"/>
      <c r="C11" s="5"/>
      <c r="D11" s="5"/>
      <c r="F11" s="5"/>
    </row>
    <row r="12" spans="1:6" x14ac:dyDescent="0.25">
      <c r="B12" s="5"/>
      <c r="C12" s="5"/>
      <c r="D12" s="5"/>
      <c r="F12" s="5"/>
    </row>
    <row r="13" spans="1:6" x14ac:dyDescent="0.25">
      <c r="B13" s="5"/>
      <c r="C13" s="5"/>
      <c r="D13" s="5"/>
      <c r="F13" s="5"/>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BD Finance</vt:lpstr>
      <vt:lpstr>Suivie des CP</vt:lpstr>
      <vt:lpstr>Suivi des AE</vt:lpstr>
      <vt:lpstr>Suivi administratif</vt:lpstr>
      <vt:lpstr>Indicateurs</vt:lpstr>
      <vt:lpstr>LIST</vt:lpstr>
      <vt:lpstr>Répertoire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2017-01-08T10:46:29Z</dcterms:modified>
</cp:coreProperties>
</file>