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BD Finance" sheetId="1" r:id="rId1"/>
    <sheet name="LIST" sheetId="2" r:id="rId2"/>
    <sheet name="Répertoire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5" i="1" l="1"/>
  <c r="N5" i="1"/>
  <c r="Y5" i="1" s="1"/>
  <c r="Q5" i="1"/>
  <c r="V5" i="1"/>
  <c r="W5" i="1" s="1"/>
  <c r="X5" i="1" s="1"/>
  <c r="AB5" i="1"/>
  <c r="AC5" i="1"/>
  <c r="AD5" i="1"/>
  <c r="AE5" i="1" s="1"/>
  <c r="AH5" i="1"/>
  <c r="AI5" i="1"/>
  <c r="AV5" i="1"/>
  <c r="AW5" i="1" s="1"/>
  <c r="AY5" i="1"/>
  <c r="AZ5" i="1"/>
  <c r="G4" i="1"/>
  <c r="N4" i="1"/>
  <c r="Y4" i="1" s="1"/>
  <c r="Q4" i="1"/>
  <c r="V4" i="1"/>
  <c r="W4" i="1" s="1"/>
  <c r="X4" i="1" s="1"/>
  <c r="AB4" i="1"/>
  <c r="AC4" i="1"/>
  <c r="AD4" i="1"/>
  <c r="AE4" i="1" s="1"/>
  <c r="AH4" i="1"/>
  <c r="AI4" i="1"/>
  <c r="AV4" i="1"/>
  <c r="AW4" i="1" s="1"/>
  <c r="AY4" i="1"/>
  <c r="AZ4" i="1"/>
  <c r="Z5" i="1" l="1"/>
  <c r="AA5" i="1"/>
  <c r="AA4" i="1"/>
  <c r="Z4" i="1"/>
  <c r="AH2" i="1" l="1"/>
  <c r="AH3" i="1"/>
  <c r="AD2" i="1"/>
  <c r="AD3" i="1"/>
  <c r="AB2" i="1"/>
  <c r="AB3" i="1"/>
  <c r="V2" i="1"/>
  <c r="V3" i="1"/>
  <c r="AE2" i="1" l="1"/>
  <c r="AE3" i="1"/>
  <c r="G3" i="1" l="1"/>
  <c r="N3" i="1"/>
  <c r="Y3" i="1" s="1"/>
  <c r="Q3" i="1"/>
  <c r="W3" i="1"/>
  <c r="X3" i="1" s="1"/>
  <c r="AC3" i="1"/>
  <c r="AI3" i="1"/>
  <c r="AV3" i="1"/>
  <c r="AW3" i="1" s="1"/>
  <c r="AY3" i="1"/>
  <c r="AZ3" i="1" l="1"/>
  <c r="AA3" i="1"/>
  <c r="Z3" i="1"/>
  <c r="AI2" i="1" l="1"/>
  <c r="AC2" i="1"/>
  <c r="Q2" i="1"/>
  <c r="N2" i="1"/>
  <c r="Y2" i="1" s="1"/>
  <c r="G2" i="1"/>
  <c r="AV2" i="1"/>
  <c r="AY2" i="1"/>
  <c r="AA2" i="1" l="1"/>
  <c r="AZ2" i="1"/>
  <c r="Z2" i="1"/>
  <c r="W2" i="1"/>
  <c r="X2" i="1" s="1"/>
  <c r="AW2" i="1" l="1"/>
</calcChain>
</file>

<file path=xl/sharedStrings.xml><?xml version="1.0" encoding="utf-8"?>
<sst xmlns="http://schemas.openxmlformats.org/spreadsheetml/2006/main" count="141" uniqueCount="120">
  <si>
    <t>Libelé projet</t>
  </si>
  <si>
    <t>Pilote d'axe</t>
  </si>
  <si>
    <t>Version du plan</t>
  </si>
  <si>
    <t>Statut</t>
  </si>
  <si>
    <t>Avenant</t>
  </si>
  <si>
    <t>Durée de la convention (mois)</t>
  </si>
  <si>
    <t>Montant du projet</t>
  </si>
  <si>
    <t>Montant participation voté au CA</t>
  </si>
  <si>
    <t>Montant des crédits non engagés</t>
  </si>
  <si>
    <t>Montant participation à la signature</t>
  </si>
  <si>
    <t>Durée du projet</t>
  </si>
  <si>
    <t>Durée supp pour remise des pièces</t>
  </si>
  <si>
    <t xml:space="preserve">Date signature </t>
  </si>
  <si>
    <t>Début éligibilité des dépenses</t>
  </si>
  <si>
    <t>Fin de l'éligibilité des dépenses</t>
  </si>
  <si>
    <t>Échéance pour demande d'avenant</t>
  </si>
  <si>
    <t>Échéance de la convention</t>
  </si>
  <si>
    <t>Échéance pour remise du rapport intermédiaire</t>
  </si>
  <si>
    <t>Échéance pour remise du rapport final</t>
  </si>
  <si>
    <t>AVANCE PREVUE</t>
  </si>
  <si>
    <t>Date de l'avance prévue</t>
  </si>
  <si>
    <t>ACOMPTE 1 PREVU</t>
  </si>
  <si>
    <t>Date de l'acompte 1 prévue</t>
  </si>
  <si>
    <t>ACOMPTE 2 PREVU</t>
  </si>
  <si>
    <t>Date de l'acompte 2 prévue</t>
  </si>
  <si>
    <t>SOLDE PREVU</t>
  </si>
  <si>
    <t xml:space="preserve">Date du solde prévue  </t>
  </si>
  <si>
    <t>AVANCE VERSEE</t>
  </si>
  <si>
    <t>Date du mandatement</t>
  </si>
  <si>
    <t>ACOMPTE 1 VERSE</t>
  </si>
  <si>
    <t>Date de réception du rapport 1</t>
  </si>
  <si>
    <t>Date de transmission de l'ASF acompte 1</t>
  </si>
  <si>
    <t>ACOMPTE 2 VERSE</t>
  </si>
  <si>
    <t>Date de réception du rapport 2</t>
  </si>
  <si>
    <t xml:space="preserve">Date de transmission de l'ASF acompte 2 </t>
  </si>
  <si>
    <t>SOLDE VERSE</t>
  </si>
  <si>
    <t>Date de réception du rapport final</t>
  </si>
  <si>
    <t xml:space="preserve">Date de transmission de l'ASF solde </t>
  </si>
  <si>
    <t>Commentaires</t>
  </si>
  <si>
    <t>Total CP payés</t>
  </si>
  <si>
    <t xml:space="preserve">Restes à payer </t>
  </si>
  <si>
    <t xml:space="preserve">Titre de recette </t>
  </si>
  <si>
    <t>Réfaction</t>
  </si>
  <si>
    <t>Observations</t>
  </si>
  <si>
    <t>En cours</t>
  </si>
  <si>
    <t>OUI</t>
  </si>
  <si>
    <t>Version</t>
  </si>
  <si>
    <t>V1</t>
  </si>
  <si>
    <t>Soldé</t>
  </si>
  <si>
    <t>NON</t>
  </si>
  <si>
    <t>V2</t>
  </si>
  <si>
    <t>Nature juridique</t>
  </si>
  <si>
    <t>Secteur</t>
  </si>
  <si>
    <t xml:space="preserve">Nom du contact </t>
  </si>
  <si>
    <t>Mail</t>
  </si>
  <si>
    <t>Téléphone</t>
  </si>
  <si>
    <t>TRUC</t>
  </si>
  <si>
    <t>MUCH</t>
  </si>
  <si>
    <t>BIDUL</t>
  </si>
  <si>
    <t>Objet de l'avenant n° 1</t>
  </si>
  <si>
    <t>Objet de l'avenant n° 2</t>
  </si>
  <si>
    <t>Date de signature avenant  n°1</t>
  </si>
  <si>
    <t>Date de signature avenant  n°2</t>
  </si>
  <si>
    <t>AXE</t>
  </si>
  <si>
    <t>Pilote</t>
  </si>
  <si>
    <t>PIL1</t>
  </si>
  <si>
    <t>PIL2</t>
  </si>
  <si>
    <t>PIL3</t>
  </si>
  <si>
    <t>PIL4</t>
  </si>
  <si>
    <t>PIL5</t>
  </si>
  <si>
    <t>PIL6</t>
  </si>
  <si>
    <t>PIL7</t>
  </si>
  <si>
    <t>PIL8</t>
  </si>
  <si>
    <t>PIL9</t>
  </si>
  <si>
    <t>Axe</t>
  </si>
  <si>
    <t>Action</t>
  </si>
  <si>
    <t>Date CA</t>
  </si>
  <si>
    <t>N°Sirepa</t>
  </si>
  <si>
    <t>Porteur de projet</t>
  </si>
  <si>
    <t>Dégagement</t>
  </si>
  <si>
    <t>Emplacement réseau</t>
  </si>
  <si>
    <t>19/11/2015</t>
  </si>
  <si>
    <t>CEPP-commité d'évaluation</t>
  </si>
  <si>
    <t>Classification multicritères des performances des pulvés</t>
  </si>
  <si>
    <t>Enveloppe</t>
  </si>
  <si>
    <t>Date de relance Acompte  1</t>
  </si>
  <si>
    <t>Date de relance Acompte  2</t>
  </si>
  <si>
    <t>Date de relance Solde</t>
  </si>
  <si>
    <t>Outil d'aide à la mise en œuvre de la lutte intégrée (phase 3)</t>
  </si>
  <si>
    <t>Relance Acompte 1 convention Ecophyto</t>
  </si>
  <si>
    <t>Relance Acompte 2 convention Ecophyto</t>
  </si>
  <si>
    <t>Relance Solde convention Ecophyto</t>
  </si>
  <si>
    <t>Afin de pouvoir procéder à ce versement, veuillez nous faire parvenir le plus rapidement possible votre rapport technique intermédiaire revêtu du visa de votre pilote d’action.</t>
  </si>
  <si>
    <t>Bien cordialement,</t>
  </si>
  <si>
    <t>Le Conseil d’Administration de l’Onema du</t>
  </si>
  <si>
    <t>a voté l’attribution de l’aide d’un montant de</t>
  </si>
  <si>
    <t>pour le projet</t>
  </si>
  <si>
    <t>La convention que vous avez signée avec l’Onema le</t>
  </si>
  <si>
    <t>prévoit le versement d’un acompte d’un montant de</t>
  </si>
  <si>
    <t>à la date du</t>
  </si>
  <si>
    <t xml:space="preserve"> </t>
  </si>
  <si>
    <t xml:space="preserve">Bonjour Madame, Monsieur,
</t>
  </si>
  <si>
    <t>CHOUETTE</t>
  </si>
  <si>
    <t>EPA</t>
  </si>
  <si>
    <t>PUBLIC</t>
  </si>
  <si>
    <t>Monsieur TRUC</t>
  </si>
  <si>
    <t>Madame MUCH</t>
  </si>
  <si>
    <t>Monsieur BIDUL</t>
  </si>
  <si>
    <t>Madame CHOUETTE</t>
  </si>
  <si>
    <t>monsieurtruc@truc.com</t>
  </si>
  <si>
    <t>madamemuch@much.com</t>
  </si>
  <si>
    <t>monsieurbidul@bidul.com</t>
  </si>
  <si>
    <t>madamechouette@chouette.com</t>
  </si>
  <si>
    <t>"date CA"</t>
  </si>
  <si>
    <t>"libellé projet"</t>
  </si>
  <si>
    <t>"montant participation voté au CA"</t>
  </si>
  <si>
    <t>"date de signature de la convention"</t>
  </si>
  <si>
    <t>"acompte 1 prévu"</t>
  </si>
  <si>
    <t>"date de l'acompte 1 prévue"</t>
  </si>
  <si>
    <t xml:space="preserve">Vous voudrez bien transmettre ce document sous forme numérique et papier à SD, chargée de la gestion comptable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</si>
</sst>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theme="4"/>
      </patternFill>
    </fill>
    <fill>
      <patternFill patternType="solid">
        <fgColor theme="3" tint="0.59999389629810485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9933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44" fontId="2" fillId="0" borderId="0" xfId="1" applyNumberFormat="1" applyFont="1" applyFill="1" applyBorder="1" applyAlignment="1">
      <alignment horizontal="center" vertical="center" wrapText="1"/>
    </xf>
    <xf numFmtId="0" fontId="4" fillId="7" borderId="5" xfId="2" applyNumberFormat="1" applyFont="1" applyFill="1" applyBorder="1" applyAlignment="1">
      <alignment horizontal="center" vertical="center" wrapText="1" shrinkToFit="1"/>
    </xf>
    <xf numFmtId="44" fontId="4" fillId="8" borderId="5" xfId="1" applyFont="1" applyFill="1" applyBorder="1" applyAlignment="1">
      <alignment horizontal="center" vertical="center" wrapText="1" shrinkToFit="1"/>
    </xf>
    <xf numFmtId="164" fontId="4" fillId="8" borderId="5" xfId="2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44" fontId="0" fillId="0" borderId="0" xfId="1" applyFont="1"/>
    <xf numFmtId="0" fontId="0" fillId="0" borderId="0" xfId="0" applyNumberFormat="1"/>
    <xf numFmtId="14" fontId="2" fillId="6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44" fontId="2" fillId="0" borderId="2" xfId="1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44" fontId="2" fillId="5" borderId="0" xfId="1" applyFont="1" applyFill="1" applyBorder="1" applyAlignment="1">
      <alignment horizontal="center" vertical="center" wrapText="1"/>
    </xf>
    <xf numFmtId="44" fontId="4" fillId="7" borderId="4" xfId="1" applyFont="1" applyFill="1" applyBorder="1" applyAlignment="1">
      <alignment horizontal="center" vertical="center" wrapText="1" shrinkToFit="1"/>
    </xf>
    <xf numFmtId="44" fontId="4" fillId="7" borderId="5" xfId="1" applyFont="1" applyFill="1" applyBorder="1" applyAlignment="1">
      <alignment horizontal="center" vertical="center" wrapText="1" shrinkToFit="1"/>
    </xf>
    <xf numFmtId="44" fontId="2" fillId="9" borderId="2" xfId="1" applyFont="1" applyFill="1" applyBorder="1" applyAlignment="1">
      <alignment horizontal="center" vertical="center" wrapText="1"/>
    </xf>
    <xf numFmtId="44" fontId="2" fillId="10" borderId="2" xfId="1" applyFont="1" applyFill="1" applyBorder="1" applyAlignment="1">
      <alignment horizontal="center" vertical="center" wrapText="1"/>
    </xf>
    <xf numFmtId="0" fontId="2" fillId="6" borderId="0" xfId="0" applyNumberFormat="1" applyFont="1" applyFill="1" applyBorder="1" applyAlignment="1">
      <alignment horizontal="center" vertical="center" wrapText="1"/>
    </xf>
    <xf numFmtId="14" fontId="4" fillId="7" borderId="5" xfId="2" applyNumberFormat="1" applyFont="1" applyFill="1" applyBorder="1" applyAlignment="1">
      <alignment horizontal="center" vertical="center" wrapText="1" shrinkToFit="1"/>
    </xf>
    <xf numFmtId="14" fontId="4" fillId="8" borderId="5" xfId="2" applyNumberFormat="1" applyFont="1" applyFill="1" applyBorder="1" applyAlignment="1">
      <alignment horizontal="center" vertical="center" wrapText="1" shrinkToFit="1"/>
    </xf>
    <xf numFmtId="14" fontId="4" fillId="8" borderId="4" xfId="2" applyNumberFormat="1" applyFont="1" applyFill="1" applyBorder="1" applyAlignment="1">
      <alignment horizontal="center" vertical="center" wrapText="1" shrinkToFit="1"/>
    </xf>
    <xf numFmtId="14" fontId="2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4" fontId="0" fillId="0" borderId="0" xfId="1" applyFont="1" applyFill="1"/>
    <xf numFmtId="0" fontId="2" fillId="2" borderId="1" xfId="0" applyNumberFormat="1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4" fontId="0" fillId="0" borderId="0" xfId="1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0" xfId="0" applyNumberFormat="1" applyFill="1" applyAlignment="1">
      <alignment horizontal="center"/>
    </xf>
    <xf numFmtId="14" fontId="0" fillId="0" borderId="0" xfId="1" applyNumberFormat="1" applyFont="1" applyFill="1"/>
    <xf numFmtId="0" fontId="0" fillId="0" borderId="0" xfId="0" applyNumberFormat="1" applyFill="1" applyAlignment="1">
      <alignment horizontal="left"/>
    </xf>
    <xf numFmtId="44" fontId="7" fillId="0" borderId="0" xfId="1" applyNumberFormat="1" applyFont="1" applyFill="1" applyAlignment="1">
      <alignment horizontal="center"/>
    </xf>
    <xf numFmtId="44" fontId="7" fillId="0" borderId="0" xfId="1" applyFont="1" applyFill="1" applyAlignment="1">
      <alignment horizontal="center"/>
    </xf>
    <xf numFmtId="44" fontId="0" fillId="0" borderId="0" xfId="1" applyNumberFormat="1" applyFon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6" fillId="0" borderId="0" xfId="3" applyAlignment="1">
      <alignment vertical="center" wrapText="1"/>
    </xf>
    <xf numFmtId="0" fontId="6" fillId="0" borderId="0" xfId="3" applyAlignment="1">
      <alignment horizontal="left"/>
    </xf>
    <xf numFmtId="0" fontId="8" fillId="0" borderId="0" xfId="0" applyFont="1" applyAlignment="1">
      <alignment wrapText="1"/>
    </xf>
  </cellXfs>
  <cellStyles count="4">
    <cellStyle name="Lien hypertexte" xfId="3" builtinId="8"/>
    <cellStyle name="Monétaire" xfId="1" builtinId="4"/>
    <cellStyle name="Normal" xfId="0" builtinId="0"/>
    <cellStyle name="Normal_09-06-30 Tableau type de bénéficiaires-rev DGPAAT" xfId="2"/>
  </cellStyles>
  <dxfs count="78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1" indent="0" justifyLastLine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</xdr:col>
      <xdr:colOff>180975</xdr:colOff>
      <xdr:row>0</xdr:row>
      <xdr:rowOff>1047750</xdr:rowOff>
    </xdr:to>
    <xdr:sp macro="[0]!Afficher_Tout" textlink="">
      <xdr:nvSpPr>
        <xdr:cNvPr id="14" name="Rectangle à coins arrondis 13"/>
        <xdr:cNvSpPr/>
      </xdr:nvSpPr>
      <xdr:spPr>
        <a:xfrm>
          <a:off x="0" y="9525"/>
          <a:ext cx="790575" cy="10382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</a:t>
          </a:r>
        </a:p>
        <a:p>
          <a:pPr algn="ctr"/>
          <a:r>
            <a:rPr lang="fr-FR" sz="1100"/>
            <a:t>tout</a:t>
          </a:r>
        </a:p>
      </xdr:txBody>
    </xdr:sp>
    <xdr:clientData/>
  </xdr:twoCellAnchor>
  <xdr:twoCellAnchor>
    <xdr:from>
      <xdr:col>1</xdr:col>
      <xdr:colOff>209550</xdr:colOff>
      <xdr:row>0</xdr:row>
      <xdr:rowOff>0</xdr:rowOff>
    </xdr:from>
    <xdr:to>
      <xdr:col>3</xdr:col>
      <xdr:colOff>28575</xdr:colOff>
      <xdr:row>0</xdr:row>
      <xdr:rowOff>314325</xdr:rowOff>
    </xdr:to>
    <xdr:sp macro="[0]!Masquer" textlink="">
      <xdr:nvSpPr>
        <xdr:cNvPr id="15" name="Conv"/>
        <xdr:cNvSpPr/>
      </xdr:nvSpPr>
      <xdr:spPr>
        <a:xfrm>
          <a:off x="819150" y="0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Conventions</a:t>
          </a:r>
        </a:p>
      </xdr:txBody>
    </xdr:sp>
    <xdr:clientData/>
  </xdr:twoCellAnchor>
  <xdr:twoCellAnchor>
    <xdr:from>
      <xdr:col>1</xdr:col>
      <xdr:colOff>209550</xdr:colOff>
      <xdr:row>0</xdr:row>
      <xdr:rowOff>371475</xdr:rowOff>
    </xdr:from>
    <xdr:to>
      <xdr:col>3</xdr:col>
      <xdr:colOff>28575</xdr:colOff>
      <xdr:row>0</xdr:row>
      <xdr:rowOff>685800</xdr:rowOff>
    </xdr:to>
    <xdr:sp macro="[0]!Masquer" textlink="">
      <xdr:nvSpPr>
        <xdr:cNvPr id="16" name="Paie"/>
        <xdr:cNvSpPr/>
      </xdr:nvSpPr>
      <xdr:spPr>
        <a:xfrm>
          <a:off x="819150" y="371475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Paiements</a:t>
          </a:r>
        </a:p>
      </xdr:txBody>
    </xdr:sp>
    <xdr:clientData/>
  </xdr:twoCellAnchor>
  <xdr:twoCellAnchor>
    <xdr:from>
      <xdr:col>1</xdr:col>
      <xdr:colOff>219075</xdr:colOff>
      <xdr:row>0</xdr:row>
      <xdr:rowOff>733425</xdr:rowOff>
    </xdr:from>
    <xdr:to>
      <xdr:col>3</xdr:col>
      <xdr:colOff>38100</xdr:colOff>
      <xdr:row>0</xdr:row>
      <xdr:rowOff>1047750</xdr:rowOff>
    </xdr:to>
    <xdr:sp macro="[0]!Masquer" textlink="">
      <xdr:nvSpPr>
        <xdr:cNvPr id="17" name="Eché"/>
        <xdr:cNvSpPr/>
      </xdr:nvSpPr>
      <xdr:spPr>
        <a:xfrm>
          <a:off x="828675" y="733425"/>
          <a:ext cx="1266825" cy="3143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Echéances</a:t>
          </a:r>
        </a:p>
      </xdr:txBody>
    </xdr:sp>
    <xdr:clientData/>
  </xdr:twoCellAnchor>
  <xdr:twoCellAnchor>
    <xdr:from>
      <xdr:col>3</xdr:col>
      <xdr:colOff>66676</xdr:colOff>
      <xdr:row>0</xdr:row>
      <xdr:rowOff>28576</xdr:rowOff>
    </xdr:from>
    <xdr:to>
      <xdr:col>4</xdr:col>
      <xdr:colOff>495300</xdr:colOff>
      <xdr:row>0</xdr:row>
      <xdr:rowOff>390526</xdr:rowOff>
    </xdr:to>
    <xdr:sp macro="[0]!Bouton_Convention_Cliquer" textlink="">
      <xdr:nvSpPr>
        <xdr:cNvPr id="3" name="Carré corné 2"/>
        <xdr:cNvSpPr/>
      </xdr:nvSpPr>
      <xdr:spPr>
        <a:xfrm>
          <a:off x="2600326" y="28576"/>
          <a:ext cx="1142999" cy="361950"/>
        </a:xfrm>
        <a:prstGeom prst="foldedCorner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Convention</a:t>
          </a:r>
        </a:p>
      </xdr:txBody>
    </xdr:sp>
    <xdr:clientData/>
  </xdr:twoCellAnchor>
  <xdr:twoCellAnchor>
    <xdr:from>
      <xdr:col>3</xdr:col>
      <xdr:colOff>76201</xdr:colOff>
      <xdr:row>0</xdr:row>
      <xdr:rowOff>495301</xdr:rowOff>
    </xdr:from>
    <xdr:to>
      <xdr:col>4</xdr:col>
      <xdr:colOff>504825</xdr:colOff>
      <xdr:row>0</xdr:row>
      <xdr:rowOff>857251</xdr:rowOff>
    </xdr:to>
    <xdr:sp macro="[0]!Bouton_Avenant_Cliquer" textlink="">
      <xdr:nvSpPr>
        <xdr:cNvPr id="9" name="Carré corné 8"/>
        <xdr:cNvSpPr/>
      </xdr:nvSpPr>
      <xdr:spPr>
        <a:xfrm>
          <a:off x="2609851" y="495301"/>
          <a:ext cx="1142999" cy="361950"/>
        </a:xfrm>
        <a:prstGeom prst="foldedCorner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Avenant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BF5" totalsRowShown="0" headerRowDxfId="77" dataDxfId="76" tableBorderDxfId="75">
  <autoFilter ref="A1:BF5"/>
  <tableColumns count="58">
    <tableColumn id="1" name="N°Sirepa" dataDxfId="74"/>
    <tableColumn id="2" name="Date CA" dataDxfId="73"/>
    <tableColumn id="12" name="Axe" dataDxfId="72"/>
    <tableColumn id="11" name="Action" dataDxfId="71"/>
    <tableColumn id="10" name="Porteur de projet" dataDxfId="70"/>
    <tableColumn id="4" name="Libelé projet" dataDxfId="69"/>
    <tableColumn id="3" name="Pilote d'axe" dataDxfId="68">
      <calculatedColumnFormula>IF(Tableau2[[#This Row],[Axe]]="","-",VLOOKUP(Tableau2[[#This Row],[Axe]],LIST!$D$2:$E$10,2,FALSE))</calculatedColumnFormula>
    </tableColumn>
    <tableColumn id="37" name="Version du plan" dataDxfId="67"/>
    <tableColumn id="5" name="Statut" dataDxfId="66"/>
    <tableColumn id="43" name="Date de signature avenant  n°1" dataDxfId="65"/>
    <tableColumn id="35" name="Objet de l'avenant n° 1" dataDxfId="64"/>
    <tableColumn id="33" name="Date de signature avenant  n°2" dataDxfId="63"/>
    <tableColumn id="14" name="Objet de l'avenant n° 2" dataDxfId="62"/>
    <tableColumn id="13" name="Durée de la convention (mois)" dataDxfId="61">
      <calculatedColumnFormula>IF(Tableau2[[#This Row],[Durée du projet]]="","-",Tableau2[[#This Row],[Durée du projet]]+Tableau2[[#This Row],[Durée supp pour remise des pièces]])</calculatedColumnFormula>
    </tableColumn>
    <tableColumn id="7" name="Montant du projet" dataDxfId="60" dataCellStyle="Monétaire"/>
    <tableColumn id="8" name="Montant participation voté au CA" dataDxfId="59" dataCellStyle="Monétaire"/>
    <tableColumn id="23" name="Montant des crédits non engagés" dataDxfId="58" dataCellStyle="Monétaire">
      <calculatedColumnFormula>IF(Tableau2[[#This Row],[Montant participation voté au CA]]="",0,Tableau2[[#This Row],[Montant participation voté au CA]]-Tableau2[[#This Row],[Montant participation à la signature]])</calculatedColumnFormula>
    </tableColumn>
    <tableColumn id="22" name="Montant participation à la signature" dataDxfId="57" dataCellStyle="Monétaire"/>
    <tableColumn id="16" name="Durée du projet" dataDxfId="56"/>
    <tableColumn id="42" name="Durée supp pour remise des pièces" dataDxfId="55"/>
    <tableColumn id="9" name="Date signature " dataDxfId="54" dataCellStyle="Monétaire"/>
    <tableColumn id="15" name="Début éligibilité des dépenses" dataDxfId="17">
      <calculatedColumnFormula>IF(Tableau2[[#This Row],[Porteur de projet]]="","-",IF(COUNTIF(Tableau2[[#This Row],[Porteur de projet]],"CRA*")=1,DATE(YEAR(Tableau2[[#This Row],[Date signature ]]),1,1),Tableau2[[#This Row],[Date signature ]]))</calculatedColumnFormula>
    </tableColumn>
    <tableColumn id="17" name="Fin de l'éligibilité des dépenses" dataDxfId="53">
      <calculatedColumnFormula>IF(Tableau2[[#This Row],[Début éligibilité des dépenses]]="-","-",EOMONTH((EDATE(Tableau2[[#This Row],[Début éligibilité des dépenses]],Tableau2[[#This Row],[Durée du projet]])),-1))</calculatedColumnFormula>
    </tableColumn>
    <tableColumn id="21" name="Échéance pour demande d'avenant" dataDxfId="52">
      <calculatedColumnFormula>IF(Tableau2[[#This Row],[Fin de l''éligibilité des dépenses]]="-","-",EDATE(Tableau2[[#This Row],[Fin de l''éligibilité des dépenses]],-2))</calculatedColumnFormula>
    </tableColumn>
    <tableColumn id="18" name="Échéance de la convention" dataDxfId="51">
      <calculatedColumnFormula>IF(Tableau2[[#This Row],[Date signature ]]="","",EOMONTH(EDATE(Tableau2[[#This Row],[Date signature ]],Tableau2[[#This Row],[Durée de la convention (mois)]]),0))</calculatedColumnFormula>
    </tableColumn>
    <tableColumn id="19" name="Échéance pour remise du rapport intermédiaire" dataDxfId="50">
      <calculatedColumnFormula>IF(Tableau2[[#This Row],[Début éligibilité des dépenses]]="-","-",EOMONTH(EDATE(Tableau2[[#This Row],[Début éligibilité des dépenses]],Tableau2[[#This Row],[Durée du projet]]/2),0))</calculatedColumnFormula>
    </tableColumn>
    <tableColumn id="20" name="Échéance pour remise du rapport final" dataDxfId="49">
      <calculatedColumnFormula>IF(Tableau2[[#This Row],[Début éligibilité des dépenses]]="-","-",EOMONTH(EDATE(Tableau2[[#This Row],[Début éligibilité des dépenses]],Tableau2[[#This Row],[Durée de la convention (mois)]]-2),0))</calculatedColumnFormula>
    </tableColumn>
    <tableColumn id="24" name="AVANCE PREVUE" dataDxfId="16" dataCellStyle="Monétaire">
      <calculatedColumnFormula>IF(Tableau2[[#This Row],[Porteur de projet]]="",0,IF(COUNTIF(Tableau2[[#This Row],[Porteur de projet]],"CRA*")=1,Tableau2[[#This Row],[Montant participation à la signature]]/2,Tableau2[[#This Row],[Montant participation à la signature]]*0.3))</calculatedColumnFormula>
    </tableColumn>
    <tableColumn id="25" name="Date de l'avance prévue" dataDxfId="48">
      <calculatedColumnFormula>IF(Tableau2[[#This Row],[Date signature ]]="","-",EDATE(Tableau2[[#This Row],[Date signature ]],1))</calculatedColumnFormula>
    </tableColumn>
    <tableColumn id="26" name="ACOMPTE 1 PREVU" dataDxfId="47" dataCellStyle="Monétaire">
      <calculatedColumnFormula>IF(Tableau2[[#This Row],[Porteur de projet]]="",0,IF(COUNTIF(Tableau2[[#This Row],[Porteur de projet]],"CRA*")=1,,Tableau2[[#This Row],[Montant participation à la signature]]*0.4))</calculatedColumnFormula>
    </tableColumn>
    <tableColumn id="28" name="Date de l'acompte 1 prévue" dataDxfId="46">
      <calculatedColumnFormula>IF(Tableau2[[#This Row],[Date signature ]]="","-",IF(Tableau2[[#This Row],[ACOMPTE 1 PREVU]]=0,"",EOMONTH(EDATE(Tableau2[[#This Row],[Date signature ]],Tableau2[[#This Row],[Durée du projet]]/2),0)))</calculatedColumnFormula>
    </tableColumn>
    <tableColumn id="30" name="ACOMPTE 2 PREVU" dataDxfId="45"/>
    <tableColumn id="32" name="Date de l'acompte 2 prévue" dataDxfId="44"/>
    <tableColumn id="34" name="SOLDE PREVU" dataDxfId="15" dataCellStyle="Monétaire">
      <calculatedColumnFormula>IF(Tableau2[[#This Row],[Porteur de projet]]="",0,IF(COUNTIF(Tableau2[[#This Row],[Porteur de projet]],"CRA*")=1,Tableau2[[#This Row],[Montant participation à la signature]]/2,Tableau2[[#This Row],[Montant participation à la signature]]*0.3))</calculatedColumnFormula>
    </tableColumn>
    <tableColumn id="36" name="Date du solde prévue  " dataDxfId="43">
      <calculatedColumnFormula>IF(Tableau2[[#This Row],[Date signature ]]="","-",EOMONTH(EDATE(Tableau2[[#This Row],[Date signature ]],Tableau2[[#This Row],[Durée du projet]]),0))</calculatedColumnFormula>
    </tableColumn>
    <tableColumn id="38" name="AVANCE VERSEE" dataDxfId="42" dataCellStyle="Monétaire"/>
    <tableColumn id="39" name="Date du mandatement" dataDxfId="41"/>
    <tableColumn id="40" name="ACOMPTE 1 VERSE" dataDxfId="40" dataCellStyle="Monétaire"/>
    <tableColumn id="27" name="Date de réception du rapport 1" dataDxfId="39"/>
    <tableColumn id="41" name="Date de transmission de l'ASF acompte 1" dataDxfId="38"/>
    <tableColumn id="44" name="ACOMPTE 2 VERSE" dataDxfId="37" dataCellStyle="Monétaire"/>
    <tableColumn id="29" name="Date de réception du rapport 2" dataDxfId="36"/>
    <tableColumn id="45" name="Date de transmission de l'ASF acompte 2 " dataDxfId="35"/>
    <tableColumn id="48" name="SOLDE VERSE" dataDxfId="34" dataCellStyle="Monétaire"/>
    <tableColumn id="31" name="Date de réception du rapport final" dataDxfId="33"/>
    <tableColumn id="49" name="Date de transmission de l'ASF solde " dataDxfId="32"/>
    <tableColumn id="52" name="Commentaires" dataDxfId="31"/>
    <tableColumn id="53" name="Total CP payés" dataDxfId="30" dataCellStyle="Monétaire">
      <calculatedColumnFormula>Tableau2[[#This Row],[AVANCE VERSEE]]+Tableau2[[#This Row],[ACOMPTE 1 VERSE]]+Tableau2[[#This Row],[ACOMPTE 2 VERSE]]+Tableau2[[#This Row],[SOLDE VERSE]]</calculatedColumnFormula>
    </tableColumn>
    <tableColumn id="54" name="Restes à payer " dataDxfId="29" dataCellStyle="Monétaire">
      <calculatedColumnFormula>IF(Tableau2[[#This Row],[Statut]]="Soldé",0,Tableau2[[#This Row],[Montant participation à la signature]]-Tableau2[[#This Row],[Total CP payés]])</calculatedColumnFormula>
    </tableColumn>
    <tableColumn id="55" name="Titre de recette " dataDxfId="28" dataCellStyle="Monétaire"/>
    <tableColumn id="56" name="Réfaction" dataDxfId="27" dataCellStyle="Monétaire">
      <calculatedColumnFormula>IF(Tableau2[[#This Row],[Statut]]="Soldé",Tableau2[[#This Row],[Montant participation à la signature]]-Tableau2[[#This Row],[Total CP payés]],0)</calculatedColumnFormula>
    </tableColumn>
    <tableColumn id="6" name="Dégagement" dataDxfId="26" dataCellStyle="Monétaire">
      <calculatedColumnFormula>IF(Tableau2[[#This Row],[Montant participation voté au CA]]="",0,Tableau2[[#This Row],[Réfaction]]+Tableau2[[#This Row],[Montant des crédits non engagés]])</calculatedColumnFormula>
    </tableColumn>
    <tableColumn id="58" name="Observations" dataDxfId="25"/>
    <tableColumn id="46" name="Emplacement réseau" dataDxfId="24"/>
    <tableColumn id="47" name="Enveloppe" dataDxfId="23"/>
    <tableColumn id="50" name="Date de relance Acompte  1" dataDxfId="22"/>
    <tableColumn id="51" name="Date de relance Acompte  2" dataDxfId="21"/>
    <tableColumn id="57" name="Date de relance Solde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" displayName="Tableau1" ref="A1:F5" totalsRowShown="0">
  <autoFilter ref="A1:F5"/>
  <tableColumns count="6">
    <tableColumn id="1" name="Porteur de projet"/>
    <tableColumn id="2" name="Nature juridique" dataDxfId="19"/>
    <tableColumn id="3" name="Secteur" dataDxfId="18"/>
    <tableColumn id="4" name="Nom du contact " dataDxfId="14"/>
    <tableColumn id="5" name="Mail" dataDxfId="12"/>
    <tableColumn id="6" name="Téléphone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monsieurbidul@bidul.com" TargetMode="External"/><Relationship Id="rId2" Type="http://schemas.openxmlformats.org/officeDocument/2006/relationships/hyperlink" Target="mailto:madamemuch@much.com" TargetMode="External"/><Relationship Id="rId1" Type="http://schemas.openxmlformats.org/officeDocument/2006/relationships/hyperlink" Target="mailto:monsieurtruc@truc.com" TargetMode="External"/><Relationship Id="rId5" Type="http://schemas.openxmlformats.org/officeDocument/2006/relationships/table" Target="../tables/table2.xml"/><Relationship Id="rId4" Type="http://schemas.openxmlformats.org/officeDocument/2006/relationships/hyperlink" Target="mailto:madamechouette@chouet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5"/>
  <sheetViews>
    <sheetView zoomScaleNormal="100" workbookViewId="0">
      <selection activeCell="R30" sqref="R30:R38"/>
    </sheetView>
  </sheetViews>
  <sheetFormatPr baseColWidth="10" defaultColWidth="9.140625" defaultRowHeight="15" x14ac:dyDescent="0.25"/>
  <cols>
    <col min="2" max="2" width="19.7109375" customWidth="1"/>
    <col min="3" max="3" width="9.140625" style="18"/>
    <col min="4" max="4" width="10.7109375" style="18" bestFit="1" customWidth="1"/>
    <col min="5" max="5" width="12.42578125" customWidth="1"/>
    <col min="6" max="6" width="9.140625" style="33" customWidth="1"/>
    <col min="7" max="9" width="9.140625" customWidth="1"/>
    <col min="10" max="10" width="12.7109375" style="20" customWidth="1"/>
    <col min="11" max="11" width="9.140625" style="33" customWidth="1"/>
    <col min="12" max="12" width="12.7109375" style="20" customWidth="1"/>
    <col min="13" max="13" width="9.140625" style="33" customWidth="1"/>
    <col min="14" max="14" width="11.28515625" customWidth="1"/>
    <col min="15" max="16" width="15.140625" style="17" customWidth="1"/>
    <col min="17" max="17" width="14.42578125" customWidth="1"/>
    <col min="18" max="18" width="15.140625" style="17" customWidth="1"/>
    <col min="19" max="19" width="13.7109375" style="18" bestFit="1" customWidth="1"/>
    <col min="20" max="20" width="11.7109375" style="18" bestFit="1" customWidth="1"/>
    <col min="21" max="21" width="12.7109375" style="20" customWidth="1"/>
    <col min="22" max="22" width="17.28515625" style="20" customWidth="1"/>
    <col min="23" max="23" width="13.42578125" style="20" customWidth="1"/>
    <col min="24" max="24" width="13.7109375" style="20" customWidth="1"/>
    <col min="25" max="25" width="13.28515625" style="20" customWidth="1"/>
    <col min="26" max="26" width="13" style="20" customWidth="1"/>
    <col min="27" max="27" width="13.28515625" style="20" customWidth="1"/>
    <col min="28" max="28" width="14.42578125" style="17" customWidth="1"/>
    <col min="29" max="29" width="13.140625" style="20" customWidth="1"/>
    <col min="30" max="30" width="14.42578125" style="17" customWidth="1"/>
    <col min="31" max="31" width="13.28515625" style="20" customWidth="1"/>
    <col min="32" max="32" width="14.42578125" customWidth="1"/>
    <col min="33" max="33" width="13.28515625" style="20" customWidth="1"/>
    <col min="34" max="34" width="14.42578125" style="17" customWidth="1"/>
    <col min="35" max="35" width="12.5703125" style="20" customWidth="1"/>
    <col min="36" max="36" width="14.42578125" style="17" customWidth="1"/>
    <col min="37" max="37" width="13.5703125" style="20" customWidth="1"/>
    <col min="38" max="38" width="14.42578125" style="17" customWidth="1"/>
    <col min="39" max="39" width="13.7109375" style="20" customWidth="1"/>
    <col min="40" max="40" width="13.42578125" style="20" customWidth="1"/>
    <col min="41" max="41" width="14.42578125" style="17" customWidth="1"/>
    <col min="42" max="42" width="13.7109375" style="20" customWidth="1"/>
    <col min="43" max="43" width="13.42578125" style="20" customWidth="1"/>
    <col min="44" max="44" width="14.42578125" style="17" customWidth="1"/>
    <col min="45" max="45" width="13" style="20" customWidth="1"/>
    <col min="46" max="46" width="13.140625" style="20" customWidth="1"/>
    <col min="47" max="47" width="15.7109375" customWidth="1"/>
    <col min="48" max="48" width="14.42578125" style="17" customWidth="1"/>
    <col min="49" max="49" width="15.140625" style="17" customWidth="1"/>
    <col min="50" max="52" width="14.42578125" style="17" customWidth="1"/>
    <col min="53" max="53" width="13.5703125" customWidth="1"/>
    <col min="54" max="54" width="19.42578125" customWidth="1"/>
    <col min="55" max="55" width="12.7109375" bestFit="1" customWidth="1"/>
  </cols>
  <sheetData>
    <row r="1" spans="1:58" ht="103.5" customHeight="1" x14ac:dyDescent="0.25">
      <c r="A1" s="36" t="s">
        <v>77</v>
      </c>
      <c r="B1" s="36" t="s">
        <v>76</v>
      </c>
      <c r="C1" s="35" t="s">
        <v>74</v>
      </c>
      <c r="D1" s="35" t="s">
        <v>75</v>
      </c>
      <c r="E1" s="36" t="s">
        <v>78</v>
      </c>
      <c r="F1" s="1" t="s">
        <v>0</v>
      </c>
      <c r="G1" s="1" t="s">
        <v>1</v>
      </c>
      <c r="H1" s="1" t="s">
        <v>2</v>
      </c>
      <c r="I1" s="2" t="s">
        <v>3</v>
      </c>
      <c r="J1" s="32" t="s">
        <v>61</v>
      </c>
      <c r="K1" s="2" t="s">
        <v>59</v>
      </c>
      <c r="L1" s="32" t="s">
        <v>62</v>
      </c>
      <c r="M1" s="2" t="s">
        <v>60</v>
      </c>
      <c r="N1" s="3" t="s">
        <v>5</v>
      </c>
      <c r="O1" s="21" t="s">
        <v>6</v>
      </c>
      <c r="P1" s="22" t="s">
        <v>7</v>
      </c>
      <c r="Q1" s="4" t="s">
        <v>8</v>
      </c>
      <c r="R1" s="23" t="s">
        <v>9</v>
      </c>
      <c r="S1" s="28" t="s">
        <v>10</v>
      </c>
      <c r="T1" s="28" t="s">
        <v>11</v>
      </c>
      <c r="U1" s="19" t="s">
        <v>12</v>
      </c>
      <c r="V1" s="19" t="s">
        <v>13</v>
      </c>
      <c r="W1" s="19" t="s">
        <v>14</v>
      </c>
      <c r="X1" s="19" t="s">
        <v>15</v>
      </c>
      <c r="Y1" s="19" t="s">
        <v>16</v>
      </c>
      <c r="Z1" s="19" t="s">
        <v>17</v>
      </c>
      <c r="AA1" s="19" t="s">
        <v>18</v>
      </c>
      <c r="AB1" s="24" t="s">
        <v>19</v>
      </c>
      <c r="AC1" s="29" t="s">
        <v>20</v>
      </c>
      <c r="AD1" s="25" t="s">
        <v>21</v>
      </c>
      <c r="AE1" s="29" t="s">
        <v>22</v>
      </c>
      <c r="AF1" s="5" t="s">
        <v>23</v>
      </c>
      <c r="AG1" s="29" t="s">
        <v>24</v>
      </c>
      <c r="AH1" s="25" t="s">
        <v>25</v>
      </c>
      <c r="AI1" s="29" t="s">
        <v>26</v>
      </c>
      <c r="AJ1" s="6" t="s">
        <v>27</v>
      </c>
      <c r="AK1" s="30" t="s">
        <v>28</v>
      </c>
      <c r="AL1" s="6" t="s">
        <v>29</v>
      </c>
      <c r="AM1" s="30" t="s">
        <v>30</v>
      </c>
      <c r="AN1" s="30" t="s">
        <v>31</v>
      </c>
      <c r="AO1" s="6" t="s">
        <v>32</v>
      </c>
      <c r="AP1" s="30" t="s">
        <v>33</v>
      </c>
      <c r="AQ1" s="31" t="s">
        <v>34</v>
      </c>
      <c r="AR1" s="6" t="s">
        <v>35</v>
      </c>
      <c r="AS1" s="30" t="s">
        <v>36</v>
      </c>
      <c r="AT1" s="30" t="s">
        <v>37</v>
      </c>
      <c r="AU1" s="7" t="s">
        <v>38</v>
      </c>
      <c r="AV1" s="26" t="s">
        <v>39</v>
      </c>
      <c r="AW1" s="26" t="s">
        <v>40</v>
      </c>
      <c r="AX1" s="27" t="s">
        <v>41</v>
      </c>
      <c r="AY1" s="27" t="s">
        <v>42</v>
      </c>
      <c r="AZ1" s="27" t="s">
        <v>79</v>
      </c>
      <c r="BA1" s="38" t="s">
        <v>43</v>
      </c>
      <c r="BB1" s="38" t="s">
        <v>80</v>
      </c>
      <c r="BC1" s="38" t="s">
        <v>84</v>
      </c>
      <c r="BD1" s="38" t="s">
        <v>85</v>
      </c>
      <c r="BE1" s="38" t="s">
        <v>86</v>
      </c>
      <c r="BF1" s="38" t="s">
        <v>87</v>
      </c>
    </row>
    <row r="2" spans="1:58" s="10" customFormat="1" x14ac:dyDescent="0.25">
      <c r="A2" s="42">
        <v>2713</v>
      </c>
      <c r="B2" s="16">
        <v>42327</v>
      </c>
      <c r="C2" s="40">
        <v>1</v>
      </c>
      <c r="D2" s="40">
        <v>1.2</v>
      </c>
      <c r="E2" s="15" t="s">
        <v>56</v>
      </c>
      <c r="F2" s="42" t="s">
        <v>82</v>
      </c>
      <c r="G2" s="13" t="str">
        <f>IF(Tableau2[[#This Row],[Axe]]="","-",VLOOKUP(Tableau2[[#This Row],[Axe]],LIST!$D$2:$E$10,2,FALSE))</f>
        <v>PIL1</v>
      </c>
      <c r="H2" s="40" t="s">
        <v>50</v>
      </c>
      <c r="I2" s="13" t="s">
        <v>44</v>
      </c>
      <c r="J2" s="16"/>
      <c r="K2" s="39"/>
      <c r="L2" s="16"/>
      <c r="M2" s="39"/>
      <c r="N2" s="13">
        <f>IF(Tableau2[[#This Row],[Durée du projet]]="","-",Tableau2[[#This Row],[Durée du projet]]+Tableau2[[#This Row],[Durée supp pour remise des pièces]])</f>
        <v>30</v>
      </c>
      <c r="O2" s="37"/>
      <c r="P2" s="34">
        <v>150000</v>
      </c>
      <c r="Q2" s="37">
        <f>IF(Tableau2[[#This Row],[Montant participation voté au CA]]="",0,Tableau2[[#This Row],[Montant participation voté au CA]]-Tableau2[[#This Row],[Montant participation à la signature]])</f>
        <v>0</v>
      </c>
      <c r="R2" s="44">
        <v>150000</v>
      </c>
      <c r="S2" s="40">
        <v>24</v>
      </c>
      <c r="T2" s="40">
        <v>6</v>
      </c>
      <c r="U2" s="41">
        <v>42432</v>
      </c>
      <c r="V2" s="16">
        <f>IF(Tableau2[[#This Row],[Porteur de projet]]="","-",IF(COUNTIF(Tableau2[[#This Row],[Porteur de projet]],"CRA*")=1,DATE(YEAR(Tableau2[[#This Row],[Date signature ]]),1,1),Tableau2[[#This Row],[Date signature ]]))</f>
        <v>42432</v>
      </c>
      <c r="W2" s="16">
        <f>IF(Tableau2[[#This Row],[Début éligibilité des dépenses]]="-","-",EOMONTH((EDATE(Tableau2[[#This Row],[Début éligibilité des dépenses]],Tableau2[[#This Row],[Durée du projet]])),-1))</f>
        <v>43159</v>
      </c>
      <c r="X2" s="16">
        <f>IF(Tableau2[[#This Row],[Fin de l''éligibilité des dépenses]]="-","-",EDATE(Tableau2[[#This Row],[Fin de l''éligibilité des dépenses]],-2))</f>
        <v>43097</v>
      </c>
      <c r="Y2" s="16">
        <f>IF(Tableau2[[#This Row],[Date signature ]]="","",EOMONTH(EDATE(Tableau2[[#This Row],[Date signature ]],Tableau2[[#This Row],[Durée de la convention (mois)]]),0))</f>
        <v>43373</v>
      </c>
      <c r="Z2" s="16">
        <f>IF(Tableau2[[#This Row],[Début éligibilité des dépenses]]="-","-",EOMONTH(EDATE(Tableau2[[#This Row],[Début éligibilité des dépenses]],Tableau2[[#This Row],[Durée du projet]]/2),0))</f>
        <v>42825</v>
      </c>
      <c r="AA2" s="16">
        <f>IF(Tableau2[[#This Row],[Début éligibilité des dépenses]]="-","-",EOMONTH(EDATE(Tableau2[[#This Row],[Début éligibilité des dépenses]],Tableau2[[#This Row],[Durée de la convention (mois)]]-2),0))</f>
        <v>43312</v>
      </c>
      <c r="AB2" s="37">
        <f>IF(Tableau2[[#This Row],[Porteur de projet]]="",0,IF(COUNTIF(Tableau2[[#This Row],[Porteur de projet]],"CRA*")=1,Tableau2[[#This Row],[Montant participation à la signature]]/2,Tableau2[[#This Row],[Montant participation à la signature]]*0.3))</f>
        <v>45000</v>
      </c>
      <c r="AC2" s="16">
        <f>IF(Tableau2[[#This Row],[Date signature ]]="","-",EDATE(Tableau2[[#This Row],[Date signature ]],1))</f>
        <v>42463</v>
      </c>
      <c r="AD2" s="37">
        <f>IF(Tableau2[[#This Row],[Porteur de projet]]="",0,IF(COUNTIF(Tableau2[[#This Row],[Porteur de projet]],"CRA*")=1,,Tableau2[[#This Row],[Montant participation à la signature]]*0.4))</f>
        <v>60000</v>
      </c>
      <c r="AE2" s="16">
        <f>IF(Tableau2[[#This Row],[Date signature ]]="","-",IF(Tableau2[[#This Row],[ACOMPTE 1 PREVU]]=0,"",EOMONTH(EDATE(Tableau2[[#This Row],[Date signature ]],Tableau2[[#This Row],[Durée du projet]]/2),0)))</f>
        <v>42825</v>
      </c>
      <c r="AF2" s="37"/>
      <c r="AG2" s="16"/>
      <c r="AH2" s="37">
        <f>IF(Tableau2[[#This Row],[Porteur de projet]]="",0,IF(COUNTIF(Tableau2[[#This Row],[Porteur de projet]],"CRA*")=1,Tableau2[[#This Row],[Montant participation à la signature]]/2,Tableau2[[#This Row],[Montant participation à la signature]]*0.3))</f>
        <v>45000</v>
      </c>
      <c r="AI2" s="16">
        <f>IF(Tableau2[[#This Row],[Date signature ]]="","-",EOMONTH(EDATE(Tableau2[[#This Row],[Date signature ]],Tableau2[[#This Row],[Durée du projet]]),0))</f>
        <v>43190</v>
      </c>
      <c r="AJ2" s="37"/>
      <c r="AK2" s="16"/>
      <c r="AL2" s="37"/>
      <c r="AM2" s="16"/>
      <c r="AN2" s="16"/>
      <c r="AO2" s="37"/>
      <c r="AP2" s="16"/>
      <c r="AQ2" s="16"/>
      <c r="AR2" s="37"/>
      <c r="AS2" s="16"/>
      <c r="AT2" s="16"/>
      <c r="AU2" s="40"/>
      <c r="AV2" s="37">
        <f>Tableau2[[#This Row],[AVANCE VERSEE]]+Tableau2[[#This Row],[ACOMPTE 1 VERSE]]+Tableau2[[#This Row],[ACOMPTE 2 VERSE]]+Tableau2[[#This Row],[SOLDE VERSE]]</f>
        <v>0</v>
      </c>
      <c r="AW2" s="37">
        <f>IF(Tableau2[[#This Row],[Statut]]="Soldé",0,Tableau2[[#This Row],[Montant participation à la signature]]-Tableau2[[#This Row],[Total CP payés]])</f>
        <v>150000</v>
      </c>
      <c r="AX2" s="37"/>
      <c r="AY2" s="37">
        <f>IF(Tableau2[[#This Row],[Statut]]="Soldé",Tableau2[[#This Row],[Montant participation à la signature]]-Tableau2[[#This Row],[Total CP payés]],0)</f>
        <v>0</v>
      </c>
      <c r="AZ2" s="37">
        <f>IF(Tableau2[[#This Row],[Montant participation voté au CA]]="",0,Tableau2[[#This Row],[Réfaction]]+Tableau2[[#This Row],[Montant des crédits non engagés]])</f>
        <v>0</v>
      </c>
      <c r="BA2" s="37"/>
    </row>
    <row r="3" spans="1:58" x14ac:dyDescent="0.25">
      <c r="A3" s="42">
        <v>2750</v>
      </c>
      <c r="B3" s="16" t="s">
        <v>81</v>
      </c>
      <c r="C3" s="40">
        <v>1</v>
      </c>
      <c r="D3" s="40">
        <v>1.2</v>
      </c>
      <c r="E3" s="15" t="s">
        <v>57</v>
      </c>
      <c r="F3" s="42" t="s">
        <v>83</v>
      </c>
      <c r="G3" s="40" t="str">
        <f>IF(Tableau2[[#This Row],[Axe]]="","-",VLOOKUP(Tableau2[[#This Row],[Axe]],LIST!$D$2:$E$10,2,FALSE))</f>
        <v>PIL1</v>
      </c>
      <c r="H3" s="40" t="s">
        <v>50</v>
      </c>
      <c r="I3" s="40" t="s">
        <v>44</v>
      </c>
      <c r="J3" s="16"/>
      <c r="K3" s="39"/>
      <c r="L3" s="16"/>
      <c r="M3" s="39"/>
      <c r="N3" s="40">
        <f>IF(Tableau2[[#This Row],[Durée du projet]]="","-",Tableau2[[#This Row],[Durée du projet]]+Tableau2[[#This Row],[Durée supp pour remise des pièces]])</f>
        <v>30</v>
      </c>
      <c r="O3" s="37">
        <v>416311</v>
      </c>
      <c r="P3" s="37">
        <v>280321</v>
      </c>
      <c r="Q3" s="43">
        <f>IF(Tableau2[[#This Row],[Montant participation voté au CA]]="",0,Tableau2[[#This Row],[Montant participation voté au CA]]-Tableau2[[#This Row],[Montant participation à la signature]])</f>
        <v>0</v>
      </c>
      <c r="R3" s="44">
        <v>280321</v>
      </c>
      <c r="S3" s="40">
        <v>24</v>
      </c>
      <c r="T3" s="40">
        <v>6</v>
      </c>
      <c r="U3" s="41">
        <v>42486</v>
      </c>
      <c r="V3" s="16">
        <f>IF(Tableau2[[#This Row],[Porteur de projet]]="","-",IF(COUNTIF(Tableau2[[#This Row],[Porteur de projet]],"CRA*")=1,DATE(YEAR(Tableau2[[#This Row],[Date signature ]]),1,1),Tableau2[[#This Row],[Date signature ]]))</f>
        <v>42486</v>
      </c>
      <c r="W3" s="16">
        <f>IF(Tableau2[[#This Row],[Début éligibilité des dépenses]]="-","-",EOMONTH((EDATE(Tableau2[[#This Row],[Début éligibilité des dépenses]],Tableau2[[#This Row],[Durée du projet]])),-1))</f>
        <v>43190</v>
      </c>
      <c r="X3" s="16">
        <f>IF(Tableau2[[#This Row],[Fin de l''éligibilité des dépenses]]="-","-",EDATE(Tableau2[[#This Row],[Fin de l''éligibilité des dépenses]],-2))</f>
        <v>43131</v>
      </c>
      <c r="Y3" s="16">
        <f>IF(Tableau2[[#This Row],[Date signature ]]="","",EOMONTH(EDATE(Tableau2[[#This Row],[Date signature ]],Tableau2[[#This Row],[Durée de la convention (mois)]]),0))</f>
        <v>43404</v>
      </c>
      <c r="Z3" s="16">
        <f>IF(Tableau2[[#This Row],[Début éligibilité des dépenses]]="-","-",EOMONTH(EDATE(Tableau2[[#This Row],[Début éligibilité des dépenses]],Tableau2[[#This Row],[Durée du projet]]/2),0))</f>
        <v>42855</v>
      </c>
      <c r="AA3" s="16">
        <f>IF(Tableau2[[#This Row],[Début éligibilité des dépenses]]="-","-",EOMONTH(EDATE(Tableau2[[#This Row],[Début éligibilité des dépenses]],Tableau2[[#This Row],[Durée de la convention (mois)]]-2),0))</f>
        <v>43343</v>
      </c>
      <c r="AB3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84096.3</v>
      </c>
      <c r="AC3" s="16">
        <f>IF(Tableau2[[#This Row],[Date signature ]]="","-",EDATE(Tableau2[[#This Row],[Date signature ]],1))</f>
        <v>42516</v>
      </c>
      <c r="AD3" s="37">
        <f>IF(Tableau2[[#This Row],[Porteur de projet]]="",0,IF(COUNTIF(Tableau2[[#This Row],[Porteur de projet]],"CRA*")=1,,Tableau2[[#This Row],[Montant participation à la signature]]*0.4))</f>
        <v>112128.40000000001</v>
      </c>
      <c r="AE3" s="16">
        <f>IF(Tableau2[[#This Row],[Date signature ]]="","-",IF(Tableau2[[#This Row],[ACOMPTE 1 PREVU]]=0,"",EOMONTH(EDATE(Tableau2[[#This Row],[Date signature ]],Tableau2[[#This Row],[Durée du projet]]/2),0)))</f>
        <v>42855</v>
      </c>
      <c r="AF3" s="40"/>
      <c r="AG3" s="16"/>
      <c r="AH3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84096.3</v>
      </c>
      <c r="AI3" s="16">
        <f>IF(Tableau2[[#This Row],[Date signature ]]="","-",EOMONTH(EDATE(Tableau2[[#This Row],[Date signature ]],Tableau2[[#This Row],[Durée du projet]]),0))</f>
        <v>43220</v>
      </c>
      <c r="AJ3" s="37"/>
      <c r="AK3" s="16"/>
      <c r="AL3" s="37"/>
      <c r="AM3" s="16"/>
      <c r="AN3" s="16"/>
      <c r="AO3" s="37"/>
      <c r="AP3" s="16"/>
      <c r="AQ3" s="16"/>
      <c r="AR3" s="37"/>
      <c r="AS3" s="16"/>
      <c r="AT3" s="16"/>
      <c r="AU3" s="40"/>
      <c r="AV3" s="45">
        <f>Tableau2[[#This Row],[AVANCE VERSEE]]+Tableau2[[#This Row],[ACOMPTE 1 VERSE]]+Tableau2[[#This Row],[ACOMPTE 2 VERSE]]+Tableau2[[#This Row],[SOLDE VERSE]]</f>
        <v>0</v>
      </c>
      <c r="AW3" s="45">
        <f>IF(Tableau2[[#This Row],[Statut]]="Soldé",0,Tableau2[[#This Row],[Montant participation à la signature]]-Tableau2[[#This Row],[Total CP payés]])</f>
        <v>280321</v>
      </c>
      <c r="AX3" s="37"/>
      <c r="AY3" s="45">
        <f>IF(Tableau2[[#This Row],[Statut]]="Soldé",Tableau2[[#This Row],[Montant participation à la signature]]-Tableau2[[#This Row],[Total CP payés]],0)</f>
        <v>0</v>
      </c>
      <c r="AZ3" s="43">
        <f>IF(Tableau2[[#This Row],[Montant participation voté au CA]]="",0,Tableau2[[#This Row],[Réfaction]]+Tableau2[[#This Row],[Montant des crédits non engagés]])</f>
        <v>0</v>
      </c>
      <c r="BA3" s="40"/>
      <c r="BB3" s="10"/>
      <c r="BC3" s="10"/>
      <c r="BD3" s="10"/>
      <c r="BE3" s="10"/>
      <c r="BF3" s="10"/>
    </row>
    <row r="4" spans="1:58" x14ac:dyDescent="0.25">
      <c r="A4" s="42">
        <v>2718</v>
      </c>
      <c r="B4" s="16">
        <v>42327</v>
      </c>
      <c r="C4" s="40">
        <v>1</v>
      </c>
      <c r="D4" s="40">
        <v>1.2</v>
      </c>
      <c r="E4" s="15" t="s">
        <v>58</v>
      </c>
      <c r="F4" s="42" t="s">
        <v>88</v>
      </c>
      <c r="G4" s="40" t="str">
        <f>IF(Tableau2[[#This Row],[Axe]]="","-",VLOOKUP(Tableau2[[#This Row],[Axe]],LIST!$D$2:$E$10,2,FALSE))</f>
        <v>PIL1</v>
      </c>
      <c r="H4" s="40" t="s">
        <v>50</v>
      </c>
      <c r="I4" s="40" t="s">
        <v>44</v>
      </c>
      <c r="J4" s="16"/>
      <c r="K4" s="39"/>
      <c r="L4" s="16"/>
      <c r="M4" s="39"/>
      <c r="N4" s="40">
        <f>IF(Tableau2[[#This Row],[Durée du projet]]="","-",Tableau2[[#This Row],[Durée du projet]]+Tableau2[[#This Row],[Durée supp pour remise des pièces]])</f>
        <v>30</v>
      </c>
      <c r="O4" s="37"/>
      <c r="P4" s="37"/>
      <c r="Q4" s="43">
        <f>IF(Tableau2[[#This Row],[Montant participation voté au CA]]="",0,Tableau2[[#This Row],[Montant participation voté au CA]]-Tableau2[[#This Row],[Montant participation à la signature]])</f>
        <v>0</v>
      </c>
      <c r="R4" s="44">
        <v>41070</v>
      </c>
      <c r="S4" s="40">
        <v>24</v>
      </c>
      <c r="T4" s="40">
        <v>6</v>
      </c>
      <c r="U4" s="41">
        <v>42432</v>
      </c>
      <c r="V4" s="16">
        <f>IF(Tableau2[[#This Row],[Porteur de projet]]="","-",IF(COUNTIF(Tableau2[[#This Row],[Porteur de projet]],"CRA*")=1,DATE(YEAR(Tableau2[[#This Row],[Date signature ]]),1,1),Tableau2[[#This Row],[Date signature ]]))</f>
        <v>42432</v>
      </c>
      <c r="W4" s="16">
        <f>IF(Tableau2[[#This Row],[Début éligibilité des dépenses]]="-","-",EOMONTH((EDATE(Tableau2[[#This Row],[Début éligibilité des dépenses]],Tableau2[[#This Row],[Durée du projet]])),-1))</f>
        <v>43159</v>
      </c>
      <c r="X4" s="16">
        <f>IF(Tableau2[[#This Row],[Fin de l''éligibilité des dépenses]]="-","-",EDATE(Tableau2[[#This Row],[Fin de l''éligibilité des dépenses]],-2))</f>
        <v>43097</v>
      </c>
      <c r="Y4" s="16">
        <f>IF(Tableau2[[#This Row],[Date signature ]]="","",EOMONTH(EDATE(Tableau2[[#This Row],[Date signature ]],Tableau2[[#This Row],[Durée de la convention (mois)]]),0))</f>
        <v>43373</v>
      </c>
      <c r="Z4" s="16">
        <f>IF(Tableau2[[#This Row],[Début éligibilité des dépenses]]="-","-",EOMONTH(EDATE(Tableau2[[#This Row],[Début éligibilité des dépenses]],Tableau2[[#This Row],[Durée du projet]]/2),0))</f>
        <v>42825</v>
      </c>
      <c r="AA4" s="16">
        <f>IF(Tableau2[[#This Row],[Début éligibilité des dépenses]]="-","-",EOMONTH(EDATE(Tableau2[[#This Row],[Début éligibilité des dépenses]],Tableau2[[#This Row],[Durée de la convention (mois)]]-2),0))</f>
        <v>43312</v>
      </c>
      <c r="AB4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12321</v>
      </c>
      <c r="AC4" s="16">
        <f>IF(Tableau2[[#This Row],[Date signature ]]="","-",EDATE(Tableau2[[#This Row],[Date signature ]],1))</f>
        <v>42463</v>
      </c>
      <c r="AD4" s="45">
        <f>IF(Tableau2[[#This Row],[Porteur de projet]]="",0,IF(COUNTIF(Tableau2[[#This Row],[Porteur de projet]],"CRA*")=1,,Tableau2[[#This Row],[Montant participation à la signature]]*0.4))</f>
        <v>16428</v>
      </c>
      <c r="AE4" s="16">
        <f>IF(Tableau2[[#This Row],[Date signature ]]="","-",IF(Tableau2[[#This Row],[ACOMPTE 1 PREVU]]=0,"",EOMONTH(EDATE(Tableau2[[#This Row],[Date signature ]],Tableau2[[#This Row],[Durée du projet]]/2),0)))</f>
        <v>42825</v>
      </c>
      <c r="AF4" s="40"/>
      <c r="AG4" s="16"/>
      <c r="AH4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12321</v>
      </c>
      <c r="AI4" s="16">
        <f>IF(Tableau2[[#This Row],[Date signature ]]="","-",EOMONTH(EDATE(Tableau2[[#This Row],[Date signature ]],Tableau2[[#This Row],[Durée du projet]]),0))</f>
        <v>43190</v>
      </c>
      <c r="AJ4" s="37"/>
      <c r="AK4" s="16"/>
      <c r="AL4" s="37"/>
      <c r="AM4" s="16"/>
      <c r="AN4" s="16"/>
      <c r="AO4" s="37"/>
      <c r="AP4" s="16"/>
      <c r="AQ4" s="16"/>
      <c r="AR4" s="37"/>
      <c r="AS4" s="16"/>
      <c r="AT4" s="16"/>
      <c r="AU4" s="40"/>
      <c r="AV4" s="45">
        <f>Tableau2[[#This Row],[AVANCE VERSEE]]+Tableau2[[#This Row],[ACOMPTE 1 VERSE]]+Tableau2[[#This Row],[ACOMPTE 2 VERSE]]+Tableau2[[#This Row],[SOLDE VERSE]]</f>
        <v>0</v>
      </c>
      <c r="AW4" s="45">
        <f>IF(Tableau2[[#This Row],[Statut]]="Soldé",0,Tableau2[[#This Row],[Montant participation à la signature]]-Tableau2[[#This Row],[Total CP payés]])</f>
        <v>41070</v>
      </c>
      <c r="AX4" s="37"/>
      <c r="AY4" s="45">
        <f>IF(Tableau2[[#This Row],[Statut]]="Soldé",Tableau2[[#This Row],[Montant participation à la signature]]-Tableau2[[#This Row],[Total CP payés]],0)</f>
        <v>0</v>
      </c>
      <c r="AZ4" s="43">
        <f>IF(Tableau2[[#This Row],[Montant participation voté au CA]]="",0,Tableau2[[#This Row],[Réfaction]]+Tableau2[[#This Row],[Montant des crédits non engagés]])</f>
        <v>0</v>
      </c>
      <c r="BA4" s="40"/>
      <c r="BB4" s="10"/>
      <c r="BC4" s="10"/>
      <c r="BD4" s="10"/>
      <c r="BE4" s="10"/>
      <c r="BF4" s="10"/>
    </row>
    <row r="5" spans="1:58" x14ac:dyDescent="0.25">
      <c r="A5" s="42">
        <v>2822</v>
      </c>
      <c r="B5" s="16">
        <v>42327</v>
      </c>
      <c r="C5" s="40">
        <v>1</v>
      </c>
      <c r="D5" s="40">
        <v>1.2</v>
      </c>
      <c r="E5" s="40" t="s">
        <v>102</v>
      </c>
      <c r="F5" s="42" t="s">
        <v>83</v>
      </c>
      <c r="G5" s="40" t="str">
        <f>IF(Tableau2[[#This Row],[Axe]]="","-",VLOOKUP(Tableau2[[#This Row],[Axe]],LIST!$D$2:$E$10,2,FALSE))</f>
        <v>PIL1</v>
      </c>
      <c r="H5" s="40" t="s">
        <v>50</v>
      </c>
      <c r="I5" s="40" t="s">
        <v>44</v>
      </c>
      <c r="J5" s="16"/>
      <c r="K5" s="39"/>
      <c r="L5" s="16"/>
      <c r="M5" s="39"/>
      <c r="N5" s="40">
        <f>IF(Tableau2[[#This Row],[Durée du projet]]="","-",Tableau2[[#This Row],[Durée du projet]]+Tableau2[[#This Row],[Durée supp pour remise des pièces]])</f>
        <v>30</v>
      </c>
      <c r="O5" s="37">
        <v>416311</v>
      </c>
      <c r="P5" s="37"/>
      <c r="Q5" s="43">
        <f>IF(Tableau2[[#This Row],[Montant participation voté au CA]]="",0,Tableau2[[#This Row],[Montant participation voté au CA]]-Tableau2[[#This Row],[Montant participation à la signature]])</f>
        <v>0</v>
      </c>
      <c r="R5" s="44">
        <v>280321</v>
      </c>
      <c r="S5" s="40">
        <v>24</v>
      </c>
      <c r="T5" s="40">
        <v>6</v>
      </c>
      <c r="U5" s="41">
        <v>41755</v>
      </c>
      <c r="V5" s="16">
        <f>IF(Tableau2[[#This Row],[Porteur de projet]]="","-",IF(COUNTIF(Tableau2[[#This Row],[Porteur de projet]],"CRA*")=1,DATE(YEAR(Tableau2[[#This Row],[Date signature ]]),1,1),Tableau2[[#This Row],[Date signature ]]))</f>
        <v>41755</v>
      </c>
      <c r="W5" s="16">
        <f>IF(Tableau2[[#This Row],[Début éligibilité des dépenses]]="-","-",EOMONTH((EDATE(Tableau2[[#This Row],[Début éligibilité des dépenses]],Tableau2[[#This Row],[Durée du projet]])),-1))</f>
        <v>42460</v>
      </c>
      <c r="X5" s="16">
        <f>IF(Tableau2[[#This Row],[Fin de l''éligibilité des dépenses]]="-","-",EDATE(Tableau2[[#This Row],[Fin de l''éligibilité des dépenses]],-2))</f>
        <v>42400</v>
      </c>
      <c r="Y5" s="16">
        <f>IF(Tableau2[[#This Row],[Date signature ]]="","",EOMONTH(EDATE(Tableau2[[#This Row],[Date signature ]],Tableau2[[#This Row],[Durée de la convention (mois)]]),0))</f>
        <v>42674</v>
      </c>
      <c r="Z5" s="16">
        <f>IF(Tableau2[[#This Row],[Début éligibilité des dépenses]]="-","-",EOMONTH(EDATE(Tableau2[[#This Row],[Début éligibilité des dépenses]],Tableau2[[#This Row],[Durée du projet]]/2),0))</f>
        <v>42124</v>
      </c>
      <c r="AA5" s="16">
        <f>IF(Tableau2[[#This Row],[Début éligibilité des dépenses]]="-","-",EOMONTH(EDATE(Tableau2[[#This Row],[Début éligibilité des dépenses]],Tableau2[[#This Row],[Durée de la convention (mois)]]-2),0))</f>
        <v>42613</v>
      </c>
      <c r="AB5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84096.3</v>
      </c>
      <c r="AC5" s="16">
        <f>IF(Tableau2[[#This Row],[Date signature ]]="","-",EDATE(Tableau2[[#This Row],[Date signature ]],1))</f>
        <v>41785</v>
      </c>
      <c r="AD5" s="45">
        <f>IF(Tableau2[[#This Row],[Porteur de projet]]="",0,IF(COUNTIF(Tableau2[[#This Row],[Porteur de projet]],"CRA*")=1,,Tableau2[[#This Row],[Montant participation à la signature]]*0.4))</f>
        <v>112128.40000000001</v>
      </c>
      <c r="AE5" s="16">
        <f>IF(Tableau2[[#This Row],[Date signature ]]="","-",IF(Tableau2[[#This Row],[ACOMPTE 1 PREVU]]=0,"",EOMONTH(EDATE(Tableau2[[#This Row],[Date signature ]],Tableau2[[#This Row],[Durée du projet]]/2),0)))</f>
        <v>42124</v>
      </c>
      <c r="AF5" s="40"/>
      <c r="AG5" s="16"/>
      <c r="AH5" s="45">
        <f>IF(Tableau2[[#This Row],[Porteur de projet]]="",0,IF(COUNTIF(Tableau2[[#This Row],[Porteur de projet]],"CRA*")=1,Tableau2[[#This Row],[Montant participation à la signature]]/2,Tableau2[[#This Row],[Montant participation à la signature]]*0.3))</f>
        <v>84096.3</v>
      </c>
      <c r="AI5" s="16">
        <f>IF(Tableau2[[#This Row],[Date signature ]]="","-",EOMONTH(EDATE(Tableau2[[#This Row],[Date signature ]],Tableau2[[#This Row],[Durée du projet]]),0))</f>
        <v>42490</v>
      </c>
      <c r="AJ5" s="37"/>
      <c r="AK5" s="16"/>
      <c r="AL5" s="37"/>
      <c r="AM5" s="16"/>
      <c r="AN5" s="16"/>
      <c r="AO5" s="37"/>
      <c r="AP5" s="16"/>
      <c r="AQ5" s="16"/>
      <c r="AR5" s="37"/>
      <c r="AS5" s="16"/>
      <c r="AT5" s="16"/>
      <c r="AU5" s="40"/>
      <c r="AV5" s="45">
        <f>Tableau2[[#This Row],[AVANCE VERSEE]]+Tableau2[[#This Row],[ACOMPTE 1 VERSE]]+Tableau2[[#This Row],[ACOMPTE 2 VERSE]]+Tableau2[[#This Row],[SOLDE VERSE]]</f>
        <v>0</v>
      </c>
      <c r="AW5" s="45">
        <f>IF(Tableau2[[#This Row],[Statut]]="Soldé",0,Tableau2[[#This Row],[Montant participation à la signature]]-Tableau2[[#This Row],[Total CP payés]])</f>
        <v>280321</v>
      </c>
      <c r="AX5" s="37"/>
      <c r="AY5" s="45">
        <f>IF(Tableau2[[#This Row],[Statut]]="Soldé",Tableau2[[#This Row],[Montant participation à la signature]]-Tableau2[[#This Row],[Total CP payés]],0)</f>
        <v>0</v>
      </c>
      <c r="AZ5" s="43">
        <f>IF(Tableau2[[#This Row],[Montant participation voté au CA]]="",0,Tableau2[[#This Row],[Réfaction]]+Tableau2[[#This Row],[Montant des crédits non engagés]])</f>
        <v>0</v>
      </c>
      <c r="BA5" s="40"/>
      <c r="BB5" s="10"/>
      <c r="BC5" s="10"/>
      <c r="BD5" s="10"/>
      <c r="BE5" s="10"/>
      <c r="BF5" s="10"/>
    </row>
  </sheetData>
  <conditionalFormatting sqref="AE2:AE5">
    <cfRule type="expression" priority="8" stopIfTrue="1">
      <formula>AD2=0</formula>
    </cfRule>
    <cfRule type="expression" dxfId="11" priority="12">
      <formula>COUNTBLANK(BD2)=0</formula>
    </cfRule>
    <cfRule type="expression" dxfId="10" priority="13">
      <formula>AE2&gt;TODAY()</formula>
    </cfRule>
    <cfRule type="expression" dxfId="9" priority="14">
      <formula>AE2&lt;TODAY()</formula>
    </cfRule>
  </conditionalFormatting>
  <conditionalFormatting sqref="AG2:AG5">
    <cfRule type="expression" priority="7" stopIfTrue="1">
      <formula>AG2=""</formula>
    </cfRule>
    <cfRule type="expression" dxfId="8" priority="9">
      <formula>COUNTBLANK(BE2)=0</formula>
    </cfRule>
    <cfRule type="expression" dxfId="7" priority="10">
      <formula>AG2&gt;TODAY()</formula>
    </cfRule>
    <cfRule type="expression" dxfId="6" priority="11">
      <formula>AG2&lt;TODAY()</formula>
    </cfRule>
  </conditionalFormatting>
  <conditionalFormatting sqref="AI2:AI5">
    <cfRule type="expression" dxfId="5" priority="4">
      <formula>COUNTBLANK(BF2)=0</formula>
    </cfRule>
    <cfRule type="expression" dxfId="4" priority="5">
      <formula>AI2&lt;TODAY()</formula>
    </cfRule>
    <cfRule type="expression" dxfId="3" priority="6">
      <formula>AI2&gt;TODAY()</formula>
    </cfRule>
  </conditionalFormatting>
  <conditionalFormatting sqref="AC2:AC5">
    <cfRule type="expression" dxfId="2" priority="29">
      <formula>AC2&gt;TODAY()</formula>
    </cfRule>
    <cfRule type="expression" dxfId="1" priority="30">
      <formula>COUNTBLANK(AK2)=0</formula>
    </cfRule>
    <cfRule type="expression" dxfId="0" priority="31">
      <formula>AC2&lt;TODAY()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LIST!$A$2:$A$3</xm:f>
          </x14:formula1>
          <xm:sqref>I2:I5</xm:sqref>
        </x14:dataValidation>
        <x14:dataValidation type="list" allowBlank="1" showInputMessage="1" showErrorMessage="1">
          <x14:formula1>
            <xm:f>LIST!$C$2:$C$3</xm:f>
          </x14:formula1>
          <xm:sqref>H2:H5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"/>
  <sheetViews>
    <sheetView tabSelected="1" workbookViewId="0">
      <selection activeCell="G23" sqref="G23"/>
    </sheetView>
  </sheetViews>
  <sheetFormatPr baseColWidth="10" defaultColWidth="9.140625" defaultRowHeight="15" x14ac:dyDescent="0.25"/>
  <cols>
    <col min="5" max="5" width="39.42578125" bestFit="1" customWidth="1"/>
    <col min="6" max="9" width="47" style="46" customWidth="1"/>
  </cols>
  <sheetData>
    <row r="1" spans="1:9" x14ac:dyDescent="0.25">
      <c r="A1" s="8" t="s">
        <v>3</v>
      </c>
      <c r="B1" t="s">
        <v>4</v>
      </c>
      <c r="C1" s="9" t="s">
        <v>46</v>
      </c>
      <c r="D1" t="s">
        <v>63</v>
      </c>
      <c r="E1" t="s">
        <v>64</v>
      </c>
      <c r="F1" s="50" t="s">
        <v>89</v>
      </c>
      <c r="H1" s="46" t="s">
        <v>90</v>
      </c>
      <c r="I1" s="46" t="s">
        <v>91</v>
      </c>
    </row>
    <row r="2" spans="1:9" ht="15" customHeight="1" x14ac:dyDescent="0.25">
      <c r="A2" s="10" t="s">
        <v>44</v>
      </c>
      <c r="B2" s="11" t="s">
        <v>45</v>
      </c>
      <c r="C2" s="12" t="s">
        <v>47</v>
      </c>
      <c r="D2">
        <v>1</v>
      </c>
      <c r="E2" t="s">
        <v>65</v>
      </c>
      <c r="F2" s="46" t="s">
        <v>101</v>
      </c>
    </row>
    <row r="3" spans="1:9" x14ac:dyDescent="0.25">
      <c r="A3" s="10" t="s">
        <v>48</v>
      </c>
      <c r="B3" s="13" t="s">
        <v>49</v>
      </c>
      <c r="C3" s="14" t="s">
        <v>50</v>
      </c>
      <c r="D3">
        <v>2</v>
      </c>
      <c r="E3" t="s">
        <v>66</v>
      </c>
      <c r="F3" s="46" t="s">
        <v>94</v>
      </c>
      <c r="G3" s="46" t="s">
        <v>113</v>
      </c>
    </row>
    <row r="4" spans="1:9" x14ac:dyDescent="0.25">
      <c r="D4">
        <v>3</v>
      </c>
      <c r="E4" t="s">
        <v>67</v>
      </c>
      <c r="F4" s="46" t="s">
        <v>95</v>
      </c>
      <c r="G4" s="46" t="s">
        <v>115</v>
      </c>
    </row>
    <row r="5" spans="1:9" x14ac:dyDescent="0.25">
      <c r="D5">
        <v>4</v>
      </c>
      <c r="E5" t="s">
        <v>68</v>
      </c>
      <c r="F5" s="46" t="s">
        <v>96</v>
      </c>
      <c r="G5" s="46" t="s">
        <v>114</v>
      </c>
      <c r="H5" s="46" t="s">
        <v>100</v>
      </c>
    </row>
    <row r="6" spans="1:9" ht="30" x14ac:dyDescent="0.25">
      <c r="D6">
        <v>5</v>
      </c>
      <c r="E6" t="s">
        <v>69</v>
      </c>
      <c r="F6" s="46" t="s">
        <v>97</v>
      </c>
      <c r="G6" s="46" t="s">
        <v>116</v>
      </c>
    </row>
    <row r="7" spans="1:9" ht="30" x14ac:dyDescent="0.25">
      <c r="D7">
        <v>6</v>
      </c>
      <c r="E7" t="s">
        <v>70</v>
      </c>
      <c r="F7" s="46" t="s">
        <v>98</v>
      </c>
      <c r="G7" s="46" t="s">
        <v>117</v>
      </c>
    </row>
    <row r="8" spans="1:9" x14ac:dyDescent="0.25">
      <c r="C8" s="18"/>
      <c r="D8">
        <v>7</v>
      </c>
      <c r="E8" t="s">
        <v>71</v>
      </c>
      <c r="F8" s="46" t="s">
        <v>99</v>
      </c>
      <c r="G8" s="46" t="s">
        <v>118</v>
      </c>
    </row>
    <row r="9" spans="1:9" ht="60" x14ac:dyDescent="0.25">
      <c r="C9" s="18"/>
      <c r="D9">
        <v>8</v>
      </c>
      <c r="E9" t="s">
        <v>72</v>
      </c>
      <c r="F9" s="46" t="s">
        <v>92</v>
      </c>
    </row>
    <row r="10" spans="1:9" ht="45" x14ac:dyDescent="0.25">
      <c r="C10" s="18"/>
      <c r="D10">
        <v>9</v>
      </c>
      <c r="E10" t="s">
        <v>73</v>
      </c>
      <c r="F10" s="46" t="s">
        <v>119</v>
      </c>
    </row>
    <row r="11" spans="1:9" x14ac:dyDescent="0.25">
      <c r="F11" s="46" t="s">
        <v>93</v>
      </c>
    </row>
    <row r="12" spans="1:9" x14ac:dyDescent="0.25">
      <c r="F12" s="47"/>
      <c r="G12" s="47"/>
    </row>
    <row r="13" spans="1:9" x14ac:dyDescent="0.25">
      <c r="F13" s="48"/>
      <c r="G13" s="48"/>
    </row>
    <row r="14" spans="1:9" x14ac:dyDescent="0.25">
      <c r="F14" s="48"/>
      <c r="G14" s="48"/>
    </row>
    <row r="15" spans="1:9" x14ac:dyDescent="0.25">
      <c r="F15" s="47"/>
      <c r="G15" s="4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"/>
  <sheetViews>
    <sheetView workbookViewId="0">
      <selection activeCell="E31" sqref="E31"/>
    </sheetView>
  </sheetViews>
  <sheetFormatPr baseColWidth="10" defaultColWidth="9.140625" defaultRowHeight="15" x14ac:dyDescent="0.25"/>
  <cols>
    <col min="1" max="1" width="18.7109375" bestFit="1" customWidth="1"/>
    <col min="2" max="2" width="20.28515625" bestFit="1" customWidth="1"/>
    <col min="3" max="3" width="12.28515625" bestFit="1" customWidth="1"/>
    <col min="4" max="4" width="19.85546875" bestFit="1" customWidth="1"/>
    <col min="5" max="5" width="31.28515625" style="33" bestFit="1" customWidth="1"/>
    <col min="6" max="6" width="15.140625" bestFit="1" customWidth="1"/>
  </cols>
  <sheetData>
    <row r="1" spans="1:6" x14ac:dyDescent="0.25">
      <c r="A1" t="s">
        <v>78</v>
      </c>
      <c r="B1" s="15" t="s">
        <v>51</v>
      </c>
      <c r="C1" s="15" t="s">
        <v>52</v>
      </c>
      <c r="D1" s="15" t="s">
        <v>53</v>
      </c>
      <c r="E1" s="33" t="s">
        <v>54</v>
      </c>
      <c r="F1" s="15" t="s">
        <v>55</v>
      </c>
    </row>
    <row r="2" spans="1:6" x14ac:dyDescent="0.25">
      <c r="A2" t="s">
        <v>56</v>
      </c>
      <c r="B2" s="15" t="s">
        <v>103</v>
      </c>
      <c r="C2" s="15" t="s">
        <v>104</v>
      </c>
      <c r="D2" s="15" t="s">
        <v>105</v>
      </c>
      <c r="E2" s="49" t="s">
        <v>109</v>
      </c>
      <c r="F2" s="15"/>
    </row>
    <row r="3" spans="1:6" x14ac:dyDescent="0.25">
      <c r="A3" t="s">
        <v>57</v>
      </c>
      <c r="B3" s="15" t="s">
        <v>103</v>
      </c>
      <c r="C3" s="15" t="s">
        <v>104</v>
      </c>
      <c r="D3" s="15" t="s">
        <v>106</v>
      </c>
      <c r="E3" s="49" t="s">
        <v>110</v>
      </c>
      <c r="F3" s="15"/>
    </row>
    <row r="4" spans="1:6" x14ac:dyDescent="0.25">
      <c r="A4" t="s">
        <v>58</v>
      </c>
      <c r="B4" s="15" t="s">
        <v>103</v>
      </c>
      <c r="C4" s="15" t="s">
        <v>104</v>
      </c>
      <c r="D4" s="15" t="s">
        <v>107</v>
      </c>
      <c r="E4" s="49" t="s">
        <v>111</v>
      </c>
      <c r="F4" s="15"/>
    </row>
    <row r="5" spans="1:6" x14ac:dyDescent="0.25">
      <c r="A5" t="s">
        <v>102</v>
      </c>
      <c r="B5" s="15" t="s">
        <v>103</v>
      </c>
      <c r="C5" s="15" t="s">
        <v>104</v>
      </c>
      <c r="D5" s="15" t="s">
        <v>108</v>
      </c>
      <c r="E5" s="49" t="s">
        <v>112</v>
      </c>
      <c r="F5" s="15"/>
    </row>
    <row r="6" spans="1:6" x14ac:dyDescent="0.25">
      <c r="B6" s="15"/>
      <c r="C6" s="15"/>
      <c r="D6" s="15"/>
      <c r="F6" s="15"/>
    </row>
    <row r="7" spans="1:6" x14ac:dyDescent="0.25">
      <c r="B7" s="15"/>
      <c r="C7" s="15"/>
      <c r="D7" s="15"/>
      <c r="F7" s="15"/>
    </row>
    <row r="8" spans="1:6" x14ac:dyDescent="0.25">
      <c r="B8" s="15"/>
      <c r="C8" s="15"/>
      <c r="D8" s="15"/>
      <c r="F8" s="15"/>
    </row>
    <row r="9" spans="1:6" x14ac:dyDescent="0.25">
      <c r="B9" s="15"/>
      <c r="C9" s="15"/>
      <c r="D9" s="15"/>
      <c r="F9" s="15"/>
    </row>
    <row r="10" spans="1:6" x14ac:dyDescent="0.25">
      <c r="B10" s="15"/>
      <c r="C10" s="15"/>
      <c r="D10" s="15"/>
      <c r="F10" s="15"/>
    </row>
    <row r="11" spans="1:6" x14ac:dyDescent="0.25">
      <c r="B11" s="15"/>
      <c r="C11" s="15"/>
      <c r="D11" s="15"/>
      <c r="F11" s="15"/>
    </row>
    <row r="12" spans="1:6" x14ac:dyDescent="0.25">
      <c r="B12" s="15"/>
      <c r="C12" s="15"/>
      <c r="D12" s="15"/>
      <c r="F12" s="15"/>
    </row>
    <row r="13" spans="1:6" x14ac:dyDescent="0.25">
      <c r="B13" s="15"/>
      <c r="C13" s="15"/>
      <c r="D13" s="15"/>
      <c r="F13" s="15"/>
    </row>
  </sheetData>
  <hyperlinks>
    <hyperlink ref="E2" r:id="rId1"/>
    <hyperlink ref="E3" r:id="rId2"/>
    <hyperlink ref="E4" r:id="rId3"/>
    <hyperlink ref="E5" r:id="rId4"/>
  </hyperlinks>
  <pageMargins left="0.7" right="0.7" top="0.75" bottom="0.75" header="0.3" footer="0.3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Finance</vt:lpstr>
      <vt:lpstr>LIST</vt:lpstr>
      <vt:lpstr>Répertoire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2016-08-19T14:38:40Z</dcterms:modified>
</cp:coreProperties>
</file>