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28680" yWindow="-120" windowWidth="29040" windowHeight="15840" tabRatio="767" firstSheet="1" activeTab="1"/>
  </bookViews>
  <sheets>
    <sheet name="DANIEL" sheetId="1" r:id="rId1"/>
    <sheet name="tech 1" sheetId="11" r:id="rId2"/>
    <sheet name="fériés" sheetId="3" r:id="rId3"/>
  </sheets>
  <externalReferences>
    <externalReference r:id="rId4"/>
  </externalReferences>
  <definedNames>
    <definedName name="AN" localSheetId="2">fériés!$D$2</definedName>
    <definedName name="AN">[1]Feuil1!$D$1</definedName>
    <definedName name="AN_1" localSheetId="2">fériés!$D$3</definedName>
    <definedName name="fériés">fériés!$E$4:$E$42</definedName>
    <definedName name="index_jour_sem1" localSheetId="2">fériés!$C$13:$E$26</definedName>
    <definedName name="Vacances_scolaires" localSheetId="1">fériés!#REF!</definedName>
    <definedName name="Vacances_scolaires">fériés!#REF!</definedName>
  </definedNames>
  <calcPr calcId="125725"/>
  <fileRecoveryPr autoRecover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36" i="11"/>
  <c r="Q13"/>
  <c r="Q12"/>
  <c r="Q15"/>
  <c r="Q14"/>
  <c r="L20"/>
  <c r="G5"/>
  <c r="G6"/>
  <c r="G12" s="1"/>
  <c r="G7"/>
  <c r="G8"/>
  <c r="G9"/>
  <c r="K12"/>
  <c r="K36"/>
  <c r="J36"/>
  <c r="I36" s="1"/>
  <c r="H36"/>
  <c r="G36"/>
  <c r="K20"/>
  <c r="J20"/>
  <c r="I20" s="1"/>
  <c r="H20"/>
  <c r="G20"/>
  <c r="I28"/>
  <c r="J28"/>
  <c r="K28"/>
  <c r="H28"/>
  <c r="G28"/>
  <c r="Q16" l="1"/>
  <c r="J12"/>
  <c r="H12"/>
  <c r="I12" s="1"/>
  <c r="G43"/>
  <c r="G42"/>
  <c r="G41"/>
  <c r="G40"/>
  <c r="G39"/>
  <c r="G38"/>
  <c r="G37"/>
  <c r="G35"/>
  <c r="G34"/>
  <c r="G33"/>
  <c r="G32"/>
  <c r="G31"/>
  <c r="G30"/>
  <c r="G29"/>
  <c r="G27"/>
  <c r="G26"/>
  <c r="G25"/>
  <c r="G24"/>
  <c r="G23"/>
  <c r="G22"/>
  <c r="G21"/>
  <c r="G19"/>
  <c r="G18"/>
  <c r="G17"/>
  <c r="G16"/>
  <c r="G15"/>
  <c r="B15"/>
  <c r="B16" s="1"/>
  <c r="G14"/>
  <c r="B14"/>
  <c r="G13"/>
  <c r="G11"/>
  <c r="G10"/>
  <c r="G43" i="1"/>
  <c r="G42"/>
  <c r="G41"/>
  <c r="G40"/>
  <c r="G39"/>
  <c r="G38"/>
  <c r="G37"/>
  <c r="G35"/>
  <c r="G34"/>
  <c r="G33"/>
  <c r="G32"/>
  <c r="G31"/>
  <c r="G30"/>
  <c r="G29"/>
  <c r="G27"/>
  <c r="G26"/>
  <c r="G25"/>
  <c r="G24"/>
  <c r="G23"/>
  <c r="G22"/>
  <c r="G21"/>
  <c r="G19"/>
  <c r="G18"/>
  <c r="G17"/>
  <c r="G16"/>
  <c r="G15"/>
  <c r="G14"/>
  <c r="B14"/>
  <c r="B15" s="1"/>
  <c r="B16" s="1"/>
  <c r="G13"/>
  <c r="G11"/>
  <c r="G10"/>
  <c r="O2"/>
  <c r="O1"/>
  <c r="G12" l="1"/>
  <c r="G44" i="11"/>
  <c r="J44" s="1"/>
  <c r="G44" i="1"/>
  <c r="J44" s="1"/>
  <c r="G36"/>
  <c r="J36" s="1"/>
  <c r="G28"/>
  <c r="H28" s="1"/>
  <c r="I28" s="1"/>
  <c r="G20"/>
  <c r="B17" i="11"/>
  <c r="B18" s="1"/>
  <c r="H44"/>
  <c r="I44" s="1"/>
  <c r="J12" i="1"/>
  <c r="H12"/>
  <c r="B17"/>
  <c r="B18" s="1"/>
  <c r="H44"/>
  <c r="I44" s="1"/>
  <c r="H36" l="1"/>
  <c r="I36" s="1"/>
  <c r="J28"/>
  <c r="G45"/>
  <c r="G45" i="11"/>
  <c r="J20" i="1"/>
  <c r="H20"/>
  <c r="I20" s="1"/>
  <c r="B19" i="11"/>
  <c r="B19" i="1"/>
  <c r="I12"/>
  <c r="J45" l="1"/>
  <c r="J46" s="1"/>
  <c r="I45" i="11"/>
  <c r="H45"/>
  <c r="I45" i="1"/>
  <c r="I46" s="1"/>
  <c r="H45"/>
  <c r="B21" i="11"/>
  <c r="B21" i="1"/>
  <c r="B22" i="11" l="1"/>
  <c r="B22" i="1"/>
  <c r="B23" i="11" l="1"/>
  <c r="B23" i="1"/>
  <c r="B24" i="11" l="1"/>
  <c r="B24" i="1"/>
  <c r="B25" i="11" l="1"/>
  <c r="B25" i="1"/>
  <c r="B26" i="11" l="1"/>
  <c r="B26" i="1"/>
  <c r="B27" i="11" l="1"/>
  <c r="B27" i="1"/>
  <c r="B29" i="11" l="1"/>
  <c r="B29" i="1"/>
  <c r="B30" i="11" l="1"/>
  <c r="B30" i="1"/>
  <c r="B31" i="11" l="1"/>
  <c r="B31" i="1"/>
  <c r="B32" i="11" l="1"/>
  <c r="B32" i="1"/>
  <c r="B33" i="11" l="1"/>
  <c r="B33" i="1"/>
  <c r="B34" i="11" l="1"/>
  <c r="B34" i="1"/>
  <c r="B35" i="11" l="1"/>
  <c r="B35" i="1"/>
  <c r="B37" i="11" l="1"/>
  <c r="B37" i="1"/>
  <c r="B38" i="11" l="1"/>
  <c r="B38" i="1"/>
  <c r="B39" i="11" l="1"/>
  <c r="B39" i="1"/>
  <c r="B40" i="11" l="1"/>
  <c r="B40" i="1"/>
  <c r="B41" i="11" l="1"/>
  <c r="B41" i="1"/>
  <c r="D17" i="3"/>
  <c r="E17" s="1"/>
  <c r="D16"/>
  <c r="E16" s="1"/>
  <c r="D14"/>
  <c r="E14" s="1"/>
  <c r="D13"/>
  <c r="E13" s="1"/>
  <c r="D12"/>
  <c r="E12" s="1"/>
  <c r="D8"/>
  <c r="E8" s="1"/>
  <c r="D7"/>
  <c r="E7" s="1"/>
  <c r="D5"/>
  <c r="E5" s="1"/>
  <c r="D4"/>
  <c r="E4" s="1"/>
  <c r="D3"/>
  <c r="D36" s="1"/>
  <c r="E36" s="1"/>
  <c r="B42" i="11" l="1"/>
  <c r="B42" i="1"/>
  <c r="D24" i="3"/>
  <c r="E24" s="1"/>
  <c r="D25"/>
  <c r="D27"/>
  <c r="E27" s="1"/>
  <c r="D28"/>
  <c r="E28" s="1"/>
  <c r="D32"/>
  <c r="E32" s="1"/>
  <c r="D33"/>
  <c r="E33" s="1"/>
  <c r="D34"/>
  <c r="E34" s="1"/>
  <c r="D35"/>
  <c r="E35" s="1"/>
  <c r="D9"/>
  <c r="E9" s="1"/>
  <c r="D10"/>
  <c r="E10" s="1"/>
  <c r="D11"/>
  <c r="E11" s="1"/>
  <c r="D6"/>
  <c r="E6" s="1"/>
  <c r="K25" i="1" l="1"/>
  <c r="B43" i="11"/>
  <c r="K25"/>
  <c r="B43" i="1"/>
  <c r="E25" i="3"/>
  <c r="D30"/>
  <c r="D29"/>
  <c r="E29" s="1"/>
  <c r="D26"/>
  <c r="E26" s="1"/>
  <c r="K34" i="1" l="1"/>
  <c r="E30" i="3"/>
  <c r="K43" i="11" s="1"/>
  <c r="D31" i="3"/>
  <c r="E31" s="1"/>
  <c r="K37" i="11" l="1"/>
  <c r="K42"/>
  <c r="K16"/>
  <c r="K9" i="1"/>
  <c r="K11"/>
  <c r="K39"/>
  <c r="K32"/>
  <c r="K30" i="11"/>
  <c r="K13"/>
  <c r="K39"/>
  <c r="K9"/>
  <c r="K38" i="1"/>
  <c r="K31"/>
  <c r="K27" i="11"/>
  <c r="K41"/>
  <c r="K5"/>
  <c r="K30" i="1"/>
  <c r="K35"/>
  <c r="K29"/>
  <c r="K21"/>
  <c r="K40"/>
  <c r="K19"/>
  <c r="K14" i="11"/>
  <c r="K40"/>
  <c r="K43" i="1"/>
  <c r="K33"/>
  <c r="K11" i="11"/>
  <c r="K42" i="1"/>
  <c r="K41"/>
  <c r="K15"/>
  <c r="K14"/>
  <c r="K23" i="11"/>
  <c r="K7" i="1"/>
  <c r="K37"/>
  <c r="K27"/>
  <c r="K10" i="11"/>
  <c r="K24" i="1"/>
  <c r="K34" i="11"/>
  <c r="K23" i="1"/>
  <c r="K19" i="11"/>
  <c r="K8" i="1"/>
  <c r="K18"/>
  <c r="K10"/>
  <c r="K31" i="11"/>
  <c r="K38"/>
  <c r="K29"/>
  <c r="K35"/>
  <c r="K26"/>
  <c r="K8"/>
  <c r="K33"/>
  <c r="K22"/>
  <c r="K7"/>
  <c r="K16" i="1"/>
  <c r="K21" i="11"/>
  <c r="K15"/>
  <c r="K13" i="1"/>
  <c r="K32" i="11"/>
  <c r="K5" i="1"/>
  <c r="K26"/>
  <c r="K24" i="11"/>
  <c r="K18"/>
  <c r="K22" i="1"/>
  <c r="K44" i="11" l="1"/>
  <c r="L44" s="1"/>
  <c r="M44" s="1"/>
  <c r="K36" i="1"/>
  <c r="L36" s="1"/>
  <c r="M36" s="1"/>
  <c r="K20"/>
  <c r="L20" s="1"/>
  <c r="M20" s="1"/>
  <c r="K12"/>
  <c r="L12" s="1"/>
  <c r="M12" s="1"/>
  <c r="L12" i="11"/>
  <c r="M12" s="1"/>
  <c r="K44" i="1"/>
  <c r="L44" s="1"/>
  <c r="L28" i="11"/>
  <c r="M28" s="1"/>
  <c r="K28" i="1"/>
  <c r="L28" s="1"/>
  <c r="M28" s="1"/>
  <c r="M44"/>
  <c r="J45" i="11" l="1"/>
  <c r="K45"/>
  <c r="M46" i="1"/>
  <c r="K45"/>
  <c r="K46" s="1"/>
  <c r="B48" s="1"/>
  <c r="L45"/>
  <c r="M36" i="11" l="1"/>
  <c r="M20"/>
  <c r="M46" l="1"/>
  <c r="L45"/>
</calcChain>
</file>

<file path=xl/sharedStrings.xml><?xml version="1.0" encoding="utf-8"?>
<sst xmlns="http://schemas.openxmlformats.org/spreadsheetml/2006/main" count="148" uniqueCount="46">
  <si>
    <t>Mercredi</t>
  </si>
  <si>
    <t>Mardi</t>
  </si>
  <si>
    <t>Lundi</t>
  </si>
  <si>
    <t>Dimanche</t>
  </si>
  <si>
    <t>Samedi</t>
  </si>
  <si>
    <t>Vendredi</t>
  </si>
  <si>
    <t>Jeudi</t>
  </si>
  <si>
    <t xml:space="preserve">Entrée </t>
  </si>
  <si>
    <t>Sortie</t>
  </si>
  <si>
    <t>Entrée</t>
  </si>
  <si>
    <t>PM</t>
  </si>
  <si>
    <t>AM</t>
  </si>
  <si>
    <t>Total semaine</t>
  </si>
  <si>
    <t>Total mois</t>
  </si>
  <si>
    <t>Mettre l'année en D1</t>
  </si>
  <si>
    <t>liste automatique des jours fériés</t>
  </si>
  <si>
    <t>01 janvier</t>
  </si>
  <si>
    <t>Pâques</t>
  </si>
  <si>
    <t>lundi Pâques</t>
  </si>
  <si>
    <t>01 mai</t>
  </si>
  <si>
    <t>08mai</t>
  </si>
  <si>
    <t>Ascension</t>
  </si>
  <si>
    <t>Pentecôte</t>
  </si>
  <si>
    <t>lundi Pentecôte</t>
  </si>
  <si>
    <t>14 juillet</t>
  </si>
  <si>
    <t xml:space="preserve"> </t>
  </si>
  <si>
    <t>15 août</t>
  </si>
  <si>
    <t>01novembre</t>
  </si>
  <si>
    <t>11 novembre</t>
  </si>
  <si>
    <t>noël</t>
  </si>
  <si>
    <t>autres jour fériés</t>
  </si>
  <si>
    <t>&gt;35
&lt;43
25%</t>
  </si>
  <si>
    <t>&gt;43
50%</t>
  </si>
  <si>
    <t>Total
Sem.</t>
  </si>
  <si>
    <t>Férié
Dim.
Nuit</t>
  </si>
  <si>
    <t>Total
Journalier</t>
  </si>
  <si>
    <t>Total
Semaine</t>
  </si>
  <si>
    <t>Date</t>
  </si>
  <si>
    <t>Jour</t>
  </si>
  <si>
    <t>Heures Supplémentaires</t>
  </si>
  <si>
    <t>prime</t>
  </si>
  <si>
    <t>samedi</t>
  </si>
  <si>
    <t>dimanche</t>
  </si>
  <si>
    <t>JUILLET  2017</t>
  </si>
  <si>
    <t>daniel</t>
  </si>
  <si>
    <t>TECH 1</t>
  </si>
</sst>
</file>

<file path=xl/styles.xml><?xml version="1.0" encoding="utf-8"?>
<styleSheet xmlns="http://schemas.openxmlformats.org/spreadsheetml/2006/main">
  <numFmts count="7">
    <numFmt numFmtId="44" formatCode="_-* #,##0.00\ &quot;€&quot;_-;\-* #,##0.00\ &quot;€&quot;_-;_-* &quot;-&quot;??\ &quot;€&quot;_-;_-@_-"/>
    <numFmt numFmtId="164" formatCode="0.0"/>
    <numFmt numFmtId="165" formatCode="h:mm;@"/>
    <numFmt numFmtId="166" formatCode="[h]:mm:ss;@"/>
    <numFmt numFmtId="167" formatCode="yyyy"/>
    <numFmt numFmtId="168" formatCode="h:mm"/>
    <numFmt numFmtId="169" formatCode="0.00;[Red]0.00"/>
  </numFmts>
  <fonts count="2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color theme="0"/>
      <name val="Arial"/>
      <family val="2"/>
    </font>
    <font>
      <b/>
      <sz val="14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0000FF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0"/>
      <color indexed="12"/>
      <name val="MS Sans Serif"/>
      <family val="2"/>
    </font>
    <font>
      <b/>
      <sz val="11"/>
      <color theme="1"/>
      <name val="Calibri"/>
      <family val="2"/>
      <scheme val="minor"/>
    </font>
    <font>
      <sz val="10"/>
      <color rgb="FF000000"/>
      <name val="MS Sans Serif"/>
      <family val="2"/>
    </font>
    <font>
      <sz val="11"/>
      <color indexed="8"/>
      <name val="Times New Roman"/>
      <family val="2"/>
    </font>
    <font>
      <b/>
      <sz val="14"/>
      <color rgb="FF0000FF"/>
      <name val="Calibri"/>
      <family val="2"/>
      <scheme val="minor"/>
    </font>
    <font>
      <b/>
      <sz val="11"/>
      <color theme="0"/>
      <name val="Arial"/>
      <family val="2"/>
    </font>
    <font>
      <b/>
      <sz val="10"/>
      <color theme="0"/>
      <name val="Calibri"/>
      <family val="2"/>
      <scheme val="minor"/>
    </font>
    <font>
      <b/>
      <sz val="10"/>
      <color theme="0"/>
      <name val="Arial"/>
      <family val="2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1"/>
      <color theme="9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99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13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/>
      <diagonal/>
    </border>
  </borders>
  <cellStyleXfs count="3">
    <xf numFmtId="0" fontId="0" fillId="0" borderId="0"/>
    <xf numFmtId="0" fontId="8" fillId="0" borderId="0"/>
    <xf numFmtId="44" fontId="14" fillId="0" borderId="0" applyFont="0" applyFill="0" applyBorder="0" applyAlignment="0" applyProtection="0"/>
  </cellStyleXfs>
  <cellXfs count="156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0" fillId="0" borderId="0" xfId="0" applyNumberFormat="1" applyBorder="1"/>
    <xf numFmtId="0" fontId="0" fillId="0" borderId="0" xfId="0" applyAlignment="1"/>
    <xf numFmtId="166" fontId="0" fillId="0" borderId="0" xfId="0" applyNumberFormat="1" applyAlignment="1">
      <alignment horizontal="center" vertical="center"/>
    </xf>
    <xf numFmtId="165" fontId="0" fillId="3" borderId="0" xfId="0" applyNumberFormat="1" applyFill="1" applyBorder="1"/>
    <xf numFmtId="0" fontId="8" fillId="0" borderId="0" xfId="1" applyProtection="1">
      <protection hidden="1"/>
    </xf>
    <xf numFmtId="0" fontId="8" fillId="0" borderId="0" xfId="1" applyFill="1" applyProtection="1">
      <protection hidden="1"/>
    </xf>
    <xf numFmtId="16" fontId="9" fillId="0" borderId="0" xfId="1" quotePrefix="1" applyNumberFormat="1" applyFont="1" applyFill="1" applyProtection="1">
      <protection hidden="1"/>
    </xf>
    <xf numFmtId="1" fontId="10" fillId="0" borderId="0" xfId="1" applyNumberFormat="1" applyFont="1" applyFill="1" applyAlignment="1" applyProtection="1">
      <alignment horizontal="center"/>
      <protection hidden="1"/>
    </xf>
    <xf numFmtId="0" fontId="11" fillId="5" borderId="0" xfId="1" applyFont="1" applyFill="1" applyAlignment="1" applyProtection="1">
      <alignment horizontal="left"/>
      <protection hidden="1"/>
    </xf>
    <xf numFmtId="0" fontId="12" fillId="5" borderId="0" xfId="1" applyFont="1" applyFill="1" applyProtection="1">
      <protection hidden="1"/>
    </xf>
    <xf numFmtId="1" fontId="8" fillId="6" borderId="0" xfId="1" applyNumberFormat="1" applyFill="1" applyAlignment="1" applyProtection="1">
      <alignment horizontal="center"/>
      <protection hidden="1"/>
    </xf>
    <xf numFmtId="0" fontId="8" fillId="0" borderId="0" xfId="1" applyFill="1" applyBorder="1" applyProtection="1">
      <protection hidden="1"/>
    </xf>
    <xf numFmtId="14" fontId="8" fillId="0" borderId="0" xfId="1" applyNumberFormat="1" applyFill="1" applyProtection="1">
      <protection hidden="1"/>
    </xf>
    <xf numFmtId="0" fontId="8" fillId="6" borderId="0" xfId="1" quotePrefix="1" applyFill="1" applyProtection="1">
      <protection hidden="1"/>
    </xf>
    <xf numFmtId="14" fontId="8" fillId="6" borderId="0" xfId="1" applyNumberFormat="1" applyFill="1" applyAlignment="1" applyProtection="1">
      <alignment horizontal="center"/>
      <protection hidden="1"/>
    </xf>
    <xf numFmtId="1" fontId="8" fillId="7" borderId="5" xfId="1" applyNumberFormat="1" applyFill="1" applyBorder="1" applyProtection="1">
      <protection hidden="1"/>
    </xf>
    <xf numFmtId="0" fontId="8" fillId="6" borderId="0" xfId="1" applyFill="1" applyProtection="1">
      <protection hidden="1"/>
    </xf>
    <xf numFmtId="1" fontId="8" fillId="6" borderId="5" xfId="1" applyNumberFormat="1" applyFill="1" applyBorder="1" applyProtection="1">
      <protection hidden="1"/>
    </xf>
    <xf numFmtId="1" fontId="8" fillId="0" borderId="0" xfId="1" applyNumberFormat="1" applyFill="1" applyProtection="1">
      <protection hidden="1"/>
    </xf>
    <xf numFmtId="1" fontId="8" fillId="0" borderId="0" xfId="1" quotePrefix="1" applyNumberFormat="1" applyFill="1" applyProtection="1">
      <protection hidden="1"/>
    </xf>
    <xf numFmtId="16" fontId="8" fillId="6" borderId="0" xfId="1" quotePrefix="1" applyNumberFormat="1" applyFill="1" applyProtection="1">
      <protection hidden="1"/>
    </xf>
    <xf numFmtId="167" fontId="8" fillId="0" borderId="0" xfId="1" applyNumberFormat="1" applyFill="1" applyProtection="1">
      <protection hidden="1"/>
    </xf>
    <xf numFmtId="0" fontId="8" fillId="8" borderId="0" xfId="1" applyFill="1" applyProtection="1">
      <protection hidden="1"/>
    </xf>
    <xf numFmtId="1" fontId="8" fillId="9" borderId="5" xfId="1" applyNumberFormat="1" applyFill="1" applyBorder="1" applyProtection="1">
      <protection locked="0"/>
    </xf>
    <xf numFmtId="0" fontId="13" fillId="0" borderId="0" xfId="1" applyFont="1" applyProtection="1">
      <protection hidden="1"/>
    </xf>
    <xf numFmtId="0" fontId="8" fillId="0" borderId="0" xfId="1" applyFill="1" applyAlignment="1" applyProtection="1">
      <alignment horizontal="right"/>
      <protection hidden="1"/>
    </xf>
    <xf numFmtId="0" fontId="8" fillId="6" borderId="0" xfId="1" applyFill="1" applyProtection="1">
      <protection locked="0"/>
    </xf>
    <xf numFmtId="14" fontId="8" fillId="6" borderId="0" xfId="1" applyNumberFormat="1" applyFill="1" applyAlignment="1" applyProtection="1">
      <alignment horizontal="center"/>
      <protection locked="0"/>
    </xf>
    <xf numFmtId="0" fontId="8" fillId="10" borderId="0" xfId="1" quotePrefix="1" applyFill="1" applyProtection="1">
      <protection hidden="1"/>
    </xf>
    <xf numFmtId="14" fontId="8" fillId="10" borderId="0" xfId="1" applyNumberFormat="1" applyFill="1" applyAlignment="1" applyProtection="1">
      <alignment horizontal="center"/>
      <protection hidden="1"/>
    </xf>
    <xf numFmtId="0" fontId="8" fillId="10" borderId="0" xfId="1" applyFill="1" applyProtection="1">
      <protection hidden="1"/>
    </xf>
    <xf numFmtId="16" fontId="8" fillId="10" borderId="0" xfId="1" quotePrefix="1" applyNumberFormat="1" applyFill="1" applyProtection="1">
      <protection hidden="1"/>
    </xf>
    <xf numFmtId="166" fontId="9" fillId="0" borderId="0" xfId="0" applyNumberFormat="1" applyFont="1"/>
    <xf numFmtId="2" fontId="0" fillId="0" borderId="0" xfId="0" applyNumberFormat="1"/>
    <xf numFmtId="0" fontId="0" fillId="0" borderId="1" xfId="0" applyBorder="1"/>
    <xf numFmtId="0" fontId="0" fillId="0" borderId="2" xfId="0" applyBorder="1"/>
    <xf numFmtId="0" fontId="7" fillId="0" borderId="2" xfId="0" applyFont="1" applyBorder="1" applyAlignment="1">
      <alignment horizontal="right" vertical="center"/>
    </xf>
    <xf numFmtId="166" fontId="0" fillId="0" borderId="2" xfId="0" applyNumberFormat="1" applyBorder="1" applyAlignment="1">
      <alignment horizontal="center" vertical="center"/>
    </xf>
    <xf numFmtId="164" fontId="0" fillId="2" borderId="7" xfId="0" applyNumberFormat="1" applyFill="1" applyBorder="1" applyAlignment="1">
      <alignment horizontal="center" vertical="center"/>
    </xf>
    <xf numFmtId="164" fontId="0" fillId="11" borderId="8" xfId="0" applyNumberFormat="1" applyFill="1" applyBorder="1" applyAlignment="1">
      <alignment horizontal="center" vertical="center"/>
    </xf>
    <xf numFmtId="2" fontId="0" fillId="12" borderId="9" xfId="0" applyNumberFormat="1" applyFill="1" applyBorder="1"/>
    <xf numFmtId="164" fontId="0" fillId="11" borderId="9" xfId="0" applyNumberFormat="1" applyFill="1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2" fontId="15" fillId="0" borderId="11" xfId="0" applyNumberFormat="1" applyFont="1" applyBorder="1"/>
    <xf numFmtId="9" fontId="17" fillId="14" borderId="4" xfId="0" quotePrefix="1" applyNumberFormat="1" applyFont="1" applyFill="1" applyBorder="1" applyAlignment="1">
      <alignment horizontal="center" vertical="center" wrapText="1"/>
    </xf>
    <xf numFmtId="0" fontId="0" fillId="16" borderId="14" xfId="0" applyFill="1" applyBorder="1"/>
    <xf numFmtId="0" fontId="0" fillId="16" borderId="6" xfId="0" applyFill="1" applyBorder="1"/>
    <xf numFmtId="165" fontId="0" fillId="16" borderId="6" xfId="0" applyNumberFormat="1" applyFill="1" applyBorder="1" applyAlignment="1">
      <alignment horizontal="right" vertical="center"/>
    </xf>
    <xf numFmtId="166" fontId="0" fillId="16" borderId="6" xfId="0" applyNumberFormat="1" applyFill="1" applyBorder="1" applyAlignment="1">
      <alignment horizontal="center" vertical="center"/>
    </xf>
    <xf numFmtId="2" fontId="0" fillId="16" borderId="15" xfId="0" applyNumberFormat="1" applyFill="1" applyBorder="1"/>
    <xf numFmtId="2" fontId="9" fillId="16" borderId="16" xfId="0" applyNumberFormat="1" applyFont="1" applyFill="1" applyBorder="1"/>
    <xf numFmtId="0" fontId="0" fillId="0" borderId="12" xfId="0" applyBorder="1"/>
    <xf numFmtId="14" fontId="0" fillId="0" borderId="4" xfId="0" applyNumberFormat="1" applyBorder="1"/>
    <xf numFmtId="165" fontId="0" fillId="3" borderId="4" xfId="0" applyNumberFormat="1" applyFill="1" applyBorder="1"/>
    <xf numFmtId="164" fontId="0" fillId="2" borderId="17" xfId="0" applyNumberFormat="1" applyFill="1" applyBorder="1" applyAlignment="1">
      <alignment horizontal="center" vertical="center"/>
    </xf>
    <xf numFmtId="2" fontId="0" fillId="12" borderId="8" xfId="0" applyNumberFormat="1" applyFill="1" applyBorder="1"/>
    <xf numFmtId="0" fontId="0" fillId="13" borderId="13" xfId="0" applyFill="1" applyBorder="1"/>
    <xf numFmtId="0" fontId="0" fillId="0" borderId="3" xfId="0" applyBorder="1"/>
    <xf numFmtId="0" fontId="0" fillId="13" borderId="18" xfId="0" applyFill="1" applyBorder="1"/>
    <xf numFmtId="0" fontId="0" fillId="0" borderId="14" xfId="0" applyBorder="1"/>
    <xf numFmtId="14" fontId="0" fillId="0" borderId="6" xfId="0" applyNumberFormat="1" applyBorder="1"/>
    <xf numFmtId="165" fontId="0" fillId="3" borderId="6" xfId="0" applyNumberFormat="1" applyFill="1" applyBorder="1"/>
    <xf numFmtId="164" fontId="0" fillId="2" borderId="19" xfId="0" applyNumberFormat="1" applyFill="1" applyBorder="1" applyAlignment="1">
      <alignment horizontal="center" vertical="center"/>
    </xf>
    <xf numFmtId="164" fontId="0" fillId="11" borderId="15" xfId="0" applyNumberFormat="1" applyFill="1" applyBorder="1" applyAlignment="1">
      <alignment horizontal="center" vertical="center"/>
    </xf>
    <xf numFmtId="2" fontId="0" fillId="12" borderId="15" xfId="0" applyNumberFormat="1" applyFill="1" applyBorder="1"/>
    <xf numFmtId="0" fontId="0" fillId="13" borderId="16" xfId="0" applyFill="1" applyBorder="1"/>
    <xf numFmtId="0" fontId="0" fillId="16" borderId="3" xfId="0" applyFill="1" applyBorder="1"/>
    <xf numFmtId="14" fontId="0" fillId="16" borderId="0" xfId="0" applyNumberFormat="1" applyFill="1" applyBorder="1"/>
    <xf numFmtId="165" fontId="0" fillId="16" borderId="0" xfId="0" applyNumberFormat="1" applyFill="1" applyBorder="1" applyAlignment="1">
      <alignment horizontal="center" vertical="center"/>
    </xf>
    <xf numFmtId="166" fontId="0" fillId="16" borderId="0" xfId="0" applyNumberFormat="1" applyFill="1" applyBorder="1" applyAlignment="1">
      <alignment horizontal="center" vertical="center"/>
    </xf>
    <xf numFmtId="2" fontId="0" fillId="16" borderId="9" xfId="0" applyNumberFormat="1" applyFill="1" applyBorder="1"/>
    <xf numFmtId="164" fontId="0" fillId="16" borderId="14" xfId="0" applyNumberFormat="1" applyFill="1" applyBorder="1" applyAlignment="1">
      <alignment horizontal="center" vertical="center"/>
    </xf>
    <xf numFmtId="164" fontId="0" fillId="16" borderId="6" xfId="0" applyNumberFormat="1" applyFill="1" applyBorder="1" applyAlignment="1">
      <alignment horizontal="center" vertical="center"/>
    </xf>
    <xf numFmtId="0" fontId="6" fillId="14" borderId="12" xfId="0" applyFont="1" applyFill="1" applyBorder="1" applyAlignment="1">
      <alignment horizontal="center" vertical="center"/>
    </xf>
    <xf numFmtId="0" fontId="6" fillId="14" borderId="4" xfId="0" applyFont="1" applyFill="1" applyBorder="1" applyAlignment="1">
      <alignment horizontal="center" vertical="center"/>
    </xf>
    <xf numFmtId="0" fontId="17" fillId="14" borderId="4" xfId="0" applyFont="1" applyFill="1" applyBorder="1" applyAlignment="1">
      <alignment horizontal="center" vertical="center"/>
    </xf>
    <xf numFmtId="0" fontId="17" fillId="14" borderId="4" xfId="0" applyFont="1" applyFill="1" applyBorder="1" applyAlignment="1">
      <alignment horizontal="center" vertical="center" wrapText="1"/>
    </xf>
    <xf numFmtId="14" fontId="0" fillId="16" borderId="6" xfId="0" applyNumberFormat="1" applyFill="1" applyBorder="1"/>
    <xf numFmtId="165" fontId="0" fillId="16" borderId="6" xfId="0" applyNumberFormat="1" applyFill="1" applyBorder="1" applyAlignment="1">
      <alignment horizontal="center" vertical="center"/>
    </xf>
    <xf numFmtId="0" fontId="18" fillId="15" borderId="12" xfId="0" applyFont="1" applyFill="1" applyBorder="1" applyAlignment="1">
      <alignment horizontal="centerContinuous" vertical="center"/>
    </xf>
    <xf numFmtId="0" fontId="18" fillId="15" borderId="4" xfId="0" applyFont="1" applyFill="1" applyBorder="1" applyAlignment="1">
      <alignment horizontal="centerContinuous" vertical="center"/>
    </xf>
    <xf numFmtId="0" fontId="18" fillId="15" borderId="20" xfId="0" applyFont="1" applyFill="1" applyBorder="1" applyAlignment="1">
      <alignment horizontal="centerContinuous" vertical="center"/>
    </xf>
    <xf numFmtId="0" fontId="17" fillId="14" borderId="12" xfId="0" applyFont="1" applyFill="1" applyBorder="1" applyAlignment="1">
      <alignment horizontal="center" vertical="center"/>
    </xf>
    <xf numFmtId="0" fontId="17" fillId="14" borderId="20" xfId="0" applyFont="1" applyFill="1" applyBorder="1" applyAlignment="1">
      <alignment horizontal="center" vertical="center"/>
    </xf>
    <xf numFmtId="165" fontId="0" fillId="16" borderId="14" xfId="0" applyNumberFormat="1" applyFill="1" applyBorder="1" applyAlignment="1">
      <alignment horizontal="center" vertical="center"/>
    </xf>
    <xf numFmtId="165" fontId="0" fillId="16" borderId="22" xfId="0" applyNumberFormat="1" applyFill="1" applyBorder="1" applyAlignment="1">
      <alignment horizontal="right" vertical="center"/>
    </xf>
    <xf numFmtId="165" fontId="0" fillId="16" borderId="3" xfId="0" applyNumberFormat="1" applyFill="1" applyBorder="1" applyAlignment="1">
      <alignment horizontal="center" vertical="center"/>
    </xf>
    <xf numFmtId="165" fontId="0" fillId="16" borderId="21" xfId="0" applyNumberFormat="1" applyFill="1" applyBorder="1" applyAlignment="1">
      <alignment horizontal="right" vertical="center"/>
    </xf>
    <xf numFmtId="0" fontId="5" fillId="12" borderId="12" xfId="0" applyFont="1" applyFill="1" applyBorder="1" applyAlignment="1">
      <alignment horizontal="center" vertical="center" wrapText="1"/>
    </xf>
    <xf numFmtId="0" fontId="16" fillId="12" borderId="4" xfId="0" applyFont="1" applyFill="1" applyBorder="1" applyAlignment="1">
      <alignment horizontal="centerContinuous" vertical="center"/>
    </xf>
    <xf numFmtId="0" fontId="5" fillId="12" borderId="4" xfId="0" applyFont="1" applyFill="1" applyBorder="1" applyAlignment="1">
      <alignment horizontal="centerContinuous"/>
    </xf>
    <xf numFmtId="0" fontId="5" fillId="12" borderId="20" xfId="0" applyFont="1" applyFill="1" applyBorder="1" applyAlignment="1">
      <alignment horizontal="centerContinuous"/>
    </xf>
    <xf numFmtId="0" fontId="17" fillId="14" borderId="12" xfId="0" applyFont="1" applyFill="1" applyBorder="1" applyAlignment="1">
      <alignment horizontal="center" vertical="center" wrapText="1"/>
    </xf>
    <xf numFmtId="9" fontId="17" fillId="14" borderId="20" xfId="0" applyNumberFormat="1" applyFont="1" applyFill="1" applyBorder="1" applyAlignment="1">
      <alignment horizontal="centerContinuous" vertical="center" wrapText="1"/>
    </xf>
    <xf numFmtId="2" fontId="0" fillId="16" borderId="19" xfId="0" applyNumberFormat="1" applyFill="1" applyBorder="1"/>
    <xf numFmtId="2" fontId="0" fillId="16" borderId="7" xfId="0" applyNumberFormat="1" applyFill="1" applyBorder="1"/>
    <xf numFmtId="2" fontId="0" fillId="0" borderId="23" xfId="0" applyNumberFormat="1" applyBorder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165" fontId="0" fillId="3" borderId="24" xfId="0" applyNumberFormat="1" applyFill="1" applyBorder="1"/>
    <xf numFmtId="165" fontId="20" fillId="4" borderId="12" xfId="0" applyNumberFormat="1" applyFont="1" applyFill="1" applyBorder="1" applyAlignment="1">
      <alignment horizontal="center" vertical="center"/>
    </xf>
    <xf numFmtId="165" fontId="20" fillId="4" borderId="4" xfId="0" applyNumberFormat="1" applyFont="1" applyFill="1" applyBorder="1" applyAlignment="1">
      <alignment horizontal="center" vertical="center"/>
    </xf>
    <xf numFmtId="165" fontId="20" fillId="4" borderId="20" xfId="0" applyNumberFormat="1" applyFont="1" applyFill="1" applyBorder="1" applyAlignment="1">
      <alignment horizontal="center" vertical="center"/>
    </xf>
    <xf numFmtId="165" fontId="20" fillId="4" borderId="3" xfId="0" applyNumberFormat="1" applyFont="1" applyFill="1" applyBorder="1" applyAlignment="1">
      <alignment horizontal="center" vertical="center"/>
    </xf>
    <xf numFmtId="165" fontId="20" fillId="4" borderId="0" xfId="0" applyNumberFormat="1" applyFont="1" applyFill="1" applyBorder="1" applyAlignment="1">
      <alignment horizontal="center" vertical="center"/>
    </xf>
    <xf numFmtId="165" fontId="20" fillId="4" borderId="21" xfId="0" applyNumberFormat="1" applyFont="1" applyFill="1" applyBorder="1" applyAlignment="1">
      <alignment horizontal="center" vertical="center"/>
    </xf>
    <xf numFmtId="165" fontId="19" fillId="4" borderId="3" xfId="0" applyNumberFormat="1" applyFont="1" applyFill="1" applyBorder="1" applyAlignment="1">
      <alignment horizontal="center" vertical="center"/>
    </xf>
    <xf numFmtId="165" fontId="19" fillId="4" borderId="0" xfId="0" applyNumberFormat="1" applyFont="1" applyFill="1" applyBorder="1" applyAlignment="1">
      <alignment horizontal="center" vertical="center"/>
    </xf>
    <xf numFmtId="165" fontId="19" fillId="4" borderId="21" xfId="0" applyNumberFormat="1" applyFont="1" applyFill="1" applyBorder="1" applyAlignment="1">
      <alignment horizontal="center" vertical="center"/>
    </xf>
    <xf numFmtId="165" fontId="19" fillId="4" borderId="14" xfId="0" applyNumberFormat="1" applyFont="1" applyFill="1" applyBorder="1" applyAlignment="1">
      <alignment horizontal="center" vertical="center"/>
    </xf>
    <xf numFmtId="165" fontId="19" fillId="4" borderId="6" xfId="0" applyNumberFormat="1" applyFont="1" applyFill="1" applyBorder="1" applyAlignment="1">
      <alignment horizontal="center" vertical="center"/>
    </xf>
    <xf numFmtId="165" fontId="19" fillId="4" borderId="22" xfId="0" applyNumberFormat="1" applyFont="1" applyFill="1" applyBorder="1" applyAlignment="1">
      <alignment horizontal="center" vertical="center"/>
    </xf>
    <xf numFmtId="165" fontId="19" fillId="4" borderId="12" xfId="0" applyNumberFormat="1" applyFont="1" applyFill="1" applyBorder="1" applyAlignment="1">
      <alignment horizontal="center" vertical="center"/>
    </xf>
    <xf numFmtId="165" fontId="19" fillId="4" borderId="4" xfId="0" applyNumberFormat="1" applyFont="1" applyFill="1" applyBorder="1" applyAlignment="1">
      <alignment horizontal="center" vertical="center"/>
    </xf>
    <xf numFmtId="165" fontId="19" fillId="4" borderId="20" xfId="0" applyNumberFormat="1" applyFont="1" applyFill="1" applyBorder="1" applyAlignment="1">
      <alignment horizontal="center" vertical="center"/>
    </xf>
    <xf numFmtId="165" fontId="21" fillId="4" borderId="3" xfId="0" applyNumberFormat="1" applyFont="1" applyFill="1" applyBorder="1" applyAlignment="1">
      <alignment horizontal="center" vertical="center"/>
    </xf>
    <xf numFmtId="165" fontId="21" fillId="4" borderId="0" xfId="0" applyNumberFormat="1" applyFont="1" applyFill="1" applyBorder="1" applyAlignment="1">
      <alignment horizontal="center" vertical="center"/>
    </xf>
    <xf numFmtId="165" fontId="21" fillId="4" borderId="21" xfId="0" applyNumberFormat="1" applyFont="1" applyFill="1" applyBorder="1" applyAlignment="1">
      <alignment horizontal="center" vertical="center"/>
    </xf>
    <xf numFmtId="165" fontId="21" fillId="4" borderId="12" xfId="0" applyNumberFormat="1" applyFont="1" applyFill="1" applyBorder="1" applyAlignment="1">
      <alignment horizontal="center" vertical="center"/>
    </xf>
    <xf numFmtId="165" fontId="21" fillId="4" borderId="4" xfId="0" applyNumberFormat="1" applyFont="1" applyFill="1" applyBorder="1" applyAlignment="1">
      <alignment horizontal="center" vertical="center"/>
    </xf>
    <xf numFmtId="165" fontId="21" fillId="4" borderId="20" xfId="0" applyNumberFormat="1" applyFont="1" applyFill="1" applyBorder="1" applyAlignment="1">
      <alignment horizontal="center" vertical="center"/>
    </xf>
    <xf numFmtId="165" fontId="22" fillId="4" borderId="3" xfId="0" applyNumberFormat="1" applyFont="1" applyFill="1" applyBorder="1" applyAlignment="1">
      <alignment horizontal="center" vertical="center"/>
    </xf>
    <xf numFmtId="165" fontId="22" fillId="4" borderId="0" xfId="0" applyNumberFormat="1" applyFont="1" applyFill="1" applyBorder="1" applyAlignment="1">
      <alignment horizontal="center" vertical="center"/>
    </xf>
    <xf numFmtId="165" fontId="22" fillId="4" borderId="21" xfId="0" applyNumberFormat="1" applyFont="1" applyFill="1" applyBorder="1" applyAlignment="1">
      <alignment horizontal="center" vertical="center"/>
    </xf>
    <xf numFmtId="165" fontId="22" fillId="4" borderId="12" xfId="0" applyNumberFormat="1" applyFont="1" applyFill="1" applyBorder="1" applyAlignment="1">
      <alignment horizontal="center" vertical="center"/>
    </xf>
    <xf numFmtId="165" fontId="22" fillId="4" borderId="4" xfId="0" applyNumberFormat="1" applyFont="1" applyFill="1" applyBorder="1" applyAlignment="1">
      <alignment horizontal="center" vertical="center"/>
    </xf>
    <xf numFmtId="165" fontId="22" fillId="4" borderId="20" xfId="0" applyNumberFormat="1" applyFont="1" applyFill="1" applyBorder="1" applyAlignment="1">
      <alignment horizontal="center" vertical="center"/>
    </xf>
    <xf numFmtId="166" fontId="0" fillId="0" borderId="0" xfId="0" applyNumberFormat="1"/>
    <xf numFmtId="168" fontId="0" fillId="0" borderId="0" xfId="0" applyNumberFormat="1"/>
    <xf numFmtId="168" fontId="0" fillId="3" borderId="0" xfId="0" applyNumberFormat="1" applyFill="1" applyBorder="1"/>
    <xf numFmtId="168" fontId="0" fillId="2" borderId="17" xfId="0" applyNumberFormat="1" applyFill="1" applyBorder="1" applyAlignment="1">
      <alignment horizontal="center" vertical="center"/>
    </xf>
    <xf numFmtId="168" fontId="0" fillId="11" borderId="8" xfId="0" applyNumberFormat="1" applyFill="1" applyBorder="1" applyAlignment="1">
      <alignment horizontal="center" vertical="center"/>
    </xf>
    <xf numFmtId="168" fontId="0" fillId="12" borderId="8" xfId="0" applyNumberFormat="1" applyFill="1" applyBorder="1"/>
    <xf numFmtId="168" fontId="0" fillId="2" borderId="7" xfId="0" applyNumberFormat="1" applyFill="1" applyBorder="1" applyAlignment="1">
      <alignment horizontal="center" vertical="center"/>
    </xf>
    <xf numFmtId="168" fontId="0" fillId="11" borderId="9" xfId="0" applyNumberFormat="1" applyFill="1" applyBorder="1" applyAlignment="1">
      <alignment horizontal="center" vertical="center"/>
    </xf>
    <xf numFmtId="168" fontId="0" fillId="12" borderId="9" xfId="0" applyNumberFormat="1" applyFill="1" applyBorder="1"/>
    <xf numFmtId="168" fontId="0" fillId="3" borderId="6" xfId="0" applyNumberFormat="1" applyFill="1" applyBorder="1"/>
    <xf numFmtId="168" fontId="0" fillId="2" borderId="19" xfId="0" applyNumberFormat="1" applyFill="1" applyBorder="1" applyAlignment="1">
      <alignment horizontal="center" vertical="center"/>
    </xf>
    <xf numFmtId="168" fontId="0" fillId="11" borderId="15" xfId="0" applyNumberFormat="1" applyFill="1" applyBorder="1" applyAlignment="1">
      <alignment horizontal="center" vertical="center"/>
    </xf>
    <xf numFmtId="168" fontId="0" fillId="12" borderId="15" xfId="0" applyNumberFormat="1" applyFill="1" applyBorder="1"/>
    <xf numFmtId="168" fontId="0" fillId="16" borderId="6" xfId="0" applyNumberFormat="1" applyFill="1" applyBorder="1" applyAlignment="1">
      <alignment horizontal="center" vertical="center"/>
    </xf>
    <xf numFmtId="168" fontId="0" fillId="16" borderId="19" xfId="0" applyNumberFormat="1" applyFill="1" applyBorder="1"/>
    <xf numFmtId="168" fontId="0" fillId="16" borderId="15" xfId="0" applyNumberFormat="1" applyFill="1" applyBorder="1"/>
    <xf numFmtId="168" fontId="0" fillId="3" borderId="4" xfId="0" applyNumberFormat="1" applyFill="1" applyBorder="1"/>
    <xf numFmtId="168" fontId="0" fillId="2" borderId="25" xfId="0" applyNumberFormat="1" applyFill="1" applyBorder="1" applyAlignment="1">
      <alignment horizontal="center" vertical="center"/>
    </xf>
    <xf numFmtId="168" fontId="0" fillId="16" borderId="9" xfId="0" applyNumberFormat="1" applyFill="1" applyBorder="1"/>
    <xf numFmtId="168" fontId="0" fillId="0" borderId="2" xfId="0" applyNumberFormat="1" applyBorder="1" applyAlignment="1">
      <alignment horizontal="center" vertical="center"/>
    </xf>
    <xf numFmtId="168" fontId="0" fillId="0" borderId="23" xfId="0" applyNumberFormat="1" applyBorder="1" applyAlignment="1">
      <alignment horizontal="center" vertical="center"/>
    </xf>
    <xf numFmtId="168" fontId="0" fillId="0" borderId="10" xfId="0" applyNumberFormat="1" applyBorder="1" applyAlignment="1">
      <alignment horizontal="center" vertical="center"/>
    </xf>
    <xf numFmtId="169" fontId="0" fillId="0" borderId="0" xfId="0" applyNumberFormat="1"/>
    <xf numFmtId="0" fontId="4" fillId="0" borderId="0" xfId="0" applyFont="1" applyAlignment="1">
      <alignment horizontal="center"/>
    </xf>
    <xf numFmtId="49" fontId="3" fillId="0" borderId="0" xfId="0" applyNumberFormat="1" applyFont="1" applyAlignment="1">
      <alignment horizontal="center"/>
    </xf>
  </cellXfs>
  <cellStyles count="3">
    <cellStyle name="Monétaire 2" xfId="2"/>
    <cellStyle name="Normal" xfId="0" builtinId="0"/>
    <cellStyle name="Normal 2" xfId="1"/>
  </cellStyles>
  <dxfs count="7">
    <dxf>
      <font>
        <color rgb="FFFFFF00"/>
      </font>
      <fill>
        <patternFill>
          <bgColor rgb="FFFF0000"/>
        </patternFill>
      </fill>
    </dxf>
    <dxf>
      <font>
        <color theme="1" tint="0.499984740745262"/>
      </font>
      <fill>
        <patternFill patternType="solid">
          <bgColor theme="0" tint="-0.24994659260841701"/>
        </patternFill>
      </fill>
    </dxf>
    <dxf>
      <font>
        <color theme="1" tint="0.499984740745262"/>
      </font>
      <fill>
        <patternFill patternType="solid">
          <bgColor theme="0" tint="-0.24994659260841701"/>
        </patternFill>
      </fill>
    </dxf>
    <dxf>
      <font>
        <color theme="1" tint="0.499984740745262"/>
      </font>
      <fill>
        <patternFill patternType="solid">
          <bgColor theme="0" tint="-0.24994659260841701"/>
        </patternFill>
      </fill>
    </dxf>
    <dxf>
      <font>
        <color theme="1" tint="0.499984740745262"/>
      </font>
      <fill>
        <patternFill patternType="solid">
          <bgColor theme="0" tint="-0.24994659260841701"/>
        </patternFill>
      </fill>
    </dxf>
    <dxf>
      <font>
        <color theme="1" tint="0.499984740745262"/>
      </font>
      <fill>
        <patternFill patternType="solid">
          <bgColor theme="0" tint="-0.24994659260841701"/>
        </patternFill>
      </fill>
    </dxf>
    <dxf>
      <font>
        <color theme="1" tint="0.499984740745262"/>
      </font>
      <fill>
        <patternFill patternType="solid">
          <bgColor theme="0" tint="-0.24994659260841701"/>
        </patternFill>
      </fill>
    </dxf>
  </dxfs>
  <tableStyles count="0" defaultTableStyle="TableStyleMedium2" defaultPivotStyle="PivotStyleLight16"/>
  <colors>
    <mruColors>
      <color rgb="FF0000FF"/>
      <color rgb="FF009900"/>
      <color rgb="FF66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Spin" dx="16" fmlaLink="$D$2" max="2100" min="2000" page="10" val="2017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752475</xdr:colOff>
      <xdr:row>10</xdr:row>
      <xdr:rowOff>85722</xdr:rowOff>
    </xdr:from>
    <xdr:to>
      <xdr:col>6</xdr:col>
      <xdr:colOff>9525</xdr:colOff>
      <xdr:row>20</xdr:row>
      <xdr:rowOff>123824</xdr:rowOff>
    </xdr:to>
    <xdr:sp macro="" textlink="">
      <xdr:nvSpPr>
        <xdr:cNvPr id="2" name="Line 9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 bwMode="auto">
        <a:xfrm flipH="1" flipV="1">
          <a:off x="4229100" y="2400297"/>
          <a:ext cx="781050" cy="1952627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123825</xdr:rowOff>
    </xdr:from>
    <xdr:to>
      <xdr:col>6</xdr:col>
      <xdr:colOff>0</xdr:colOff>
      <xdr:row>29</xdr:row>
      <xdr:rowOff>114300</xdr:rowOff>
    </xdr:to>
    <xdr:sp macro="" textlink="">
      <xdr:nvSpPr>
        <xdr:cNvPr id="3" name="Line 9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 bwMode="auto">
        <a:xfrm flipH="1">
          <a:off x="4238625" y="4352925"/>
          <a:ext cx="762000" cy="17049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19</xdr:row>
      <xdr:rowOff>95250</xdr:rowOff>
    </xdr:from>
    <xdr:to>
      <xdr:col>7</xdr:col>
      <xdr:colOff>581025</xdr:colOff>
      <xdr:row>22</xdr:row>
      <xdr:rowOff>47625</xdr:rowOff>
    </xdr:to>
    <xdr:sp macro="" textlink="">
      <xdr:nvSpPr>
        <xdr:cNvPr id="4" name="Texte 7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5000625" y="4133850"/>
          <a:ext cx="1714500" cy="5238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FF0000"/>
              </a:solidFill>
              <a:latin typeface="MS Sans Serif"/>
            </a:rPr>
            <a:t>effacer ces cellules si le lundi de Pentecôte est travaillé</a:t>
          </a:r>
          <a:endParaRPr lang="fr-FR" b="1">
            <a:solidFill>
              <a:srgbClr val="FF0000"/>
            </a:solidFill>
          </a:endParaRPr>
        </a:p>
      </xdr:txBody>
    </xdr:sp>
    <xdr:clientData/>
  </xdr:twoCellAnchor>
  <xdr:twoCellAnchor>
    <xdr:from>
      <xdr:col>4</xdr:col>
      <xdr:colOff>371476</xdr:colOff>
      <xdr:row>0</xdr:row>
      <xdr:rowOff>47626</xdr:rowOff>
    </xdr:from>
    <xdr:to>
      <xdr:col>6</xdr:col>
      <xdr:colOff>523876</xdr:colOff>
      <xdr:row>0</xdr:row>
      <xdr:rowOff>542926</xdr:rowOff>
    </xdr:to>
    <xdr:sp macro="" textlink="">
      <xdr:nvSpPr>
        <xdr:cNvPr id="6" name="ZoneTexte 5">
          <a:extLst>
            <a:ext uri="{FF2B5EF4-FFF2-40B4-BE49-F238E27FC236}">
              <a16:creationId xmlns="" xmlns:a16="http://schemas.microsoft.com/office/drawing/2014/main" id="{00000000-0008-0000-0200-000006000000}"/>
            </a:ext>
          </a:extLst>
        </xdr:cNvPr>
        <xdr:cNvSpPr txBox="1"/>
      </xdr:nvSpPr>
      <xdr:spPr>
        <a:xfrm>
          <a:off x="3848101" y="47626"/>
          <a:ext cx="1676400" cy="495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Choisir</a:t>
          </a:r>
          <a:r>
            <a:rPr lang="fr-FR" sz="1100" baseline="0"/>
            <a:t> l'année en appuyant sur les flèches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hilippe%20CRESSON/AppData/Local/Microsoft/Windows/Temporary%20Internet%20Files/Content.IE5/W6FFPSQT/jours%20f&#233;ri&#233;s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ériés"/>
      <sheetName val="Feuil1"/>
    </sheetNames>
    <sheetDataSet>
      <sheetData sheetId="0" refreshError="1"/>
      <sheetData sheetId="1" refreshError="1">
        <row r="1">
          <cell r="D1">
            <v>2012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50"/>
  <sheetViews>
    <sheetView showZeros="0" topLeftCell="A21" workbookViewId="0">
      <selection activeCell="C33" sqref="C33"/>
    </sheetView>
  </sheetViews>
  <sheetFormatPr baseColWidth="10" defaultRowHeight="15"/>
  <cols>
    <col min="1" max="1" width="8.42578125" customWidth="1"/>
    <col min="3" max="6" width="8.42578125" customWidth="1"/>
    <col min="7" max="8" width="9.140625" customWidth="1"/>
    <col min="9" max="9" width="7.5703125" customWidth="1"/>
    <col min="10" max="10" width="8.140625" customWidth="1"/>
    <col min="11" max="11" width="9.5703125" customWidth="1"/>
    <col min="12" max="12" width="9.140625" customWidth="1"/>
    <col min="13" max="14" width="5.5703125" customWidth="1"/>
    <col min="15" max="15" width="10.140625" customWidth="1"/>
  </cols>
  <sheetData>
    <row r="1" spans="1:15" ht="33.75">
      <c r="A1" s="154" t="s">
        <v>44</v>
      </c>
      <c r="B1" s="154"/>
      <c r="C1" s="155" t="s">
        <v>43</v>
      </c>
      <c r="D1" s="155"/>
      <c r="E1" s="155"/>
      <c r="F1" s="155"/>
      <c r="G1" s="155"/>
      <c r="O1" s="38">
        <f>35</f>
        <v>35</v>
      </c>
    </row>
    <row r="2" spans="1:15">
      <c r="O2" s="38">
        <f>43</f>
        <v>43</v>
      </c>
    </row>
    <row r="3" spans="1:15" ht="15.75">
      <c r="C3" s="84" t="s">
        <v>11</v>
      </c>
      <c r="D3" s="85"/>
      <c r="E3" s="85" t="s">
        <v>10</v>
      </c>
      <c r="F3" s="86"/>
      <c r="H3" s="93"/>
      <c r="I3" s="94" t="s">
        <v>39</v>
      </c>
      <c r="J3" s="95"/>
      <c r="K3" s="95"/>
      <c r="L3" s="96"/>
      <c r="O3" s="38"/>
    </row>
    <row r="4" spans="1:15" ht="38.25">
      <c r="A4" s="78" t="s">
        <v>38</v>
      </c>
      <c r="B4" s="79" t="s">
        <v>37</v>
      </c>
      <c r="C4" s="87" t="s">
        <v>7</v>
      </c>
      <c r="D4" s="80" t="s">
        <v>8</v>
      </c>
      <c r="E4" s="80" t="s">
        <v>9</v>
      </c>
      <c r="F4" s="88" t="s">
        <v>8</v>
      </c>
      <c r="G4" s="81" t="s">
        <v>35</v>
      </c>
      <c r="H4" s="97" t="s">
        <v>36</v>
      </c>
      <c r="I4" s="49" t="s">
        <v>31</v>
      </c>
      <c r="J4" s="49" t="s">
        <v>32</v>
      </c>
      <c r="K4" s="49" t="s">
        <v>34</v>
      </c>
      <c r="L4" s="98" t="s">
        <v>33</v>
      </c>
    </row>
    <row r="5" spans="1:15">
      <c r="A5" s="56"/>
      <c r="B5" s="57"/>
      <c r="C5" s="122"/>
      <c r="D5" s="123"/>
      <c r="E5" s="123"/>
      <c r="F5" s="124"/>
      <c r="G5" s="8"/>
      <c r="H5" s="59"/>
      <c r="I5" s="44"/>
      <c r="J5" s="60"/>
      <c r="K5" s="60">
        <f t="shared" ref="K5:K11" si="0">IF(OR(IFERROR(VLOOKUP($B5,fériés,1,0),0)=$B5,WEEKDAY($B5,2)=7),$G5*24,0)+IF($F5*24&gt;20,$F5*24-20,0)</f>
        <v>0</v>
      </c>
      <c r="L5" s="61"/>
      <c r="O5" s="38"/>
    </row>
    <row r="6" spans="1:15">
      <c r="A6" s="62"/>
      <c r="B6" s="5"/>
      <c r="C6" s="119"/>
      <c r="D6" s="120"/>
      <c r="E6" s="120"/>
      <c r="F6" s="121"/>
      <c r="G6" s="8"/>
      <c r="H6" s="43"/>
      <c r="I6" s="46"/>
      <c r="J6" s="45"/>
      <c r="K6" s="45"/>
      <c r="L6" s="63"/>
      <c r="O6" s="38"/>
    </row>
    <row r="7" spans="1:15">
      <c r="A7" s="62"/>
      <c r="B7" s="57"/>
      <c r="C7" s="119"/>
      <c r="D7" s="120"/>
      <c r="E7" s="120"/>
      <c r="F7" s="121"/>
      <c r="G7" s="8"/>
      <c r="H7" s="43"/>
      <c r="I7" s="46"/>
      <c r="J7" s="45"/>
      <c r="K7" s="45">
        <f t="shared" si="0"/>
        <v>0</v>
      </c>
      <c r="L7" s="63"/>
      <c r="O7" s="38"/>
    </row>
    <row r="8" spans="1:15">
      <c r="A8" s="62"/>
      <c r="B8" s="5"/>
      <c r="C8" s="119"/>
      <c r="D8" s="120"/>
      <c r="E8" s="120"/>
      <c r="F8" s="121"/>
      <c r="G8" s="8"/>
      <c r="H8" s="43"/>
      <c r="I8" s="46"/>
      <c r="J8" s="45"/>
      <c r="K8" s="45">
        <f t="shared" si="0"/>
        <v>0</v>
      </c>
      <c r="L8" s="63"/>
      <c r="O8" s="38"/>
    </row>
    <row r="9" spans="1:15">
      <c r="A9" s="62"/>
      <c r="B9" s="57"/>
      <c r="C9" s="107"/>
      <c r="D9" s="108"/>
      <c r="E9" s="108"/>
      <c r="F9" s="109"/>
      <c r="G9" s="8"/>
      <c r="H9" s="43"/>
      <c r="I9" s="46"/>
      <c r="J9" s="45"/>
      <c r="K9" s="45">
        <f t="shared" si="0"/>
        <v>0</v>
      </c>
      <c r="L9" s="63"/>
      <c r="O9" s="38"/>
    </row>
    <row r="10" spans="1:15">
      <c r="A10" s="62" t="s">
        <v>41</v>
      </c>
      <c r="B10" s="5">
        <v>42917</v>
      </c>
      <c r="C10" s="110"/>
      <c r="D10" s="111"/>
      <c r="E10" s="111"/>
      <c r="F10" s="112"/>
      <c r="G10" s="8">
        <f t="shared" ref="G10:G11" si="1">(D10-C10+F10-E10)</f>
        <v>0</v>
      </c>
      <c r="H10" s="43"/>
      <c r="I10" s="46"/>
      <c r="J10" s="45"/>
      <c r="K10" s="45">
        <f t="shared" si="0"/>
        <v>0</v>
      </c>
      <c r="L10" s="63"/>
      <c r="O10" s="38"/>
    </row>
    <row r="11" spans="1:15">
      <c r="A11" s="64" t="s">
        <v>42</v>
      </c>
      <c r="B11" s="57">
        <v>42918</v>
      </c>
      <c r="C11" s="113"/>
      <c r="D11" s="114"/>
      <c r="E11" s="114"/>
      <c r="F11" s="115"/>
      <c r="G11" s="66">
        <f t="shared" si="1"/>
        <v>0</v>
      </c>
      <c r="H11" s="67"/>
      <c r="I11" s="68"/>
      <c r="J11" s="69"/>
      <c r="K11" s="69">
        <f t="shared" si="0"/>
        <v>0</v>
      </c>
      <c r="L11" s="70"/>
    </row>
    <row r="12" spans="1:15" ht="15.75">
      <c r="A12" s="50"/>
      <c r="B12" s="82"/>
      <c r="C12" s="89"/>
      <c r="D12" s="83"/>
      <c r="E12" s="83"/>
      <c r="F12" s="90" t="s">
        <v>12</v>
      </c>
      <c r="G12" s="53">
        <f>SUM(G5:G11)</f>
        <v>0</v>
      </c>
      <c r="H12" s="99">
        <f>IF(G12*24&gt;$O$1,35,G12*24)</f>
        <v>0</v>
      </c>
      <c r="I12" s="54">
        <f>IF(OR(H12=0,H12&lt;$O$1),0,IF((G12*24-$O$1)&gt;8,8,G12*24-$O$1))</f>
        <v>0</v>
      </c>
      <c r="J12" s="54">
        <f>IF(OR(G12=0,G12*24&lt;$O$2),0,IF((G12*24-$O$2)&gt;$O$2,0,G12*24-$O$2))</f>
        <v>0</v>
      </c>
      <c r="K12" s="54">
        <f>SUM(K5:K11)</f>
        <v>0</v>
      </c>
      <c r="L12" s="55">
        <f>K12*2+J12*1.5+I12*1.25+H12</f>
        <v>0</v>
      </c>
      <c r="M12" s="38">
        <f>L12-35</f>
        <v>-35</v>
      </c>
      <c r="N12" s="38"/>
      <c r="O12" s="38"/>
    </row>
    <row r="13" spans="1:15">
      <c r="A13" s="56" t="s">
        <v>2</v>
      </c>
      <c r="B13" s="57">
        <v>42919</v>
      </c>
      <c r="C13" s="128">
        <v>0.3125</v>
      </c>
      <c r="D13" s="129">
        <v>0.45833333333333331</v>
      </c>
      <c r="E13" s="129">
        <v>0.5</v>
      </c>
      <c r="F13" s="130">
        <v>0.54166666666666663</v>
      </c>
      <c r="G13" s="58">
        <f>(D13-C13+F13-E13)</f>
        <v>0.1875</v>
      </c>
      <c r="H13" s="59"/>
      <c r="I13" s="44"/>
      <c r="J13" s="60"/>
      <c r="K13" s="60">
        <f t="shared" ref="K13:K19" si="2">IF(OR(IFERROR(VLOOKUP($B13,fériés,1,0),0)=$B13,WEEKDAY($B13,2)=7),$G13*24,0)+IF($F13*24&gt;20,$F13*24-20,0)</f>
        <v>0</v>
      </c>
      <c r="L13" s="61"/>
      <c r="O13" s="38"/>
    </row>
    <row r="14" spans="1:15">
      <c r="A14" s="62" t="s">
        <v>1</v>
      </c>
      <c r="B14" s="5">
        <f t="shared" ref="B14:B43" si="3">B13+1</f>
        <v>42920</v>
      </c>
      <c r="C14" s="125">
        <v>0.3125</v>
      </c>
      <c r="D14" s="126">
        <v>0.5</v>
      </c>
      <c r="E14" s="126">
        <v>0.5625</v>
      </c>
      <c r="F14" s="127">
        <v>0.71875</v>
      </c>
      <c r="G14" s="8">
        <f t="shared" ref="G14:G19" si="4">(D14-C14+F14-E14)</f>
        <v>0.34375</v>
      </c>
      <c r="H14" s="43"/>
      <c r="I14" s="46"/>
      <c r="J14" s="45"/>
      <c r="K14" s="45">
        <f t="shared" si="2"/>
        <v>0</v>
      </c>
      <c r="L14" s="63"/>
      <c r="O14" s="38"/>
    </row>
    <row r="15" spans="1:15">
      <c r="A15" s="62" t="s">
        <v>0</v>
      </c>
      <c r="B15" s="5">
        <f t="shared" si="3"/>
        <v>42921</v>
      </c>
      <c r="C15" s="125">
        <v>0.3125</v>
      </c>
      <c r="D15" s="126">
        <v>0.5</v>
      </c>
      <c r="E15" s="126">
        <v>0.54166666666666663</v>
      </c>
      <c r="F15" s="127">
        <v>0.80208333333333337</v>
      </c>
      <c r="G15" s="8">
        <f t="shared" si="4"/>
        <v>0.44791666666666674</v>
      </c>
      <c r="H15" s="43"/>
      <c r="I15" s="46"/>
      <c r="J15" s="45"/>
      <c r="K15" s="45">
        <f t="shared" si="2"/>
        <v>0</v>
      </c>
      <c r="L15" s="63"/>
      <c r="N15" s="38"/>
      <c r="O15" s="38"/>
    </row>
    <row r="16" spans="1:15">
      <c r="A16" s="62" t="s">
        <v>6</v>
      </c>
      <c r="B16" s="5">
        <f t="shared" si="3"/>
        <v>42922</v>
      </c>
      <c r="C16" s="125">
        <v>0.3125</v>
      </c>
      <c r="D16" s="126">
        <v>0.5</v>
      </c>
      <c r="E16" s="126">
        <v>0.5625</v>
      </c>
      <c r="F16" s="127">
        <v>0.66666666666666663</v>
      </c>
      <c r="G16" s="103">
        <f t="shared" si="4"/>
        <v>0.29166666666666663</v>
      </c>
      <c r="H16" s="43"/>
      <c r="I16" s="46"/>
      <c r="J16" s="45"/>
      <c r="K16" s="45">
        <f t="shared" si="2"/>
        <v>0</v>
      </c>
      <c r="L16" s="63"/>
      <c r="O16" s="38"/>
    </row>
    <row r="17" spans="1:15">
      <c r="A17" s="62" t="s">
        <v>5</v>
      </c>
      <c r="B17" s="5">
        <f t="shared" si="3"/>
        <v>42923</v>
      </c>
      <c r="C17" s="125">
        <v>0.3125</v>
      </c>
      <c r="D17" s="126">
        <v>0.52083333333333337</v>
      </c>
      <c r="E17" s="126">
        <v>0.5625</v>
      </c>
      <c r="F17" s="127">
        <v>0.70833333333333337</v>
      </c>
      <c r="G17" s="58">
        <f>(D17-C17+F17-E17)</f>
        <v>0.35416666666666674</v>
      </c>
      <c r="H17" s="43"/>
      <c r="I17" s="46"/>
      <c r="J17" s="45"/>
      <c r="K17" s="45"/>
      <c r="L17" s="63"/>
      <c r="O17" s="38"/>
    </row>
    <row r="18" spans="1:15">
      <c r="A18" s="62" t="s">
        <v>4</v>
      </c>
      <c r="B18" s="5">
        <f t="shared" si="3"/>
        <v>42924</v>
      </c>
      <c r="C18" s="110"/>
      <c r="D18" s="111"/>
      <c r="E18" s="111"/>
      <c r="F18" s="112"/>
      <c r="G18" s="8">
        <f t="shared" si="4"/>
        <v>0</v>
      </c>
      <c r="H18" s="43"/>
      <c r="I18" s="46"/>
      <c r="J18" s="45"/>
      <c r="K18" s="45">
        <f t="shared" si="2"/>
        <v>0</v>
      </c>
      <c r="L18" s="63"/>
      <c r="O18" s="38"/>
    </row>
    <row r="19" spans="1:15">
      <c r="A19" s="64" t="s">
        <v>3</v>
      </c>
      <c r="B19" s="65">
        <f t="shared" si="3"/>
        <v>42925</v>
      </c>
      <c r="C19" s="113"/>
      <c r="D19" s="114"/>
      <c r="E19" s="114"/>
      <c r="F19" s="115"/>
      <c r="G19" s="66">
        <f t="shared" si="4"/>
        <v>0</v>
      </c>
      <c r="H19" s="67"/>
      <c r="I19" s="68"/>
      <c r="J19" s="69"/>
      <c r="K19" s="69">
        <f t="shared" si="2"/>
        <v>0</v>
      </c>
      <c r="L19" s="70"/>
    </row>
    <row r="20" spans="1:15" ht="15.75">
      <c r="A20" s="76"/>
      <c r="B20" s="77"/>
      <c r="C20" s="76"/>
      <c r="D20" s="77"/>
      <c r="E20" s="77"/>
      <c r="F20" s="90" t="s">
        <v>12</v>
      </c>
      <c r="G20" s="53">
        <f>SUM(G13:G19)</f>
        <v>1.6250000000000002</v>
      </c>
      <c r="H20" s="99">
        <f>IF(G20*24&gt;$O$1,35,G20*24)</f>
        <v>35</v>
      </c>
      <c r="I20" s="54">
        <f>IF(OR(H20=0,H20&lt;$O$1),0,IF((G20*24-$O$1)&gt;8,8,G20*24-$O$1))</f>
        <v>4.0000000000000071</v>
      </c>
      <c r="J20" s="54">
        <f>IF(OR(G20=0,G20*24&lt;$O$2),0,IF((G20*24-$O$2)&gt;$O$2,0,G20*24-$O$2))</f>
        <v>0</v>
      </c>
      <c r="K20" s="54">
        <f>SUM(K13:K19)</f>
        <v>0</v>
      </c>
      <c r="L20" s="55">
        <f>K20*2+J20*1.5+I20*1.25+H20</f>
        <v>40.000000000000007</v>
      </c>
      <c r="M20" s="38">
        <f>L20-35</f>
        <v>5.0000000000000071</v>
      </c>
      <c r="N20" s="38"/>
      <c r="O20" s="38"/>
    </row>
    <row r="21" spans="1:15">
      <c r="A21" s="56" t="s">
        <v>2</v>
      </c>
      <c r="B21" s="57">
        <f>B19+1</f>
        <v>42926</v>
      </c>
      <c r="C21" s="104">
        <v>0.3125</v>
      </c>
      <c r="D21" s="105">
        <v>0.5625</v>
      </c>
      <c r="E21" s="105">
        <v>0.59375</v>
      </c>
      <c r="F21" s="106">
        <v>0.71875</v>
      </c>
      <c r="G21" s="58">
        <f>(D21-C21+F21-E21)</f>
        <v>0.375</v>
      </c>
      <c r="H21" s="59"/>
      <c r="I21" s="44"/>
      <c r="J21" s="60"/>
      <c r="K21" s="60">
        <f t="shared" ref="K21:K27" si="5">IF(OR(IFERROR(VLOOKUP($B21,fériés,1,0),0)=$B21,WEEKDAY($B21,2)=7),$G21*24,0)+IF($F21*24&gt;20,$F21*24-20,0)</f>
        <v>0</v>
      </c>
      <c r="L21" s="61"/>
      <c r="O21" s="38"/>
    </row>
    <row r="22" spans="1:15">
      <c r="A22" s="62" t="s">
        <v>1</v>
      </c>
      <c r="B22" s="5">
        <f t="shared" si="3"/>
        <v>42927</v>
      </c>
      <c r="C22" s="107">
        <v>0.3125</v>
      </c>
      <c r="D22" s="108">
        <v>0.4861111111111111</v>
      </c>
      <c r="E22" s="108">
        <v>0.54166666666666663</v>
      </c>
      <c r="F22" s="109">
        <v>0.70833333333333337</v>
      </c>
      <c r="G22" s="8">
        <f t="shared" ref="G22:G27" si="6">(D22-C22+F22-E22)</f>
        <v>0.34027777777777779</v>
      </c>
      <c r="H22" s="43"/>
      <c r="I22" s="46"/>
      <c r="J22" s="45"/>
      <c r="K22" s="45">
        <f t="shared" si="5"/>
        <v>0</v>
      </c>
      <c r="L22" s="63"/>
      <c r="O22" s="38"/>
    </row>
    <row r="23" spans="1:15">
      <c r="A23" s="62" t="s">
        <v>0</v>
      </c>
      <c r="B23" s="5">
        <f t="shared" si="3"/>
        <v>42928</v>
      </c>
      <c r="C23" s="107">
        <v>0.3125</v>
      </c>
      <c r="D23" s="108">
        <v>0.5</v>
      </c>
      <c r="E23" s="108">
        <v>0.55208333333333337</v>
      </c>
      <c r="F23" s="109">
        <v>0.70833333333333337</v>
      </c>
      <c r="G23" s="8">
        <f t="shared" si="6"/>
        <v>0.34375</v>
      </c>
      <c r="H23" s="43"/>
      <c r="I23" s="46"/>
      <c r="J23" s="45"/>
      <c r="K23" s="45">
        <f t="shared" si="5"/>
        <v>0</v>
      </c>
      <c r="L23" s="63"/>
      <c r="O23" s="38"/>
    </row>
    <row r="24" spans="1:15">
      <c r="A24" s="62" t="s">
        <v>6</v>
      </c>
      <c r="B24" s="5">
        <f t="shared" si="3"/>
        <v>42929</v>
      </c>
      <c r="C24" s="107">
        <v>0.3125</v>
      </c>
      <c r="D24" s="108">
        <v>0.51041666666666663</v>
      </c>
      <c r="E24" s="108">
        <v>0.5625</v>
      </c>
      <c r="F24" s="109">
        <v>0.70833333333333337</v>
      </c>
      <c r="G24" s="8">
        <f t="shared" si="6"/>
        <v>0.34375</v>
      </c>
      <c r="H24" s="43"/>
      <c r="I24" s="46"/>
      <c r="J24" s="45"/>
      <c r="K24" s="45">
        <f t="shared" si="5"/>
        <v>0</v>
      </c>
      <c r="L24" s="63"/>
      <c r="O24" s="38"/>
    </row>
    <row r="25" spans="1:15">
      <c r="A25" s="62" t="s">
        <v>5</v>
      </c>
      <c r="B25" s="5">
        <f t="shared" si="3"/>
        <v>42930</v>
      </c>
      <c r="C25" s="107"/>
      <c r="D25" s="108"/>
      <c r="E25" s="108"/>
      <c r="F25" s="109"/>
      <c r="G25" s="8">
        <f t="shared" si="6"/>
        <v>0</v>
      </c>
      <c r="H25" s="43"/>
      <c r="I25" s="46"/>
      <c r="J25" s="45"/>
      <c r="K25" s="45">
        <f t="shared" si="5"/>
        <v>0</v>
      </c>
      <c r="L25" s="63"/>
      <c r="O25" s="38"/>
    </row>
    <row r="26" spans="1:15">
      <c r="A26" s="62" t="s">
        <v>4</v>
      </c>
      <c r="B26" s="5">
        <f t="shared" si="3"/>
        <v>42931</v>
      </c>
      <c r="C26" s="110">
        <v>0.29166666666666669</v>
      </c>
      <c r="D26" s="111">
        <v>0.58333333333333337</v>
      </c>
      <c r="E26" s="111"/>
      <c r="F26" s="112"/>
      <c r="G26" s="8">
        <f t="shared" si="6"/>
        <v>0.29166666666666669</v>
      </c>
      <c r="H26" s="43"/>
      <c r="I26" s="46"/>
      <c r="J26" s="45"/>
      <c r="K26" s="45">
        <f t="shared" si="5"/>
        <v>0</v>
      </c>
      <c r="L26" s="63"/>
      <c r="O26" s="38"/>
    </row>
    <row r="27" spans="1:15">
      <c r="A27" s="64" t="s">
        <v>3</v>
      </c>
      <c r="B27" s="65">
        <f t="shared" si="3"/>
        <v>42932</v>
      </c>
      <c r="C27" s="113"/>
      <c r="D27" s="114"/>
      <c r="E27" s="114"/>
      <c r="F27" s="115"/>
      <c r="G27" s="66">
        <f t="shared" si="6"/>
        <v>0</v>
      </c>
      <c r="H27" s="67"/>
      <c r="I27" s="68"/>
      <c r="J27" s="69"/>
      <c r="K27" s="69">
        <f t="shared" si="5"/>
        <v>0</v>
      </c>
      <c r="L27" s="70"/>
    </row>
    <row r="28" spans="1:15" ht="15.75">
      <c r="A28" s="71"/>
      <c r="B28" s="72"/>
      <c r="C28" s="91"/>
      <c r="D28" s="73"/>
      <c r="E28" s="73"/>
      <c r="F28" s="92" t="s">
        <v>12</v>
      </c>
      <c r="G28" s="74">
        <f>SUM(G21:G27)</f>
        <v>1.6944444444444444</v>
      </c>
      <c r="H28" s="100">
        <f>IF(G28*24&gt;$O$1,35,G28*24)</f>
        <v>35</v>
      </c>
      <c r="I28" s="75">
        <f>IF(OR(H28=0,H28&lt;$O$1),0,IF((G28*24-$O$1)&gt;8,8,G28*24-$O$1))</f>
        <v>5.6666666666666643</v>
      </c>
      <c r="J28" s="75">
        <f>IF(OR(G28=0,G28*24&lt;$O$2),0,IF((G28*24-$O$2)&gt;$O$2,0,G28*24-$O$2))</f>
        <v>0</v>
      </c>
      <c r="K28" s="75">
        <f>SUM(K21:K27)</f>
        <v>0</v>
      </c>
      <c r="L28" s="55">
        <f>K28*2+J28*1.5+I28*1.25+H28</f>
        <v>42.083333333333329</v>
      </c>
      <c r="M28" s="38">
        <f>L28-35</f>
        <v>7.0833333333333286</v>
      </c>
      <c r="N28" s="38"/>
      <c r="O28" s="38"/>
    </row>
    <row r="29" spans="1:15">
      <c r="A29" s="56" t="s">
        <v>2</v>
      </c>
      <c r="B29" s="57">
        <f>B27+1</f>
        <v>42933</v>
      </c>
      <c r="C29" s="116">
        <v>0.33333333333333331</v>
      </c>
      <c r="D29" s="117">
        <v>0.57291666666666663</v>
      </c>
      <c r="E29" s="117">
        <v>0.60416666666666663</v>
      </c>
      <c r="F29" s="118">
        <v>0.75</v>
      </c>
      <c r="G29" s="58">
        <f>(D29-C29+F29-E29)</f>
        <v>0.38541666666666663</v>
      </c>
      <c r="H29" s="59"/>
      <c r="I29" s="44"/>
      <c r="J29" s="60"/>
      <c r="K29" s="60">
        <f t="shared" ref="K29:K35" si="7">IF(OR(IFERROR(VLOOKUP($B29,fériés,1,0),0)=$B29,WEEKDAY($B29,2)=7),$G29*24,0)+IF($F29*24&gt;20,$F29*24-20,0)</f>
        <v>0</v>
      </c>
      <c r="L29" s="61"/>
      <c r="O29" s="38"/>
    </row>
    <row r="30" spans="1:15">
      <c r="A30" s="62" t="s">
        <v>1</v>
      </c>
      <c r="B30" s="5">
        <f t="shared" si="3"/>
        <v>42934</v>
      </c>
      <c r="C30" s="110">
        <v>0.3125</v>
      </c>
      <c r="D30" s="111">
        <v>0.54166666666666663</v>
      </c>
      <c r="E30" s="111">
        <v>0.59027777777777779</v>
      </c>
      <c r="F30" s="112">
        <v>0.63888888888888895</v>
      </c>
      <c r="G30" s="8">
        <f t="shared" ref="G30:G35" si="8">(D30-C30+F30-E30)</f>
        <v>0.27777777777777779</v>
      </c>
      <c r="H30" s="43"/>
      <c r="I30" s="46"/>
      <c r="J30" s="45"/>
      <c r="K30" s="45">
        <f t="shared" si="7"/>
        <v>0</v>
      </c>
      <c r="L30" s="63"/>
      <c r="O30" s="38"/>
    </row>
    <row r="31" spans="1:15">
      <c r="A31" s="62" t="s">
        <v>0</v>
      </c>
      <c r="B31" s="5">
        <f t="shared" si="3"/>
        <v>42935</v>
      </c>
      <c r="C31" s="110">
        <v>0.29166666666666669</v>
      </c>
      <c r="D31" s="111">
        <v>0.5</v>
      </c>
      <c r="E31" s="111">
        <v>0.52083333333333337</v>
      </c>
      <c r="F31" s="112">
        <v>0.65972222222222221</v>
      </c>
      <c r="G31" s="8">
        <f t="shared" si="8"/>
        <v>0.34722222222222221</v>
      </c>
      <c r="H31" s="43"/>
      <c r="I31" s="46"/>
      <c r="J31" s="45"/>
      <c r="K31" s="45">
        <f t="shared" si="7"/>
        <v>0</v>
      </c>
      <c r="L31" s="63"/>
      <c r="O31" s="38"/>
    </row>
    <row r="32" spans="1:15">
      <c r="A32" s="62" t="s">
        <v>6</v>
      </c>
      <c r="B32" s="5">
        <f t="shared" si="3"/>
        <v>42936</v>
      </c>
      <c r="C32" s="110">
        <v>0.29166666666666669</v>
      </c>
      <c r="D32" s="111">
        <v>0.52430555555555558</v>
      </c>
      <c r="E32" s="111">
        <v>0.56944444444444442</v>
      </c>
      <c r="F32" s="112">
        <v>0.8125</v>
      </c>
      <c r="G32" s="8">
        <f t="shared" si="8"/>
        <v>0.47569444444444442</v>
      </c>
      <c r="H32" s="43"/>
      <c r="I32" s="46"/>
      <c r="J32" s="45"/>
      <c r="K32" s="45">
        <f t="shared" si="7"/>
        <v>0</v>
      </c>
      <c r="L32" s="63"/>
      <c r="O32" s="38"/>
    </row>
    <row r="33" spans="1:15">
      <c r="A33" s="62" t="s">
        <v>5</v>
      </c>
      <c r="B33" s="5">
        <f t="shared" si="3"/>
        <v>42937</v>
      </c>
      <c r="C33" s="110"/>
      <c r="D33" s="111"/>
      <c r="E33" s="111"/>
      <c r="F33" s="112"/>
      <c r="G33" s="8">
        <f t="shared" si="8"/>
        <v>0</v>
      </c>
      <c r="H33" s="43"/>
      <c r="I33" s="46"/>
      <c r="J33" s="45"/>
      <c r="K33" s="45">
        <f t="shared" si="7"/>
        <v>0</v>
      </c>
      <c r="L33" s="63"/>
      <c r="O33" s="38"/>
    </row>
    <row r="34" spans="1:15">
      <c r="A34" s="62" t="s">
        <v>4</v>
      </c>
      <c r="B34" s="5">
        <f t="shared" si="3"/>
        <v>42938</v>
      </c>
      <c r="C34" s="110"/>
      <c r="D34" s="111"/>
      <c r="E34" s="111"/>
      <c r="F34" s="112"/>
      <c r="G34" s="8">
        <f t="shared" si="8"/>
        <v>0</v>
      </c>
      <c r="H34" s="43"/>
      <c r="I34" s="46"/>
      <c r="J34" s="45"/>
      <c r="K34" s="45">
        <f t="shared" si="7"/>
        <v>0</v>
      </c>
      <c r="L34" s="63"/>
      <c r="O34" s="38"/>
    </row>
    <row r="35" spans="1:15">
      <c r="A35" s="64" t="s">
        <v>3</v>
      </c>
      <c r="B35" s="65">
        <f t="shared" si="3"/>
        <v>42939</v>
      </c>
      <c r="C35" s="113"/>
      <c r="D35" s="114"/>
      <c r="E35" s="114"/>
      <c r="F35" s="115"/>
      <c r="G35" s="66">
        <f t="shared" si="8"/>
        <v>0</v>
      </c>
      <c r="H35" s="67"/>
      <c r="I35" s="68"/>
      <c r="J35" s="69"/>
      <c r="K35" s="69">
        <f t="shared" si="7"/>
        <v>0</v>
      </c>
      <c r="L35" s="70"/>
    </row>
    <row r="36" spans="1:15" ht="15.75">
      <c r="A36" s="71"/>
      <c r="B36" s="72"/>
      <c r="C36" s="91"/>
      <c r="D36" s="73"/>
      <c r="E36" s="73"/>
      <c r="F36" s="92" t="s">
        <v>12</v>
      </c>
      <c r="G36" s="74">
        <f>SUM(G29:G35)</f>
        <v>1.4861111111111109</v>
      </c>
      <c r="H36" s="100">
        <f>IF(G36*24&gt;$O$1,35,G36*24)</f>
        <v>35</v>
      </c>
      <c r="I36" s="75">
        <f>IF(OR(H36=0,H36&lt;$O$1),0,IF((G36*24-$O$1)&gt;8,8,G36*24-$O$1))</f>
        <v>0.6666666666666643</v>
      </c>
      <c r="J36" s="75">
        <f>IF(OR(G36=0,G36*24&lt;$O$2),0,IF((G36*24-$O$2)&gt;$O$2,0,G36*24-$O$2))</f>
        <v>0</v>
      </c>
      <c r="K36" s="75">
        <f>SUM(K29:K35)</f>
        <v>0</v>
      </c>
      <c r="L36" s="55">
        <f>K36*2+J36*1.5+I36*1.25+H36</f>
        <v>35.833333333333329</v>
      </c>
      <c r="M36" s="38">
        <f>L36-35</f>
        <v>0.8333333333333286</v>
      </c>
      <c r="N36" s="38"/>
      <c r="O36" s="38"/>
    </row>
    <row r="37" spans="1:15">
      <c r="A37" s="56" t="s">
        <v>2</v>
      </c>
      <c r="B37" s="57">
        <f>B35+1</f>
        <v>42940</v>
      </c>
      <c r="C37" s="116"/>
      <c r="D37" s="117"/>
      <c r="E37" s="117"/>
      <c r="F37" s="118"/>
      <c r="G37" s="58">
        <f>(D37-C37+F37-E37)</f>
        <v>0</v>
      </c>
      <c r="H37" s="59"/>
      <c r="I37" s="44"/>
      <c r="J37" s="60"/>
      <c r="K37" s="60">
        <f t="shared" ref="K37:K43" si="9">IF(OR(IFERROR(VLOOKUP($B37,fériés,1,0),0)=$B37,WEEKDAY($B37,2)=7),$G37*24,0)+IF($F37*24&gt;20,$F37*24-20,0)</f>
        <v>0</v>
      </c>
      <c r="L37" s="61"/>
      <c r="O37" s="38"/>
    </row>
    <row r="38" spans="1:15">
      <c r="A38" s="62" t="s">
        <v>1</v>
      </c>
      <c r="B38" s="5">
        <f t="shared" si="3"/>
        <v>42941</v>
      </c>
      <c r="C38" s="110"/>
      <c r="D38" s="111"/>
      <c r="E38" s="111"/>
      <c r="F38" s="112"/>
      <c r="G38" s="8">
        <f t="shared" ref="G38:G43" si="10">(D38-C38+F38-E38)</f>
        <v>0</v>
      </c>
      <c r="H38" s="43"/>
      <c r="I38" s="46"/>
      <c r="J38" s="45"/>
      <c r="K38" s="45">
        <f t="shared" si="9"/>
        <v>0</v>
      </c>
      <c r="L38" s="63"/>
      <c r="O38" s="38"/>
    </row>
    <row r="39" spans="1:15">
      <c r="A39" s="62" t="s">
        <v>0</v>
      </c>
      <c r="B39" s="5">
        <f t="shared" si="3"/>
        <v>42942</v>
      </c>
      <c r="C39" s="110"/>
      <c r="D39" s="111"/>
      <c r="E39" s="111"/>
      <c r="F39" s="112"/>
      <c r="G39" s="8">
        <f t="shared" si="10"/>
        <v>0</v>
      </c>
      <c r="H39" s="43"/>
      <c r="I39" s="46"/>
      <c r="J39" s="45"/>
      <c r="K39" s="45">
        <f t="shared" si="9"/>
        <v>0</v>
      </c>
      <c r="L39" s="63"/>
      <c r="O39" s="38"/>
    </row>
    <row r="40" spans="1:15" ht="15" customHeight="1">
      <c r="A40" s="62" t="s">
        <v>6</v>
      </c>
      <c r="B40" s="5">
        <f t="shared" si="3"/>
        <v>42943</v>
      </c>
      <c r="C40" s="110"/>
      <c r="D40" s="111"/>
      <c r="E40" s="111"/>
      <c r="F40" s="112"/>
      <c r="G40" s="8">
        <f t="shared" si="10"/>
        <v>0</v>
      </c>
      <c r="H40" s="43"/>
      <c r="I40" s="46"/>
      <c r="J40" s="45"/>
      <c r="K40" s="45">
        <f t="shared" si="9"/>
        <v>0</v>
      </c>
      <c r="L40" s="63"/>
      <c r="O40" s="38"/>
    </row>
    <row r="41" spans="1:15" ht="15" customHeight="1">
      <c r="A41" s="62" t="s">
        <v>5</v>
      </c>
      <c r="B41" s="5">
        <f t="shared" si="3"/>
        <v>42944</v>
      </c>
      <c r="C41" s="110"/>
      <c r="D41" s="111"/>
      <c r="E41" s="111"/>
      <c r="F41" s="112"/>
      <c r="G41" s="8">
        <f t="shared" si="10"/>
        <v>0</v>
      </c>
      <c r="H41" s="43"/>
      <c r="I41" s="46"/>
      <c r="J41" s="45"/>
      <c r="K41" s="45">
        <f t="shared" si="9"/>
        <v>0</v>
      </c>
      <c r="L41" s="63"/>
      <c r="O41" s="38"/>
    </row>
    <row r="42" spans="1:15">
      <c r="A42" s="62" t="s">
        <v>4</v>
      </c>
      <c r="B42" s="5">
        <f t="shared" si="3"/>
        <v>42945</v>
      </c>
      <c r="C42" s="110"/>
      <c r="D42" s="111"/>
      <c r="E42" s="111"/>
      <c r="F42" s="112"/>
      <c r="G42" s="8">
        <f t="shared" si="10"/>
        <v>0</v>
      </c>
      <c r="H42" s="43"/>
      <c r="I42" s="46"/>
      <c r="J42" s="45"/>
      <c r="K42" s="45">
        <f t="shared" si="9"/>
        <v>0</v>
      </c>
      <c r="L42" s="63"/>
      <c r="O42" s="38"/>
    </row>
    <row r="43" spans="1:15">
      <c r="A43" s="64" t="s">
        <v>3</v>
      </c>
      <c r="B43" s="65">
        <f t="shared" si="3"/>
        <v>42946</v>
      </c>
      <c r="C43" s="113"/>
      <c r="D43" s="114"/>
      <c r="E43" s="114"/>
      <c r="F43" s="115"/>
      <c r="G43" s="66">
        <f t="shared" si="10"/>
        <v>0</v>
      </c>
      <c r="H43" s="67"/>
      <c r="I43" s="68"/>
      <c r="J43" s="69"/>
      <c r="K43" s="69">
        <f t="shared" si="9"/>
        <v>0</v>
      </c>
      <c r="L43" s="70"/>
    </row>
    <row r="44" spans="1:15" ht="15.75">
      <c r="A44" s="50"/>
      <c r="B44" s="51"/>
      <c r="C44" s="51"/>
      <c r="D44" s="51"/>
      <c r="E44" s="51"/>
      <c r="F44" s="52" t="s">
        <v>12</v>
      </c>
      <c r="G44" s="53">
        <f>SUM(G37:G43)</f>
        <v>0</v>
      </c>
      <c r="H44" s="99">
        <f>IF(G44*24&gt;$O$1,35,G44*24)</f>
        <v>0</v>
      </c>
      <c r="I44" s="54">
        <f>IF(OR(H44=0,H44&lt;$O$1),0,IF((G44*24-$O$1)&gt;8,8,G44*24-$O$1))</f>
        <v>0</v>
      </c>
      <c r="J44" s="54">
        <f>IF(OR(G44=0,G44*24&lt;$O$2),0,IF((G44*24-$O$2)&gt;$O$2,0,G44*24-$O$2))</f>
        <v>0</v>
      </c>
      <c r="K44" s="54">
        <f>SUM(K37:K43)</f>
        <v>0</v>
      </c>
      <c r="L44" s="55">
        <f>K44+J44+I44+H44</f>
        <v>0</v>
      </c>
      <c r="M44" s="38">
        <f>L44-35</f>
        <v>-35</v>
      </c>
      <c r="N44" s="38"/>
      <c r="O44" s="38"/>
    </row>
    <row r="45" spans="1:15" ht="18.75">
      <c r="A45" s="39"/>
      <c r="B45" s="40"/>
      <c r="C45" s="40"/>
      <c r="D45" s="40"/>
      <c r="E45" s="40"/>
      <c r="F45" s="41" t="s">
        <v>13</v>
      </c>
      <c r="G45" s="42">
        <f>G12+G20+G28+G36+G44</f>
        <v>4.8055555555555554</v>
      </c>
      <c r="H45" s="101">
        <f>H12+H20+H28+H36+H44</f>
        <v>105</v>
      </c>
      <c r="I45" s="47">
        <f>I12+I20+I28+I36+I44</f>
        <v>10.333333333333336</v>
      </c>
      <c r="J45" s="47">
        <f>J12+J20+J28+J36+J44</f>
        <v>0</v>
      </c>
      <c r="K45" s="47">
        <f>K12+K20+K28+K36+K44</f>
        <v>0</v>
      </c>
      <c r="L45" s="48">
        <f>L44+L36+L28+L20+L12</f>
        <v>117.91666666666666</v>
      </c>
      <c r="M45" s="37"/>
    </row>
    <row r="46" spans="1:15">
      <c r="H46" s="1"/>
      <c r="I46" s="6">
        <f>I45*1.25</f>
        <v>12.91666666666667</v>
      </c>
      <c r="J46">
        <f>J45*1.5</f>
        <v>0</v>
      </c>
      <c r="K46">
        <f>K45*2</f>
        <v>0</v>
      </c>
      <c r="M46" s="38">
        <f>M36+M28+M20+M12+M44</f>
        <v>-57.083333333333336</v>
      </c>
    </row>
    <row r="47" spans="1:15" ht="18.75">
      <c r="B47" s="4"/>
      <c r="D47" s="7"/>
      <c r="H47" s="7"/>
      <c r="I47" s="6"/>
    </row>
    <row r="48" spans="1:15" ht="18.75">
      <c r="A48" s="4" t="s">
        <v>40</v>
      </c>
      <c r="B48" s="102">
        <f>(I46+J46+K46)*L48</f>
        <v>155.00000000000003</v>
      </c>
      <c r="C48" s="7"/>
      <c r="D48" s="7"/>
      <c r="E48" s="7"/>
      <c r="F48" s="7"/>
      <c r="G48" s="7"/>
      <c r="H48" s="7"/>
      <c r="I48" s="6"/>
      <c r="L48">
        <v>12</v>
      </c>
    </row>
    <row r="49" spans="1:9" ht="18" customHeight="1">
      <c r="A49" s="2"/>
      <c r="B49" s="2"/>
      <c r="C49" s="2"/>
      <c r="D49" s="3"/>
      <c r="H49" s="1"/>
      <c r="I49" s="6"/>
    </row>
    <row r="50" spans="1:9" ht="21" customHeight="1">
      <c r="A50" s="2"/>
      <c r="B50" s="2"/>
      <c r="C50" s="2"/>
      <c r="D50" s="1"/>
      <c r="E50" s="1"/>
      <c r="H50" s="1"/>
      <c r="I50" s="6"/>
    </row>
  </sheetData>
  <mergeCells count="2">
    <mergeCell ref="A1:B1"/>
    <mergeCell ref="C1:G1"/>
  </mergeCells>
  <conditionalFormatting sqref="C12:E12">
    <cfRule type="expression" dxfId="6" priority="3">
      <formula>AND(ISBLANK($C12),NOT(ISBLANK($B12)))</formula>
    </cfRule>
  </conditionalFormatting>
  <conditionalFormatting sqref="F44">
    <cfRule type="expression" dxfId="5" priority="2">
      <formula>AND(ISBLANK($C44),NOT(ISBLANK($B44)))</formula>
    </cfRule>
  </conditionalFormatting>
  <conditionalFormatting sqref="F36 F28 F20 F12">
    <cfRule type="expression" dxfId="4" priority="1">
      <formula>AND(ISBLANK($C12),NOT(ISBLANK($B12)))</formula>
    </cfRule>
  </conditionalFormatting>
  <pageMargins left="0.7" right="0.7" top="0.75" bottom="0.75" header="0.3" footer="0.3"/>
  <pageSetup paperSize="9" scale="6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S50"/>
  <sheetViews>
    <sheetView tabSelected="1" topLeftCell="A7" workbookViewId="0">
      <selection activeCell="X36" sqref="X36"/>
    </sheetView>
  </sheetViews>
  <sheetFormatPr baseColWidth="10" defaultRowHeight="15"/>
  <cols>
    <col min="1" max="1" width="8.42578125" customWidth="1"/>
    <col min="3" max="6" width="8.42578125" customWidth="1"/>
    <col min="7" max="8" width="9.140625" customWidth="1"/>
    <col min="9" max="9" width="7.5703125" customWidth="1"/>
    <col min="10" max="10" width="8.140625" customWidth="1"/>
    <col min="11" max="11" width="9.5703125" customWidth="1"/>
    <col min="12" max="12" width="9.140625" customWidth="1"/>
    <col min="13" max="13" width="9.5703125" customWidth="1"/>
    <col min="14" max="14" width="5.5703125" customWidth="1"/>
    <col min="15" max="15" width="10.140625" customWidth="1"/>
    <col min="18" max="18" width="15.7109375" customWidth="1"/>
  </cols>
  <sheetData>
    <row r="1" spans="1:17" ht="33.75">
      <c r="A1" s="154" t="s">
        <v>45</v>
      </c>
      <c r="B1" s="154"/>
      <c r="C1" s="155" t="s">
        <v>43</v>
      </c>
      <c r="D1" s="155"/>
      <c r="E1" s="155"/>
      <c r="F1" s="155"/>
      <c r="G1" s="155"/>
      <c r="O1" s="38"/>
    </row>
    <row r="2" spans="1:17">
      <c r="O2" s="38"/>
    </row>
    <row r="3" spans="1:17" ht="15.75">
      <c r="C3" s="84" t="s">
        <v>11</v>
      </c>
      <c r="D3" s="85"/>
      <c r="E3" s="85" t="s">
        <v>10</v>
      </c>
      <c r="F3" s="86"/>
      <c r="H3" s="93"/>
      <c r="I3" s="94" t="s">
        <v>39</v>
      </c>
      <c r="J3" s="95"/>
      <c r="K3" s="95"/>
      <c r="L3" s="96"/>
      <c r="O3" s="38"/>
    </row>
    <row r="4" spans="1:17" ht="38.25">
      <c r="A4" s="78" t="s">
        <v>38</v>
      </c>
      <c r="B4" s="79" t="s">
        <v>37</v>
      </c>
      <c r="C4" s="87" t="s">
        <v>7</v>
      </c>
      <c r="D4" s="80" t="s">
        <v>8</v>
      </c>
      <c r="E4" s="80" t="s">
        <v>9</v>
      </c>
      <c r="F4" s="88" t="s">
        <v>8</v>
      </c>
      <c r="G4" s="81" t="s">
        <v>35</v>
      </c>
      <c r="H4" s="97" t="s">
        <v>36</v>
      </c>
      <c r="I4" s="49" t="s">
        <v>31</v>
      </c>
      <c r="J4" s="49" t="s">
        <v>32</v>
      </c>
      <c r="K4" s="49" t="s">
        <v>34</v>
      </c>
      <c r="L4" s="98" t="s">
        <v>33</v>
      </c>
    </row>
    <row r="5" spans="1:17">
      <c r="A5" s="56"/>
      <c r="B5" s="57"/>
      <c r="C5" s="122"/>
      <c r="D5" s="123"/>
      <c r="E5" s="123"/>
      <c r="F5" s="124"/>
      <c r="G5" s="133">
        <f t="shared" ref="G5:G9" si="0">(D5-C5+F5-E5)</f>
        <v>0</v>
      </c>
      <c r="H5" s="134"/>
      <c r="I5" s="135"/>
      <c r="J5" s="136"/>
      <c r="K5" s="136">
        <f t="shared" ref="K5:K11" si="1">IF(OR(IFERROR(VLOOKUP($B5,fériés,1,0),0)=$B5,WEEKDAY($B5,2)=7),$G5*24,0)+IF($F5*24&gt;20,$F5*24-20,0)</f>
        <v>0</v>
      </c>
      <c r="L5" s="61"/>
      <c r="O5" s="38"/>
    </row>
    <row r="6" spans="1:17">
      <c r="A6" s="62"/>
      <c r="B6" s="5"/>
      <c r="C6" s="119"/>
      <c r="D6" s="120"/>
      <c r="E6" s="120"/>
      <c r="F6" s="121"/>
      <c r="G6" s="133">
        <f t="shared" si="0"/>
        <v>0</v>
      </c>
      <c r="H6" s="137"/>
      <c r="I6" s="138"/>
      <c r="J6" s="139"/>
      <c r="K6" s="139"/>
      <c r="L6" s="63"/>
      <c r="O6" s="38"/>
    </row>
    <row r="7" spans="1:17">
      <c r="A7" s="62"/>
      <c r="B7" s="57"/>
      <c r="C7" s="119"/>
      <c r="D7" s="120"/>
      <c r="E7" s="120"/>
      <c r="F7" s="121"/>
      <c r="G7" s="133">
        <f t="shared" si="0"/>
        <v>0</v>
      </c>
      <c r="H7" s="137"/>
      <c r="I7" s="138"/>
      <c r="J7" s="139"/>
      <c r="K7" s="139">
        <f t="shared" si="1"/>
        <v>0</v>
      </c>
      <c r="L7" s="63"/>
      <c r="O7" s="38"/>
    </row>
    <row r="8" spans="1:17">
      <c r="A8" s="62"/>
      <c r="B8" s="5"/>
      <c r="C8" s="119"/>
      <c r="D8" s="120"/>
      <c r="E8" s="120"/>
      <c r="F8" s="121"/>
      <c r="G8" s="133">
        <f t="shared" si="0"/>
        <v>0</v>
      </c>
      <c r="H8" s="137"/>
      <c r="I8" s="138"/>
      <c r="J8" s="139"/>
      <c r="K8" s="139">
        <f t="shared" si="1"/>
        <v>0</v>
      </c>
      <c r="L8" s="63"/>
      <c r="O8" s="38"/>
    </row>
    <row r="9" spans="1:17">
      <c r="A9" s="62"/>
      <c r="B9" s="57"/>
      <c r="C9" s="107"/>
      <c r="D9" s="108"/>
      <c r="E9" s="108"/>
      <c r="F9" s="109"/>
      <c r="G9" s="133">
        <f t="shared" si="0"/>
        <v>0</v>
      </c>
      <c r="H9" s="137"/>
      <c r="I9" s="138"/>
      <c r="J9" s="139"/>
      <c r="K9" s="139">
        <f t="shared" si="1"/>
        <v>0</v>
      </c>
      <c r="L9" s="63"/>
      <c r="O9" s="38"/>
    </row>
    <row r="10" spans="1:17">
      <c r="A10" s="62" t="s">
        <v>41</v>
      </c>
      <c r="B10" s="5">
        <v>42917</v>
      </c>
      <c r="C10" s="110"/>
      <c r="D10" s="111"/>
      <c r="E10" s="111"/>
      <c r="F10" s="112"/>
      <c r="G10" s="133">
        <f t="shared" ref="G10:G11" si="2">(D10-C10+F10-E10)</f>
        <v>0</v>
      </c>
      <c r="H10" s="137"/>
      <c r="I10" s="138"/>
      <c r="J10" s="139"/>
      <c r="K10" s="139">
        <f t="shared" si="1"/>
        <v>0</v>
      </c>
      <c r="L10" s="63"/>
      <c r="O10" s="38"/>
    </row>
    <row r="11" spans="1:17">
      <c r="A11" s="64" t="s">
        <v>42</v>
      </c>
      <c r="B11" s="57">
        <v>42918</v>
      </c>
      <c r="C11" s="113">
        <v>0.33333333333333331</v>
      </c>
      <c r="D11" s="114">
        <v>0.5</v>
      </c>
      <c r="E11" s="114"/>
      <c r="F11" s="115"/>
      <c r="G11" s="140">
        <f t="shared" si="2"/>
        <v>0.16666666666666669</v>
      </c>
      <c r="H11" s="141"/>
      <c r="I11" s="142"/>
      <c r="J11" s="143"/>
      <c r="K11" s="143">
        <f t="shared" si="1"/>
        <v>4</v>
      </c>
      <c r="L11" s="70"/>
    </row>
    <row r="12" spans="1:17">
      <c r="A12" s="50"/>
      <c r="B12" s="82"/>
      <c r="C12" s="89"/>
      <c r="D12" s="83"/>
      <c r="E12" s="83"/>
      <c r="F12" s="90" t="s">
        <v>12</v>
      </c>
      <c r="G12" s="53">
        <f>SUM(G5:G11)</f>
        <v>0.16666666666666669</v>
      </c>
      <c r="H12" s="99">
        <f>IF(SUM(G5:G10)*24,35,(SUM(G5:G10)))</f>
        <v>0</v>
      </c>
      <c r="I12" s="99">
        <f>IF(H12=0,0,IF(J12&gt;0,8,(SUM(G5:G10))*24-35))</f>
        <v>0</v>
      </c>
      <c r="J12" s="99">
        <f>IF(SUM(G5:G10)*24&gt;43,(SUM(G5:G10)*24)-43,0)</f>
        <v>0</v>
      </c>
      <c r="K12" s="149">
        <f>G11</f>
        <v>0.16666666666666669</v>
      </c>
      <c r="L12" s="132">
        <f>K12*2+J12*1.5+I12*1.25+H12</f>
        <v>0.33333333333333337</v>
      </c>
      <c r="M12" s="38">
        <f>L12-35</f>
        <v>-34.666666666666664</v>
      </c>
      <c r="N12" s="38"/>
      <c r="O12" s="38"/>
      <c r="Q12" s="132">
        <f>K20*2</f>
        <v>0.33333333333333337</v>
      </c>
    </row>
    <row r="13" spans="1:17">
      <c r="A13" s="56" t="s">
        <v>2</v>
      </c>
      <c r="B13" s="57">
        <v>42919</v>
      </c>
      <c r="C13" s="128">
        <v>0.29166666666666669</v>
      </c>
      <c r="D13" s="129">
        <v>0.5</v>
      </c>
      <c r="E13" s="129">
        <v>0.58333333333333337</v>
      </c>
      <c r="F13" s="130">
        <v>0.70833333333333337</v>
      </c>
      <c r="G13" s="147">
        <f>(D13-C13+F13-E13)</f>
        <v>0.33333333333333337</v>
      </c>
      <c r="H13" s="134"/>
      <c r="I13" s="135"/>
      <c r="J13" s="136"/>
      <c r="K13" s="136">
        <f t="shared" ref="K13:K19" si="3">IF(OR(IFERROR(VLOOKUP($B13,fériés,1,0),0)=$B13,WEEKDAY($B13,2)=7),$G13*24,0)+IF($F13*24&gt;20,$F13*24-20,0)</f>
        <v>0</v>
      </c>
      <c r="L13" s="61"/>
      <c r="O13" s="38"/>
      <c r="Q13" s="38">
        <f>J20*1.5</f>
        <v>1.5000000000000107</v>
      </c>
    </row>
    <row r="14" spans="1:17">
      <c r="A14" s="62" t="s">
        <v>1</v>
      </c>
      <c r="B14" s="5">
        <f t="shared" ref="B14:B43" si="4">B13+1</f>
        <v>42920</v>
      </c>
      <c r="C14" s="125">
        <v>0.29166666666666669</v>
      </c>
      <c r="D14" s="126">
        <v>0.5</v>
      </c>
      <c r="E14" s="126">
        <v>0.58333333333333337</v>
      </c>
      <c r="F14" s="127">
        <v>0.70833333333333337</v>
      </c>
      <c r="G14" s="133">
        <f t="shared" ref="G14:G19" si="5">(D14-C14+F14-E14)</f>
        <v>0.33333333333333337</v>
      </c>
      <c r="H14" s="137"/>
      <c r="I14" s="138"/>
      <c r="J14" s="139"/>
      <c r="K14" s="139">
        <f t="shared" si="3"/>
        <v>0</v>
      </c>
      <c r="L14" s="63"/>
      <c r="O14" s="38"/>
      <c r="Q14" s="38">
        <f>I20*1.25</f>
        <v>10</v>
      </c>
    </row>
    <row r="15" spans="1:17">
      <c r="A15" s="62" t="s">
        <v>0</v>
      </c>
      <c r="B15" s="5">
        <f t="shared" si="4"/>
        <v>42921</v>
      </c>
      <c r="C15" s="125">
        <v>0.29166666666666669</v>
      </c>
      <c r="D15" s="126">
        <v>0.5</v>
      </c>
      <c r="E15" s="126">
        <v>0.54166666666666663</v>
      </c>
      <c r="F15" s="127">
        <v>0.70833333333333337</v>
      </c>
      <c r="G15" s="133">
        <f t="shared" si="5"/>
        <v>0.37500000000000011</v>
      </c>
      <c r="H15" s="137"/>
      <c r="I15" s="138"/>
      <c r="J15" s="139"/>
      <c r="K15" s="139">
        <f t="shared" si="3"/>
        <v>0</v>
      </c>
      <c r="L15" s="63"/>
      <c r="N15" s="38"/>
      <c r="O15" s="38"/>
      <c r="Q15" s="38">
        <f>H20*1</f>
        <v>35</v>
      </c>
    </row>
    <row r="16" spans="1:17">
      <c r="A16" s="62" t="s">
        <v>6</v>
      </c>
      <c r="B16" s="5">
        <f t="shared" si="4"/>
        <v>42922</v>
      </c>
      <c r="C16" s="125">
        <v>0.29166666666666669</v>
      </c>
      <c r="D16" s="126">
        <v>0.5</v>
      </c>
      <c r="E16" s="126">
        <v>0.54166666666666663</v>
      </c>
      <c r="F16" s="126">
        <v>0.70833333333333337</v>
      </c>
      <c r="G16" s="133">
        <f t="shared" si="5"/>
        <v>0.37500000000000011</v>
      </c>
      <c r="H16" s="148"/>
      <c r="I16" s="138"/>
      <c r="J16" s="139"/>
      <c r="K16" s="139">
        <f t="shared" si="3"/>
        <v>0</v>
      </c>
      <c r="L16" s="63"/>
      <c r="O16" s="38"/>
      <c r="Q16" s="38">
        <f>SUM(Q12:Q15)</f>
        <v>46.833333333333343</v>
      </c>
    </row>
    <row r="17" spans="1:19">
      <c r="A17" s="62" t="s">
        <v>5</v>
      </c>
      <c r="B17" s="5">
        <f t="shared" si="4"/>
        <v>42923</v>
      </c>
      <c r="C17" s="125"/>
      <c r="D17" s="126"/>
      <c r="E17" s="126"/>
      <c r="F17" s="127"/>
      <c r="G17" s="133">
        <f>(D17-C17+F17-E17)</f>
        <v>0</v>
      </c>
      <c r="H17" s="137"/>
      <c r="I17" s="138"/>
      <c r="J17" s="139"/>
      <c r="K17" s="139"/>
      <c r="L17" s="63"/>
      <c r="O17" s="38"/>
    </row>
    <row r="18" spans="1:19">
      <c r="A18" s="62" t="s">
        <v>4</v>
      </c>
      <c r="B18" s="5">
        <f t="shared" si="4"/>
        <v>42924</v>
      </c>
      <c r="C18" s="125">
        <v>0.29166666666666669</v>
      </c>
      <c r="D18" s="126">
        <v>0.5</v>
      </c>
      <c r="E18" s="126">
        <v>0.625</v>
      </c>
      <c r="F18" s="127">
        <v>0.83333333333333337</v>
      </c>
      <c r="G18" s="133">
        <f t="shared" si="5"/>
        <v>0.41666666666666674</v>
      </c>
      <c r="H18" s="137"/>
      <c r="I18" s="138"/>
      <c r="J18" s="139"/>
      <c r="K18" s="139">
        <f t="shared" si="3"/>
        <v>0</v>
      </c>
      <c r="L18" s="63"/>
      <c r="O18" s="38"/>
    </row>
    <row r="19" spans="1:19">
      <c r="A19" s="64" t="s">
        <v>3</v>
      </c>
      <c r="B19" s="65">
        <f t="shared" si="4"/>
        <v>42925</v>
      </c>
      <c r="C19" s="113">
        <v>0.33333333333333331</v>
      </c>
      <c r="D19" s="114">
        <v>0.5</v>
      </c>
      <c r="E19" s="114"/>
      <c r="F19" s="115"/>
      <c r="G19" s="140">
        <f t="shared" si="5"/>
        <v>0.16666666666666669</v>
      </c>
      <c r="H19" s="141"/>
      <c r="I19" s="142"/>
      <c r="J19" s="143"/>
      <c r="K19" s="143">
        <f t="shared" si="3"/>
        <v>4</v>
      </c>
      <c r="L19" s="70"/>
    </row>
    <row r="20" spans="1:19">
      <c r="A20" s="76"/>
      <c r="B20" s="77"/>
      <c r="C20" s="76"/>
      <c r="D20" s="77"/>
      <c r="E20" s="77"/>
      <c r="F20" s="90" t="s">
        <v>12</v>
      </c>
      <c r="G20" s="53">
        <f>SUM(G13:G19)</f>
        <v>2.0000000000000004</v>
      </c>
      <c r="H20" s="99">
        <f>IF(SUM(G13:G18)*24,35,(SUM(G13:G18)))</f>
        <v>35</v>
      </c>
      <c r="I20" s="99">
        <f>IF(H20=0,0,IF(J20&gt;0,8,(SUM(G13:G18))*24-35))</f>
        <v>8</v>
      </c>
      <c r="J20" s="99">
        <f>IF(SUM(G13:G18)*24&gt;43,(SUM(G13:G18)*24)-43,0)</f>
        <v>1.0000000000000071</v>
      </c>
      <c r="K20" s="149">
        <f>G19</f>
        <v>0.16666666666666669</v>
      </c>
      <c r="L20" s="38">
        <f>K20*2+J20*1.5+I20*1.25+H20</f>
        <v>46.833333333333343</v>
      </c>
      <c r="M20" s="38">
        <f>L20-35</f>
        <v>11.833333333333343</v>
      </c>
      <c r="N20" s="38"/>
      <c r="O20" s="38"/>
      <c r="P20" s="153"/>
      <c r="Q20" s="38"/>
      <c r="R20" s="131"/>
      <c r="S20" s="153"/>
    </row>
    <row r="21" spans="1:19">
      <c r="A21" s="56" t="s">
        <v>2</v>
      </c>
      <c r="B21" s="57">
        <f>B19+1</f>
        <v>42926</v>
      </c>
      <c r="C21" s="104"/>
      <c r="D21" s="105"/>
      <c r="E21" s="105"/>
      <c r="F21" s="106"/>
      <c r="G21" s="147">
        <f>(D21-C21+F21-E21)</f>
        <v>0</v>
      </c>
      <c r="H21" s="134"/>
      <c r="I21" s="135"/>
      <c r="J21" s="136"/>
      <c r="K21" s="136">
        <f t="shared" ref="K21:K27" si="6">IF(OR(IFERROR(VLOOKUP($B21,fériés,1,0),0)=$B21,WEEKDAY($B21,2)=7),$G21*24,0)+IF($F21*24&gt;20,$F21*24-20,0)</f>
        <v>0</v>
      </c>
      <c r="L21" s="61"/>
      <c r="O21" s="38"/>
    </row>
    <row r="22" spans="1:19">
      <c r="A22" s="62" t="s">
        <v>1</v>
      </c>
      <c r="B22" s="5">
        <f t="shared" si="4"/>
        <v>42927</v>
      </c>
      <c r="C22" s="107"/>
      <c r="D22" s="108"/>
      <c r="E22" s="108"/>
      <c r="F22" s="109"/>
      <c r="G22" s="133">
        <f t="shared" ref="G22:G27" si="7">(D22-C22+F22-E22)</f>
        <v>0</v>
      </c>
      <c r="H22" s="137"/>
      <c r="I22" s="138"/>
      <c r="J22" s="139"/>
      <c r="K22" s="139">
        <f t="shared" si="6"/>
        <v>0</v>
      </c>
      <c r="L22" s="63"/>
      <c r="O22" s="38"/>
    </row>
    <row r="23" spans="1:19">
      <c r="A23" s="62" t="s">
        <v>0</v>
      </c>
      <c r="B23" s="5">
        <f t="shared" si="4"/>
        <v>42928</v>
      </c>
      <c r="C23" s="107"/>
      <c r="D23" s="108"/>
      <c r="E23" s="108"/>
      <c r="F23" s="109"/>
      <c r="G23" s="133">
        <f t="shared" si="7"/>
        <v>0</v>
      </c>
      <c r="H23" s="137"/>
      <c r="I23" s="138"/>
      <c r="J23" s="139"/>
      <c r="K23" s="139">
        <f t="shared" si="6"/>
        <v>0</v>
      </c>
      <c r="L23" s="63"/>
      <c r="O23" s="38"/>
    </row>
    <row r="24" spans="1:19">
      <c r="A24" s="62" t="s">
        <v>6</v>
      </c>
      <c r="B24" s="5">
        <f t="shared" si="4"/>
        <v>42929</v>
      </c>
      <c r="C24" s="107"/>
      <c r="D24" s="108"/>
      <c r="E24" s="108"/>
      <c r="F24" s="109"/>
      <c r="G24" s="133">
        <f t="shared" si="7"/>
        <v>0</v>
      </c>
      <c r="H24" s="137"/>
      <c r="I24" s="138"/>
      <c r="J24" s="139"/>
      <c r="K24" s="139">
        <f t="shared" si="6"/>
        <v>0</v>
      </c>
      <c r="L24" s="63"/>
      <c r="O24" s="38"/>
    </row>
    <row r="25" spans="1:19">
      <c r="A25" s="62" t="s">
        <v>5</v>
      </c>
      <c r="B25" s="5">
        <f t="shared" si="4"/>
        <v>42930</v>
      </c>
      <c r="C25" s="107"/>
      <c r="D25" s="108"/>
      <c r="E25" s="108"/>
      <c r="F25" s="109"/>
      <c r="G25" s="133">
        <f t="shared" si="7"/>
        <v>0</v>
      </c>
      <c r="H25" s="137"/>
      <c r="I25" s="138"/>
      <c r="J25" s="139"/>
      <c r="K25" s="139">
        <f t="shared" si="6"/>
        <v>0</v>
      </c>
      <c r="L25" s="63"/>
      <c r="O25" s="38"/>
    </row>
    <row r="26" spans="1:19">
      <c r="A26" s="62" t="s">
        <v>4</v>
      </c>
      <c r="B26" s="5">
        <f t="shared" si="4"/>
        <v>42931</v>
      </c>
      <c r="C26" s="110"/>
      <c r="D26" s="111"/>
      <c r="E26" s="111"/>
      <c r="F26" s="112"/>
      <c r="G26" s="133">
        <f t="shared" si="7"/>
        <v>0</v>
      </c>
      <c r="H26" s="137"/>
      <c r="I26" s="138"/>
      <c r="J26" s="139"/>
      <c r="K26" s="139">
        <f t="shared" si="6"/>
        <v>0</v>
      </c>
      <c r="L26" s="63"/>
      <c r="O26" s="38"/>
    </row>
    <row r="27" spans="1:19">
      <c r="A27" s="64" t="s">
        <v>3</v>
      </c>
      <c r="B27" s="65">
        <f t="shared" si="4"/>
        <v>42932</v>
      </c>
      <c r="C27" s="113">
        <v>0.33333333333333331</v>
      </c>
      <c r="D27" s="114">
        <v>0.5</v>
      </c>
      <c r="E27" s="114"/>
      <c r="F27" s="115"/>
      <c r="G27" s="140">
        <f t="shared" si="7"/>
        <v>0.16666666666666669</v>
      </c>
      <c r="H27" s="141"/>
      <c r="I27" s="142"/>
      <c r="J27" s="143"/>
      <c r="K27" s="143">
        <f t="shared" si="6"/>
        <v>4</v>
      </c>
      <c r="L27" s="70"/>
    </row>
    <row r="28" spans="1:19">
      <c r="A28" s="71"/>
      <c r="B28" s="72"/>
      <c r="C28" s="91"/>
      <c r="D28" s="73"/>
      <c r="E28" s="73"/>
      <c r="F28" s="92" t="s">
        <v>12</v>
      </c>
      <c r="G28" s="53">
        <f>SUM(G21:G27)</f>
        <v>0.16666666666666669</v>
      </c>
      <c r="H28" s="99">
        <f>IF(SUM(G21:G26)*24,35,(SUM(G21:G26)))</f>
        <v>0</v>
      </c>
      <c r="I28" s="99">
        <f>IF(H28=0,0,IF(J28&gt;0,8,(SUM(G21:G26))*24-35))</f>
        <v>0</v>
      </c>
      <c r="J28" s="99">
        <f>IF(SUM(G21:G26)*24&gt;43,(SUM(G21:G26)*24)-43,0)</f>
        <v>0</v>
      </c>
      <c r="K28" s="149">
        <f>G27</f>
        <v>0.16666666666666669</v>
      </c>
      <c r="L28" s="132">
        <f>K28*2+J28*1.5+I28*1.25+H28</f>
        <v>0.33333333333333337</v>
      </c>
      <c r="M28" s="38">
        <f>L28-35</f>
        <v>-34.666666666666664</v>
      </c>
      <c r="N28" s="38"/>
      <c r="O28" s="38"/>
    </row>
    <row r="29" spans="1:19">
      <c r="A29" s="56" t="s">
        <v>2</v>
      </c>
      <c r="B29" s="57">
        <f>B27+1</f>
        <v>42933</v>
      </c>
      <c r="C29" s="116">
        <v>0.29166666666666669</v>
      </c>
      <c r="D29" s="117">
        <v>0.58333333333333337</v>
      </c>
      <c r="E29" s="117"/>
      <c r="F29" s="118"/>
      <c r="G29" s="147">
        <f>(D29-C29+F29-E29)</f>
        <v>0.29166666666666669</v>
      </c>
      <c r="H29" s="134"/>
      <c r="I29" s="135"/>
      <c r="J29" s="136"/>
      <c r="K29" s="136">
        <f t="shared" ref="K29:K35" si="8">IF(OR(IFERROR(VLOOKUP($B29,fériés,1,0),0)=$B29,WEEKDAY($B29,2)=7),$G29*24,0)+IF($F29*24&gt;20,$F29*24-20,0)</f>
        <v>0</v>
      </c>
      <c r="L29" s="61"/>
      <c r="O29" s="38"/>
    </row>
    <row r="30" spans="1:19">
      <c r="A30" s="62" t="s">
        <v>1</v>
      </c>
      <c r="B30" s="5">
        <f t="shared" si="4"/>
        <v>42934</v>
      </c>
      <c r="C30" s="110">
        <v>0.29166666666666669</v>
      </c>
      <c r="D30" s="111">
        <v>0.58333333333333337</v>
      </c>
      <c r="E30" s="111"/>
      <c r="F30" s="112"/>
      <c r="G30" s="133">
        <f t="shared" ref="G30:G35" si="9">(D30-C30+F30-E30)</f>
        <v>0.29166666666666669</v>
      </c>
      <c r="H30" s="137"/>
      <c r="I30" s="138"/>
      <c r="J30" s="139"/>
      <c r="K30" s="139">
        <f t="shared" si="8"/>
        <v>0</v>
      </c>
      <c r="L30" s="63"/>
      <c r="O30" s="38"/>
    </row>
    <row r="31" spans="1:19">
      <c r="A31" s="62" t="s">
        <v>0</v>
      </c>
      <c r="B31" s="5">
        <f t="shared" si="4"/>
        <v>42935</v>
      </c>
      <c r="C31" s="110">
        <v>0.29166666666666669</v>
      </c>
      <c r="D31" s="111">
        <v>0.58333333333333337</v>
      </c>
      <c r="E31" s="111"/>
      <c r="F31" s="112"/>
      <c r="G31" s="133">
        <f t="shared" si="9"/>
        <v>0.29166666666666669</v>
      </c>
      <c r="H31" s="137"/>
      <c r="I31" s="138"/>
      <c r="J31" s="139"/>
      <c r="K31" s="139">
        <f t="shared" si="8"/>
        <v>0</v>
      </c>
      <c r="L31" s="63"/>
      <c r="O31" s="38"/>
    </row>
    <row r="32" spans="1:19">
      <c r="A32" s="62" t="s">
        <v>6</v>
      </c>
      <c r="B32" s="5">
        <f t="shared" si="4"/>
        <v>42936</v>
      </c>
      <c r="C32" s="110">
        <v>0.29166666666666669</v>
      </c>
      <c r="D32" s="111">
        <v>0.75</v>
      </c>
      <c r="E32" s="111"/>
      <c r="F32" s="112"/>
      <c r="G32" s="133">
        <f t="shared" si="9"/>
        <v>0.45833333333333331</v>
      </c>
      <c r="H32" s="137"/>
      <c r="I32" s="138"/>
      <c r="J32" s="139"/>
      <c r="K32" s="139">
        <f t="shared" si="8"/>
        <v>0</v>
      </c>
      <c r="L32" s="63"/>
      <c r="O32" s="38"/>
    </row>
    <row r="33" spans="1:15">
      <c r="A33" s="62" t="s">
        <v>5</v>
      </c>
      <c r="B33" s="5">
        <f t="shared" si="4"/>
        <v>42937</v>
      </c>
      <c r="C33" s="110">
        <v>0.29166666666666669</v>
      </c>
      <c r="D33" s="111">
        <v>0.58333333333333337</v>
      </c>
      <c r="E33" s="111"/>
      <c r="F33" s="112"/>
      <c r="G33" s="133">
        <f t="shared" si="9"/>
        <v>0.29166666666666669</v>
      </c>
      <c r="H33" s="137"/>
      <c r="I33" s="138"/>
      <c r="J33" s="139"/>
      <c r="K33" s="139">
        <f t="shared" si="8"/>
        <v>0</v>
      </c>
      <c r="L33" s="63"/>
      <c r="O33" s="38"/>
    </row>
    <row r="34" spans="1:15">
      <c r="A34" s="62" t="s">
        <v>4</v>
      </c>
      <c r="B34" s="5">
        <f t="shared" si="4"/>
        <v>42938</v>
      </c>
      <c r="C34" s="110"/>
      <c r="D34" s="111"/>
      <c r="E34" s="111"/>
      <c r="F34" s="112"/>
      <c r="G34" s="133">
        <f t="shared" si="9"/>
        <v>0</v>
      </c>
      <c r="H34" s="137"/>
      <c r="I34" s="138"/>
      <c r="J34" s="139"/>
      <c r="K34" s="139">
        <f t="shared" si="8"/>
        <v>0</v>
      </c>
      <c r="L34" s="63"/>
      <c r="O34" s="38"/>
    </row>
    <row r="35" spans="1:15">
      <c r="A35" s="64" t="s">
        <v>3</v>
      </c>
      <c r="B35" s="65">
        <f t="shared" si="4"/>
        <v>42939</v>
      </c>
      <c r="C35" s="113">
        <v>0.33333333333333331</v>
      </c>
      <c r="D35" s="114">
        <v>0.5</v>
      </c>
      <c r="E35" s="114"/>
      <c r="F35" s="115"/>
      <c r="G35" s="140">
        <f t="shared" si="9"/>
        <v>0.16666666666666669</v>
      </c>
      <c r="H35" s="141"/>
      <c r="I35" s="142"/>
      <c r="J35" s="143"/>
      <c r="K35" s="143">
        <f t="shared" si="8"/>
        <v>4</v>
      </c>
      <c r="L35" s="70"/>
    </row>
    <row r="36" spans="1:15">
      <c r="A36" s="71"/>
      <c r="B36" s="72"/>
      <c r="C36" s="91"/>
      <c r="D36" s="73"/>
      <c r="E36" s="73"/>
      <c r="F36" s="92" t="s">
        <v>12</v>
      </c>
      <c r="G36" s="53">
        <f>SUM(G29:G35)</f>
        <v>1.7916666666666667</v>
      </c>
      <c r="H36" s="99">
        <f>IF(SUM(G29:G34)*24,35,(SUM(G29:G34)))</f>
        <v>35</v>
      </c>
      <c r="I36" s="99">
        <f>IF(H36=0,0,IF(J36&gt;0,8,(SUM(G29:G34))*24-35))</f>
        <v>4</v>
      </c>
      <c r="J36" s="99">
        <f>IF(SUM(G29:G34)*24&gt;43,(SUM(G29:G34)*24)-43,0)</f>
        <v>0</v>
      </c>
      <c r="K36" s="149">
        <f>G35</f>
        <v>0.16666666666666669</v>
      </c>
      <c r="L36" s="38">
        <f>K36*2+J36*1.5+I36*1.25+H36*1</f>
        <v>40.333333333333336</v>
      </c>
      <c r="M36" s="38">
        <f>L36-35</f>
        <v>5.3333333333333357</v>
      </c>
      <c r="N36" s="38"/>
      <c r="O36" s="38"/>
    </row>
    <row r="37" spans="1:15">
      <c r="A37" s="56" t="s">
        <v>2</v>
      </c>
      <c r="B37" s="57">
        <f>B35+1</f>
        <v>42940</v>
      </c>
      <c r="C37" s="116"/>
      <c r="D37" s="117"/>
      <c r="E37" s="117"/>
      <c r="F37" s="118"/>
      <c r="G37" s="147">
        <f>(D37-C37+F37-E37)</f>
        <v>0</v>
      </c>
      <c r="H37" s="134"/>
      <c r="I37" s="135"/>
      <c r="J37" s="136"/>
      <c r="K37" s="136">
        <f t="shared" ref="K37:K43" si="10">IF(OR(IFERROR(VLOOKUP($B37,fériés,1,0),0)=$B37,WEEKDAY($B37,2)=7),$G37*24,0)+IF($F37*24&gt;20,$F37*24-20,0)</f>
        <v>0</v>
      </c>
      <c r="L37" s="61"/>
      <c r="O37" s="38"/>
    </row>
    <row r="38" spans="1:15">
      <c r="A38" s="62" t="s">
        <v>1</v>
      </c>
      <c r="B38" s="5">
        <f t="shared" si="4"/>
        <v>42941</v>
      </c>
      <c r="C38" s="110"/>
      <c r="D38" s="111"/>
      <c r="E38" s="111"/>
      <c r="F38" s="112"/>
      <c r="G38" s="133">
        <f t="shared" ref="G38:G43" si="11">(D38-C38+F38-E38)</f>
        <v>0</v>
      </c>
      <c r="H38" s="137"/>
      <c r="I38" s="138"/>
      <c r="J38" s="139"/>
      <c r="K38" s="139">
        <f t="shared" si="10"/>
        <v>0</v>
      </c>
      <c r="L38" s="63"/>
      <c r="O38" s="38"/>
    </row>
    <row r="39" spans="1:15">
      <c r="A39" s="62" t="s">
        <v>0</v>
      </c>
      <c r="B39" s="5">
        <f t="shared" si="4"/>
        <v>42942</v>
      </c>
      <c r="C39" s="110"/>
      <c r="D39" s="111"/>
      <c r="E39" s="111"/>
      <c r="F39" s="112"/>
      <c r="G39" s="133">
        <f t="shared" si="11"/>
        <v>0</v>
      </c>
      <c r="H39" s="137"/>
      <c r="I39" s="138"/>
      <c r="J39" s="139"/>
      <c r="K39" s="139">
        <f t="shared" si="10"/>
        <v>0</v>
      </c>
      <c r="L39" s="63"/>
      <c r="O39" s="38"/>
    </row>
    <row r="40" spans="1:15" ht="15" customHeight="1">
      <c r="A40" s="62" t="s">
        <v>6</v>
      </c>
      <c r="B40" s="5">
        <f t="shared" si="4"/>
        <v>42943</v>
      </c>
      <c r="C40" s="110"/>
      <c r="D40" s="111"/>
      <c r="E40" s="111"/>
      <c r="F40" s="112"/>
      <c r="G40" s="133">
        <f t="shared" si="11"/>
        <v>0</v>
      </c>
      <c r="H40" s="137"/>
      <c r="I40" s="138"/>
      <c r="J40" s="139"/>
      <c r="K40" s="139">
        <f t="shared" si="10"/>
        <v>0</v>
      </c>
      <c r="L40" s="63"/>
      <c r="O40" s="38"/>
    </row>
    <row r="41" spans="1:15" ht="15" customHeight="1">
      <c r="A41" s="62" t="s">
        <v>5</v>
      </c>
      <c r="B41" s="5">
        <f t="shared" si="4"/>
        <v>42944</v>
      </c>
      <c r="C41" s="110"/>
      <c r="D41" s="111"/>
      <c r="E41" s="111"/>
      <c r="F41" s="112"/>
      <c r="G41" s="133">
        <f t="shared" si="11"/>
        <v>0</v>
      </c>
      <c r="H41" s="137"/>
      <c r="I41" s="138"/>
      <c r="J41" s="139"/>
      <c r="K41" s="139">
        <f t="shared" si="10"/>
        <v>0</v>
      </c>
      <c r="L41" s="63"/>
      <c r="O41" s="38"/>
    </row>
    <row r="42" spans="1:15">
      <c r="A42" s="62" t="s">
        <v>4</v>
      </c>
      <c r="B42" s="5">
        <f t="shared" si="4"/>
        <v>42945</v>
      </c>
      <c r="C42" s="110"/>
      <c r="D42" s="111"/>
      <c r="E42" s="111"/>
      <c r="F42" s="112"/>
      <c r="G42" s="133">
        <f t="shared" si="11"/>
        <v>0</v>
      </c>
      <c r="H42" s="137"/>
      <c r="I42" s="138"/>
      <c r="J42" s="139"/>
      <c r="K42" s="139">
        <f t="shared" si="10"/>
        <v>0</v>
      </c>
      <c r="L42" s="63"/>
      <c r="O42" s="38"/>
    </row>
    <row r="43" spans="1:15">
      <c r="A43" s="64" t="s">
        <v>3</v>
      </c>
      <c r="B43" s="65">
        <f t="shared" si="4"/>
        <v>42946</v>
      </c>
      <c r="C43" s="113">
        <v>0.33333333333333331</v>
      </c>
      <c r="D43" s="114">
        <v>0.5</v>
      </c>
      <c r="E43" s="114"/>
      <c r="F43" s="115"/>
      <c r="G43" s="140">
        <f t="shared" si="11"/>
        <v>0.16666666666666669</v>
      </c>
      <c r="H43" s="141"/>
      <c r="I43" s="142"/>
      <c r="J43" s="143"/>
      <c r="K43" s="143">
        <f t="shared" si="10"/>
        <v>4</v>
      </c>
      <c r="L43" s="70"/>
    </row>
    <row r="44" spans="1:15" ht="15.75">
      <c r="A44" s="50"/>
      <c r="B44" s="51"/>
      <c r="C44" s="51"/>
      <c r="D44" s="51"/>
      <c r="E44" s="51"/>
      <c r="F44" s="52" t="s">
        <v>12</v>
      </c>
      <c r="G44" s="144">
        <f>SUM(G37:G43)</f>
        <v>0.16666666666666669</v>
      </c>
      <c r="H44" s="145">
        <f>IF(G44*24&gt;$O$1,35,G44*24)</f>
        <v>35</v>
      </c>
      <c r="I44" s="146">
        <f>IF(OR(H44=0,H44&lt;$O$1),0,IF((G44*24-$O$1)&gt;8,8,G44*24-$O$1))</f>
        <v>4</v>
      </c>
      <c r="J44" s="146">
        <f>IF(OR(G44=0,G44*24&lt;$O$2),0,IF((G44*24-$O$2)&gt;$O$2,0,G44*24-$O$2-K44))</f>
        <v>0</v>
      </c>
      <c r="K44" s="146">
        <f>SUM(K37:K43)</f>
        <v>4</v>
      </c>
      <c r="L44" s="55">
        <f>K44+J44+I44+H44</f>
        <v>43</v>
      </c>
      <c r="M44" s="38">
        <f>L44-35</f>
        <v>8</v>
      </c>
      <c r="N44" s="38"/>
      <c r="O44" s="38"/>
    </row>
    <row r="45" spans="1:15" ht="18.75">
      <c r="A45" s="39"/>
      <c r="B45" s="40"/>
      <c r="C45" s="40"/>
      <c r="D45" s="40"/>
      <c r="E45" s="40"/>
      <c r="F45" s="41" t="s">
        <v>13</v>
      </c>
      <c r="G45" s="150">
        <f>G12+G20+G28+G36+G44</f>
        <v>4.291666666666667</v>
      </c>
      <c r="H45" s="151">
        <f>H12+H20+H28+H36+H44</f>
        <v>105</v>
      </c>
      <c r="I45" s="152">
        <f>I12+I20+I28+I36+I44</f>
        <v>16</v>
      </c>
      <c r="J45" s="152">
        <f>J12+J20+J28+J36+J44</f>
        <v>1.0000000000000071</v>
      </c>
      <c r="K45" s="152">
        <f>K12+K20+K28+K36+K44</f>
        <v>4.666666666666667</v>
      </c>
      <c r="L45" s="48">
        <f>L44+L36+L28+L20+L12</f>
        <v>130.83333333333334</v>
      </c>
      <c r="M45" s="37"/>
    </row>
    <row r="46" spans="1:15">
      <c r="H46" s="1"/>
      <c r="I46" s="6"/>
      <c r="M46" s="38">
        <f>M36+M28+M20+M12+M44</f>
        <v>-44.16666666666665</v>
      </c>
    </row>
    <row r="47" spans="1:15" ht="18.75">
      <c r="B47" s="4"/>
      <c r="D47" s="7"/>
      <c r="H47" s="7"/>
      <c r="I47" s="6"/>
    </row>
    <row r="48" spans="1:15" ht="18.75">
      <c r="A48" s="4"/>
      <c r="B48" s="102"/>
      <c r="C48" s="7"/>
      <c r="D48" s="7"/>
      <c r="E48" s="7"/>
      <c r="F48" s="7"/>
      <c r="G48" s="7"/>
      <c r="H48" s="7"/>
      <c r="I48" s="6"/>
      <c r="L48">
        <v>11</v>
      </c>
    </row>
    <row r="49" spans="1:9" ht="18" customHeight="1">
      <c r="A49" s="2"/>
      <c r="B49" s="2"/>
      <c r="C49" s="2"/>
      <c r="D49" s="3"/>
      <c r="H49" s="1"/>
      <c r="I49" s="6"/>
    </row>
    <row r="50" spans="1:9" ht="21" customHeight="1">
      <c r="A50" s="2"/>
      <c r="B50" s="2"/>
      <c r="C50" s="2"/>
      <c r="D50" s="1"/>
      <c r="E50" s="1"/>
      <c r="H50" s="1"/>
      <c r="I50" s="6"/>
    </row>
  </sheetData>
  <mergeCells count="2">
    <mergeCell ref="A1:B1"/>
    <mergeCell ref="C1:G1"/>
  </mergeCells>
  <conditionalFormatting sqref="C12:E12">
    <cfRule type="expression" dxfId="3" priority="3">
      <formula>AND(ISBLANK($C12),NOT(ISBLANK($B12)))</formula>
    </cfRule>
  </conditionalFormatting>
  <conditionalFormatting sqref="F44">
    <cfRule type="expression" dxfId="2" priority="2">
      <formula>AND(ISBLANK($C44),NOT(ISBLANK($B44)))</formula>
    </cfRule>
  </conditionalFormatting>
  <conditionalFormatting sqref="F36 F28 F20 F12">
    <cfRule type="expression" dxfId="1" priority="1">
      <formula>AND(ISBLANK($C12),NOT(ISBLANK($B12)))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42"/>
  <sheetViews>
    <sheetView workbookViewId="0">
      <selection sqref="A1:XFD1048576"/>
    </sheetView>
  </sheetViews>
  <sheetFormatPr baseColWidth="10" defaultRowHeight="15"/>
  <cols>
    <col min="1" max="2" width="11.42578125" style="9"/>
    <col min="3" max="3" width="17.85546875" style="9" bestFit="1" customWidth="1"/>
    <col min="4" max="6" width="11.42578125" style="9"/>
    <col min="7" max="7" width="17" style="9" customWidth="1"/>
    <col min="8" max="16384" width="11.42578125" style="9"/>
  </cols>
  <sheetData>
    <row r="1" spans="1:7" ht="45.75" customHeight="1"/>
    <row r="2" spans="1:7" ht="15.75">
      <c r="A2" s="10"/>
      <c r="B2" s="11" t="s">
        <v>14</v>
      </c>
      <c r="D2" s="12">
        <v>2017</v>
      </c>
      <c r="E2" s="13" t="s">
        <v>15</v>
      </c>
      <c r="F2" s="14"/>
      <c r="G2" s="14"/>
    </row>
    <row r="3" spans="1:7">
      <c r="D3" s="15">
        <f>$D$2+1</f>
        <v>2018</v>
      </c>
      <c r="E3" s="16"/>
    </row>
    <row r="4" spans="1:7">
      <c r="A4" s="17"/>
      <c r="B4" s="10"/>
      <c r="C4" s="18" t="s">
        <v>16</v>
      </c>
      <c r="D4" s="19" t="str">
        <f>"01/01/"&amp;($D$2)</f>
        <v>01/01/2017</v>
      </c>
      <c r="E4" s="20">
        <f>VALUE(D4)</f>
        <v>42736</v>
      </c>
      <c r="F4" s="16"/>
    </row>
    <row r="5" spans="1:7">
      <c r="A5" s="10"/>
      <c r="B5" s="10"/>
      <c r="C5" s="21" t="s">
        <v>17</v>
      </c>
      <c r="D5" s="19">
        <f>IF(MOD(19*MOD(AN,19)+24,30)+MOD(2*MOD(AN,4)+4*MOD(AN,7)+6*MOD(19*MOD(AN,19)+24,30)+5,7)-9&lt;=0,DATE(AN,3,22+MOD(19*MOD(AN,19)+24,30)+MOD(2*MOD(AN,4)+4*MOD(AN,7)+6*MOD(19*MOD(AN,19)+24,30)+5,7)),DATE(AN,4,MOD(19*MOD(AN,19)+24,30)+MOD(2*MOD(AN,4)+4*MOD(AN,7)+6*MOD(19*MOD(AN,19)+24,30)+5,7)-9))</f>
        <v>42841</v>
      </c>
      <c r="E5" s="22">
        <f>D5</f>
        <v>42841</v>
      </c>
      <c r="F5" s="16"/>
    </row>
    <row r="6" spans="1:7">
      <c r="A6" s="10"/>
      <c r="B6" s="23"/>
      <c r="C6" s="21" t="s">
        <v>18</v>
      </c>
      <c r="D6" s="19">
        <f>+$D$5+1</f>
        <v>42842</v>
      </c>
      <c r="E6" s="22">
        <f>D6</f>
        <v>42842</v>
      </c>
      <c r="F6" s="16"/>
    </row>
    <row r="7" spans="1:7">
      <c r="A7" s="10"/>
      <c r="B7" s="24"/>
      <c r="C7" s="18" t="s">
        <v>19</v>
      </c>
      <c r="D7" s="19" t="str">
        <f>"01/05/"&amp;($D$2)</f>
        <v>01/05/2017</v>
      </c>
      <c r="E7" s="22">
        <f>VALUE(D7)</f>
        <v>42856</v>
      </c>
      <c r="F7" s="16"/>
    </row>
    <row r="8" spans="1:7">
      <c r="A8" s="17"/>
      <c r="B8" s="23"/>
      <c r="C8" s="25" t="s">
        <v>20</v>
      </c>
      <c r="D8" s="19" t="str">
        <f>"08/05/"&amp;($D$2)</f>
        <v>08/05/2017</v>
      </c>
      <c r="E8" s="22">
        <f>VALUE(D8)</f>
        <v>42863</v>
      </c>
      <c r="F8" s="16"/>
    </row>
    <row r="9" spans="1:7">
      <c r="A9" s="26"/>
      <c r="B9" s="23"/>
      <c r="C9" s="21" t="s">
        <v>21</v>
      </c>
      <c r="D9" s="19">
        <f>$D$5+39</f>
        <v>42880</v>
      </c>
      <c r="E9" s="22">
        <f>D9</f>
        <v>42880</v>
      </c>
      <c r="F9" s="16"/>
    </row>
    <row r="10" spans="1:7">
      <c r="A10" s="10"/>
      <c r="B10" s="24"/>
      <c r="C10" s="21" t="s">
        <v>22</v>
      </c>
      <c r="D10" s="19">
        <f>$D$5+49</f>
        <v>42890</v>
      </c>
      <c r="E10" s="22">
        <f>D10</f>
        <v>42890</v>
      </c>
      <c r="F10" s="16"/>
    </row>
    <row r="11" spans="1:7">
      <c r="A11" s="17"/>
      <c r="B11" s="23"/>
      <c r="C11" s="27" t="s">
        <v>23</v>
      </c>
      <c r="D11" s="19">
        <f>$D$5+50</f>
        <v>42891</v>
      </c>
      <c r="E11" s="28">
        <f>D11</f>
        <v>42891</v>
      </c>
      <c r="F11" s="16"/>
    </row>
    <row r="12" spans="1:7">
      <c r="A12" s="10"/>
      <c r="B12" s="10"/>
      <c r="C12" s="18" t="s">
        <v>24</v>
      </c>
      <c r="D12" s="19" t="str">
        <f>"14/07/"&amp;($D$2)</f>
        <v>14/07/2017</v>
      </c>
      <c r="E12" s="22">
        <f>VALUE(D12)</f>
        <v>42930</v>
      </c>
      <c r="F12" s="16"/>
      <c r="G12" s="29" t="s">
        <v>25</v>
      </c>
    </row>
    <row r="13" spans="1:7">
      <c r="A13" s="10"/>
      <c r="B13" s="30"/>
      <c r="C13" s="18" t="s">
        <v>26</v>
      </c>
      <c r="D13" s="19" t="str">
        <f>"15/08/"&amp;($D$2)</f>
        <v>15/08/2017</v>
      </c>
      <c r="E13" s="22">
        <f>VALUE(D13)</f>
        <v>42962</v>
      </c>
      <c r="F13" s="16"/>
    </row>
    <row r="14" spans="1:7">
      <c r="A14" s="10"/>
      <c r="B14" s="30"/>
      <c r="C14" s="18" t="s">
        <v>27</v>
      </c>
      <c r="D14" s="19" t="str">
        <f>"01/11/"&amp;($D$2)</f>
        <v>01/11/2017</v>
      </c>
      <c r="E14" s="22">
        <f>VALUE(D14)</f>
        <v>43040</v>
      </c>
      <c r="F14" s="16"/>
    </row>
    <row r="15" spans="1:7">
      <c r="A15" s="10"/>
      <c r="B15" s="30"/>
      <c r="C15" s="18"/>
      <c r="D15" s="19"/>
      <c r="E15" s="22"/>
      <c r="F15" s="16"/>
    </row>
    <row r="16" spans="1:7">
      <c r="A16" s="10"/>
      <c r="B16" s="30"/>
      <c r="C16" s="18" t="s">
        <v>28</v>
      </c>
      <c r="D16" s="19" t="str">
        <f>"11/11/"&amp;($D$2)</f>
        <v>11/11/2017</v>
      </c>
      <c r="E16" s="22">
        <f>VALUE(D16)</f>
        <v>43050</v>
      </c>
      <c r="F16" s="16"/>
    </row>
    <row r="17" spans="1:6">
      <c r="A17" s="10"/>
      <c r="B17" s="30"/>
      <c r="C17" s="21" t="s">
        <v>29</v>
      </c>
      <c r="D17" s="19" t="str">
        <f>"25/12/"&amp;($D$2)</f>
        <v>25/12/2017</v>
      </c>
      <c r="E17" s="22">
        <f>VALUE(D17)</f>
        <v>43094</v>
      </c>
      <c r="F17" s="16"/>
    </row>
    <row r="18" spans="1:6">
      <c r="A18" s="10"/>
      <c r="B18" s="30"/>
      <c r="C18" s="31" t="s">
        <v>30</v>
      </c>
      <c r="D18" s="32"/>
      <c r="E18" s="32"/>
      <c r="F18" s="16"/>
    </row>
    <row r="19" spans="1:6">
      <c r="A19" s="10"/>
      <c r="B19" s="30"/>
      <c r="C19" s="31" t="s">
        <v>30</v>
      </c>
      <c r="D19" s="32"/>
      <c r="E19" s="32"/>
      <c r="F19" s="16"/>
    </row>
    <row r="20" spans="1:6">
      <c r="A20" s="10"/>
      <c r="B20" s="30"/>
      <c r="C20" s="31" t="s">
        <v>30</v>
      </c>
      <c r="D20" s="32"/>
      <c r="E20" s="32"/>
      <c r="F20" s="16"/>
    </row>
    <row r="21" spans="1:6">
      <c r="A21" s="10"/>
      <c r="B21" s="10"/>
      <c r="C21" s="31" t="s">
        <v>30</v>
      </c>
      <c r="D21" s="32"/>
      <c r="E21" s="32"/>
      <c r="F21" s="16"/>
    </row>
    <row r="22" spans="1:6">
      <c r="A22" s="10"/>
      <c r="B22" s="17"/>
      <c r="C22" s="31" t="s">
        <v>30</v>
      </c>
      <c r="D22" s="32"/>
      <c r="E22" s="32"/>
      <c r="F22" s="16"/>
    </row>
    <row r="23" spans="1:6">
      <c r="C23" s="31" t="s">
        <v>30</v>
      </c>
      <c r="D23" s="32"/>
      <c r="E23" s="32"/>
      <c r="F23" s="16"/>
    </row>
    <row r="24" spans="1:6">
      <c r="C24" s="33" t="s">
        <v>16</v>
      </c>
      <c r="D24" s="34" t="str">
        <f>"01/01/"&amp;($D$3)</f>
        <v>01/01/2018</v>
      </c>
      <c r="E24" s="20">
        <f t="shared" ref="E24:E36" si="0">VALUE(D24)</f>
        <v>43101</v>
      </c>
      <c r="F24" s="16"/>
    </row>
    <row r="25" spans="1:6">
      <c r="C25" s="35" t="s">
        <v>17</v>
      </c>
      <c r="D25" s="34">
        <f>IF(MOD(19*MOD(AN_1,19)+24,30)+MOD(2*MOD(AN_1,4)+4*MOD(AN_1,7)+6*MOD(19*MOD(AN_1,19)+24,30)+5,7)-9&lt;=0,DATE(AN_1,3,22+MOD(19*MOD(AN_1,19)+24,30)+MOD(2*MOD(AN_1,4)+4*MOD(AN_1,7)+6*MOD(19*MOD(AN_1,19)+24,30)+5,7)),DATE(AN_1,4,MOD(19*MOD(AN_1,19)+24,30)+MOD(2*MOD(AN_1,4)+4*MOD(AN_1,7)+6*MOD(19*MOD(AN_1,19)+24,30)+5,7)-9))</f>
        <v>43191</v>
      </c>
      <c r="E25" s="20">
        <f t="shared" si="0"/>
        <v>43191</v>
      </c>
      <c r="F25" s="16"/>
    </row>
    <row r="26" spans="1:6">
      <c r="C26" s="35" t="s">
        <v>18</v>
      </c>
      <c r="D26" s="34">
        <f>D25+1</f>
        <v>43192</v>
      </c>
      <c r="E26" s="20">
        <f t="shared" si="0"/>
        <v>43192</v>
      </c>
      <c r="F26" s="16"/>
    </row>
    <row r="27" spans="1:6">
      <c r="C27" s="33" t="s">
        <v>19</v>
      </c>
      <c r="D27" s="34" t="str">
        <f>"01/05/"&amp;($D$3)</f>
        <v>01/05/2018</v>
      </c>
      <c r="E27" s="20">
        <f t="shared" si="0"/>
        <v>43221</v>
      </c>
      <c r="F27" s="16"/>
    </row>
    <row r="28" spans="1:6">
      <c r="C28" s="36" t="s">
        <v>20</v>
      </c>
      <c r="D28" s="34" t="str">
        <f>"08/05/"&amp;($D$3)</f>
        <v>08/05/2018</v>
      </c>
      <c r="E28" s="20">
        <f t="shared" si="0"/>
        <v>43228</v>
      </c>
      <c r="F28" s="16"/>
    </row>
    <row r="29" spans="1:6">
      <c r="C29" s="35" t="s">
        <v>21</v>
      </c>
      <c r="D29" s="34">
        <f>D25+39</f>
        <v>43230</v>
      </c>
      <c r="E29" s="20">
        <f t="shared" si="0"/>
        <v>43230</v>
      </c>
      <c r="F29" s="16"/>
    </row>
    <row r="30" spans="1:6">
      <c r="C30" s="35" t="s">
        <v>22</v>
      </c>
      <c r="D30" s="34">
        <f>D25+49</f>
        <v>43240</v>
      </c>
      <c r="E30" s="28">
        <f t="shared" si="0"/>
        <v>43240</v>
      </c>
      <c r="F30" s="16"/>
    </row>
    <row r="31" spans="1:6">
      <c r="C31" s="35" t="s">
        <v>23</v>
      </c>
      <c r="D31" s="34">
        <f>D30+1</f>
        <v>43241</v>
      </c>
      <c r="E31" s="20">
        <f t="shared" si="0"/>
        <v>43241</v>
      </c>
    </row>
    <row r="32" spans="1:6">
      <c r="C32" s="33" t="s">
        <v>24</v>
      </c>
      <c r="D32" s="34" t="str">
        <f>"14/07/"&amp;($D$3)</f>
        <v>14/07/2018</v>
      </c>
      <c r="E32" s="20">
        <f t="shared" si="0"/>
        <v>43295</v>
      </c>
    </row>
    <row r="33" spans="3:5">
      <c r="C33" s="33" t="s">
        <v>26</v>
      </c>
      <c r="D33" s="34" t="str">
        <f>"15/08/"&amp;($D$3)</f>
        <v>15/08/2018</v>
      </c>
      <c r="E33" s="20">
        <f t="shared" si="0"/>
        <v>43327</v>
      </c>
    </row>
    <row r="34" spans="3:5">
      <c r="C34" s="33" t="s">
        <v>27</v>
      </c>
      <c r="D34" s="34" t="str">
        <f>"01/11/"&amp;($D$3)</f>
        <v>01/11/2018</v>
      </c>
      <c r="E34" s="20">
        <f t="shared" si="0"/>
        <v>43405</v>
      </c>
    </row>
    <row r="35" spans="3:5">
      <c r="C35" s="33" t="s">
        <v>28</v>
      </c>
      <c r="D35" s="34" t="str">
        <f>"11/11/"&amp;($D$3)</f>
        <v>11/11/2018</v>
      </c>
      <c r="E35" s="20">
        <f t="shared" si="0"/>
        <v>43415</v>
      </c>
    </row>
    <row r="36" spans="3:5">
      <c r="C36" s="35" t="s">
        <v>29</v>
      </c>
      <c r="D36" s="34" t="str">
        <f>"25/12/"&amp;($D$3)</f>
        <v>25/12/2018</v>
      </c>
      <c r="E36" s="20">
        <f t="shared" si="0"/>
        <v>43459</v>
      </c>
    </row>
    <row r="37" spans="3:5">
      <c r="C37" s="31" t="s">
        <v>30</v>
      </c>
      <c r="D37" s="32"/>
      <c r="E37" s="32"/>
    </row>
    <row r="38" spans="3:5">
      <c r="C38" s="31" t="s">
        <v>30</v>
      </c>
      <c r="D38" s="32"/>
      <c r="E38" s="32"/>
    </row>
    <row r="39" spans="3:5">
      <c r="C39" s="31" t="s">
        <v>30</v>
      </c>
      <c r="D39" s="32"/>
      <c r="E39" s="32"/>
    </row>
    <row r="40" spans="3:5">
      <c r="C40" s="31" t="s">
        <v>30</v>
      </c>
      <c r="D40" s="32"/>
      <c r="E40" s="32"/>
    </row>
    <row r="41" spans="3:5">
      <c r="C41" s="31" t="s">
        <v>30</v>
      </c>
      <c r="D41" s="32"/>
      <c r="E41" s="32"/>
    </row>
    <row r="42" spans="3:5">
      <c r="C42" s="31" t="s">
        <v>30</v>
      </c>
      <c r="D42" s="32"/>
      <c r="E42" s="32"/>
    </row>
  </sheetData>
  <conditionalFormatting sqref="D2">
    <cfRule type="expression" priority="1">
      <formula>"si(recherchev(d1;fériés!$E$3:$E$16;1;faux)"</formula>
    </cfRule>
    <cfRule type="expression" dxfId="0" priority="2">
      <formula>"recherchev($D$1;fériés!$E$3:$E$16;1;faux)"</formula>
    </cfRule>
  </conditionalFormatting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DANIEL</vt:lpstr>
      <vt:lpstr>tech 1</vt:lpstr>
      <vt:lpstr>fériés</vt:lpstr>
      <vt:lpstr>fériés!AN</vt:lpstr>
      <vt:lpstr>fériés!AN_1</vt:lpstr>
      <vt:lpstr>fériés</vt:lpstr>
      <vt:lpstr>fériés!index_jour_sem1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PCSE Portable;philou10120</dc:creator>
  <cp:lastModifiedBy>Yves</cp:lastModifiedBy>
  <cp:lastPrinted>2017-05-05T08:33:55Z</cp:lastPrinted>
  <dcterms:created xsi:type="dcterms:W3CDTF">2016-11-09T10:37:12Z</dcterms:created>
  <dcterms:modified xsi:type="dcterms:W3CDTF">2019-05-21T13:21:20Z</dcterms:modified>
</cp:coreProperties>
</file>