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11"/>
  <workbookPr filterPrivacy="1"/>
  <xr:revisionPtr revIDLastSave="0" documentId="13_ncr:1_{239B3AC5-8821-4A75-970C-8A363E32F95D}" xr6:coauthVersionLast="47" xr6:coauthVersionMax="47" xr10:uidLastSave="{00000000-0000-0000-0000-000000000000}"/>
  <bookViews>
    <workbookView xWindow="-120" yWindow="-120" windowWidth="29040" windowHeight="15720" tabRatio="932"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CalendarYear">Janvier!$AH$6</definedName>
    <definedName name="CléCongé">Janvier!$C$4</definedName>
    <definedName name="CléMaladie">Janvier!$J$4</definedName>
    <definedName name="CléPersonnalisée1">Janvier!$N$4</definedName>
    <definedName name="CléPersonnalisée2">Janvier!$S$4</definedName>
    <definedName name="CléPersonnel">Janvier!$F$4</definedName>
    <definedName name="ÉtiquetteCléCongé">Janvier!$D$4</definedName>
    <definedName name="ÉtiquetteCléMaladie">Janvier!$K$4</definedName>
    <definedName name="ÉtiquetteCléPersonnalisée1">Janvier!$O$4</definedName>
    <definedName name="ÉtiquetteCléPersonnalisée2">Janvier!$T$4</definedName>
    <definedName name="ÉtiquetteCléPersonnel">Janvier!$G$4</definedName>
    <definedName name="_xlnm.Print_Titles" localSheetId="7">Août!$6:$8</definedName>
    <definedName name="_xlnm.Print_Titles" localSheetId="3">Avril!$7:$9</definedName>
    <definedName name="_xlnm.Print_Titles" localSheetId="11">Décembre!$6:$8</definedName>
    <definedName name="_xlnm.Print_Titles" localSheetId="1">Février!$6:$8</definedName>
    <definedName name="_xlnm.Print_Titles" localSheetId="0">Janvier!$6:$8</definedName>
    <definedName name="_xlnm.Print_Titles" localSheetId="6">Juillet!$7:$8</definedName>
    <definedName name="_xlnm.Print_Titles" localSheetId="5">Juin!$6:$8</definedName>
    <definedName name="_xlnm.Print_Titles" localSheetId="4">Mai!$4:$6</definedName>
    <definedName name="_xlnm.Print_Titles" localSheetId="2">Mars!$6:$8</definedName>
    <definedName name="_xlnm.Print_Titles" localSheetId="10">Novembre!$6:$8</definedName>
    <definedName name="_xlnm.Print_Titles" localSheetId="9">Octobre!$6:$8</definedName>
    <definedName name="_xlnm.Print_Titles" localSheetId="8">Septembre!$6:$8</definedName>
    <definedName name="Nom_clé">Janvier!$B$4</definedName>
    <definedName name="NomMois" localSheetId="7">Août!$B$2</definedName>
    <definedName name="NomMois" localSheetId="3">Avril!$B$2</definedName>
    <definedName name="NomMois" localSheetId="11">Décembre!$B$2</definedName>
    <definedName name="NomMois" localSheetId="1">Février!$B$2</definedName>
    <definedName name="NomMois" localSheetId="0">Janvier!$B$2</definedName>
    <definedName name="NomMois" localSheetId="6">Juillet!$B$2</definedName>
    <definedName name="NomMois" localSheetId="5">Juin!$B$2</definedName>
    <definedName name="NomMois" localSheetId="4">Mai!$B$4</definedName>
    <definedName name="NomMois" localSheetId="2">Mars!$B$2</definedName>
    <definedName name="NomMois" localSheetId="10">Novembre!$B$2</definedName>
    <definedName name="NomMois" localSheetId="9">Octobre!$B$2</definedName>
    <definedName name="NomMois" localSheetId="8">Septembre!$B$2</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March5[[#Headers],[Nom de l’employé]]</definedName>
    <definedName name="Titre5">March58[[#Headers],[Nom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P10" i="4" l="1"/>
  <c r="AQ10" i="4"/>
  <c r="AR10" i="4"/>
  <c r="AS10" i="4"/>
  <c r="AP11" i="4"/>
  <c r="AQ11" i="4"/>
  <c r="AR11" i="4"/>
  <c r="AS11" i="4"/>
  <c r="AP12" i="4"/>
  <c r="AQ12" i="4"/>
  <c r="AR12" i="4"/>
  <c r="AS12" i="4"/>
  <c r="AP13" i="4"/>
  <c r="AQ13" i="4"/>
  <c r="AR13" i="4"/>
  <c r="AS13" i="4"/>
  <c r="AS9" i="4"/>
  <c r="AR9" i="4"/>
  <c r="AQ9" i="4"/>
  <c r="AP9" i="4"/>
  <c r="AO11" i="4"/>
  <c r="AO12" i="4"/>
  <c r="AO13" i="4"/>
  <c r="AO9" i="4"/>
  <c r="G4" i="16"/>
  <c r="G6" i="16"/>
  <c r="H6" i="16"/>
  <c r="I6" i="16"/>
  <c r="J6" i="16"/>
  <c r="K6" i="16"/>
  <c r="G7" i="16"/>
  <c r="H7" i="16"/>
  <c r="I7" i="16"/>
  <c r="J7" i="16"/>
  <c r="K7" i="16"/>
  <c r="G8" i="16"/>
  <c r="H8" i="16"/>
  <c r="I8" i="16"/>
  <c r="J8" i="16"/>
  <c r="K8" i="16"/>
  <c r="H4" i="16"/>
  <c r="I4" i="16"/>
  <c r="J4" i="16"/>
  <c r="K4" i="16"/>
  <c r="AJ9" i="5"/>
  <c r="AJ9" i="17"/>
  <c r="AJ9" i="18"/>
  <c r="AJ9" i="19"/>
  <c r="AJ9" i="20"/>
  <c r="AJ9" i="21"/>
  <c r="AJ9" i="22"/>
  <c r="AJ9" i="23"/>
  <c r="AJ9" i="24"/>
  <c r="AJ9" i="25"/>
  <c r="AJ9" i="15"/>
  <c r="AJ9" i="4"/>
  <c r="AJ10" i="4"/>
  <c r="G5" i="16" s="1"/>
  <c r="AO10" i="4" s="1"/>
  <c r="AK10" i="4"/>
  <c r="H5" i="16" s="1"/>
  <c r="AL10" i="4"/>
  <c r="I5" i="16" s="1"/>
  <c r="AM10" i="4"/>
  <c r="J5" i="16" s="1"/>
  <c r="AN10" i="4"/>
  <c r="K5" i="16" s="1"/>
  <c r="AJ11" i="4"/>
  <c r="AK11" i="4"/>
  <c r="AL11" i="4"/>
  <c r="AM11" i="4"/>
  <c r="AN11" i="4"/>
  <c r="AJ12" i="4"/>
  <c r="AK12" i="4"/>
  <c r="AL12" i="4"/>
  <c r="AM12" i="4"/>
  <c r="AN12" i="4"/>
  <c r="AJ13" i="4"/>
  <c r="AK13" i="4"/>
  <c r="AL13" i="4"/>
  <c r="AM13" i="4"/>
  <c r="AN13" i="4"/>
  <c r="AK9" i="4"/>
  <c r="AL9" i="4"/>
  <c r="AM9" i="4"/>
  <c r="AN9" i="4"/>
  <c r="AG7" i="15"/>
  <c r="AF7" i="15"/>
  <c r="AE7" i="15"/>
  <c r="AD7" i="15"/>
  <c r="AC7" i="15"/>
  <c r="AB7" i="15"/>
  <c r="AA7" i="15"/>
  <c r="Z7" i="15"/>
  <c r="Y7" i="15"/>
  <c r="X7" i="15"/>
  <c r="W7" i="15"/>
  <c r="V7" i="15"/>
  <c r="U7" i="15"/>
  <c r="T7" i="15"/>
  <c r="S7" i="15"/>
  <c r="R7" i="15"/>
  <c r="Q7" i="15"/>
  <c r="P7" i="15"/>
  <c r="O7" i="15"/>
  <c r="N7" i="15"/>
  <c r="M7" i="15"/>
  <c r="L7" i="15"/>
  <c r="K7" i="15"/>
  <c r="J7" i="15"/>
  <c r="I7" i="15"/>
  <c r="H7" i="15"/>
  <c r="G7" i="15"/>
  <c r="F7" i="15"/>
  <c r="E7" i="15"/>
  <c r="D7" i="15"/>
  <c r="C7" i="15"/>
  <c r="AF7" i="25"/>
  <c r="AE7" i="25"/>
  <c r="AD7" i="25"/>
  <c r="AC7" i="25"/>
  <c r="AB7" i="25"/>
  <c r="AA7" i="25"/>
  <c r="Z7" i="25"/>
  <c r="Y7" i="25"/>
  <c r="X7" i="25"/>
  <c r="W7" i="25"/>
  <c r="V7" i="25"/>
  <c r="U7" i="25"/>
  <c r="T7" i="25"/>
  <c r="S7" i="25"/>
  <c r="R7" i="25"/>
  <c r="Q7" i="25"/>
  <c r="P7" i="25"/>
  <c r="O7" i="25"/>
  <c r="N7" i="25"/>
  <c r="M7" i="25"/>
  <c r="L7" i="25"/>
  <c r="K7" i="25"/>
  <c r="J7" i="25"/>
  <c r="I7" i="25"/>
  <c r="H7" i="25"/>
  <c r="G7" i="25"/>
  <c r="F7" i="25"/>
  <c r="E7" i="25"/>
  <c r="D7" i="25"/>
  <c r="C7" i="25"/>
  <c r="AG7" i="24"/>
  <c r="AF7" i="24"/>
  <c r="AE7" i="24"/>
  <c r="AD7" i="24"/>
  <c r="AC7" i="24"/>
  <c r="AB7" i="24"/>
  <c r="AA7" i="24"/>
  <c r="Z7" i="24"/>
  <c r="Y7" i="24"/>
  <c r="X7" i="24"/>
  <c r="W7" i="24"/>
  <c r="V7" i="24"/>
  <c r="U7" i="24"/>
  <c r="T7" i="24"/>
  <c r="S7" i="24"/>
  <c r="R7" i="24"/>
  <c r="Q7" i="24"/>
  <c r="P7" i="24"/>
  <c r="O7" i="24"/>
  <c r="N7" i="24"/>
  <c r="M7" i="24"/>
  <c r="L7" i="24"/>
  <c r="K7" i="24"/>
  <c r="J7" i="24"/>
  <c r="I7" i="24"/>
  <c r="H7" i="24"/>
  <c r="G7" i="24"/>
  <c r="F7" i="24"/>
  <c r="E7" i="24"/>
  <c r="D7" i="24"/>
  <c r="C7" i="24"/>
  <c r="AF7" i="23"/>
  <c r="AE7" i="23"/>
  <c r="AD7" i="23"/>
  <c r="AC7" i="23"/>
  <c r="AB7" i="23"/>
  <c r="AA7" i="23"/>
  <c r="Z7" i="23"/>
  <c r="Y7" i="23"/>
  <c r="X7" i="23"/>
  <c r="W7" i="23"/>
  <c r="V7" i="23"/>
  <c r="U7" i="23"/>
  <c r="T7" i="23"/>
  <c r="S7" i="23"/>
  <c r="R7" i="23"/>
  <c r="Q7" i="23"/>
  <c r="P7" i="23"/>
  <c r="O7" i="23"/>
  <c r="N7" i="23"/>
  <c r="M7" i="23"/>
  <c r="L7" i="23"/>
  <c r="K7" i="23"/>
  <c r="J7" i="23"/>
  <c r="I7" i="23"/>
  <c r="H7" i="23"/>
  <c r="G7" i="23"/>
  <c r="F7" i="23"/>
  <c r="E7" i="23"/>
  <c r="D7" i="23"/>
  <c r="C7" i="23"/>
  <c r="AG7" i="22"/>
  <c r="AF7" i="22"/>
  <c r="AE7" i="22"/>
  <c r="AD7" i="22"/>
  <c r="AC7" i="22"/>
  <c r="AB7" i="22"/>
  <c r="AA7" i="22"/>
  <c r="Z7" i="22"/>
  <c r="Y7" i="22"/>
  <c r="X7" i="22"/>
  <c r="W7" i="22"/>
  <c r="V7" i="22"/>
  <c r="U7" i="22"/>
  <c r="T7" i="22"/>
  <c r="S7" i="22"/>
  <c r="R7" i="22"/>
  <c r="Q7" i="22"/>
  <c r="P7" i="22"/>
  <c r="O7" i="22"/>
  <c r="N7" i="22"/>
  <c r="M7" i="22"/>
  <c r="L7" i="22"/>
  <c r="K7" i="22"/>
  <c r="J7" i="22"/>
  <c r="I7" i="22"/>
  <c r="H7" i="22"/>
  <c r="G7" i="22"/>
  <c r="F7" i="22"/>
  <c r="E7" i="22"/>
  <c r="D7" i="22"/>
  <c r="C7" i="22"/>
  <c r="AG7" i="21"/>
  <c r="AF7" i="21"/>
  <c r="AE7" i="21"/>
  <c r="AD7" i="21"/>
  <c r="AC7" i="21"/>
  <c r="AB7" i="21"/>
  <c r="AA7" i="21"/>
  <c r="Z7" i="21"/>
  <c r="Y7" i="21"/>
  <c r="X7" i="21"/>
  <c r="W7" i="21"/>
  <c r="V7" i="21"/>
  <c r="U7" i="21"/>
  <c r="T7" i="21"/>
  <c r="S7" i="21"/>
  <c r="R7" i="21"/>
  <c r="Q7" i="21"/>
  <c r="P7" i="21"/>
  <c r="O7" i="21"/>
  <c r="N7" i="21"/>
  <c r="M7" i="21"/>
  <c r="L7" i="21"/>
  <c r="K7" i="21"/>
  <c r="J7" i="21"/>
  <c r="I7" i="21"/>
  <c r="H7" i="21"/>
  <c r="G7" i="21"/>
  <c r="F7" i="21"/>
  <c r="E7" i="21"/>
  <c r="D7" i="21"/>
  <c r="C7" i="21"/>
  <c r="AF7" i="20"/>
  <c r="AE7" i="20"/>
  <c r="AD7" i="20"/>
  <c r="AC7" i="20"/>
  <c r="AB7" i="20"/>
  <c r="AA7" i="20"/>
  <c r="Z7" i="20"/>
  <c r="Y7" i="20"/>
  <c r="X7" i="20"/>
  <c r="W7" i="20"/>
  <c r="V7" i="20"/>
  <c r="U7" i="20"/>
  <c r="T7" i="20"/>
  <c r="S7" i="20"/>
  <c r="R7" i="20"/>
  <c r="Q7" i="20"/>
  <c r="P7" i="20"/>
  <c r="O7" i="20"/>
  <c r="N7" i="20"/>
  <c r="M7" i="20"/>
  <c r="L7" i="20"/>
  <c r="K7" i="20"/>
  <c r="J7" i="20"/>
  <c r="I7" i="20"/>
  <c r="H7" i="20"/>
  <c r="G7" i="20"/>
  <c r="F7" i="20"/>
  <c r="E7" i="20"/>
  <c r="D7" i="20"/>
  <c r="C7" i="20"/>
  <c r="AG7" i="19"/>
  <c r="AF7" i="19"/>
  <c r="AE7" i="19"/>
  <c r="AD7" i="19"/>
  <c r="AC7" i="19"/>
  <c r="AB7" i="19"/>
  <c r="AA7" i="19"/>
  <c r="Z7" i="19"/>
  <c r="Y7" i="19"/>
  <c r="X7" i="19"/>
  <c r="W7" i="19"/>
  <c r="V7" i="19"/>
  <c r="U7" i="19"/>
  <c r="T7" i="19"/>
  <c r="S7" i="19"/>
  <c r="R7" i="19"/>
  <c r="Q7" i="19"/>
  <c r="P7" i="19"/>
  <c r="O7" i="19"/>
  <c r="N7" i="19"/>
  <c r="M7" i="19"/>
  <c r="L7" i="19"/>
  <c r="K7" i="19"/>
  <c r="J7" i="19"/>
  <c r="I7" i="19"/>
  <c r="H7" i="19"/>
  <c r="G7" i="19"/>
  <c r="F7" i="19"/>
  <c r="E7" i="19"/>
  <c r="D7" i="19"/>
  <c r="C7" i="19"/>
  <c r="AF7" i="18"/>
  <c r="AE7" i="18"/>
  <c r="AD7" i="18"/>
  <c r="AC7" i="18"/>
  <c r="AB7" i="18"/>
  <c r="AA7" i="18"/>
  <c r="Z7" i="18"/>
  <c r="Y7" i="18"/>
  <c r="X7" i="18"/>
  <c r="W7" i="18"/>
  <c r="V7" i="18"/>
  <c r="U7" i="18"/>
  <c r="T7" i="18"/>
  <c r="S7" i="18"/>
  <c r="R7" i="18"/>
  <c r="Q7" i="18"/>
  <c r="P7" i="18"/>
  <c r="O7" i="18"/>
  <c r="N7" i="18"/>
  <c r="M7" i="18"/>
  <c r="L7" i="18"/>
  <c r="K7" i="18"/>
  <c r="J7" i="18"/>
  <c r="I7" i="18"/>
  <c r="H7" i="18"/>
  <c r="G7" i="18"/>
  <c r="F7" i="18"/>
  <c r="E7" i="18"/>
  <c r="D7" i="18"/>
  <c r="C7" i="18"/>
  <c r="AG7" i="17"/>
  <c r="AF7" i="17"/>
  <c r="AE7" i="17"/>
  <c r="AD7" i="17"/>
  <c r="AC7" i="17"/>
  <c r="AB7" i="17"/>
  <c r="AA7" i="17"/>
  <c r="Z7" i="17"/>
  <c r="Y7" i="17"/>
  <c r="X7" i="17"/>
  <c r="W7" i="17"/>
  <c r="V7" i="17"/>
  <c r="U7" i="17"/>
  <c r="T7" i="17"/>
  <c r="S7" i="17"/>
  <c r="R7" i="17"/>
  <c r="Q7" i="17"/>
  <c r="P7" i="17"/>
  <c r="O7" i="17"/>
  <c r="N7" i="17"/>
  <c r="M7" i="17"/>
  <c r="L7" i="17"/>
  <c r="K7" i="17"/>
  <c r="J7" i="17"/>
  <c r="I7" i="17"/>
  <c r="H7" i="17"/>
  <c r="G7" i="17"/>
  <c r="F7" i="17"/>
  <c r="E7" i="17"/>
  <c r="D7" i="17"/>
  <c r="C7" i="17"/>
  <c r="AE7" i="5"/>
  <c r="AD7" i="5"/>
  <c r="AC7" i="5"/>
  <c r="AB7" i="5"/>
  <c r="AA7" i="5"/>
  <c r="Z7" i="5"/>
  <c r="Y7" i="5"/>
  <c r="X7" i="5"/>
  <c r="W7" i="5"/>
  <c r="V7" i="5"/>
  <c r="U7" i="5"/>
  <c r="T7" i="5"/>
  <c r="S7" i="5"/>
  <c r="R7" i="5"/>
  <c r="Q7" i="5"/>
  <c r="P7" i="5"/>
  <c r="O7" i="5"/>
  <c r="N7" i="5"/>
  <c r="M7" i="5"/>
  <c r="L7" i="5"/>
  <c r="K7" i="5"/>
  <c r="J7" i="5"/>
  <c r="I7" i="5"/>
  <c r="H7" i="5"/>
  <c r="G7" i="5"/>
  <c r="F7" i="5"/>
  <c r="E7" i="5"/>
  <c r="D7" i="5"/>
  <c r="C7" i="5"/>
  <c r="AG7" i="4"/>
  <c r="AF7" i="4"/>
  <c r="AE7" i="4"/>
  <c r="AD7" i="4"/>
  <c r="AC7" i="4"/>
  <c r="AB7" i="4"/>
  <c r="AA7" i="4"/>
  <c r="Z7" i="4"/>
  <c r="Y7" i="4"/>
  <c r="X7" i="4"/>
  <c r="W7" i="4"/>
  <c r="V7" i="4"/>
  <c r="U7" i="4"/>
  <c r="T7" i="4"/>
  <c r="S7" i="4"/>
  <c r="R7" i="4"/>
  <c r="Q7" i="4"/>
  <c r="P7" i="4"/>
  <c r="O7" i="4"/>
  <c r="N7" i="4"/>
  <c r="M7" i="4"/>
  <c r="L7" i="4"/>
  <c r="K7" i="4"/>
  <c r="J7" i="4"/>
  <c r="I7" i="4"/>
  <c r="H7" i="4"/>
  <c r="G7" i="4"/>
  <c r="F7" i="4"/>
  <c r="E7" i="4"/>
  <c r="D7" i="4"/>
  <c r="C7" i="4"/>
  <c r="AH6" i="15" l="1"/>
  <c r="AH6" i="25"/>
  <c r="AH6" i="24"/>
  <c r="AH6" i="23"/>
  <c r="AH6" i="22"/>
  <c r="AH6" i="21"/>
  <c r="B14" i="19"/>
  <c r="AH6" i="20"/>
  <c r="B14" i="18"/>
  <c r="B14" i="4"/>
  <c r="AG14" i="19"/>
  <c r="AF14" i="19"/>
  <c r="AE14" i="19"/>
  <c r="AD14" i="19"/>
  <c r="AC14" i="19"/>
  <c r="AB14" i="19"/>
  <c r="AA14" i="19"/>
  <c r="Z14" i="19"/>
  <c r="Y14" i="19"/>
  <c r="X14" i="19"/>
  <c r="W14" i="19"/>
  <c r="V14" i="19"/>
  <c r="U14" i="19"/>
  <c r="T14" i="19"/>
  <c r="S14" i="19"/>
  <c r="R14" i="19"/>
  <c r="Q14" i="19"/>
  <c r="P14" i="19"/>
  <c r="O14" i="19"/>
  <c r="N14" i="19"/>
  <c r="M14" i="19"/>
  <c r="L14" i="19"/>
  <c r="K14" i="19"/>
  <c r="J14" i="19"/>
  <c r="I14" i="19"/>
  <c r="H14" i="19"/>
  <c r="G14" i="19"/>
  <c r="F14" i="19"/>
  <c r="E14" i="19"/>
  <c r="D14" i="19"/>
  <c r="C14" i="19"/>
  <c r="AH13" i="19"/>
  <c r="AH12" i="19"/>
  <c r="AH11" i="19"/>
  <c r="AH10" i="19"/>
  <c r="AH9" i="19"/>
  <c r="AH6" i="19"/>
  <c r="AG14" i="18"/>
  <c r="AF14" i="18"/>
  <c r="AE14" i="18"/>
  <c r="AD14" i="18"/>
  <c r="AC14" i="18"/>
  <c r="AB14" i="18"/>
  <c r="AA14" i="18"/>
  <c r="Z14" i="18"/>
  <c r="Y14" i="18"/>
  <c r="X14" i="18"/>
  <c r="W14" i="18"/>
  <c r="V14" i="18"/>
  <c r="U14" i="18"/>
  <c r="T14" i="18"/>
  <c r="S14" i="18"/>
  <c r="R14" i="18"/>
  <c r="Q14" i="18"/>
  <c r="P14" i="18"/>
  <c r="O14" i="18"/>
  <c r="N14" i="18"/>
  <c r="M14" i="18"/>
  <c r="L14" i="18"/>
  <c r="K14" i="18"/>
  <c r="J14" i="18"/>
  <c r="I14" i="18"/>
  <c r="H14" i="18"/>
  <c r="G14" i="18"/>
  <c r="F14" i="18"/>
  <c r="E14" i="18"/>
  <c r="D14" i="18"/>
  <c r="C14" i="18"/>
  <c r="AH13" i="18"/>
  <c r="AH12" i="18"/>
  <c r="AH11" i="18"/>
  <c r="AH10" i="18"/>
  <c r="AH9" i="18"/>
  <c r="AH14" i="18" s="1"/>
  <c r="AH6" i="18"/>
  <c r="AH6" i="17"/>
  <c r="B14" i="5"/>
  <c r="AH11" i="4"/>
  <c r="AH12" i="4"/>
  <c r="AH14" i="19" l="1"/>
  <c r="B14" i="23"/>
  <c r="AG14" i="25"/>
  <c r="AF14" i="25"/>
  <c r="AE14" i="25"/>
  <c r="AD14" i="25"/>
  <c r="AC14" i="25"/>
  <c r="AB14" i="25"/>
  <c r="AA14" i="25"/>
  <c r="Z14" i="25"/>
  <c r="Y14" i="25"/>
  <c r="X14" i="25"/>
  <c r="W14" i="25"/>
  <c r="V14" i="25"/>
  <c r="U14" i="25"/>
  <c r="T14" i="25"/>
  <c r="S14" i="25"/>
  <c r="R14" i="25"/>
  <c r="Q14" i="25"/>
  <c r="P14" i="25"/>
  <c r="O14" i="25"/>
  <c r="N14" i="25"/>
  <c r="M14" i="25"/>
  <c r="L14" i="25"/>
  <c r="K14" i="25"/>
  <c r="J14" i="25"/>
  <c r="I14" i="25"/>
  <c r="H14" i="25"/>
  <c r="G14" i="25"/>
  <c r="F14" i="25"/>
  <c r="E14" i="25"/>
  <c r="D14" i="25"/>
  <c r="C14" i="25"/>
  <c r="B14" i="25"/>
  <c r="AH13" i="25"/>
  <c r="AH12" i="25"/>
  <c r="AH11" i="25"/>
  <c r="AH10" i="25"/>
  <c r="AH9" i="25"/>
  <c r="AG14" i="24"/>
  <c r="AF14" i="24"/>
  <c r="AE14" i="24"/>
  <c r="AD14" i="24"/>
  <c r="AC14" i="24"/>
  <c r="AB14" i="24"/>
  <c r="AA14" i="24"/>
  <c r="Z14" i="24"/>
  <c r="Y14" i="24"/>
  <c r="X14" i="24"/>
  <c r="W14" i="24"/>
  <c r="V14" i="24"/>
  <c r="U14" i="24"/>
  <c r="T14" i="24"/>
  <c r="S14" i="24"/>
  <c r="R14" i="24"/>
  <c r="Q14" i="24"/>
  <c r="P14" i="24"/>
  <c r="O14" i="24"/>
  <c r="N14" i="24"/>
  <c r="M14" i="24"/>
  <c r="L14" i="24"/>
  <c r="K14" i="24"/>
  <c r="J14" i="24"/>
  <c r="I14" i="24"/>
  <c r="H14" i="24"/>
  <c r="G14" i="24"/>
  <c r="F14" i="24"/>
  <c r="E14" i="24"/>
  <c r="D14" i="24"/>
  <c r="C14" i="24"/>
  <c r="B14" i="24"/>
  <c r="AH13" i="24"/>
  <c r="AH12" i="24"/>
  <c r="AH11" i="24"/>
  <c r="AH10" i="24"/>
  <c r="AH9" i="24"/>
  <c r="AG14" i="23"/>
  <c r="AF14" i="23"/>
  <c r="AE14" i="23"/>
  <c r="AD14" i="23"/>
  <c r="AC14" i="23"/>
  <c r="AB14" i="23"/>
  <c r="AA14" i="23"/>
  <c r="Z14" i="23"/>
  <c r="Y14" i="23"/>
  <c r="X14" i="23"/>
  <c r="W14" i="23"/>
  <c r="V14" i="23"/>
  <c r="U14" i="23"/>
  <c r="T14" i="23"/>
  <c r="S14" i="23"/>
  <c r="R14" i="23"/>
  <c r="Q14" i="23"/>
  <c r="P14" i="23"/>
  <c r="O14" i="23"/>
  <c r="N14" i="23"/>
  <c r="M14" i="23"/>
  <c r="L14" i="23"/>
  <c r="K14" i="23"/>
  <c r="J14" i="23"/>
  <c r="I14" i="23"/>
  <c r="H14" i="23"/>
  <c r="G14" i="23"/>
  <c r="F14" i="23"/>
  <c r="E14" i="23"/>
  <c r="D14" i="23"/>
  <c r="C14" i="23"/>
  <c r="AH13" i="23"/>
  <c r="AH12" i="23"/>
  <c r="AH11" i="23"/>
  <c r="AH10" i="23"/>
  <c r="AH9" i="23"/>
  <c r="AG14" i="22"/>
  <c r="AF14" i="22"/>
  <c r="AE14" i="22"/>
  <c r="AD14" i="22"/>
  <c r="AC14" i="22"/>
  <c r="AB14" i="22"/>
  <c r="AA14" i="22"/>
  <c r="Z14" i="22"/>
  <c r="Y14" i="22"/>
  <c r="X14" i="22"/>
  <c r="W14" i="22"/>
  <c r="V14" i="22"/>
  <c r="U14" i="22"/>
  <c r="T14" i="22"/>
  <c r="S14" i="22"/>
  <c r="R14" i="22"/>
  <c r="Q14" i="22"/>
  <c r="P14" i="22"/>
  <c r="O14" i="22"/>
  <c r="N14" i="22"/>
  <c r="M14" i="22"/>
  <c r="L14" i="22"/>
  <c r="K14" i="22"/>
  <c r="J14" i="22"/>
  <c r="I14" i="22"/>
  <c r="H14" i="22"/>
  <c r="G14" i="22"/>
  <c r="F14" i="22"/>
  <c r="E14" i="22"/>
  <c r="D14" i="22"/>
  <c r="C14" i="22"/>
  <c r="B14" i="22"/>
  <c r="AH13" i="22"/>
  <c r="AH12" i="22"/>
  <c r="AH11" i="22"/>
  <c r="AH10" i="22"/>
  <c r="AH9" i="22"/>
  <c r="AG14" i="21"/>
  <c r="AF14" i="21"/>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B14" i="21"/>
  <c r="AH13" i="21"/>
  <c r="AH12" i="21"/>
  <c r="AH11" i="21"/>
  <c r="AH10" i="21"/>
  <c r="AH9" i="21"/>
  <c r="AG14" i="20"/>
  <c r="AF14" i="20"/>
  <c r="AE14" i="20"/>
  <c r="AD14" i="20"/>
  <c r="AC14" i="20"/>
  <c r="AB14" i="20"/>
  <c r="AA14" i="20"/>
  <c r="Z14" i="20"/>
  <c r="Y14" i="20"/>
  <c r="X14" i="20"/>
  <c r="W14" i="20"/>
  <c r="V14" i="20"/>
  <c r="U14" i="20"/>
  <c r="T14" i="20"/>
  <c r="S14" i="20"/>
  <c r="R14" i="20"/>
  <c r="Q14" i="20"/>
  <c r="P14" i="20"/>
  <c r="O14" i="20"/>
  <c r="N14" i="20"/>
  <c r="M14" i="20"/>
  <c r="L14" i="20"/>
  <c r="K14" i="20"/>
  <c r="J14" i="20"/>
  <c r="I14" i="20"/>
  <c r="H14" i="20"/>
  <c r="G14" i="20"/>
  <c r="F14" i="20"/>
  <c r="E14" i="20"/>
  <c r="D14" i="20"/>
  <c r="C14" i="20"/>
  <c r="B14" i="20"/>
  <c r="AH13" i="20"/>
  <c r="AH12" i="20"/>
  <c r="AH11" i="20"/>
  <c r="AH10" i="20"/>
  <c r="AH9" i="20"/>
  <c r="AG14" i="17"/>
  <c r="AF14" i="17"/>
  <c r="AE14" i="17"/>
  <c r="AD14" i="17"/>
  <c r="AC14" i="17"/>
  <c r="AB14" i="17"/>
  <c r="AA14" i="17"/>
  <c r="Z14" i="17"/>
  <c r="Y14" i="17"/>
  <c r="X14" i="17"/>
  <c r="W14" i="17"/>
  <c r="V14" i="17"/>
  <c r="U14" i="17"/>
  <c r="T14" i="17"/>
  <c r="S14" i="17"/>
  <c r="R14" i="17"/>
  <c r="Q14" i="17"/>
  <c r="P14" i="17"/>
  <c r="O14" i="17"/>
  <c r="N14" i="17"/>
  <c r="M14" i="17"/>
  <c r="L14" i="17"/>
  <c r="K14" i="17"/>
  <c r="J14" i="17"/>
  <c r="I14" i="17"/>
  <c r="H14" i="17"/>
  <c r="G14" i="17"/>
  <c r="F14" i="17"/>
  <c r="E14" i="17"/>
  <c r="D14" i="17"/>
  <c r="C14" i="17"/>
  <c r="B14" i="17"/>
  <c r="AH13" i="17"/>
  <c r="AH12" i="17"/>
  <c r="AH11" i="17"/>
  <c r="AH10" i="17"/>
  <c r="AH9" i="17"/>
  <c r="AH14" i="23" l="1"/>
  <c r="AH14" i="17"/>
  <c r="AH14" i="21"/>
  <c r="AH14" i="22"/>
  <c r="AH14" i="25"/>
  <c r="AH14" i="20"/>
  <c r="AH14" i="24"/>
  <c r="AH6" i="5" l="1"/>
  <c r="C14" i="4" l="1"/>
  <c r="D14" i="4"/>
  <c r="E14" i="4"/>
  <c r="F14" i="4"/>
  <c r="G14" i="4"/>
  <c r="H14" i="4"/>
  <c r="I14" i="4"/>
  <c r="J14" i="4"/>
  <c r="K14" i="4"/>
  <c r="L14" i="4"/>
  <c r="M14" i="4"/>
  <c r="N14" i="4"/>
  <c r="O14" i="4"/>
  <c r="P14" i="4"/>
  <c r="Q14" i="4"/>
  <c r="R14" i="4"/>
  <c r="S14" i="4"/>
  <c r="T14" i="4"/>
  <c r="U14" i="4"/>
  <c r="V14" i="4"/>
  <c r="W14" i="4"/>
  <c r="X14" i="4"/>
  <c r="Y14" i="4"/>
  <c r="Z14" i="4"/>
  <c r="AA14" i="4"/>
  <c r="AB14" i="4"/>
  <c r="AC14" i="4"/>
  <c r="AD14" i="4"/>
  <c r="AE14" i="4"/>
  <c r="AF14" i="4"/>
  <c r="AG14" i="4"/>
  <c r="AG14" i="15" l="1"/>
  <c r="AF14" i="15"/>
  <c r="AH9" i="15"/>
  <c r="AH10" i="15"/>
  <c r="AH11" i="15"/>
  <c r="AH12" i="15"/>
  <c r="AH13" i="15"/>
  <c r="AH14" i="15" l="1"/>
  <c r="C14" i="15"/>
  <c r="D14" i="15"/>
  <c r="E14" i="15"/>
  <c r="F14" i="15"/>
  <c r="G14" i="15"/>
  <c r="H14" i="15"/>
  <c r="I14" i="15"/>
  <c r="J14" i="15"/>
  <c r="K14" i="15"/>
  <c r="L14" i="15"/>
  <c r="M14" i="15"/>
  <c r="N14" i="15"/>
  <c r="O14" i="15"/>
  <c r="P14" i="15"/>
  <c r="Q14" i="15"/>
  <c r="R14" i="15"/>
  <c r="S14" i="15"/>
  <c r="T14" i="15"/>
  <c r="U14" i="15"/>
  <c r="V14" i="15"/>
  <c r="W14" i="15"/>
  <c r="X14" i="15"/>
  <c r="Y14" i="15"/>
  <c r="Z14" i="15"/>
  <c r="AA14" i="15"/>
  <c r="AB14" i="15"/>
  <c r="AC14" i="15"/>
  <c r="AD14" i="15"/>
  <c r="AE14" i="15"/>
  <c r="B14" i="15" l="1"/>
  <c r="AH13" i="5" l="1"/>
  <c r="AH12" i="5"/>
  <c r="AH11" i="5"/>
  <c r="AH13" i="4"/>
  <c r="AE14" i="5"/>
  <c r="AD14" i="5"/>
  <c r="AC14" i="5"/>
  <c r="AB14" i="5"/>
  <c r="AA14" i="5"/>
  <c r="Z14" i="5"/>
  <c r="Y14" i="5"/>
  <c r="X14" i="5"/>
  <c r="W14" i="5"/>
  <c r="V14" i="5"/>
  <c r="U14" i="5"/>
  <c r="T14" i="5"/>
  <c r="S14" i="5"/>
  <c r="R14" i="5"/>
  <c r="Q14" i="5"/>
  <c r="P14" i="5"/>
  <c r="O14" i="5"/>
  <c r="N14" i="5"/>
  <c r="M14" i="5"/>
  <c r="L14" i="5"/>
  <c r="K14" i="5"/>
  <c r="J14" i="5"/>
  <c r="I14" i="5"/>
  <c r="H14" i="5"/>
  <c r="G14" i="5"/>
  <c r="F14" i="5"/>
  <c r="E14" i="5"/>
  <c r="D14" i="5"/>
  <c r="C14" i="5"/>
  <c r="AH10" i="5"/>
  <c r="AH9" i="5"/>
  <c r="AH14" i="5" l="1"/>
  <c r="AH9" i="4"/>
  <c r="AH10" i="4"/>
  <c r="AH14" i="4" l="1"/>
</calcChain>
</file>

<file path=xl/sharedStrings.xml><?xml version="1.0" encoding="utf-8"?>
<sst xmlns="http://schemas.openxmlformats.org/spreadsheetml/2006/main" count="677" uniqueCount="70">
  <si>
    <t>Calendrier des absences des employés</t>
  </si>
  <si>
    <t>Janvier</t>
  </si>
  <si>
    <t>Clé de motif d’absence</t>
  </si>
  <si>
    <t>Nom de l’employé</t>
  </si>
  <si>
    <t>Harsimran Brar</t>
  </si>
  <si>
    <t>Jordan Mitchell</t>
  </si>
  <si>
    <t>Asaf Karten</t>
  </si>
  <si>
    <t>Vanja Jovanovic</t>
  </si>
  <si>
    <t>Madison Butler</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</si>
  <si>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</si>
  <si>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</si>
  <si>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</si>
  <si>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</si>
  <si>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</si>
  <si>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</si>
  <si>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</si>
  <si>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</si>
  <si>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</si>
  <si>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</si>
  <si>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</si>
  <si>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</si>
  <si>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</si>
  <si>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</si>
  <si>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</si>
  <si>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</si>
  <si>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</si>
  <si>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</si>
  <si>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</si>
  <si>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</si>
  <si>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</si>
  <si>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</si>
  <si>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</si>
  <si>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</si>
  <si>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17</t>
  </si>
  <si>
    <t>18</t>
  </si>
  <si>
    <t>19</t>
  </si>
  <si>
    <t>20</t>
  </si>
  <si>
    <t>21</t>
  </si>
  <si>
    <t>22</t>
  </si>
  <si>
    <t>23</t>
  </si>
  <si>
    <t>24</t>
  </si>
  <si>
    <t>25</t>
  </si>
  <si>
    <t>26</t>
  </si>
  <si>
    <t>27</t>
  </si>
  <si>
    <t>28</t>
  </si>
  <si>
    <t>29</t>
  </si>
  <si>
    <t>30</t>
  </si>
  <si>
    <t>31</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</si>
  <si>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</si>
  <si>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</si>
  <si>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</si>
  <si>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</si>
  <si>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</si>
  <si>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</si>
  <si>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</si>
  <si>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</si>
  <si>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</si>
  <si>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</si>
  <si>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</si>
  <si>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</si>
  <si>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</si>
  <si>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</si>
  <si>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</si>
  <si>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CA</t>
  </si>
  <si>
    <t>CT</t>
  </si>
  <si>
    <t>RTT</t>
  </si>
  <si>
    <t>Total abscences</t>
  </si>
  <si>
    <t>Total du mois par motif</t>
  </si>
  <si>
    <t>Restant à prendre par motif</t>
  </si>
  <si>
    <t>Contingent pour l'année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</si>
</sst>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34">
    <font>
      <sz val="11"/>
      <color theme="0"/>
      <name val="Calibri"/>
      <family val="2"/>
    </font>
    <font>
      <sz val="11"/>
      <color theme="1"/>
      <name val="Calibri"/>
      <family val="2"/>
      <scheme val="minor"/>
    </font>
    <font>
      <sz val="11"/>
      <color theme="0"/>
      <name val="Calibri"/>
      <family val="2"/>
      <scheme val="minor"/>
    </font>
    <font>
      <sz val="11"/>
      <color rgb="FF000000"/>
      <name val="Calibri"/>
      <family val="2"/>
      <scheme val="minor"/>
    </font>
    <font>
      <b/>
      <sz val="18"/>
      <color theme="3"/>
      <name val="Calibri"/>
      <family val="2"/>
      <scheme val="minor"/>
    </font>
    <font>
      <b/>
      <sz val="72"/>
      <color theme="6" tint="0.39997558519241921"/>
      <name val="Calibri"/>
      <family val="2"/>
      <scheme val="minor"/>
    </font>
    <font>
      <sz val="8"/>
      <name val="Calibri"/>
      <family val="2"/>
      <scheme val="minor"/>
    </font>
    <font>
      <b/>
      <sz val="18"/>
      <color theme="4" tint="9.9948118533890809E-2"/>
      <name val="Calibri"/>
      <family val="2"/>
      <scheme val="minor"/>
    </font>
    <font>
      <b/>
      <sz val="72"/>
      <color theme="4" tint="0.249977111117893"/>
      <name val="Calibri"/>
      <family val="2"/>
      <scheme val="minor"/>
    </font>
    <font>
      <b/>
      <sz val="11"/>
      <name val="Calibri"/>
      <family val="2"/>
      <scheme val="minor"/>
    </font>
    <font>
      <b/>
      <sz val="72"/>
      <color theme="7" tint="-0.249977111117893"/>
      <name val="Calibri"/>
      <family val="2"/>
      <scheme val="minor"/>
    </font>
    <font>
      <b/>
      <sz val="72"/>
      <color theme="8" tint="-0.249977111117893"/>
      <name val="Calibri"/>
      <family val="2"/>
      <scheme val="minor"/>
    </font>
    <font>
      <sz val="11"/>
      <color theme="1"/>
      <name val="Calibri"/>
      <family val="2"/>
      <charset val="134"/>
    </font>
    <font>
      <sz val="11"/>
      <color theme="1"/>
      <name val="Calibri"/>
      <family val="2"/>
    </font>
    <font>
      <b/>
      <sz val="11"/>
      <color theme="1"/>
      <name val="Calibri"/>
      <family val="2"/>
    </font>
    <font>
      <sz val="11"/>
      <color theme="0"/>
      <name val="Calibri"/>
      <family val="2"/>
    </font>
    <font>
      <sz val="11"/>
      <color theme="0"/>
      <name val="Calibri"/>
      <family val="2"/>
      <charset val="134"/>
    </font>
    <font>
      <sz val="11"/>
      <color rgb="FF9C0006"/>
      <name val="Calibri"/>
      <family val="2"/>
      <charset val="134"/>
    </font>
    <font>
      <b/>
      <sz val="11"/>
      <color rgb="FFFA7D00"/>
      <name val="Calibri"/>
      <family val="2"/>
      <charset val="134"/>
    </font>
    <font>
      <b/>
      <sz val="11"/>
      <color theme="0"/>
      <name val="Calibri"/>
      <family val="2"/>
      <charset val="134"/>
    </font>
    <font>
      <sz val="11"/>
      <color theme="4" tint="-0.499984740745262"/>
      <name val="Calibri"/>
      <family val="2"/>
    </font>
    <font>
      <i/>
      <sz val="11"/>
      <color rgb="FF7F7F7F"/>
      <name val="Calibri"/>
      <family val="2"/>
      <charset val="134"/>
    </font>
    <font>
      <sz val="11"/>
      <color rgb="FF006100"/>
      <name val="Calibri"/>
      <family val="2"/>
      <charset val="134"/>
    </font>
    <font>
      <b/>
      <sz val="26"/>
      <color theme="3" tint="-0.24994659260841701"/>
      <name val="Calibri"/>
      <family val="2"/>
    </font>
    <font>
      <b/>
      <sz val="18"/>
      <color theme="4" tint="-0.24994659260841701"/>
      <name val="Calibri"/>
      <family val="2"/>
    </font>
    <font>
      <sz val="11"/>
      <color rgb="FF3F3F76"/>
      <name val="Calibri"/>
      <family val="2"/>
      <charset val="134"/>
    </font>
    <font>
      <sz val="11"/>
      <color rgb="FFFA7D00"/>
      <name val="Calibri"/>
      <family val="2"/>
      <charset val="134"/>
    </font>
    <font>
      <sz val="11"/>
      <color rgb="FF9C5700"/>
      <name val="Calibri"/>
      <family val="2"/>
      <charset val="134"/>
    </font>
    <font>
      <b/>
      <sz val="11"/>
      <color rgb="FF3F3F3F"/>
      <name val="Calibri"/>
      <family val="2"/>
      <charset val="134"/>
    </font>
    <font>
      <b/>
      <sz val="26"/>
      <color theme="3"/>
      <name val="Calibri"/>
      <family val="2"/>
    </font>
    <font>
      <sz val="11"/>
      <color rgb="FFFF0000"/>
      <name val="Calibri"/>
      <family val="2"/>
      <charset val="134"/>
    </font>
    <font>
      <sz val="9"/>
      <name val="DengXian"/>
      <family val="3"/>
      <charset val="134"/>
    </font>
    <font>
      <b/>
      <sz val="11"/>
      <name val="Calibri"/>
      <family val="2"/>
    </font>
    <font>
      <sz val="11"/>
      <name val="Calibri"/>
      <family val="2"/>
    </font>
  </fonts>
  <fills count="35">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5" tint="0.79998168889431442"/>
        <bgColor indexed="64"/>
      </patternFill>
    </fill>
  </fills>
  <borders count="53">
    <border>
      <left/>
      <right/>
      <top/>
      <bottom/>
      <diagonal/>
    </border>
    <border>
      <left/>
      <right/>
      <top/>
      <bottom style="thin">
        <color theme="4"/>
      </bottom>
      <diagonal/>
    </border>
    <border>
      <left/>
      <right/>
      <top style="thin">
        <color theme="4"/>
      </top>
      <bottom/>
      <diagonal/>
    </border>
    <border>
      <left/>
      <right/>
      <top style="thin">
        <color auto="1"/>
      </top>
      <bottom/>
      <diagonal/>
    </border>
    <border>
      <left/>
      <right/>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5" tint="0.59996337778862885"/>
      </top>
      <bottom style="thin">
        <color theme="5" tint="0.59996337778862885"/>
      </bottom>
      <diagonal/>
    </border>
    <border>
      <left style="thick">
        <color theme="0"/>
      </left>
      <right style="thick">
        <color theme="0"/>
      </right>
      <top style="thick">
        <color theme="0"/>
      </top>
      <bottom style="thick">
        <color theme="0"/>
      </bottom>
      <diagonal/>
    </border>
    <border>
      <left style="thin">
        <color indexed="64"/>
      </left>
      <right/>
      <top style="thin">
        <color indexed="64"/>
      </top>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style="thin">
        <color indexed="64"/>
      </right>
      <top style="thin">
        <color indexed="64"/>
      </top>
      <bottom/>
      <diagonal/>
    </border>
    <border>
      <left style="thin">
        <color indexed="64"/>
      </left>
      <right style="hair">
        <color indexed="64"/>
      </right>
      <top/>
      <bottom/>
      <diagonal/>
    </border>
    <border>
      <left style="hair">
        <color indexed="64"/>
      </left>
      <right style="hair">
        <color indexed="64"/>
      </right>
      <top/>
      <bottom/>
      <diagonal/>
    </border>
    <border>
      <left style="hair">
        <color indexed="64"/>
      </left>
      <right style="thin">
        <color indexed="64"/>
      </right>
      <top/>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ck">
        <color theme="0"/>
      </left>
      <right style="thick">
        <color theme="0"/>
      </right>
      <top style="thin">
        <color indexed="64"/>
      </top>
      <bottom style="thin">
        <color indexed="64"/>
      </bottom>
      <diagonal/>
    </border>
    <border>
      <left style="thick">
        <color theme="0"/>
      </left>
      <right style="thin">
        <color indexed="64"/>
      </right>
      <top style="thin">
        <color indexed="64"/>
      </top>
      <bottom style="thin">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thick">
        <color theme="0"/>
      </left>
      <right style="thick">
        <color theme="0"/>
      </right>
      <top style="thin">
        <color indexed="64"/>
      </top>
      <bottom/>
      <diagonal/>
    </border>
    <border>
      <left style="thick">
        <color theme="0"/>
      </left>
      <right style="thin">
        <color indexed="64"/>
      </right>
      <top style="thin">
        <color indexed="64"/>
      </top>
      <bottom/>
      <diagonal/>
    </border>
    <border>
      <left style="thin">
        <color indexed="64"/>
      </left>
      <right style="hair">
        <color auto="1"/>
      </right>
      <top/>
      <bottom style="hair">
        <color auto="1"/>
      </bottom>
      <diagonal/>
    </border>
    <border>
      <left style="hair">
        <color auto="1"/>
      </left>
      <right style="thin">
        <color indexed="64"/>
      </right>
      <top/>
      <bottom style="hair">
        <color auto="1"/>
      </bottom>
      <diagonal/>
    </border>
    <border>
      <left style="thin">
        <color indexed="64"/>
      </left>
      <right style="hair">
        <color auto="1"/>
      </right>
      <top style="hair">
        <color auto="1"/>
      </top>
      <bottom style="hair">
        <color auto="1"/>
      </bottom>
      <diagonal/>
    </border>
    <border>
      <left style="hair">
        <color auto="1"/>
      </left>
      <right style="thin">
        <color indexed="64"/>
      </right>
      <top style="hair">
        <color auto="1"/>
      </top>
      <bottom style="hair">
        <color auto="1"/>
      </bottom>
      <diagonal/>
    </border>
    <border>
      <left style="thin">
        <color indexed="64"/>
      </left>
      <right style="hair">
        <color auto="1"/>
      </right>
      <top style="hair">
        <color auto="1"/>
      </top>
      <bottom style="thin">
        <color indexed="64"/>
      </bottom>
      <diagonal/>
    </border>
    <border>
      <left style="hair">
        <color auto="1"/>
      </left>
      <right style="hair">
        <color auto="1"/>
      </right>
      <top style="hair">
        <color auto="1"/>
      </top>
      <bottom style="thin">
        <color indexed="64"/>
      </bottom>
      <diagonal/>
    </border>
    <border>
      <left style="hair">
        <color auto="1"/>
      </left>
      <right style="thin">
        <color indexed="64"/>
      </right>
      <top style="hair">
        <color auto="1"/>
      </top>
      <bottom style="thin">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right style="hair">
        <color indexed="64"/>
      </right>
      <top style="thin">
        <color indexed="64"/>
      </top>
      <bottom/>
      <diagonal/>
    </border>
    <border>
      <left/>
      <right style="hair">
        <color indexed="64"/>
      </right>
      <top/>
      <bottom/>
      <diagonal/>
    </border>
    <border>
      <left/>
      <right style="hair">
        <color indexed="64"/>
      </right>
      <top/>
      <bottom style="thin">
        <color indexed="64"/>
      </bottom>
      <diagonal/>
    </border>
  </borders>
  <cellStyleXfs count="49">
    <xf numFmtId="0" fontId="0" fillId="0" borderId="0">
      <alignment horizontal="left" vertical="center"/>
    </xf>
    <xf numFmtId="0" fontId="29" fillId="0" borderId="0" applyNumberFormat="0" applyFill="0" applyBorder="0" applyProtection="0">
      <alignment vertical="top"/>
    </xf>
    <xf numFmtId="0" fontId="23" fillId="0" borderId="0" applyNumberFormat="0" applyFill="0" applyBorder="0" applyProtection="0">
      <alignment vertical="top"/>
    </xf>
    <xf numFmtId="0" fontId="24" fillId="2" borderId="0" applyNumberFormat="0" applyBorder="0" applyProtection="0">
      <alignment horizontal="center" vertical="center"/>
    </xf>
    <xf numFmtId="0" fontId="14" fillId="20" borderId="0" applyNumberFormat="0" applyProtection="0">
      <alignment horizontal="right" vertical="center" indent="1"/>
    </xf>
    <xf numFmtId="0" fontId="13" fillId="0" borderId="0" applyNumberFormat="0" applyFill="0" applyBorder="0" applyProtection="0">
      <alignment horizontal="left" vertical="center" indent="2"/>
    </xf>
    <xf numFmtId="0" fontId="15" fillId="3" borderId="0" applyNumberFormat="0" applyBorder="0" applyAlignment="0" applyProtection="0"/>
    <xf numFmtId="0" fontId="13" fillId="4" borderId="0" applyNumberFormat="0" applyBorder="0" applyProtection="0">
      <alignment horizontal="center" vertical="center"/>
    </xf>
    <xf numFmtId="0" fontId="14" fillId="9" borderId="0" applyNumberFormat="0" applyBorder="0" applyAlignment="0" applyProtection="0"/>
    <xf numFmtId="0" fontId="13" fillId="5" borderId="0" applyNumberFormat="0" applyBorder="0" applyAlignment="0" applyProtection="0"/>
    <xf numFmtId="0" fontId="15" fillId="7" borderId="0" applyNumberFormat="0" applyBorder="0" applyAlignment="0" applyProtection="0"/>
    <xf numFmtId="0" fontId="13" fillId="6" borderId="0" applyNumberFormat="0" applyBorder="0" applyAlignment="0" applyProtection="0"/>
    <xf numFmtId="0" fontId="14" fillId="15" borderId="0" applyNumberFormat="0" applyBorder="0" applyAlignment="0" applyProtection="0"/>
    <xf numFmtId="0" fontId="13" fillId="8" borderId="0" applyNumberFormat="0" applyBorder="0" applyAlignment="0" applyProtection="0"/>
    <xf numFmtId="0" fontId="15" fillId="15" borderId="0" applyNumberFormat="0" applyBorder="0" applyAlignment="0" applyProtection="0"/>
    <xf numFmtId="0" fontId="13" fillId="18" borderId="0" applyNumberFormat="0" applyBorder="0" applyAlignment="0" applyProtection="0"/>
    <xf numFmtId="0" fontId="14" fillId="17" borderId="0" applyNumberFormat="0" applyBorder="0" applyAlignment="0" applyProtection="0"/>
    <xf numFmtId="0" fontId="15" fillId="16" borderId="0" applyNumberFormat="0" applyBorder="0" applyAlignment="0" applyProtection="0"/>
    <xf numFmtId="0" fontId="15" fillId="19" borderId="0" applyNumberFormat="0" applyBorder="0" applyAlignment="0" applyProtection="0"/>
    <xf numFmtId="0" fontId="14" fillId="10" borderId="0" applyNumberFormat="0" applyBorder="0" applyAlignment="0" applyProtection="0"/>
    <xf numFmtId="0" fontId="15" fillId="11" borderId="0" applyNumberFormat="0" applyBorder="0" applyAlignment="0" applyProtection="0"/>
    <xf numFmtId="0" fontId="13" fillId="2" borderId="0" applyNumberFormat="0" applyBorder="0" applyAlignment="0" applyProtection="0"/>
    <xf numFmtId="0" fontId="14" fillId="12" borderId="0" applyNumberFormat="0" applyBorder="0" applyProtection="0">
      <alignment horizontal="left" vertical="center" indent="1"/>
    </xf>
    <xf numFmtId="0" fontId="14" fillId="13" borderId="0" applyNumberFormat="0" applyBorder="0" applyAlignment="0" applyProtection="0"/>
    <xf numFmtId="0" fontId="14" fillId="14" borderId="0" applyNumberFormat="0" applyBorder="0" applyAlignment="0" applyProtection="0"/>
    <xf numFmtId="1" fontId="13" fillId="0" borderId="0" applyFill="0" applyBorder="0" applyProtection="0">
      <alignment horizontal="center" vertical="center"/>
    </xf>
    <xf numFmtId="0" fontId="13" fillId="0" borderId="0" applyNumberFormat="0" applyFill="0" applyBorder="0">
      <alignment horizontal="left" vertical="center" wrapText="1" indent="2"/>
    </xf>
    <xf numFmtId="0" fontId="20" fillId="0" borderId="0">
      <alignment horizontal="center"/>
    </xf>
    <xf numFmtId="165" fontId="15" fillId="0" borderId="0" applyFont="0" applyFill="0" applyBorder="0" applyAlignment="0" applyProtection="0">
      <alignment vertical="center"/>
    </xf>
    <xf numFmtId="164" fontId="15" fillId="0" borderId="0" applyFont="0" applyFill="0" applyBorder="0" applyAlignment="0" applyProtection="0">
      <alignment vertical="center"/>
    </xf>
    <xf numFmtId="44" fontId="15" fillId="0" borderId="0" applyFont="0" applyFill="0" applyBorder="0" applyAlignment="0" applyProtection="0">
      <alignment vertical="center"/>
    </xf>
    <xf numFmtId="42" fontId="15" fillId="0" borderId="0" applyFont="0" applyFill="0" applyBorder="0" applyAlignment="0" applyProtection="0">
      <alignment vertical="center"/>
    </xf>
    <xf numFmtId="9" fontId="15" fillId="0" borderId="0" applyFont="0" applyFill="0" applyBorder="0" applyAlignment="0" applyProtection="0">
      <alignment vertical="center"/>
    </xf>
    <xf numFmtId="0" fontId="22" fillId="22" borderId="0" applyNumberFormat="0" applyBorder="0" applyAlignment="0" applyProtection="0">
      <alignment vertical="center"/>
    </xf>
    <xf numFmtId="0" fontId="17" fillId="23" borderId="0" applyNumberFormat="0" applyBorder="0" applyAlignment="0" applyProtection="0">
      <alignment vertical="center"/>
    </xf>
    <xf numFmtId="0" fontId="27" fillId="24" borderId="0" applyNumberFormat="0" applyBorder="0" applyAlignment="0" applyProtection="0">
      <alignment vertical="center"/>
    </xf>
    <xf numFmtId="0" fontId="25" fillId="25" borderId="5" applyNumberFormat="0" applyAlignment="0" applyProtection="0">
      <alignment vertical="center"/>
    </xf>
    <xf numFmtId="0" fontId="28" fillId="26" borderId="6" applyNumberFormat="0" applyAlignment="0" applyProtection="0">
      <alignment vertical="center"/>
    </xf>
    <xf numFmtId="0" fontId="18" fillId="26" borderId="5" applyNumberFormat="0" applyAlignment="0" applyProtection="0">
      <alignment vertical="center"/>
    </xf>
    <xf numFmtId="0" fontId="26" fillId="0" borderId="7" applyNumberFormat="0" applyFill="0" applyAlignment="0" applyProtection="0">
      <alignment vertical="center"/>
    </xf>
    <xf numFmtId="0" fontId="19" fillId="27" borderId="8" applyNumberFormat="0" applyAlignment="0" applyProtection="0">
      <alignment vertical="center"/>
    </xf>
    <xf numFmtId="0" fontId="30" fillId="0" borderId="0" applyNumberFormat="0" applyFill="0" applyBorder="0" applyAlignment="0" applyProtection="0">
      <alignment vertical="center"/>
    </xf>
    <xf numFmtId="0" fontId="15" fillId="28" borderId="9" applyNumberFormat="0" applyFont="0" applyAlignment="0" applyProtection="0">
      <alignment vertical="center"/>
    </xf>
    <xf numFmtId="0" fontId="21" fillId="0" borderId="0" applyNumberFormat="0" applyFill="0" applyBorder="0" applyAlignment="0" applyProtection="0">
      <alignment vertical="center"/>
    </xf>
    <xf numFmtId="0" fontId="12" fillId="29" borderId="0" applyNumberFormat="0" applyBorder="0" applyAlignment="0" applyProtection="0">
      <alignment vertical="center"/>
    </xf>
    <xf numFmtId="0" fontId="12" fillId="30" borderId="0" applyNumberFormat="0" applyBorder="0" applyAlignment="0" applyProtection="0">
      <alignment vertical="center"/>
    </xf>
    <xf numFmtId="0" fontId="16" fillId="31" borderId="0" applyNumberFormat="0" applyBorder="0" applyAlignment="0" applyProtection="0">
      <alignment vertical="center"/>
    </xf>
    <xf numFmtId="0" fontId="12" fillId="32" borderId="0" applyNumberFormat="0" applyBorder="0" applyAlignment="0" applyProtection="0">
      <alignment vertical="center"/>
    </xf>
    <xf numFmtId="0" fontId="12" fillId="33" borderId="0" applyNumberFormat="0" applyBorder="0" applyAlignment="0" applyProtection="0">
      <alignment vertical="center"/>
    </xf>
  </cellStyleXfs>
  <cellXfs count="84">
    <xf numFmtId="0" fontId="0" fillId="0" borderId="0" xfId="0">
      <alignment horizontal="left" vertical="center"/>
    </xf>
    <xf numFmtId="0" fontId="0" fillId="0" borderId="0" xfId="0" applyAlignment="1">
      <alignment horizontal="center" vertical="center"/>
    </xf>
    <xf numFmtId="0" fontId="13" fillId="0" borderId="0" xfId="26" applyFill="1" applyBorder="1">
      <alignment horizontal="left" vertical="center" wrapText="1" indent="2"/>
    </xf>
    <xf numFmtId="1" fontId="13" fillId="0" borderId="0" xfId="25" applyFill="1" applyBorder="1" applyProtection="1">
      <alignment horizontal="center" vertical="center"/>
    </xf>
    <xf numFmtId="166" fontId="0" fillId="0" borderId="0" xfId="0" applyNumberFormat="1" applyAlignment="1">
      <alignment horizontal="center" vertical="center"/>
    </xf>
    <xf numFmtId="0" fontId="0" fillId="0" borderId="0" xfId="0" applyAlignment="1">
      <alignment horizontal="left" vertical="center" indent="1"/>
    </xf>
    <xf numFmtId="0" fontId="24" fillId="0" borderId="0" xfId="3" applyFill="1" applyProtection="1">
      <alignment horizontal="center" vertical="center"/>
    </xf>
    <xf numFmtId="0" fontId="14" fillId="0" borderId="0" xfId="4" applyFill="1" applyAlignment="1" applyProtection="1">
      <alignment horizontal="left" vertical="center" indent="1"/>
    </xf>
    <xf numFmtId="0" fontId="0" fillId="0" borderId="1" xfId="0" applyBorder="1">
      <alignment horizontal="left" vertical="center"/>
    </xf>
    <xf numFmtId="0" fontId="29" fillId="0" borderId="2" xfId="1" applyBorder="1" applyAlignment="1" applyProtection="1">
      <alignment vertical="center"/>
    </xf>
    <xf numFmtId="0" fontId="0" fillId="0" borderId="2" xfId="0" applyBorder="1">
      <alignment horizontal="left" vertical="center"/>
    </xf>
    <xf numFmtId="0" fontId="0" fillId="0" borderId="0" xfId="0" applyAlignment="1">
      <alignment horizontal="left" vertical="top"/>
    </xf>
    <xf numFmtId="0" fontId="4" fillId="0" borderId="0" xfId="1" applyFont="1" applyAlignment="1" applyProtection="1">
      <alignment horizontal="left" indent="1"/>
    </xf>
    <xf numFmtId="0" fontId="0" fillId="0" borderId="0" xfId="0" applyAlignment="1">
      <alignment horizontal="left" wrapText="1" indent="1"/>
    </xf>
    <xf numFmtId="0" fontId="0" fillId="0" borderId="0" xfId="0" applyAlignment="1">
      <alignment horizontal="left" indent="1"/>
    </xf>
    <xf numFmtId="0" fontId="0" fillId="0" borderId="3" xfId="0" applyBorder="1" applyAlignment="1">
      <alignment horizontal="left" indent="1"/>
    </xf>
    <xf numFmtId="0" fontId="0" fillId="0" borderId="4" xfId="0" applyBorder="1">
      <alignment horizontal="left" vertical="center"/>
    </xf>
    <xf numFmtId="0" fontId="20" fillId="0" borderId="4" xfId="27" applyBorder="1">
      <alignment horizontal="center"/>
    </xf>
    <xf numFmtId="0" fontId="2" fillId="0" borderId="0" xfId="0" applyFont="1" applyAlignment="1">
      <alignment horizontal="center" vertical="center"/>
    </xf>
    <xf numFmtId="0" fontId="13" fillId="0" borderId="0" xfId="21" applyFill="1" applyBorder="1" applyAlignment="1" applyProtection="1">
      <alignment horizontal="left" vertical="center" indent="1"/>
    </xf>
    <xf numFmtId="0" fontId="1" fillId="0" borderId="0" xfId="0" applyFont="1" applyAlignment="1">
      <alignment horizontal="center" vertical="center"/>
    </xf>
    <xf numFmtId="0" fontId="13" fillId="21" borderId="0" xfId="21" applyFill="1" applyBorder="1" applyAlignment="1" applyProtection="1">
      <alignment horizontal="center" vertical="center"/>
    </xf>
    <xf numFmtId="0" fontId="5" fillId="0" borderId="0" xfId="3" applyFont="1" applyFill="1" applyAlignment="1" applyProtection="1">
      <alignment horizontal="left" vertical="top"/>
    </xf>
    <xf numFmtId="0" fontId="7" fillId="0" borderId="0" xfId="1" applyFont="1" applyAlignment="1" applyProtection="1">
      <alignment horizontal="left" indent="1"/>
    </xf>
    <xf numFmtId="0" fontId="8" fillId="0" borderId="0" xfId="3" applyFont="1" applyFill="1" applyAlignment="1" applyProtection="1">
      <alignment vertical="top"/>
    </xf>
    <xf numFmtId="0" fontId="8" fillId="0" borderId="0" xfId="3" applyFont="1" applyFill="1" applyAlignment="1" applyProtection="1">
      <alignment horizontal="left" vertical="top"/>
    </xf>
    <xf numFmtId="0" fontId="9" fillId="10" borderId="0" xfId="19" applyFont="1" applyAlignment="1" applyProtection="1">
      <alignment horizontal="center" vertical="center"/>
    </xf>
    <xf numFmtId="0" fontId="9" fillId="13" borderId="0" xfId="23" applyFont="1" applyAlignment="1" applyProtection="1">
      <alignment horizontal="center" vertical="center"/>
    </xf>
    <xf numFmtId="0" fontId="9" fillId="15" borderId="0" xfId="12" applyFont="1" applyAlignment="1" applyProtection="1">
      <alignment horizontal="center" vertical="center"/>
    </xf>
    <xf numFmtId="0" fontId="10" fillId="0" borderId="0" xfId="3" applyFont="1" applyFill="1" applyAlignment="1" applyProtection="1">
      <alignment horizontal="left" vertical="top"/>
    </xf>
    <xf numFmtId="0" fontId="11" fillId="0" borderId="0" xfId="3" applyFont="1" applyFill="1" applyAlignment="1" applyProtection="1">
      <alignment horizontal="left" vertical="top"/>
    </xf>
    <xf numFmtId="0" fontId="11" fillId="0" borderId="0" xfId="3" applyFont="1" applyFill="1" applyAlignment="1" applyProtection="1">
      <alignment vertical="top"/>
    </xf>
    <xf numFmtId="0" fontId="13" fillId="0" borderId="0" xfId="21" applyFill="1" applyAlignment="1" applyProtection="1">
      <alignment vertical="center"/>
    </xf>
    <xf numFmtId="0" fontId="32" fillId="34" borderId="11" xfId="0" applyFont="1" applyFill="1" applyBorder="1" applyAlignment="1">
      <alignment horizontal="center" vertical="center"/>
    </xf>
    <xf numFmtId="0" fontId="33" fillId="0" borderId="0" xfId="0" applyFont="1">
      <alignment horizontal="left" vertical="center"/>
    </xf>
    <xf numFmtId="0" fontId="14" fillId="21" borderId="0" xfId="21" applyFont="1" applyFill="1" applyBorder="1" applyAlignment="1" applyProtection="1">
      <alignment horizontal="center" vertical="center"/>
    </xf>
    <xf numFmtId="0" fontId="14" fillId="21" borderId="10" xfId="21" applyFont="1" applyFill="1" applyBorder="1" applyAlignment="1">
      <alignment horizontal="center" vertical="center"/>
    </xf>
    <xf numFmtId="0" fontId="33" fillId="0" borderId="0" xfId="0" applyFont="1" applyAlignment="1">
      <alignment horizontal="center" vertical="center"/>
    </xf>
    <xf numFmtId="0" fontId="33" fillId="0" borderId="13" xfId="0" applyFont="1" applyBorder="1" applyAlignment="1">
      <alignment horizontal="center" vertical="center"/>
    </xf>
    <xf numFmtId="0" fontId="33" fillId="0" borderId="14" xfId="0" applyFont="1" applyBorder="1" applyAlignment="1">
      <alignment horizontal="center" vertical="center"/>
    </xf>
    <xf numFmtId="0" fontId="33" fillId="0" borderId="15" xfId="0" applyFont="1" applyBorder="1" applyAlignment="1">
      <alignment horizontal="center" vertical="center"/>
    </xf>
    <xf numFmtId="0" fontId="33" fillId="0" borderId="16" xfId="0" applyFont="1" applyBorder="1" applyAlignment="1">
      <alignment horizontal="center" vertical="center"/>
    </xf>
    <xf numFmtId="0" fontId="33" fillId="0" borderId="17" xfId="0" applyFont="1" applyBorder="1" applyAlignment="1">
      <alignment horizontal="center" vertical="center"/>
    </xf>
    <xf numFmtId="0" fontId="33" fillId="0" borderId="18" xfId="0" applyFont="1" applyBorder="1" applyAlignment="1">
      <alignment horizontal="center" vertical="center"/>
    </xf>
    <xf numFmtId="0" fontId="33" fillId="0" borderId="19" xfId="0" applyFont="1" applyBorder="1" applyAlignment="1">
      <alignment horizontal="center" vertical="center"/>
    </xf>
    <xf numFmtId="0" fontId="33" fillId="0" borderId="20" xfId="0" applyFont="1" applyBorder="1" applyAlignment="1">
      <alignment horizontal="center" vertical="center"/>
    </xf>
    <xf numFmtId="0" fontId="33" fillId="0" borderId="21" xfId="0" applyFont="1" applyBorder="1" applyAlignment="1">
      <alignment horizontal="center" vertical="center"/>
    </xf>
    <xf numFmtId="0" fontId="33" fillId="0" borderId="22" xfId="0" applyFont="1" applyBorder="1" applyAlignment="1">
      <alignment horizontal="centerContinuous" vertical="center"/>
    </xf>
    <xf numFmtId="0" fontId="33" fillId="0" borderId="23" xfId="0" applyFont="1" applyBorder="1" applyAlignment="1">
      <alignment horizontal="centerContinuous" vertical="center"/>
    </xf>
    <xf numFmtId="0" fontId="33" fillId="0" borderId="24" xfId="0" applyFont="1" applyBorder="1" applyAlignment="1">
      <alignment horizontal="centerContinuous" vertical="center"/>
    </xf>
    <xf numFmtId="0" fontId="9" fillId="15" borderId="22" xfId="12" applyFont="1" applyBorder="1" applyAlignment="1" applyProtection="1">
      <alignment horizontal="center" vertical="center"/>
    </xf>
    <xf numFmtId="0" fontId="9" fillId="10" borderId="23" xfId="19" applyFont="1" applyBorder="1" applyAlignment="1" applyProtection="1">
      <alignment horizontal="center" vertical="center"/>
    </xf>
    <xf numFmtId="0" fontId="32" fillId="34" borderId="25" xfId="0" applyFont="1" applyFill="1" applyBorder="1" applyAlignment="1">
      <alignment horizontal="center" vertical="center"/>
    </xf>
    <xf numFmtId="0" fontId="32" fillId="34" borderId="26" xfId="0" applyFont="1" applyFill="1" applyBorder="1" applyAlignment="1">
      <alignment horizontal="center" vertical="center"/>
    </xf>
    <xf numFmtId="0" fontId="33" fillId="0" borderId="27" xfId="0" applyFont="1" applyBorder="1" applyAlignment="1">
      <alignment horizontal="left" vertical="center" wrapText="1"/>
    </xf>
    <xf numFmtId="0" fontId="33" fillId="0" borderId="28" xfId="0" applyFont="1" applyBorder="1" applyAlignment="1">
      <alignment horizontal="center" vertical="center"/>
    </xf>
    <xf numFmtId="0" fontId="33" fillId="0" borderId="29" xfId="0" applyFont="1" applyBorder="1" applyAlignment="1">
      <alignment horizontal="center" vertical="center"/>
    </xf>
    <xf numFmtId="0" fontId="33" fillId="0" borderId="30" xfId="0" applyFont="1" applyBorder="1" applyAlignment="1">
      <alignment horizontal="center" vertical="center"/>
    </xf>
    <xf numFmtId="0" fontId="33" fillId="0" borderId="31" xfId="0" applyFont="1" applyBorder="1" applyAlignment="1">
      <alignment horizontal="center" vertical="center"/>
    </xf>
    <xf numFmtId="0" fontId="9" fillId="15" borderId="12" xfId="12" applyFont="1" applyBorder="1" applyAlignment="1" applyProtection="1">
      <alignment horizontal="center" vertical="center"/>
    </xf>
    <xf numFmtId="0" fontId="9" fillId="10" borderId="3" xfId="19" applyFont="1" applyBorder="1" applyAlignment="1" applyProtection="1">
      <alignment horizontal="center" vertical="center"/>
    </xf>
    <xf numFmtId="0" fontId="32" fillId="34" borderId="32" xfId="0" applyFont="1" applyFill="1" applyBorder="1" applyAlignment="1">
      <alignment horizontal="center" vertical="center"/>
    </xf>
    <xf numFmtId="0" fontId="32" fillId="34" borderId="33" xfId="0" applyFont="1" applyFill="1" applyBorder="1" applyAlignment="1">
      <alignment horizontal="center" vertical="center"/>
    </xf>
    <xf numFmtId="0" fontId="33" fillId="0" borderId="34" xfId="0" applyFont="1" applyBorder="1" applyAlignment="1">
      <alignment horizontal="center" vertical="center"/>
    </xf>
    <xf numFmtId="0" fontId="33" fillId="0" borderId="35" xfId="0" applyFont="1" applyBorder="1" applyAlignment="1">
      <alignment horizontal="center" vertical="center"/>
    </xf>
    <xf numFmtId="0" fontId="33" fillId="0" borderId="36" xfId="0" applyFont="1" applyBorder="1" applyAlignment="1">
      <alignment horizontal="center" vertical="center"/>
    </xf>
    <xf numFmtId="0" fontId="33" fillId="0" borderId="37" xfId="0" applyFont="1" applyBorder="1" applyAlignment="1">
      <alignment horizontal="center" vertical="center"/>
    </xf>
    <xf numFmtId="0" fontId="33" fillId="0" borderId="38" xfId="0" applyFont="1" applyBorder="1" applyAlignment="1">
      <alignment horizontal="center" vertical="center"/>
    </xf>
    <xf numFmtId="0" fontId="33" fillId="0" borderId="39" xfId="0" applyFont="1" applyBorder="1" applyAlignment="1">
      <alignment horizontal="center" vertical="center"/>
    </xf>
    <xf numFmtId="0" fontId="33" fillId="0" borderId="40" xfId="0" applyFont="1" applyBorder="1" applyAlignment="1">
      <alignment horizontal="center" vertical="center"/>
    </xf>
    <xf numFmtId="0" fontId="0" fillId="0" borderId="41" xfId="0" applyBorder="1">
      <alignment horizontal="left" vertical="center"/>
    </xf>
    <xf numFmtId="0" fontId="0" fillId="0" borderId="42" xfId="0" applyBorder="1">
      <alignment horizontal="left" vertical="center"/>
    </xf>
    <xf numFmtId="0" fontId="3" fillId="0" borderId="43" xfId="0" applyFont="1" applyBorder="1" applyAlignment="1"/>
    <xf numFmtId="0" fontId="0" fillId="0" borderId="44" xfId="0" applyBorder="1">
      <alignment horizontal="left" vertical="center"/>
    </xf>
    <xf numFmtId="0" fontId="0" fillId="0" borderId="45" xfId="0" applyBorder="1">
      <alignment horizontal="left" vertical="center"/>
    </xf>
    <xf numFmtId="0" fontId="3" fillId="0" borderId="46" xfId="0" applyFont="1" applyBorder="1" applyAlignment="1"/>
    <xf numFmtId="0" fontId="3" fillId="0" borderId="47" xfId="0" applyFont="1" applyBorder="1" applyAlignment="1"/>
    <xf numFmtId="0" fontId="0" fillId="0" borderId="48" xfId="0" applyBorder="1">
      <alignment horizontal="left" vertical="center"/>
    </xf>
    <xf numFmtId="0" fontId="0" fillId="0" borderId="49" xfId="0" applyBorder="1">
      <alignment horizontal="left" vertical="center"/>
    </xf>
    <xf numFmtId="0" fontId="24" fillId="0" borderId="0" xfId="3" applyFill="1" applyAlignment="1" applyProtection="1">
      <alignment horizontal="left" vertical="center"/>
    </xf>
    <xf numFmtId="0" fontId="13" fillId="0" borderId="0" xfId="21" applyFill="1" applyAlignment="1" applyProtection="1">
      <alignment horizontal="left" vertical="center" indent="1"/>
    </xf>
    <xf numFmtId="0" fontId="33" fillId="0" borderId="50" xfId="0" applyFont="1" applyBorder="1" applyAlignment="1">
      <alignment horizontal="center" vertical="center"/>
    </xf>
    <xf numFmtId="0" fontId="33" fillId="0" borderId="51" xfId="0" applyFont="1" applyBorder="1" applyAlignment="1">
      <alignment horizontal="center" vertical="center"/>
    </xf>
    <xf numFmtId="0" fontId="33" fillId="0" borderId="52" xfId="0" applyFont="1" applyBorder="1" applyAlignment="1">
      <alignment horizontal="center"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061">
    <dxf>
      <alignment horizontal="center" vertical="center" textRotation="0" wrapText="0" indent="0" justifyLastLine="0" shrinkToFit="0" readingOrder="0"/>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0"/>
      </font>
      <fill>
        <patternFill>
          <bgColor theme="6" tint="0.3999450666829432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color theme="3"/>
      </font>
      <border>
        <vertical/>
        <horizontal/>
      </border>
    </dxf>
    <dxf>
      <font>
        <color theme="0"/>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6" tint="0.39994506668294322"/>
        </patternFill>
      </fill>
    </dxf>
    <dxf>
      <font>
        <color theme="1"/>
      </font>
      <fill>
        <patternFill>
          <bgColor theme="5" tint="0.59996337778862885"/>
        </patternFill>
      </fill>
    </dxf>
    <dxf>
      <font>
        <color theme="1"/>
      </font>
      <fill>
        <patternFill>
          <bgColor theme="4" tint="0.39994506668294322"/>
        </patternFill>
      </fill>
    </dxf>
    <dxf>
      <font>
        <color theme="1"/>
      </font>
      <fill>
        <patternFill>
          <bgColor theme="7" tint="0.59996337778862885"/>
        </patternFill>
      </fill>
    </dxf>
    <dxf>
      <font>
        <color theme="1"/>
      </font>
      <fill>
        <patternFill>
          <bgColor theme="8" tint="0.59996337778862885"/>
        </patternFill>
      </fill>
    </dxf>
    <dxf>
      <font>
        <color theme="0"/>
      </font>
      <fill>
        <patternFill>
          <bgColor theme="6" tint="0.39994506668294322"/>
        </patternFill>
      </fill>
    </dxf>
    <dxf>
      <font>
        <color theme="1"/>
      </font>
      <fill>
        <patternFill>
          <bgColor theme="5" tint="0.59996337778862885"/>
        </patternFill>
      </fill>
    </dxf>
    <dxf>
      <font>
        <color theme="1"/>
      </font>
      <fill>
        <patternFill>
          <bgColor theme="4" tint="0.3999450666829432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5" tint="0.59996337778862885"/>
        </patternFill>
      </fill>
    </dxf>
    <dxf>
      <font>
        <color theme="1"/>
      </font>
      <fill>
        <patternFill>
          <bgColor theme="4" tint="0.39994506668294322"/>
        </patternFill>
      </fill>
    </dxf>
    <dxf>
      <font>
        <color theme="0"/>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5" tint="0.59996337778862885"/>
        </patternFill>
      </fill>
    </dxf>
    <dxf>
      <font>
        <color theme="1"/>
      </font>
      <fill>
        <patternFill>
          <bgColor theme="4" tint="0.39994506668294322"/>
        </patternFill>
      </fill>
    </dxf>
    <dxf>
      <font>
        <color theme="1"/>
      </font>
      <fill>
        <patternFill>
          <bgColor theme="8" tint="0.59996337778862885"/>
        </patternFill>
      </fill>
    </dxf>
    <dxf>
      <font>
        <color theme="1"/>
      </font>
      <fill>
        <patternFill>
          <bgColor theme="7" tint="0.59996337778862885"/>
        </patternFill>
      </fill>
    </dxf>
    <dxf>
      <font>
        <color theme="1"/>
      </font>
      <fill>
        <patternFill>
          <bgColor theme="6" tint="0.39994506668294322"/>
        </patternFill>
      </fill>
    </dxf>
    <dxf>
      <font>
        <color theme="1"/>
      </font>
      <fill>
        <patternFill>
          <bgColor theme="4" tint="0.39994506668294322"/>
        </patternFill>
      </fill>
    </dxf>
    <dxf>
      <font>
        <color theme="1"/>
      </font>
      <fill>
        <patternFill>
          <bgColor theme="5" tint="0.59996337778862885"/>
        </patternFill>
      </fill>
    </dxf>
    <dxf>
      <font>
        <color theme="0"/>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8" tint="0.59996337778862885"/>
        </patternFill>
      </fill>
    </dxf>
    <dxf>
      <font>
        <color theme="1"/>
      </font>
      <fill>
        <patternFill>
          <bgColor theme="7" tint="0.59996337778862885"/>
        </patternFill>
      </fill>
    </dxf>
    <dxf>
      <font>
        <color theme="0"/>
      </font>
      <fill>
        <patternFill>
          <bgColor theme="6" tint="0.39994506668294322"/>
        </patternFill>
      </fill>
    </dxf>
    <dxf>
      <font>
        <color theme="1"/>
      </font>
      <fill>
        <patternFill>
          <bgColor theme="5" tint="0.59996337778862885"/>
        </patternFill>
      </fill>
    </dxf>
    <dxf>
      <font>
        <color theme="1"/>
      </font>
      <fill>
        <patternFill>
          <bgColor theme="4" tint="0.39994506668294322"/>
        </patternFill>
      </fill>
    </dxf>
    <dxf>
      <border diagonalUp="0" diagonalDown="0">
        <left style="thin">
          <color indexed="64"/>
        </left>
        <right style="thin">
          <color indexed="64"/>
        </right>
        <top style="hair">
          <color indexed="64"/>
        </top>
        <bottom style="hair">
          <color indexed="64"/>
        </bottom>
        <vertical/>
        <horizontal style="hair">
          <color indexed="64"/>
        </horizontal>
      </border>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numFmt numFmtId="166" formatCode="0;0;"/>
      <alignment horizontal="center" vertical="center" textRotation="0" wrapText="0" indent="0" justifyLastLine="0" shrinkToFit="0" readingOrder="0"/>
    </dxf>
    <dxf>
      <font>
        <b val="0"/>
        <i val="0"/>
        <strike val="0"/>
        <outline val="0"/>
        <shadow val="0"/>
        <u val="none"/>
        <vertAlign val="baseline"/>
        <sz val="11"/>
        <color theme="0"/>
        <name val="Calibri"/>
        <family val="2"/>
        <scheme val="minor"/>
      </font>
      <protection locked="1" hidden="0"/>
    </dxf>
    <dxf>
      <alignment horizontal="left" vertical="center" textRotation="0" wrapText="0" indent="1" justifyLastLine="0" shrinkToFit="0" readingOrder="0"/>
    </dxf>
    <dxf>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alignment horizontal="center" vertical="center" textRotation="0" wrapText="0" indent="0" justifyLastLine="0" shrinkToFit="0" readingOrder="0"/>
    </dxf>
    <dxf>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5" tint="0.399945066682943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top style="thick">
          <color theme="5" tint="0.59996337778862885"/>
        </top>
        <bottom style="thick">
          <color theme="5" tint="0.59996337778862885"/>
        </bottom>
        <vertical style="thin">
          <color theme="0"/>
        </vertical>
        <horizontal style="thick">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b/>
        <i val="0"/>
        <color theme="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theme="1"/>
      </font>
      <fill>
        <patternFill patternType="none">
          <bgColor auto="1"/>
        </patternFill>
      </fill>
      <border>
        <left/>
        <right/>
        <top style="thin">
          <color theme="5" tint="0.59996337778862885"/>
        </top>
        <bottom style="thin">
          <color theme="5" tint="0.59996337778862885"/>
        </bottom>
        <vertical/>
        <horizontal style="thin">
          <color theme="5" tint="0.59996337778862885"/>
        </horizontal>
      </border>
    </dxf>
    <dxf>
      <font>
        <color theme="1"/>
      </font>
      <fill>
        <patternFill>
          <bgColor theme="5" tint="0.39994506668294322"/>
        </patternFill>
      </fill>
      <border diagonalUp="0" diagonalDown="0">
        <left style="thin">
          <color theme="0"/>
        </left>
        <right style="thin">
          <color theme="0"/>
        </right>
        <top style="thick">
          <color theme="0"/>
        </top>
        <bottom style="thick">
          <color theme="5"/>
        </bottom>
        <vertical style="thick">
          <color theme="0"/>
        </vertical>
        <horizontal/>
      </border>
    </dxf>
    <dxf>
      <font>
        <color theme="0"/>
      </font>
      <fill>
        <patternFill>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theme="0"/>
      </font>
      <border diagonalUp="0" diagonalDown="0">
        <left/>
        <right/>
        <top/>
        <bottom style="thick">
          <color theme="0"/>
        </bottom>
        <vertical style="thick">
          <color theme="0"/>
        </vertical>
        <horizontal style="thick">
          <color theme="0"/>
        </horizontal>
      </border>
    </dxf>
    <dxf>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theme="1"/>
      </font>
      <fill>
        <patternFill patternType="solid">
          <fgColor theme="5" tint="0.39994506668294322"/>
          <bgColor theme="5" tint="0.39991454817346722"/>
        </patternFill>
      </fill>
      <border diagonalUp="0" diagonalDown="0">
        <left/>
        <right/>
        <top style="thin">
          <color theme="5" tint="0.59996337778862885"/>
        </top>
        <bottom style="thick">
          <color theme="5"/>
        </bottom>
        <vertical style="thick">
          <color theme="0"/>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ont>
        <color auto="1"/>
      </font>
      <fill>
        <patternFill patternType="none">
          <bgColor auto="1"/>
        </patternFill>
      </fill>
      <border diagonalUp="0" diagonalDown="0">
        <left/>
        <right/>
        <top style="thin">
          <color theme="5" tint="0.59996337778862885"/>
        </top>
        <bottom style="thin">
          <color theme="5" tint="0.59996337778862885"/>
        </bottom>
        <vertical/>
        <horizontal style="thin">
          <color theme="5" tint="0.59996337778862885"/>
        </horizontal>
      </border>
    </dxf>
    <dxf>
      <fill>
        <patternFill>
          <bgColor theme="5" tint="0.79998168889431442"/>
        </patternFill>
      </fill>
      <border>
        <top style="thick">
          <color theme="0"/>
        </top>
        <bottom style="thick">
          <color theme="0"/>
        </bottom>
        <horizontal style="thick">
          <color theme="0"/>
        </horizontal>
      </border>
    </dxf>
    <dxf>
      <fill>
        <patternFill patternType="none">
          <fgColor auto="1"/>
          <bgColor auto="1"/>
        </patternFill>
      </fill>
      <border>
        <top style="thick">
          <color theme="0"/>
        </top>
        <bottom style="thick">
          <color theme="0"/>
        </bottom>
        <horizontal style="thick">
          <color theme="0"/>
        </horizontal>
      </border>
    </dxf>
    <dxf>
      <font>
        <color auto="1"/>
      </font>
      <fill>
        <patternFill>
          <fgColor theme="5" tint="0.39994506668294322"/>
          <bgColor theme="5" tint="0.39991454817346722"/>
        </patternFill>
      </fill>
      <border diagonalUp="0" diagonalDown="0">
        <left style="thin">
          <color theme="0"/>
        </left>
        <right style="thin">
          <color theme="0"/>
        </right>
        <top style="thin">
          <color theme="5" tint="0.59996337778862885"/>
        </top>
        <bottom style="thick">
          <color theme="5"/>
        </bottom>
        <vertical style="thick">
          <color theme="0"/>
        </vertical>
        <horizontal style="thin">
          <color theme="5" tint="0.59996337778862885"/>
        </horizontal>
      </border>
    </dxf>
    <dxf>
      <font>
        <color theme="0"/>
      </font>
      <fill>
        <patternFill>
          <fgColor theme="5" tint="-0.24994659260841701"/>
          <bgColor theme="5" tint="-0.24994659260841701"/>
        </patternFill>
      </fill>
      <border>
        <top style="thin">
          <color theme="5" tint="0.59996337778862885"/>
        </top>
        <bottom style="thin">
          <color theme="5" tint="0.59996337778862885"/>
        </bottom>
        <horizontal style="thin">
          <color theme="5" tint="0.59996337778862885"/>
        </horizontal>
      </border>
    </dxf>
    <dxf>
      <font>
        <b/>
        <i val="0"/>
        <color auto="1"/>
      </font>
      <border diagonalUp="0" diagonalDown="0">
        <left style="thin">
          <color theme="0"/>
        </left>
        <right/>
        <top style="thin">
          <color theme="0"/>
        </top>
        <bottom style="thin">
          <color theme="0"/>
        </bottom>
        <vertical style="thick">
          <color theme="0"/>
        </vertical>
        <horizontal style="thick">
          <color theme="0"/>
        </horizontal>
      </border>
    </dxf>
  </dxfs>
  <tableStyles count="2" defaultPivotStyle="PivotStyleLight16">
    <tableStyle name="Tableau des absences des employés" pivot="0" count="9" xr9:uid="{00000000-0011-0000-FFFF-FFFF00000000}">
      <tableStyleElement type="wholeTable" dxfId="1060"/>
      <tableStyleElement type="headerRow" dxfId="1059"/>
      <tableStyleElement type="totalRow" dxfId="1058"/>
      <tableStyleElement type="firstRowStripe" dxfId="1057"/>
      <tableStyleElement type="secondRowStripe" dxfId="1056"/>
      <tableStyleElement type="firstHeaderCell" dxfId="1055"/>
      <tableStyleElement type="lastHeaderCell" dxfId="1054"/>
      <tableStyleElement type="firstTotalCell" dxfId="1053"/>
      <tableStyleElement type="lastTotalCell" dxfId="1052"/>
    </tableStyle>
    <tableStyle name="Tableau des absences des employés 2" pivot="0" count="13" xr9:uid="{3374F2B5-EC6B-E245-A90B-F84953DFCF99}">
      <tableStyleElement type="wholeTable" dxfId="1051"/>
      <tableStyleElement type="headerRow" dxfId="1050"/>
      <tableStyleElement type="totalRow" dxfId="1049"/>
      <tableStyleElement type="firstColumn" dxfId="1048"/>
      <tableStyleElement type="lastColumn" dxfId="1047"/>
      <tableStyleElement type="firstRowStripe" dxfId="1046"/>
      <tableStyleElement type="secondRowStripe" dxfId="1045"/>
      <tableStyleElement type="firstColumnStripe" dxfId="1044"/>
      <tableStyleElement type="secondColumnStripe" dxfId="1043"/>
      <tableStyleElement type="firstHeaderCell" dxfId="1042"/>
      <tableStyleElement type="lastHeaderCell" dxfId="1041"/>
      <tableStyleElement type="firstTotalCell" dxfId="1040"/>
      <tableStyleElement type="lastTotalCell" dxfId="103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8:AH14" totalsRowCount="1" headerRowDxfId="1038" dataDxfId="1037" totalsRowDxfId="1036">
  <autoFilter ref="B8:AH13"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1035" totalsRowDxfId="33" dataCellStyle="Employé">
      <totalsRowFormula>NomMois&amp;" total"</totalsRowFormula>
    </tableColumn>
    <tableColumn id="2" xr3:uid="{00000000-0010-0000-0000-000002000000}" name="1" totalsRowFunction="custom" dataDxfId="1034" totalsRowDxfId="32" dataCellStyle="Total">
      <totalsRowFormula>SUBTOTAL(103,Janvier!$C$9:$C$13)</totalsRowFormula>
    </tableColumn>
    <tableColumn id="3" xr3:uid="{00000000-0010-0000-0000-000003000000}" name="2" totalsRowFunction="custom" dataDxfId="1033" totalsRowDxfId="31" dataCellStyle="Total">
      <totalsRowFormula>SUBTOTAL(103,Janvier!$D$9:$D$13)</totalsRowFormula>
    </tableColumn>
    <tableColumn id="4" xr3:uid="{00000000-0010-0000-0000-000004000000}" name="3" totalsRowFunction="custom" dataDxfId="1032" totalsRowDxfId="30" dataCellStyle="Total">
      <totalsRowFormula>SUBTOTAL(103,Janvier!$E$9:$E$13)</totalsRowFormula>
    </tableColumn>
    <tableColumn id="5" xr3:uid="{00000000-0010-0000-0000-000005000000}" name="4" totalsRowFunction="custom" dataDxfId="1031" totalsRowDxfId="29" dataCellStyle="Total">
      <totalsRowFormula>SUBTOTAL(103,Janvier!$F$9:$F$13)</totalsRowFormula>
    </tableColumn>
    <tableColumn id="6" xr3:uid="{00000000-0010-0000-0000-000006000000}" name="5" totalsRowFunction="custom" totalsRowDxfId="28" dataCellStyle="Total">
      <totalsRowFormula>SUBTOTAL(103,Janvier!$G$9:$G$13)</totalsRowFormula>
    </tableColumn>
    <tableColumn id="7" xr3:uid="{00000000-0010-0000-0000-000007000000}" name="6" totalsRowFunction="custom" dataDxfId="1030" totalsRowDxfId="27" dataCellStyle="Total">
      <totalsRowFormula>SUBTOTAL(103,Janvier!$H$9:$H$13)</totalsRowFormula>
    </tableColumn>
    <tableColumn id="8" xr3:uid="{00000000-0010-0000-0000-000008000000}" name="7" totalsRowFunction="custom" dataDxfId="1029" totalsRowDxfId="26" dataCellStyle="Total">
      <totalsRowFormula>SUBTOTAL(103,Janvier!$I$9:$I$13)</totalsRowFormula>
    </tableColumn>
    <tableColumn id="9" xr3:uid="{00000000-0010-0000-0000-000009000000}" name="8" totalsRowFunction="custom" dataDxfId="1028" totalsRowDxfId="25" dataCellStyle="Total">
      <totalsRowFormula>SUBTOTAL(103,Janvier!$J$9:$J$13)</totalsRowFormula>
    </tableColumn>
    <tableColumn id="10" xr3:uid="{00000000-0010-0000-0000-00000A000000}" name="9" totalsRowFunction="custom" dataDxfId="1027" totalsRowDxfId="24" dataCellStyle="Total">
      <totalsRowFormula>SUBTOTAL(103,Janvier!$K$9:$K$13)</totalsRowFormula>
    </tableColumn>
    <tableColumn id="11" xr3:uid="{00000000-0010-0000-0000-00000B000000}" name="10" totalsRowFunction="custom" dataDxfId="1026" totalsRowDxfId="23" dataCellStyle="Total">
      <totalsRowFormula>SUBTOTAL(103,Janvier!$L$9:$L$13)</totalsRowFormula>
    </tableColumn>
    <tableColumn id="12" xr3:uid="{00000000-0010-0000-0000-00000C000000}" name="11" totalsRowFunction="custom" dataDxfId="1025" totalsRowDxfId="22" dataCellStyle="Total">
      <totalsRowFormula>SUBTOTAL(103,Janvier!$M$9:$M$13)</totalsRowFormula>
    </tableColumn>
    <tableColumn id="13" xr3:uid="{00000000-0010-0000-0000-00000D000000}" name="12" totalsRowFunction="custom" dataDxfId="1024" totalsRowDxfId="21" dataCellStyle="Total">
      <totalsRowFormula>SUBTOTAL(103,Janvier!$N$9:$N$13)</totalsRowFormula>
    </tableColumn>
    <tableColumn id="14" xr3:uid="{00000000-0010-0000-0000-00000E000000}" name="13" totalsRowFunction="custom" dataDxfId="1023" totalsRowDxfId="20" dataCellStyle="Total">
      <totalsRowFormula>SUBTOTAL(103,Janvier!$O$9:$O$13)</totalsRowFormula>
    </tableColumn>
    <tableColumn id="15" xr3:uid="{00000000-0010-0000-0000-00000F000000}" name="14" totalsRowFunction="custom" dataDxfId="1022" totalsRowDxfId="19" dataCellStyle="Total">
      <totalsRowFormula>SUBTOTAL(103,Janvier!$P$9:$P$13)</totalsRowFormula>
    </tableColumn>
    <tableColumn id="16" xr3:uid="{00000000-0010-0000-0000-000010000000}" name="15" totalsRowFunction="custom" dataDxfId="1021" totalsRowDxfId="18" dataCellStyle="Total">
      <totalsRowFormula>SUBTOTAL(103,Janvier!$Q$9:$Q$13)</totalsRowFormula>
    </tableColumn>
    <tableColumn id="17" xr3:uid="{00000000-0010-0000-0000-000011000000}" name="16" totalsRowFunction="custom" dataDxfId="1020" totalsRowDxfId="17" dataCellStyle="Total">
      <totalsRowFormula>SUBTOTAL(103,Janvier!$R$9:$R$13)</totalsRowFormula>
    </tableColumn>
    <tableColumn id="18" xr3:uid="{00000000-0010-0000-0000-000012000000}" name="17" totalsRowFunction="custom" dataDxfId="1019" totalsRowDxfId="16" dataCellStyle="Total">
      <totalsRowFormula>SUBTOTAL(103,Janvier!$S$9:$S$13)</totalsRowFormula>
    </tableColumn>
    <tableColumn id="19" xr3:uid="{00000000-0010-0000-0000-000013000000}" name="18" totalsRowFunction="custom" dataDxfId="1018" totalsRowDxfId="15" dataCellStyle="Total">
      <totalsRowFormula>SUBTOTAL(103,Janvier!$T$9:$T$13)</totalsRowFormula>
    </tableColumn>
    <tableColumn id="20" xr3:uid="{00000000-0010-0000-0000-000014000000}" name="19" totalsRowFunction="custom" dataDxfId="1017" totalsRowDxfId="14" dataCellStyle="Total">
      <totalsRowFormula>SUBTOTAL(103,Janvier!$U$9:$U$13)</totalsRowFormula>
    </tableColumn>
    <tableColumn id="21" xr3:uid="{00000000-0010-0000-0000-000015000000}" name="20" totalsRowFunction="custom" dataDxfId="1016" totalsRowDxfId="13" dataCellStyle="Total">
      <totalsRowFormula>SUBTOTAL(103,Janvier!$V$9:$V$13)</totalsRowFormula>
    </tableColumn>
    <tableColumn id="22" xr3:uid="{00000000-0010-0000-0000-000016000000}" name="21" totalsRowFunction="custom" dataDxfId="1015" totalsRowDxfId="12" dataCellStyle="Total">
      <totalsRowFormula>SUBTOTAL(103,Janvier!$W$9:$W$13)</totalsRowFormula>
    </tableColumn>
    <tableColumn id="23" xr3:uid="{00000000-0010-0000-0000-000017000000}" name="22" totalsRowFunction="custom" dataDxfId="1014" totalsRowDxfId="11" dataCellStyle="Total">
      <totalsRowFormula>SUBTOTAL(103,Janvier!$X$9:$X$13)</totalsRowFormula>
    </tableColumn>
    <tableColumn id="24" xr3:uid="{00000000-0010-0000-0000-000018000000}" name="23" totalsRowFunction="custom" dataDxfId="1013" totalsRowDxfId="10" dataCellStyle="Total">
      <totalsRowFormula>SUBTOTAL(103,Janvier!$Y$9:$Y$13)</totalsRowFormula>
    </tableColumn>
    <tableColumn id="25" xr3:uid="{00000000-0010-0000-0000-000019000000}" name="24" totalsRowFunction="custom" dataDxfId="1012" totalsRowDxfId="9" dataCellStyle="Total">
      <totalsRowFormula>SUBTOTAL(103,Janvier!$Z$9:$Z$13)</totalsRowFormula>
    </tableColumn>
    <tableColumn id="26" xr3:uid="{00000000-0010-0000-0000-00001A000000}" name="25" totalsRowFunction="custom" dataDxfId="1011" totalsRowDxfId="8" dataCellStyle="Total">
      <totalsRowFormula>SUBTOTAL(103,Janvier!$AA$9:$AA$13)</totalsRowFormula>
    </tableColumn>
    <tableColumn id="27" xr3:uid="{00000000-0010-0000-0000-00001B000000}" name="26" totalsRowFunction="custom" dataDxfId="1010" totalsRowDxfId="7" dataCellStyle="Total">
      <totalsRowFormula>SUBTOTAL(103,Janvier!$AB$9:$AB$13)</totalsRowFormula>
    </tableColumn>
    <tableColumn id="28" xr3:uid="{00000000-0010-0000-0000-00001C000000}" name="27" totalsRowFunction="custom" dataDxfId="1009" totalsRowDxfId="6" dataCellStyle="Total">
      <totalsRowFormula>SUBTOTAL(103,Janvier!$AC$9:$AC$13)</totalsRowFormula>
    </tableColumn>
    <tableColumn id="29" xr3:uid="{00000000-0010-0000-0000-00001D000000}" name="28" totalsRowFunction="custom" dataDxfId="1008" totalsRowDxfId="5" dataCellStyle="Total">
      <totalsRowFormula>SUBTOTAL(103,Janvier!$AD$9:$AD$13)</totalsRowFormula>
    </tableColumn>
    <tableColumn id="30" xr3:uid="{00000000-0010-0000-0000-00001E000000}" name="29" totalsRowFunction="custom" dataDxfId="1007" totalsRowDxfId="4" dataCellStyle="Total">
      <totalsRowFormula>SUBTOTAL(103,Janvier!$AE$9:$AE$13)</totalsRowFormula>
    </tableColumn>
    <tableColumn id="31" xr3:uid="{00000000-0010-0000-0000-00001F000000}" name="30" totalsRowFunction="custom" dataDxfId="1006" totalsRowDxfId="3" dataCellStyle="Total">
      <totalsRowFormula>SUBTOTAL(103,Janvier!$AF$9:$AF$13)</totalsRowFormula>
    </tableColumn>
    <tableColumn id="32" xr3:uid="{00000000-0010-0000-0000-000020000000}" name="31" totalsRowFunction="custom" dataDxfId="0" totalsRowDxfId="2" dataCellStyle="Total">
      <totalsRowFormula>SUBTOTAL(103,Janvier!$AG$9:$AG$13)</totalsRowFormula>
    </tableColumn>
    <tableColumn id="33" xr3:uid="{00000000-0010-0000-0000-000021000000}" name="Total abscences" totalsRowFunction="sum" dataDxfId="1005" totalsRowDxfId="1" dataCellStyle="Total">
      <calculatedColumnFormula>COUNTA(Janvier!$C9:$AG9)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8:AH14" totalsRowCount="1" headerRowDxfId="1004" dataDxfId="1003" totalsRowDxfId="1002">
  <tableColumns count="33">
    <tableColumn id="1" xr3:uid="{00000000-0010-0000-0100-000001000000}" name="Nom de l’employé" totalsRowFunction="custom" dataDxfId="1001" totalsRowDxfId="1000" dataCellStyle="Employé">
      <totalsRowFormula>NomMois&amp;" total"</totalsRowFormula>
    </tableColumn>
    <tableColumn id="2" xr3:uid="{00000000-0010-0000-0100-000002000000}" name="1" totalsRowFunction="count" dataDxfId="999" totalsRowDxfId="998" dataCellStyle="Total"/>
    <tableColumn id="3" xr3:uid="{00000000-0010-0000-0100-000003000000}" name="2" totalsRowFunction="count" dataDxfId="997" totalsRowDxfId="996" dataCellStyle="Total"/>
    <tableColumn id="4" xr3:uid="{00000000-0010-0000-0100-000004000000}" name="3" totalsRowFunction="count" dataDxfId="995" totalsRowDxfId="994" dataCellStyle="Total"/>
    <tableColumn id="5" xr3:uid="{00000000-0010-0000-0100-000005000000}" name="4" totalsRowFunction="count" dataDxfId="993" totalsRowDxfId="992" dataCellStyle="Total"/>
    <tableColumn id="6" xr3:uid="{00000000-0010-0000-0100-000006000000}" name="5" totalsRowFunction="count" dataDxfId="991" totalsRowDxfId="990" dataCellStyle="Total"/>
    <tableColumn id="7" xr3:uid="{00000000-0010-0000-0100-000007000000}" name="6" totalsRowFunction="count" dataDxfId="989" totalsRowDxfId="988" dataCellStyle="Total"/>
    <tableColumn id="8" xr3:uid="{00000000-0010-0000-0100-000008000000}" name="7" totalsRowFunction="count" dataDxfId="987" totalsRowDxfId="986" dataCellStyle="Total"/>
    <tableColumn id="9" xr3:uid="{00000000-0010-0000-0100-000009000000}" name="8" totalsRowFunction="count" dataDxfId="985" totalsRowDxfId="984" dataCellStyle="Total"/>
    <tableColumn id="10" xr3:uid="{00000000-0010-0000-0100-00000A000000}" name="9" totalsRowFunction="count" dataDxfId="983" totalsRowDxfId="982" dataCellStyle="Total"/>
    <tableColumn id="11" xr3:uid="{00000000-0010-0000-0100-00000B000000}" name="10" totalsRowFunction="count" dataDxfId="981" totalsRowDxfId="980" dataCellStyle="Total"/>
    <tableColumn id="12" xr3:uid="{00000000-0010-0000-0100-00000C000000}" name="11" totalsRowFunction="count" dataDxfId="979" totalsRowDxfId="978" dataCellStyle="Total"/>
    <tableColumn id="13" xr3:uid="{00000000-0010-0000-0100-00000D000000}" name="12" totalsRowFunction="count" dataDxfId="977" totalsRowDxfId="976" dataCellStyle="Total"/>
    <tableColumn id="14" xr3:uid="{00000000-0010-0000-0100-00000E000000}" name="13" totalsRowFunction="count" dataDxfId="975" totalsRowDxfId="974" dataCellStyle="Total"/>
    <tableColumn id="15" xr3:uid="{00000000-0010-0000-0100-00000F000000}" name="14" totalsRowFunction="count" dataDxfId="973" totalsRowDxfId="972" dataCellStyle="Total"/>
    <tableColumn id="16" xr3:uid="{00000000-0010-0000-0100-000010000000}" name="15" totalsRowFunction="count" dataDxfId="971" totalsRowDxfId="970" dataCellStyle="Total"/>
    <tableColumn id="17" xr3:uid="{00000000-0010-0000-0100-000011000000}" name="16" totalsRowFunction="count" dataDxfId="969" totalsRowDxfId="968" dataCellStyle="Total"/>
    <tableColumn id="18" xr3:uid="{00000000-0010-0000-0100-000012000000}" name="17" totalsRowFunction="count" dataDxfId="967" totalsRowDxfId="966" dataCellStyle="Total"/>
    <tableColumn id="19" xr3:uid="{00000000-0010-0000-0100-000013000000}" name="18" totalsRowFunction="count" dataDxfId="965" totalsRowDxfId="964" dataCellStyle="Total"/>
    <tableColumn id="20" xr3:uid="{00000000-0010-0000-0100-000014000000}" name="19" totalsRowFunction="count" dataDxfId="963" totalsRowDxfId="962" dataCellStyle="Total"/>
    <tableColumn id="21" xr3:uid="{00000000-0010-0000-0100-000015000000}" name="20" totalsRowFunction="count" dataDxfId="961" totalsRowDxfId="960" dataCellStyle="Total"/>
    <tableColumn id="22" xr3:uid="{00000000-0010-0000-0100-000016000000}" name="21" totalsRowFunction="count" dataDxfId="959" totalsRowDxfId="958" dataCellStyle="Total"/>
    <tableColumn id="23" xr3:uid="{00000000-0010-0000-0100-000017000000}" name="22" totalsRowFunction="count" dataDxfId="957" totalsRowDxfId="956" dataCellStyle="Total"/>
    <tableColumn id="24" xr3:uid="{00000000-0010-0000-0100-000018000000}" name="23" totalsRowFunction="count" dataDxfId="955" totalsRowDxfId="954" dataCellStyle="Total"/>
    <tableColumn id="25" xr3:uid="{00000000-0010-0000-0100-000019000000}" name="24" totalsRowFunction="count" dataDxfId="953" totalsRowDxfId="952" dataCellStyle="Total"/>
    <tableColumn id="26" xr3:uid="{00000000-0010-0000-0100-00001A000000}" name="25" totalsRowFunction="count" dataDxfId="951" totalsRowDxfId="950" dataCellStyle="Total"/>
    <tableColumn id="27" xr3:uid="{00000000-0010-0000-0100-00001B000000}" name="26" totalsRowFunction="count" dataDxfId="949" totalsRowDxfId="948" dataCellStyle="Total"/>
    <tableColumn id="28" xr3:uid="{00000000-0010-0000-0100-00001C000000}" name="27" totalsRowFunction="count" dataDxfId="947" totalsRowDxfId="946" dataCellStyle="Total"/>
    <tableColumn id="29" xr3:uid="{00000000-0010-0000-0100-00001D000000}" name="28" totalsRowFunction="count" dataDxfId="945" totalsRowDxfId="944" dataCellStyle="Total"/>
    <tableColumn id="30" xr3:uid="{00000000-0010-0000-0100-00001E000000}" name="29" totalsRowFunction="count" dataDxfId="943" totalsRowDxfId="942" dataCellStyle="Total"/>
    <tableColumn id="31" xr3:uid="{00000000-0010-0000-0100-00001F000000}" name=" " dataDxfId="941" totalsRowDxfId="940" dataCellStyle="Total"/>
    <tableColumn id="32" xr3:uid="{00000000-0010-0000-0100-000020000000}" name="  " dataDxfId="939" totalsRowDxfId="938" dataCellStyle="Total"/>
    <tableColumn id="33" xr3:uid="{00000000-0010-0000-0100-000021000000}" name="Total des jours" totalsRowFunction="sum" dataDxfId="937" totalsRowDxfId="936" dataCellStyle="Total">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8:AH14" totalsRowCount="1" headerRowDxfId="935" dataDxfId="934" totalsRowDxfId="933">
  <tableColumns count="33">
    <tableColumn id="1" xr3:uid="{00000000-0010-0000-0200-000001000000}" name="Nom de l’employé" totalsRowFunction="custom" dataDxfId="932" totalsRowDxfId="931" dataCellStyle="Employé">
      <totalsRowFormula>NomMois&amp;" Total"</totalsRowFormula>
    </tableColumn>
    <tableColumn id="2" xr3:uid="{00000000-0010-0000-0200-000002000000}" name="1" totalsRowFunction="count" dataDxfId="930" totalsRowDxfId="929"/>
    <tableColumn id="3" xr3:uid="{00000000-0010-0000-0200-000003000000}" name="2" totalsRowFunction="count" dataDxfId="928" totalsRowDxfId="927"/>
    <tableColumn id="4" xr3:uid="{00000000-0010-0000-0200-000004000000}" name="3" totalsRowFunction="count" dataDxfId="926" totalsRowDxfId="925"/>
    <tableColumn id="5" xr3:uid="{00000000-0010-0000-0200-000005000000}" name="4" totalsRowFunction="count" dataDxfId="924" totalsRowDxfId="923"/>
    <tableColumn id="6" xr3:uid="{00000000-0010-0000-0200-000006000000}" name="5" totalsRowFunction="count" dataDxfId="922" totalsRowDxfId="921"/>
    <tableColumn id="7" xr3:uid="{00000000-0010-0000-0200-000007000000}" name="6" totalsRowFunction="count" dataDxfId="920" totalsRowDxfId="919"/>
    <tableColumn id="8" xr3:uid="{00000000-0010-0000-0200-000008000000}" name="7" totalsRowFunction="count" dataDxfId="918" totalsRowDxfId="917"/>
    <tableColumn id="9" xr3:uid="{00000000-0010-0000-0200-000009000000}" name="8" totalsRowFunction="count" dataDxfId="916" totalsRowDxfId="915"/>
    <tableColumn id="10" xr3:uid="{00000000-0010-0000-0200-00000A000000}" name="9" totalsRowFunction="count" dataDxfId="914" totalsRowDxfId="913"/>
    <tableColumn id="11" xr3:uid="{00000000-0010-0000-0200-00000B000000}" name="10" totalsRowFunction="count" dataDxfId="912" totalsRowDxfId="911"/>
    <tableColumn id="12" xr3:uid="{00000000-0010-0000-0200-00000C000000}" name="11" totalsRowFunction="count" dataDxfId="910" totalsRowDxfId="909"/>
    <tableColumn id="13" xr3:uid="{00000000-0010-0000-0200-00000D000000}" name="12" totalsRowFunction="count" dataDxfId="908" totalsRowDxfId="907"/>
    <tableColumn id="14" xr3:uid="{00000000-0010-0000-0200-00000E000000}" name="13" totalsRowFunction="count" dataDxfId="906" totalsRowDxfId="905"/>
    <tableColumn id="15" xr3:uid="{00000000-0010-0000-0200-00000F000000}" name="14" totalsRowFunction="count" dataDxfId="904" totalsRowDxfId="903"/>
    <tableColumn id="16" xr3:uid="{00000000-0010-0000-0200-000010000000}" name="15" totalsRowFunction="count" dataDxfId="902" totalsRowDxfId="901"/>
    <tableColumn id="17" xr3:uid="{00000000-0010-0000-0200-000011000000}" name="16" totalsRowFunction="count" dataDxfId="900" totalsRowDxfId="899"/>
    <tableColumn id="18" xr3:uid="{00000000-0010-0000-0200-000012000000}" name="17" totalsRowFunction="count" dataDxfId="898" totalsRowDxfId="897"/>
    <tableColumn id="19" xr3:uid="{00000000-0010-0000-0200-000013000000}" name="18" totalsRowFunction="count" dataDxfId="896" totalsRowDxfId="895"/>
    <tableColumn id="20" xr3:uid="{00000000-0010-0000-0200-000014000000}" name="19" totalsRowFunction="count" dataDxfId="894" totalsRowDxfId="893"/>
    <tableColumn id="21" xr3:uid="{00000000-0010-0000-0200-000015000000}" name="20" totalsRowFunction="count" dataDxfId="892" totalsRowDxfId="891"/>
    <tableColumn id="22" xr3:uid="{00000000-0010-0000-0200-000016000000}" name="21" totalsRowFunction="count" dataDxfId="890" totalsRowDxfId="889"/>
    <tableColumn id="23" xr3:uid="{00000000-0010-0000-0200-000017000000}" name="22" totalsRowFunction="count" dataDxfId="888" totalsRowDxfId="887"/>
    <tableColumn id="24" xr3:uid="{00000000-0010-0000-0200-000018000000}" name="23" totalsRowFunction="count" dataDxfId="886" totalsRowDxfId="885"/>
    <tableColumn id="25" xr3:uid="{00000000-0010-0000-0200-000019000000}" name="24" totalsRowFunction="count" dataDxfId="884" totalsRowDxfId="883"/>
    <tableColumn id="26" xr3:uid="{00000000-0010-0000-0200-00001A000000}" name="25" totalsRowFunction="count" dataDxfId="882" totalsRowDxfId="881"/>
    <tableColumn id="27" xr3:uid="{00000000-0010-0000-0200-00001B000000}" name="26" totalsRowFunction="count" dataDxfId="880" totalsRowDxfId="879"/>
    <tableColumn id="28" xr3:uid="{00000000-0010-0000-0200-00001C000000}" name="27" totalsRowFunction="count" dataDxfId="878" totalsRowDxfId="877"/>
    <tableColumn id="29" xr3:uid="{00000000-0010-0000-0200-00001D000000}" name="28" totalsRowFunction="count" dataDxfId="876" totalsRowDxfId="875"/>
    <tableColumn id="30" xr3:uid="{00000000-0010-0000-0200-00001E000000}" name="29" totalsRowFunction="count" dataDxfId="874" totalsRowDxfId="873"/>
    <tableColumn id="31" xr3:uid="{00000000-0010-0000-0200-00001F000000}" name="30" totalsRowFunction="sum" dataDxfId="872" totalsRowDxfId="871"/>
    <tableColumn id="32" xr3:uid="{00000000-0010-0000-0200-000020000000}" name="31" totalsRowFunction="sum" dataDxfId="870" totalsRowDxfId="869" dataCellStyle="Total"/>
    <tableColumn id="33" xr3:uid="{00000000-0010-0000-0200-000021000000}" name="Total des jours" totalsRowFunction="sum" dataDxfId="868" totalsRowDxfId="867"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F0214BC2-F1A9-794B-922E-B532EC6BBFDF}" name="March5" displayName="March5" ref="B8:AH14" totalsRowCount="1" headerRowDxfId="866" dataDxfId="865" totalsRowDxfId="864">
  <tableColumns count="33">
    <tableColumn id="1" xr3:uid="{5251F992-E710-C643-B160-C37BB2131D31}" name="Nom de l’employé" totalsRowFunction="custom" dataDxfId="863" totalsRowDxfId="862" dataCellStyle="Employé">
      <totalsRowFormula>NomMois&amp;" Total"</totalsRowFormula>
    </tableColumn>
    <tableColumn id="2" xr3:uid="{9AEC3AA3-9F0E-4B4E-A8ED-026BAE9C428F}" name="1" totalsRowFunction="count" dataDxfId="861" totalsRowDxfId="860"/>
    <tableColumn id="3" xr3:uid="{55750F7A-05DD-CB41-95C5-BE1F874725AE}" name="2" totalsRowFunction="count" dataDxfId="859" totalsRowDxfId="858"/>
    <tableColumn id="4" xr3:uid="{259912E4-C37B-5145-B99B-93F989E18A49}" name="3" totalsRowFunction="count" dataDxfId="857" totalsRowDxfId="856"/>
    <tableColumn id="5" xr3:uid="{44743504-4BFF-3B46-87DE-A0AE5C8C9FC0}" name="4" totalsRowFunction="count" dataDxfId="855" totalsRowDxfId="854"/>
    <tableColumn id="6" xr3:uid="{471BE969-F222-D642-8D1A-B386CCC29AB2}" name="5" totalsRowFunction="count" dataDxfId="853" totalsRowDxfId="852"/>
    <tableColumn id="7" xr3:uid="{35FEC3F2-5280-D342-A070-AB9A3C3BCF0A}" name="6" totalsRowFunction="count" dataDxfId="851" totalsRowDxfId="850"/>
    <tableColumn id="8" xr3:uid="{D4047C63-7046-5242-9483-0BC31BD18200}" name="7" totalsRowFunction="count" dataDxfId="849" totalsRowDxfId="848"/>
    <tableColumn id="9" xr3:uid="{79A2B7D0-444A-5942-9296-2BD32E471C66}" name="8" totalsRowFunction="count" dataDxfId="847" totalsRowDxfId="846"/>
    <tableColumn id="10" xr3:uid="{B46D113E-7D39-5A43-BAA4-11739C4AD0C2}" name="9" totalsRowFunction="count" dataDxfId="845" totalsRowDxfId="844"/>
    <tableColumn id="11" xr3:uid="{977EC8E9-AEB6-3E40-BE79-A406D4D3444D}" name="10" totalsRowFunction="count" dataDxfId="843" totalsRowDxfId="842"/>
    <tableColumn id="12" xr3:uid="{42883C66-F682-394E-8D72-6C0286CB27EA}" name="11" totalsRowFunction="count" dataDxfId="841" totalsRowDxfId="840"/>
    <tableColumn id="13" xr3:uid="{9A10401F-4CF0-8641-BCEB-2237315C8881}" name="12" totalsRowFunction="count" dataDxfId="839" totalsRowDxfId="838"/>
    <tableColumn id="14" xr3:uid="{9C8C4D04-BE8B-FB44-9666-B515D905B2D6}" name="13" totalsRowFunction="count" dataDxfId="837" totalsRowDxfId="836"/>
    <tableColumn id="15" xr3:uid="{E996717D-17EC-B048-A561-2AD987D342D0}" name="14" totalsRowFunction="count" dataDxfId="835" totalsRowDxfId="834"/>
    <tableColumn id="16" xr3:uid="{3BFEBF2B-F60F-A142-86F2-75C9DC96AFDB}" name="15" totalsRowFunction="count" dataDxfId="833" totalsRowDxfId="832"/>
    <tableColumn id="17" xr3:uid="{0C97EF54-1361-BE43-8F7F-1BCE23E1AB5A}" name="16" totalsRowFunction="count" dataDxfId="831" totalsRowDxfId="830"/>
    <tableColumn id="18" xr3:uid="{257791F4-E1CB-0642-BD3B-FB1B81C57DF1}" name="17" totalsRowFunction="count" dataDxfId="829" totalsRowDxfId="828"/>
    <tableColumn id="19" xr3:uid="{BB7AB6EF-7B76-5946-B53A-22DB3EB1F3FC}" name="18" totalsRowFunction="count" dataDxfId="827" totalsRowDxfId="826"/>
    <tableColumn id="20" xr3:uid="{85AEA6C3-1E60-234F-8E68-DD23536D850B}" name="19" totalsRowFunction="count" dataDxfId="825" totalsRowDxfId="824"/>
    <tableColumn id="21" xr3:uid="{A73B9507-91D4-9B42-8C0E-1E0FB67905F8}" name="20" totalsRowFunction="count" dataDxfId="823" totalsRowDxfId="822"/>
    <tableColumn id="22" xr3:uid="{5C7BDCBF-0A5A-4549-B80B-C8343893EAF7}" name="21" totalsRowFunction="count" dataDxfId="821" totalsRowDxfId="820"/>
    <tableColumn id="23" xr3:uid="{EC439ECF-E0C6-5D41-9DA2-07E3E82FF691}" name="22" totalsRowFunction="count" dataDxfId="819" totalsRowDxfId="818"/>
    <tableColumn id="24" xr3:uid="{97854A72-AEC9-604B-B1D4-06EC15436469}" name="23" totalsRowFunction="count" dataDxfId="817" totalsRowDxfId="816"/>
    <tableColumn id="25" xr3:uid="{F701FD79-E584-DF4B-83E9-A152532FDD15}" name="24" totalsRowFunction="count" dataDxfId="815" totalsRowDxfId="814"/>
    <tableColumn id="26" xr3:uid="{C662F6C1-F102-5942-8719-E32AD8792020}" name="25" totalsRowFunction="count" dataDxfId="813" totalsRowDxfId="812"/>
    <tableColumn id="27" xr3:uid="{50B9E2E5-9F39-0F45-AE9B-4555A77D295D}" name="26" totalsRowFunction="count" dataDxfId="811" totalsRowDxfId="810"/>
    <tableColumn id="28" xr3:uid="{3E4AF3CF-CB70-0842-B373-83CF59CBDA1D}" name="27" totalsRowFunction="count" dataDxfId="809" totalsRowDxfId="808"/>
    <tableColumn id="29" xr3:uid="{C5FCD875-31A1-4B41-AAF6-09E535D80C81}" name="28" totalsRowFunction="count" dataDxfId="807" totalsRowDxfId="806"/>
    <tableColumn id="30" xr3:uid="{84F06E67-080B-CA42-8EEC-59690B041A03}" name="29" totalsRowFunction="count" dataDxfId="805" totalsRowDxfId="804"/>
    <tableColumn id="31" xr3:uid="{284765D5-58F9-F440-84EA-ACE449176ACA}" name="30" totalsRowFunction="sum" dataDxfId="803" totalsRowDxfId="802"/>
    <tableColumn id="32" xr3:uid="{9C77C5AD-4E19-B843-B9BE-2909F268D667}" name=" " totalsRowFunction="sum" dataDxfId="801" totalsRowDxfId="800" dataCellStyle="Total"/>
    <tableColumn id="33" xr3:uid="{0DA7656D-8525-2046-AEDA-1F40E411BD0D}" name="Total des jours" totalsRowFunction="sum" dataDxfId="799" totalsRowDxfId="798" dataCellStyle="Total">
      <calculatedColumnFormula>COUNTA(March5[[#This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8E83FD69-EC79-6B43-9728-DBC90C3FDC77}" name="March58" displayName="March58" ref="B8:AH14" totalsRowCount="1" headerRowDxfId="797" dataDxfId="796" totalsRowDxfId="795">
  <tableColumns count="33">
    <tableColumn id="1" xr3:uid="{5910D0B6-76A8-1646-97A8-4AE2D1756125}" name="Nom de l’employé" totalsRowFunction="custom" dataDxfId="794" totalsRowDxfId="793" dataCellStyle="Employé">
      <totalsRowFormula>NomMois&amp;" Total"</totalsRowFormula>
    </tableColumn>
    <tableColumn id="2" xr3:uid="{69C27970-12EA-0E42-AF5F-351BA83FD215}" name="1" totalsRowFunction="count" dataDxfId="792" totalsRowDxfId="791"/>
    <tableColumn id="3" xr3:uid="{2DB67051-6E13-964F-86B0-B00AA9A5BFAF}" name="2" totalsRowFunction="count" dataDxfId="790" totalsRowDxfId="789"/>
    <tableColumn id="4" xr3:uid="{CF201FDD-65B9-BE4B-BE51-45EFCA258036}" name="3" totalsRowFunction="count" dataDxfId="788" totalsRowDxfId="787"/>
    <tableColumn id="5" xr3:uid="{E03823B4-0CCA-7D47-BCFD-4BB07A97D88C}" name="4" totalsRowFunction="count" dataDxfId="786" totalsRowDxfId="785"/>
    <tableColumn id="6" xr3:uid="{5F39FD90-2520-0847-B186-6CA5B07A072F}" name="5" totalsRowFunction="count" dataDxfId="784" totalsRowDxfId="783"/>
    <tableColumn id="7" xr3:uid="{D7992C25-6255-D54A-8B77-C3032B2914E8}" name="6" totalsRowFunction="count" dataDxfId="782" totalsRowDxfId="781"/>
    <tableColumn id="8" xr3:uid="{161AB8A2-4451-FA40-9408-833AFFC6D7CD}" name="7" totalsRowFunction="count" dataDxfId="780" totalsRowDxfId="779"/>
    <tableColumn id="9" xr3:uid="{82432B13-145C-AC4E-A84F-0C211DED3AEE}" name="8" totalsRowFunction="count" dataDxfId="778" totalsRowDxfId="777"/>
    <tableColumn id="10" xr3:uid="{994E3A00-A93E-8A4C-A93F-5DF73DB59AA5}" name="9" totalsRowFunction="count" dataDxfId="776" totalsRowDxfId="775"/>
    <tableColumn id="11" xr3:uid="{ADA642AC-6B5D-4749-B631-64A63466A02A}" name="10" totalsRowFunction="count" dataDxfId="774" totalsRowDxfId="773"/>
    <tableColumn id="12" xr3:uid="{E1D9D052-9150-4B4A-873C-04B0C9F0EAA0}" name="11" totalsRowFunction="count" dataDxfId="772" totalsRowDxfId="771"/>
    <tableColumn id="13" xr3:uid="{7804DD46-EEB3-7047-A68F-A81094B2F0E0}" name="12" totalsRowFunction="count" dataDxfId="770" totalsRowDxfId="769"/>
    <tableColumn id="14" xr3:uid="{39F98B96-5BF4-7747-A3D2-F58049C2C331}" name="13" totalsRowFunction="count" dataDxfId="768" totalsRowDxfId="767"/>
    <tableColumn id="15" xr3:uid="{8908FF7E-1791-CA41-8CF3-4A9F971974C3}" name="14" totalsRowFunction="count" dataDxfId="766" totalsRowDxfId="765"/>
    <tableColumn id="16" xr3:uid="{773FDBBE-AB42-A546-8329-8BDAEF4D06C4}" name="15" totalsRowFunction="count" dataDxfId="764" totalsRowDxfId="763"/>
    <tableColumn id="17" xr3:uid="{01EE92EC-B490-AF40-BDB2-290F1B1C3C58}" name="16" totalsRowFunction="count" dataDxfId="762" totalsRowDxfId="761"/>
    <tableColumn id="18" xr3:uid="{DF22A54C-2BE2-1340-BC66-FDDF323ABBE0}" name="17" totalsRowFunction="count" dataDxfId="760" totalsRowDxfId="759"/>
    <tableColumn id="19" xr3:uid="{BB1CDCA3-E15B-8D4E-ABE5-0D5BE02A950E}" name="18" totalsRowFunction="count" dataDxfId="758" totalsRowDxfId="757"/>
    <tableColumn id="20" xr3:uid="{4D5E657B-D9D2-8C4A-A4EB-E29B4B8BCF70}" name="19" totalsRowFunction="count" dataDxfId="756" totalsRowDxfId="755"/>
    <tableColumn id="21" xr3:uid="{B5D1019E-86BD-A146-A976-653D87FAC02B}" name="20" totalsRowFunction="count" dataDxfId="754" totalsRowDxfId="753"/>
    <tableColumn id="22" xr3:uid="{D1F7F5A1-B363-AC44-9332-4BA33D6CCEA8}" name="21" totalsRowFunction="count" dataDxfId="752" totalsRowDxfId="751"/>
    <tableColumn id="23" xr3:uid="{0EEDA366-AE45-0947-A354-D1B1BEB67F28}" name="22" totalsRowFunction="count" dataDxfId="750" totalsRowDxfId="749"/>
    <tableColumn id="24" xr3:uid="{8DB56569-FE6B-4249-B364-D76AC1D9BE79}" name="23" totalsRowFunction="count" dataDxfId="748" totalsRowDxfId="747"/>
    <tableColumn id="25" xr3:uid="{5BECBC0C-925A-8245-AD6D-847781A68957}" name="24" totalsRowFunction="count" dataDxfId="746" totalsRowDxfId="745"/>
    <tableColumn id="26" xr3:uid="{7D745BDB-6C53-8B4B-BA72-5FBDCB5D9CCC}" name="25" totalsRowFunction="count" dataDxfId="744" totalsRowDxfId="743"/>
    <tableColumn id="27" xr3:uid="{FA6FFB4C-5E6D-DA4E-8F87-EEC900B26695}" name="26" totalsRowFunction="count" dataDxfId="742" totalsRowDxfId="741"/>
    <tableColumn id="28" xr3:uid="{A50BDA94-D72B-C043-A8B2-E1E178EA827F}" name="27" totalsRowFunction="count" dataDxfId="740" totalsRowDxfId="739"/>
    <tableColumn id="29" xr3:uid="{D68B12D0-F485-FF42-B2E6-30EC0E2C418D}" name="28" totalsRowFunction="count" dataDxfId="738" totalsRowDxfId="737"/>
    <tableColumn id="30" xr3:uid="{695C2584-A6A5-D742-A768-02D19E90DEBC}" name="29" totalsRowFunction="count" dataDxfId="736" totalsRowDxfId="735"/>
    <tableColumn id="31" xr3:uid="{0B002160-8CE9-4B4E-A7A4-CFE8C54F8781}" name="30" totalsRowFunction="sum" dataDxfId="734" totalsRowDxfId="733"/>
    <tableColumn id="32" xr3:uid="{9A241B27-F77F-9E49-9678-7978D0423F17}" name="31" totalsRowFunction="sum" dataDxfId="732" totalsRowDxfId="731" dataCellStyle="Total"/>
    <tableColumn id="33" xr3:uid="{C85EB010-29D3-FD4A-9882-B705BDC3D2EF}" name="Total des jours" totalsRowFunction="sum" dataDxfId="730" totalsRowDxfId="729" dataCellStyle="Total">
      <calculatedColumnFormula>COUNTA(March58[[#This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8:AH14" totalsRowCount="1" headerRowDxfId="728" dataDxfId="727" totalsRowDxfId="726">
  <tableColumns count="33">
    <tableColumn id="1" xr3:uid="{00000000-0010-0000-0500-000001000000}" name="Nom de l’employé" totalsRowFunction="custom" dataDxfId="725" totalsRowDxfId="724" dataCellStyle="Employé">
      <totalsRowFormula>NomMois&amp;" Total"</totalsRowFormula>
    </tableColumn>
    <tableColumn id="2" xr3:uid="{00000000-0010-0000-0500-000002000000}" name="1" totalsRowFunction="count" dataDxfId="723" totalsRowDxfId="722"/>
    <tableColumn id="3" xr3:uid="{00000000-0010-0000-0500-000003000000}" name="2" totalsRowFunction="count" dataDxfId="721" totalsRowDxfId="720"/>
    <tableColumn id="4" xr3:uid="{00000000-0010-0000-0500-000004000000}" name="3" totalsRowFunction="count" dataDxfId="719" totalsRowDxfId="718"/>
    <tableColumn id="5" xr3:uid="{00000000-0010-0000-0500-000005000000}" name="4" totalsRowFunction="count" dataDxfId="717" totalsRowDxfId="716"/>
    <tableColumn id="6" xr3:uid="{00000000-0010-0000-0500-000006000000}" name="5" totalsRowFunction="count" dataDxfId="715" totalsRowDxfId="714"/>
    <tableColumn id="7" xr3:uid="{00000000-0010-0000-0500-000007000000}" name="6" totalsRowFunction="count" dataDxfId="713" totalsRowDxfId="712"/>
    <tableColumn id="8" xr3:uid="{00000000-0010-0000-0500-000008000000}" name="7" totalsRowFunction="count" dataDxfId="711" totalsRowDxfId="710"/>
    <tableColumn id="9" xr3:uid="{00000000-0010-0000-0500-000009000000}" name="8" totalsRowFunction="count" dataDxfId="709" totalsRowDxfId="708"/>
    <tableColumn id="10" xr3:uid="{00000000-0010-0000-0500-00000A000000}" name="9" totalsRowFunction="count" dataDxfId="707" totalsRowDxfId="706"/>
    <tableColumn id="11" xr3:uid="{00000000-0010-0000-0500-00000B000000}" name="10" totalsRowFunction="count" dataDxfId="705" totalsRowDxfId="704"/>
    <tableColumn id="12" xr3:uid="{00000000-0010-0000-0500-00000C000000}" name="11" totalsRowFunction="count" dataDxfId="703" totalsRowDxfId="702"/>
    <tableColumn id="13" xr3:uid="{00000000-0010-0000-0500-00000D000000}" name="12" totalsRowFunction="count" dataDxfId="701" totalsRowDxfId="700"/>
    <tableColumn id="14" xr3:uid="{00000000-0010-0000-0500-00000E000000}" name="13" totalsRowFunction="count" dataDxfId="699" totalsRowDxfId="698"/>
    <tableColumn id="15" xr3:uid="{00000000-0010-0000-0500-00000F000000}" name="14" totalsRowFunction="count" dataDxfId="697" totalsRowDxfId="696"/>
    <tableColumn id="16" xr3:uid="{00000000-0010-0000-0500-000010000000}" name="15" totalsRowFunction="count" dataDxfId="695" totalsRowDxfId="694"/>
    <tableColumn id="17" xr3:uid="{00000000-0010-0000-0500-000011000000}" name="16" totalsRowFunction="count" dataDxfId="693" totalsRowDxfId="692"/>
    <tableColumn id="18" xr3:uid="{00000000-0010-0000-0500-000012000000}" name="17" totalsRowFunction="count" dataDxfId="691" totalsRowDxfId="690"/>
    <tableColumn id="19" xr3:uid="{00000000-0010-0000-0500-000013000000}" name="18" totalsRowFunction="count" dataDxfId="689" totalsRowDxfId="688"/>
    <tableColumn id="20" xr3:uid="{00000000-0010-0000-0500-000014000000}" name="19" totalsRowFunction="count" dataDxfId="687" totalsRowDxfId="686"/>
    <tableColumn id="21" xr3:uid="{00000000-0010-0000-0500-000015000000}" name="20" totalsRowFunction="count" dataDxfId="685" totalsRowDxfId="684"/>
    <tableColumn id="22" xr3:uid="{00000000-0010-0000-0500-000016000000}" name="21" totalsRowFunction="count" dataDxfId="683" totalsRowDxfId="682"/>
    <tableColumn id="23" xr3:uid="{00000000-0010-0000-0500-000017000000}" name="22" totalsRowFunction="count" dataDxfId="681" totalsRowDxfId="680"/>
    <tableColumn id="24" xr3:uid="{00000000-0010-0000-0500-000018000000}" name="23" totalsRowFunction="count" dataDxfId="679" totalsRowDxfId="678"/>
    <tableColumn id="25" xr3:uid="{00000000-0010-0000-0500-000019000000}" name="24" totalsRowFunction="count" dataDxfId="677" totalsRowDxfId="676"/>
    <tableColumn id="26" xr3:uid="{00000000-0010-0000-0500-00001A000000}" name="25" totalsRowFunction="count" dataDxfId="675" totalsRowDxfId="674"/>
    <tableColumn id="27" xr3:uid="{00000000-0010-0000-0500-00001B000000}" name="26" totalsRowFunction="count" dataDxfId="673" totalsRowDxfId="672"/>
    <tableColumn id="28" xr3:uid="{00000000-0010-0000-0500-00001C000000}" name="27" totalsRowFunction="count" dataDxfId="671" totalsRowDxfId="670"/>
    <tableColumn id="29" xr3:uid="{00000000-0010-0000-0500-00001D000000}" name="28" totalsRowFunction="count" dataDxfId="669" totalsRowDxfId="668"/>
    <tableColumn id="30" xr3:uid="{00000000-0010-0000-0500-00001E000000}" name="29" totalsRowFunction="count" dataDxfId="667" totalsRowDxfId="666"/>
    <tableColumn id="31" xr3:uid="{00000000-0010-0000-0500-00001F000000}" name="30" totalsRowFunction="sum" dataDxfId="665" totalsRowDxfId="664"/>
    <tableColumn id="32" xr3:uid="{00000000-0010-0000-0500-000020000000}" name=" " totalsRowFunction="sum" dataDxfId="663" totalsRowDxfId="662" dataCellStyle="Total"/>
    <tableColumn id="33" xr3:uid="{00000000-0010-0000-0500-000021000000}" name="Total des jours" totalsRowFunction="sum" dataDxfId="661" totalsRowDxfId="660" dataCellStyle="Total">
      <calculatedColumnFormula>COUNTA(Juin[[#This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8:AH14" totalsRowCount="1" headerRowDxfId="659" dataDxfId="658" totalsRowDxfId="657">
  <tableColumns count="33">
    <tableColumn id="1" xr3:uid="{00000000-0010-0000-0600-000001000000}" name="Nom de l’employé" totalsRowFunction="custom" dataDxfId="656" totalsRowDxfId="655" dataCellStyle="Employé">
      <totalsRowFormula>NomMois&amp;" Total"</totalsRowFormula>
    </tableColumn>
    <tableColumn id="2" xr3:uid="{00000000-0010-0000-0600-000002000000}" name="1" totalsRowFunction="count" dataDxfId="654" totalsRowDxfId="653"/>
    <tableColumn id="3" xr3:uid="{00000000-0010-0000-0600-000003000000}" name="2" totalsRowFunction="count" dataDxfId="652" totalsRowDxfId="651"/>
    <tableColumn id="4" xr3:uid="{00000000-0010-0000-0600-000004000000}" name="3" totalsRowFunction="count" dataDxfId="650" totalsRowDxfId="649"/>
    <tableColumn id="5" xr3:uid="{00000000-0010-0000-0600-000005000000}" name="4" totalsRowFunction="count" dataDxfId="648" totalsRowDxfId="647"/>
    <tableColumn id="6" xr3:uid="{00000000-0010-0000-0600-000006000000}" name="5" totalsRowFunction="count" dataDxfId="646" totalsRowDxfId="645"/>
    <tableColumn id="7" xr3:uid="{00000000-0010-0000-0600-000007000000}" name="6" totalsRowFunction="count" dataDxfId="644" totalsRowDxfId="643"/>
    <tableColumn id="8" xr3:uid="{00000000-0010-0000-0600-000008000000}" name="7" totalsRowFunction="count" dataDxfId="642" totalsRowDxfId="641"/>
    <tableColumn id="9" xr3:uid="{00000000-0010-0000-0600-000009000000}" name="8" totalsRowFunction="count" dataDxfId="640" totalsRowDxfId="639"/>
    <tableColumn id="10" xr3:uid="{00000000-0010-0000-0600-00000A000000}" name="9" totalsRowFunction="count" dataDxfId="638" totalsRowDxfId="637"/>
    <tableColumn id="11" xr3:uid="{00000000-0010-0000-0600-00000B000000}" name="10" totalsRowFunction="count" dataDxfId="636" totalsRowDxfId="635"/>
    <tableColumn id="12" xr3:uid="{00000000-0010-0000-0600-00000C000000}" name="11" totalsRowFunction="count" dataDxfId="634" totalsRowDxfId="633"/>
    <tableColumn id="13" xr3:uid="{00000000-0010-0000-0600-00000D000000}" name="12" totalsRowFunction="count" dataDxfId="632" totalsRowDxfId="631"/>
    <tableColumn id="14" xr3:uid="{00000000-0010-0000-0600-00000E000000}" name="13" totalsRowFunction="count" dataDxfId="630" totalsRowDxfId="629"/>
    <tableColumn id="15" xr3:uid="{00000000-0010-0000-0600-00000F000000}" name="14" totalsRowFunction="count" dataDxfId="628" totalsRowDxfId="627"/>
    <tableColumn id="16" xr3:uid="{00000000-0010-0000-0600-000010000000}" name="15" totalsRowFunction="count" dataDxfId="626" totalsRowDxfId="625"/>
    <tableColumn id="17" xr3:uid="{00000000-0010-0000-0600-000011000000}" name="16" totalsRowFunction="count" dataDxfId="624" totalsRowDxfId="623"/>
    <tableColumn id="18" xr3:uid="{00000000-0010-0000-0600-000012000000}" name="17" totalsRowFunction="count" dataDxfId="622" totalsRowDxfId="621"/>
    <tableColumn id="19" xr3:uid="{00000000-0010-0000-0600-000013000000}" name="18" totalsRowFunction="count" dataDxfId="620" totalsRowDxfId="619"/>
    <tableColumn id="20" xr3:uid="{00000000-0010-0000-0600-000014000000}" name="19" totalsRowFunction="count" dataDxfId="618" totalsRowDxfId="617"/>
    <tableColumn id="21" xr3:uid="{00000000-0010-0000-0600-000015000000}" name="20" totalsRowFunction="count" dataDxfId="616" totalsRowDxfId="615"/>
    <tableColumn id="22" xr3:uid="{00000000-0010-0000-0600-000016000000}" name="21" totalsRowFunction="count" dataDxfId="614" totalsRowDxfId="613"/>
    <tableColumn id="23" xr3:uid="{00000000-0010-0000-0600-000017000000}" name="22" totalsRowFunction="count" dataDxfId="612" totalsRowDxfId="611"/>
    <tableColumn id="24" xr3:uid="{00000000-0010-0000-0600-000018000000}" name="23" totalsRowFunction="count" dataDxfId="610" totalsRowDxfId="609"/>
    <tableColumn id="25" xr3:uid="{00000000-0010-0000-0600-000019000000}" name="24" totalsRowFunction="count" dataDxfId="608" totalsRowDxfId="607"/>
    <tableColumn id="26" xr3:uid="{00000000-0010-0000-0600-00001A000000}" name="25" totalsRowFunction="count" dataDxfId="606" totalsRowDxfId="605"/>
    <tableColumn id="27" xr3:uid="{00000000-0010-0000-0600-00001B000000}" name="26" totalsRowFunction="count" dataDxfId="604" totalsRowDxfId="603"/>
    <tableColumn id="28" xr3:uid="{00000000-0010-0000-0600-00001C000000}" name="27" totalsRowFunction="count" dataDxfId="602" totalsRowDxfId="601"/>
    <tableColumn id="29" xr3:uid="{00000000-0010-0000-0600-00001D000000}" name="28" totalsRowFunction="count" dataDxfId="600" totalsRowDxfId="599"/>
    <tableColumn id="30" xr3:uid="{00000000-0010-0000-0600-00001E000000}" name="29" totalsRowFunction="count" dataDxfId="598" totalsRowDxfId="597"/>
    <tableColumn id="31" xr3:uid="{00000000-0010-0000-0600-00001F000000}" name="30" totalsRowFunction="sum" dataDxfId="596" totalsRowDxfId="595"/>
    <tableColumn id="32" xr3:uid="{00000000-0010-0000-0600-000020000000}" name="31" totalsRowFunction="sum" dataDxfId="594" totalsRowDxfId="593" dataCellStyle="Total"/>
    <tableColumn id="33" xr3:uid="{00000000-0010-0000-0600-000021000000}" name="Total des jours" totalsRowFunction="sum" dataDxfId="592" totalsRowDxfId="591"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8:AH14" totalsRowCount="1" headerRowDxfId="590" dataDxfId="589" totalsRowDxfId="588">
  <tableColumns count="33">
    <tableColumn id="1" xr3:uid="{00000000-0010-0000-0700-000001000000}" name="Nom de l’employé" totalsRowFunction="custom" dataDxfId="587" totalsRowDxfId="586" dataCellStyle="Employé">
      <totalsRowFormula>NomMois&amp;" Total"</totalsRowFormula>
    </tableColumn>
    <tableColumn id="2" xr3:uid="{00000000-0010-0000-0700-000002000000}" name="1" totalsRowFunction="count" dataDxfId="585" totalsRowDxfId="584"/>
    <tableColumn id="3" xr3:uid="{00000000-0010-0000-0700-000003000000}" name="2" totalsRowFunction="count" dataDxfId="583" totalsRowDxfId="582"/>
    <tableColumn id="4" xr3:uid="{00000000-0010-0000-0700-000004000000}" name="3" totalsRowFunction="count" dataDxfId="581" totalsRowDxfId="580"/>
    <tableColumn id="5" xr3:uid="{00000000-0010-0000-0700-000005000000}" name="4" totalsRowFunction="count" dataDxfId="579" totalsRowDxfId="578"/>
    <tableColumn id="6" xr3:uid="{00000000-0010-0000-0700-000006000000}" name="5" totalsRowFunction="count" dataDxfId="577" totalsRowDxfId="576"/>
    <tableColumn id="7" xr3:uid="{00000000-0010-0000-0700-000007000000}" name="6" totalsRowFunction="count" dataDxfId="575" totalsRowDxfId="574"/>
    <tableColumn id="8" xr3:uid="{00000000-0010-0000-0700-000008000000}" name="7" totalsRowFunction="count" dataDxfId="573" totalsRowDxfId="572"/>
    <tableColumn id="9" xr3:uid="{00000000-0010-0000-0700-000009000000}" name="8" totalsRowFunction="count" dataDxfId="571" totalsRowDxfId="570"/>
    <tableColumn id="10" xr3:uid="{00000000-0010-0000-0700-00000A000000}" name="9" totalsRowFunction="count" dataDxfId="569" totalsRowDxfId="568"/>
    <tableColumn id="11" xr3:uid="{00000000-0010-0000-0700-00000B000000}" name="10" totalsRowFunction="count" dataDxfId="567" totalsRowDxfId="566"/>
    <tableColumn id="12" xr3:uid="{00000000-0010-0000-0700-00000C000000}" name="11" totalsRowFunction="count" dataDxfId="565" totalsRowDxfId="564"/>
    <tableColumn id="13" xr3:uid="{00000000-0010-0000-0700-00000D000000}" name="12" totalsRowFunction="count" dataDxfId="563" totalsRowDxfId="562"/>
    <tableColumn id="14" xr3:uid="{00000000-0010-0000-0700-00000E000000}" name="13" totalsRowFunction="count" dataDxfId="561" totalsRowDxfId="560"/>
    <tableColumn id="15" xr3:uid="{00000000-0010-0000-0700-00000F000000}" name="14" totalsRowFunction="count" dataDxfId="559" totalsRowDxfId="558"/>
    <tableColumn id="16" xr3:uid="{00000000-0010-0000-0700-000010000000}" name="15" totalsRowFunction="count" dataDxfId="557" totalsRowDxfId="556"/>
    <tableColumn id="17" xr3:uid="{00000000-0010-0000-0700-000011000000}" name="16" totalsRowFunction="count" dataDxfId="555" totalsRowDxfId="554"/>
    <tableColumn id="18" xr3:uid="{00000000-0010-0000-0700-000012000000}" name="17" totalsRowFunction="count" dataDxfId="553" totalsRowDxfId="552"/>
    <tableColumn id="19" xr3:uid="{00000000-0010-0000-0700-000013000000}" name="18" totalsRowFunction="count" dataDxfId="551" totalsRowDxfId="550"/>
    <tableColumn id="20" xr3:uid="{00000000-0010-0000-0700-000014000000}" name="19" totalsRowFunction="count" dataDxfId="549" totalsRowDxfId="548"/>
    <tableColumn id="21" xr3:uid="{00000000-0010-0000-0700-000015000000}" name="20" totalsRowFunction="count" dataDxfId="547" totalsRowDxfId="546"/>
    <tableColumn id="22" xr3:uid="{00000000-0010-0000-0700-000016000000}" name="21" totalsRowFunction="count" dataDxfId="545" totalsRowDxfId="544"/>
    <tableColumn id="23" xr3:uid="{00000000-0010-0000-0700-000017000000}" name="22" totalsRowFunction="count" dataDxfId="543" totalsRowDxfId="542"/>
    <tableColumn id="24" xr3:uid="{00000000-0010-0000-0700-000018000000}" name="23" totalsRowFunction="count" dataDxfId="541" totalsRowDxfId="540"/>
    <tableColumn id="25" xr3:uid="{00000000-0010-0000-0700-000019000000}" name="24" totalsRowFunction="count" dataDxfId="539" totalsRowDxfId="538"/>
    <tableColumn id="26" xr3:uid="{00000000-0010-0000-0700-00001A000000}" name="25" totalsRowFunction="count" dataDxfId="537" totalsRowDxfId="536"/>
    <tableColumn id="27" xr3:uid="{00000000-0010-0000-0700-00001B000000}" name="26" totalsRowFunction="count" dataDxfId="535" totalsRowDxfId="534"/>
    <tableColumn id="28" xr3:uid="{00000000-0010-0000-0700-00001C000000}" name="27" totalsRowFunction="count" dataDxfId="533" totalsRowDxfId="532"/>
    <tableColumn id="29" xr3:uid="{00000000-0010-0000-0700-00001D000000}" name="28" totalsRowFunction="count" dataDxfId="531" totalsRowDxfId="530"/>
    <tableColumn id="30" xr3:uid="{00000000-0010-0000-0700-00001E000000}" name="29" totalsRowFunction="count" dataDxfId="529" totalsRowDxfId="528"/>
    <tableColumn id="31" xr3:uid="{00000000-0010-0000-0700-00001F000000}" name="30" totalsRowFunction="sum" dataDxfId="527" totalsRowDxfId="526"/>
    <tableColumn id="32" xr3:uid="{00000000-0010-0000-0700-000020000000}" name="31" totalsRowFunction="sum" dataDxfId="525" totalsRowDxfId="524" dataCellStyle="Total"/>
    <tableColumn id="33" xr3:uid="{00000000-0010-0000-0700-000021000000}" name="Total des jours" totalsRowFunction="sum" dataDxfId="523" totalsRowDxfId="522" dataCellStyle="Total">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8:AH14" totalsRowCount="1" headerRowDxfId="521" dataDxfId="520" totalsRowDxfId="519">
  <tableColumns count="33">
    <tableColumn id="1" xr3:uid="{00000000-0010-0000-0800-000001000000}" name="Nom de l’employé" totalsRowFunction="custom" dataDxfId="518" totalsRowDxfId="517" dataCellStyle="Employé">
      <totalsRowFormula>NomMois&amp;" Total"</totalsRowFormula>
    </tableColumn>
    <tableColumn id="2" xr3:uid="{00000000-0010-0000-0800-000002000000}" name="1" totalsRowFunction="count" dataDxfId="516" totalsRowDxfId="515"/>
    <tableColumn id="3" xr3:uid="{00000000-0010-0000-0800-000003000000}" name="2" totalsRowFunction="count" dataDxfId="514" totalsRowDxfId="513"/>
    <tableColumn id="4" xr3:uid="{00000000-0010-0000-0800-000004000000}" name="3" totalsRowFunction="count" dataDxfId="512" totalsRowDxfId="511"/>
    <tableColumn id="5" xr3:uid="{00000000-0010-0000-0800-000005000000}" name="4" totalsRowFunction="count" dataDxfId="510" totalsRowDxfId="509"/>
    <tableColumn id="6" xr3:uid="{00000000-0010-0000-0800-000006000000}" name="5" totalsRowFunction="count" dataDxfId="508" totalsRowDxfId="507"/>
    <tableColumn id="7" xr3:uid="{00000000-0010-0000-0800-000007000000}" name="6" totalsRowFunction="count" dataDxfId="506" totalsRowDxfId="505"/>
    <tableColumn id="8" xr3:uid="{00000000-0010-0000-0800-000008000000}" name="7" totalsRowFunction="count" dataDxfId="504" totalsRowDxfId="503"/>
    <tableColumn id="9" xr3:uid="{00000000-0010-0000-0800-000009000000}" name="8" totalsRowFunction="count" dataDxfId="502" totalsRowDxfId="501"/>
    <tableColumn id="10" xr3:uid="{00000000-0010-0000-0800-00000A000000}" name="9" totalsRowFunction="count" dataDxfId="500" totalsRowDxfId="499"/>
    <tableColumn id="11" xr3:uid="{00000000-0010-0000-0800-00000B000000}" name="10" totalsRowFunction="count" dataDxfId="498" totalsRowDxfId="497"/>
    <tableColumn id="12" xr3:uid="{00000000-0010-0000-0800-00000C000000}" name="11" totalsRowFunction="count" dataDxfId="496" totalsRowDxfId="495"/>
    <tableColumn id="13" xr3:uid="{00000000-0010-0000-0800-00000D000000}" name="12" totalsRowFunction="count" dataDxfId="494" totalsRowDxfId="493"/>
    <tableColumn id="14" xr3:uid="{00000000-0010-0000-0800-00000E000000}" name="13" totalsRowFunction="count" dataDxfId="492" totalsRowDxfId="491"/>
    <tableColumn id="15" xr3:uid="{00000000-0010-0000-0800-00000F000000}" name="14" totalsRowFunction="count" dataDxfId="490" totalsRowDxfId="489"/>
    <tableColumn id="16" xr3:uid="{00000000-0010-0000-0800-000010000000}" name="15" totalsRowFunction="count" dataDxfId="488" totalsRowDxfId="487"/>
    <tableColumn id="17" xr3:uid="{00000000-0010-0000-0800-000011000000}" name="16" totalsRowFunction="count" dataDxfId="486" totalsRowDxfId="485"/>
    <tableColumn id="18" xr3:uid="{00000000-0010-0000-0800-000012000000}" name="17" totalsRowFunction="count" dataDxfId="484" totalsRowDxfId="483"/>
    <tableColumn id="19" xr3:uid="{00000000-0010-0000-0800-000013000000}" name="18" totalsRowFunction="count" dataDxfId="482" totalsRowDxfId="481"/>
    <tableColumn id="20" xr3:uid="{00000000-0010-0000-0800-000014000000}" name="19" totalsRowFunction="count" dataDxfId="480" totalsRowDxfId="479"/>
    <tableColumn id="21" xr3:uid="{00000000-0010-0000-0800-000015000000}" name="20" totalsRowFunction="count" dataDxfId="478" totalsRowDxfId="477"/>
    <tableColumn id="22" xr3:uid="{00000000-0010-0000-0800-000016000000}" name="21" totalsRowFunction="count" dataDxfId="476" totalsRowDxfId="475"/>
    <tableColumn id="23" xr3:uid="{00000000-0010-0000-0800-000017000000}" name="22" totalsRowFunction="count" dataDxfId="474" totalsRowDxfId="473"/>
    <tableColumn id="24" xr3:uid="{00000000-0010-0000-0800-000018000000}" name="23" totalsRowFunction="count" dataDxfId="472" totalsRowDxfId="471"/>
    <tableColumn id="25" xr3:uid="{00000000-0010-0000-0800-000019000000}" name="24" totalsRowFunction="count" dataDxfId="470" totalsRowDxfId="469"/>
    <tableColumn id="26" xr3:uid="{00000000-0010-0000-0800-00001A000000}" name="25" totalsRowFunction="count" dataDxfId="468" totalsRowDxfId="467"/>
    <tableColumn id="27" xr3:uid="{00000000-0010-0000-0800-00001B000000}" name="26" totalsRowFunction="count" dataDxfId="466" totalsRowDxfId="465"/>
    <tableColumn id="28" xr3:uid="{00000000-0010-0000-0800-00001C000000}" name="27" totalsRowFunction="count" dataDxfId="464" totalsRowDxfId="463"/>
    <tableColumn id="29" xr3:uid="{00000000-0010-0000-0800-00001D000000}" name="28" totalsRowFunction="count" dataDxfId="462" totalsRowDxfId="461"/>
    <tableColumn id="30" xr3:uid="{00000000-0010-0000-0800-00001E000000}" name="29" totalsRowFunction="count" dataDxfId="460" totalsRowDxfId="459"/>
    <tableColumn id="31" xr3:uid="{00000000-0010-0000-0800-00001F000000}" name="30" totalsRowFunction="sum" dataDxfId="458" totalsRowDxfId="457"/>
    <tableColumn id="32" xr3:uid="{00000000-0010-0000-0800-000020000000}" name=" " totalsRowFunction="sum" dataDxfId="456" totalsRowDxfId="455" dataCellStyle="Total"/>
    <tableColumn id="33" xr3:uid="{00000000-0010-0000-0800-000021000000}" name="Total des jours" totalsRowFunction="sum" dataDxfId="454" totalsRowDxfId="453" dataCellStyle="Total">
      <calculatedColumnFormula>COUNTA(Septembre[[#This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8:AH14" totalsRowCount="1" headerRowDxfId="452" dataDxfId="451" totalsRowDxfId="450">
  <tableColumns count="33">
    <tableColumn id="1" xr3:uid="{00000000-0010-0000-0900-000001000000}" name="Nom de l’employé" totalsRowFunction="custom" dataDxfId="449" totalsRowDxfId="448" dataCellStyle="Employé">
      <totalsRowFormula>NomMois&amp;" Total"</totalsRowFormula>
    </tableColumn>
    <tableColumn id="2" xr3:uid="{00000000-0010-0000-0900-000002000000}" name="1" totalsRowFunction="count" dataDxfId="447" totalsRowDxfId="446"/>
    <tableColumn id="3" xr3:uid="{00000000-0010-0000-0900-000003000000}" name="2" totalsRowFunction="count" dataDxfId="445" totalsRowDxfId="444"/>
    <tableColumn id="4" xr3:uid="{00000000-0010-0000-0900-000004000000}" name="3" totalsRowFunction="count" dataDxfId="443" totalsRowDxfId="442"/>
    <tableColumn id="5" xr3:uid="{00000000-0010-0000-0900-000005000000}" name="4" totalsRowFunction="count" dataDxfId="441" totalsRowDxfId="440"/>
    <tableColumn id="6" xr3:uid="{00000000-0010-0000-0900-000006000000}" name="5" totalsRowFunction="count" dataDxfId="439" totalsRowDxfId="438"/>
    <tableColumn id="7" xr3:uid="{00000000-0010-0000-0900-000007000000}" name="6" totalsRowFunction="count" dataDxfId="437" totalsRowDxfId="436"/>
    <tableColumn id="8" xr3:uid="{00000000-0010-0000-0900-000008000000}" name="7" totalsRowFunction="count" dataDxfId="435" totalsRowDxfId="434"/>
    <tableColumn id="9" xr3:uid="{00000000-0010-0000-0900-000009000000}" name="8" totalsRowFunction="count" dataDxfId="433" totalsRowDxfId="432"/>
    <tableColumn id="10" xr3:uid="{00000000-0010-0000-0900-00000A000000}" name="9" totalsRowFunction="count" dataDxfId="431" totalsRowDxfId="430"/>
    <tableColumn id="11" xr3:uid="{00000000-0010-0000-0900-00000B000000}" name="10" totalsRowFunction="count" dataDxfId="429" totalsRowDxfId="428"/>
    <tableColumn id="12" xr3:uid="{00000000-0010-0000-0900-00000C000000}" name="11" totalsRowFunction="count" dataDxfId="427" totalsRowDxfId="426"/>
    <tableColumn id="13" xr3:uid="{00000000-0010-0000-0900-00000D000000}" name="12" totalsRowFunction="count" dataDxfId="425" totalsRowDxfId="424"/>
    <tableColumn id="14" xr3:uid="{00000000-0010-0000-0900-00000E000000}" name="13" totalsRowFunction="count" dataDxfId="423" totalsRowDxfId="422"/>
    <tableColumn id="15" xr3:uid="{00000000-0010-0000-0900-00000F000000}" name="14" totalsRowFunction="count" dataDxfId="421" totalsRowDxfId="420"/>
    <tableColumn id="16" xr3:uid="{00000000-0010-0000-0900-000010000000}" name="15" totalsRowFunction="count" dataDxfId="419" totalsRowDxfId="418"/>
    <tableColumn id="17" xr3:uid="{00000000-0010-0000-0900-000011000000}" name="16" totalsRowFunction="count" dataDxfId="417" totalsRowDxfId="416"/>
    <tableColumn id="18" xr3:uid="{00000000-0010-0000-0900-000012000000}" name="17" totalsRowFunction="count" dataDxfId="415" totalsRowDxfId="414"/>
    <tableColumn id="19" xr3:uid="{00000000-0010-0000-0900-000013000000}" name="18" totalsRowFunction="count" dataDxfId="413" totalsRowDxfId="412"/>
    <tableColumn id="20" xr3:uid="{00000000-0010-0000-0900-000014000000}" name="19" totalsRowFunction="count" dataDxfId="411" totalsRowDxfId="410"/>
    <tableColumn id="21" xr3:uid="{00000000-0010-0000-0900-000015000000}" name="20" totalsRowFunction="count" dataDxfId="409" totalsRowDxfId="408"/>
    <tableColumn id="22" xr3:uid="{00000000-0010-0000-0900-000016000000}" name="21" totalsRowFunction="count" dataDxfId="407" totalsRowDxfId="406"/>
    <tableColumn id="23" xr3:uid="{00000000-0010-0000-0900-000017000000}" name="22" totalsRowFunction="count" dataDxfId="405" totalsRowDxfId="404"/>
    <tableColumn id="24" xr3:uid="{00000000-0010-0000-0900-000018000000}" name="23" totalsRowFunction="count" dataDxfId="403" totalsRowDxfId="402"/>
    <tableColumn id="25" xr3:uid="{00000000-0010-0000-0900-000019000000}" name="24" totalsRowFunction="count" dataDxfId="401" totalsRowDxfId="400"/>
    <tableColumn id="26" xr3:uid="{00000000-0010-0000-0900-00001A000000}" name="25" totalsRowFunction="count" dataDxfId="399" totalsRowDxfId="398"/>
    <tableColumn id="27" xr3:uid="{00000000-0010-0000-0900-00001B000000}" name="26" totalsRowFunction="count" dataDxfId="397" totalsRowDxfId="396"/>
    <tableColumn id="28" xr3:uid="{00000000-0010-0000-0900-00001C000000}" name="27" totalsRowFunction="count" dataDxfId="395" totalsRowDxfId="394"/>
    <tableColumn id="29" xr3:uid="{00000000-0010-0000-0900-00001D000000}" name="28" totalsRowFunction="count" dataDxfId="393" totalsRowDxfId="392"/>
    <tableColumn id="30" xr3:uid="{00000000-0010-0000-0900-00001E000000}" name="29" totalsRowFunction="count" dataDxfId="391" totalsRowDxfId="390"/>
    <tableColumn id="31" xr3:uid="{00000000-0010-0000-0900-00001F000000}" name="30" totalsRowFunction="sum" dataDxfId="389" totalsRowDxfId="388"/>
    <tableColumn id="32" xr3:uid="{00000000-0010-0000-0900-000020000000}" name="31" totalsRowFunction="sum" dataDxfId="387" totalsRowDxfId="386" dataCellStyle="Total"/>
    <tableColumn id="33" xr3:uid="{00000000-0010-0000-0900-000021000000}" name="Total des jours" totalsRowFunction="sum" dataDxfId="385" totalsRowDxfId="384"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8:AH14" totalsRowCount="1" headerRowDxfId="383" dataDxfId="382" totalsRowDxfId="381">
  <tableColumns count="33">
    <tableColumn id="1" xr3:uid="{00000000-0010-0000-0A00-000001000000}" name="Nom de l’employé" totalsRowFunction="custom" dataDxfId="380" totalsRowDxfId="379" dataCellStyle="Employé">
      <totalsRowFormula>NomMois&amp;" Total"</totalsRowFormula>
    </tableColumn>
    <tableColumn id="2" xr3:uid="{00000000-0010-0000-0A00-000002000000}" name="1" totalsRowFunction="count" dataDxfId="378" totalsRowDxfId="377"/>
    <tableColumn id="3" xr3:uid="{00000000-0010-0000-0A00-000003000000}" name="2" totalsRowFunction="count" dataDxfId="376" totalsRowDxfId="375"/>
    <tableColumn id="4" xr3:uid="{00000000-0010-0000-0A00-000004000000}" name="3" totalsRowFunction="count" dataDxfId="374" totalsRowDxfId="373"/>
    <tableColumn id="5" xr3:uid="{00000000-0010-0000-0A00-000005000000}" name="4" totalsRowFunction="count" dataDxfId="372" totalsRowDxfId="371"/>
    <tableColumn id="6" xr3:uid="{00000000-0010-0000-0A00-000006000000}" name="5" totalsRowFunction="count" dataDxfId="370" totalsRowDxfId="369"/>
    <tableColumn id="7" xr3:uid="{00000000-0010-0000-0A00-000007000000}" name="6" totalsRowFunction="count" dataDxfId="368" totalsRowDxfId="367"/>
    <tableColumn id="8" xr3:uid="{00000000-0010-0000-0A00-000008000000}" name="7" totalsRowFunction="count" dataDxfId="366" totalsRowDxfId="365"/>
    <tableColumn id="9" xr3:uid="{00000000-0010-0000-0A00-000009000000}" name="8" totalsRowFunction="count" dataDxfId="364" totalsRowDxfId="363"/>
    <tableColumn id="10" xr3:uid="{00000000-0010-0000-0A00-00000A000000}" name="9" totalsRowFunction="count" dataDxfId="362" totalsRowDxfId="361"/>
    <tableColumn id="11" xr3:uid="{00000000-0010-0000-0A00-00000B000000}" name="10" totalsRowFunction="count" dataDxfId="360" totalsRowDxfId="359"/>
    <tableColumn id="12" xr3:uid="{00000000-0010-0000-0A00-00000C000000}" name="11" totalsRowFunction="count" dataDxfId="358" totalsRowDxfId="357"/>
    <tableColumn id="13" xr3:uid="{00000000-0010-0000-0A00-00000D000000}" name="12" totalsRowFunction="count" dataDxfId="356" totalsRowDxfId="355"/>
    <tableColumn id="14" xr3:uid="{00000000-0010-0000-0A00-00000E000000}" name="13" totalsRowFunction="count" dataDxfId="354" totalsRowDxfId="353"/>
    <tableColumn id="15" xr3:uid="{00000000-0010-0000-0A00-00000F000000}" name="14" totalsRowFunction="count" dataDxfId="352" totalsRowDxfId="351"/>
    <tableColumn id="16" xr3:uid="{00000000-0010-0000-0A00-000010000000}" name="15" totalsRowFunction="count" dataDxfId="350" totalsRowDxfId="349"/>
    <tableColumn id="17" xr3:uid="{00000000-0010-0000-0A00-000011000000}" name="16" totalsRowFunction="count" dataDxfId="348" totalsRowDxfId="347"/>
    <tableColumn id="18" xr3:uid="{00000000-0010-0000-0A00-000012000000}" name="17" totalsRowFunction="count" dataDxfId="346" totalsRowDxfId="345"/>
    <tableColumn id="19" xr3:uid="{00000000-0010-0000-0A00-000013000000}" name="18" totalsRowFunction="count" dataDxfId="344" totalsRowDxfId="343"/>
    <tableColumn id="20" xr3:uid="{00000000-0010-0000-0A00-000014000000}" name="19" totalsRowFunction="count" dataDxfId="342" totalsRowDxfId="341"/>
    <tableColumn id="21" xr3:uid="{00000000-0010-0000-0A00-000015000000}" name="20" totalsRowFunction="count" dataDxfId="340" totalsRowDxfId="339"/>
    <tableColumn id="22" xr3:uid="{00000000-0010-0000-0A00-000016000000}" name="21" totalsRowFunction="count" dataDxfId="338" totalsRowDxfId="337"/>
    <tableColumn id="23" xr3:uid="{00000000-0010-0000-0A00-000017000000}" name="22" totalsRowFunction="count" dataDxfId="336" totalsRowDxfId="335"/>
    <tableColumn id="24" xr3:uid="{00000000-0010-0000-0A00-000018000000}" name="23" totalsRowFunction="count" dataDxfId="334" totalsRowDxfId="333"/>
    <tableColumn id="25" xr3:uid="{00000000-0010-0000-0A00-000019000000}" name="24" totalsRowFunction="count" dataDxfId="332" totalsRowDxfId="331"/>
    <tableColumn id="26" xr3:uid="{00000000-0010-0000-0A00-00001A000000}" name="25" totalsRowFunction="count" dataDxfId="330" totalsRowDxfId="329"/>
    <tableColumn id="27" xr3:uid="{00000000-0010-0000-0A00-00001B000000}" name="26" totalsRowFunction="count" dataDxfId="328" totalsRowDxfId="327"/>
    <tableColumn id="28" xr3:uid="{00000000-0010-0000-0A00-00001C000000}" name="27" totalsRowFunction="count" dataDxfId="326" totalsRowDxfId="325"/>
    <tableColumn id="29" xr3:uid="{00000000-0010-0000-0A00-00001D000000}" name="28" totalsRowFunction="count" dataDxfId="324" totalsRowDxfId="323"/>
    <tableColumn id="30" xr3:uid="{00000000-0010-0000-0A00-00001E000000}" name="29" totalsRowFunction="count" dataDxfId="322" totalsRowDxfId="321"/>
    <tableColumn id="31" xr3:uid="{00000000-0010-0000-0A00-00001F000000}" name="30" totalsRowFunction="sum" dataDxfId="320" totalsRowDxfId="319"/>
    <tableColumn id="32" xr3:uid="{00000000-0010-0000-0A00-000020000000}" name=" " totalsRowFunction="sum" dataDxfId="318" totalsRowDxfId="317" dataCellStyle="Total"/>
    <tableColumn id="33" xr3:uid="{00000000-0010-0000-0A00-000021000000}" name="Total des jours" totalsRowFunction="sum" dataDxfId="316" totalsRowDxfId="315" dataCellStyle="Total">
      <calculatedColumnFormula>COUNTA(Novembre[[#This Row],[1]:[ ]])</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8:AH14" totalsRowCount="1" headerRowDxfId="314" dataDxfId="313" totalsRowDxfId="312">
  <tableColumns count="33">
    <tableColumn id="1" xr3:uid="{00000000-0010-0000-0B00-000001000000}" name="Nom de l’employé" totalsRowFunction="custom" dataDxfId="311" totalsRowDxfId="310" dataCellStyle="Employé">
      <totalsRowFormula>NomMois&amp;" Total"</totalsRowFormula>
    </tableColumn>
    <tableColumn id="2" xr3:uid="{00000000-0010-0000-0B00-000002000000}" name="1" totalsRowFunction="count" dataDxfId="309" totalsRowDxfId="308"/>
    <tableColumn id="3" xr3:uid="{00000000-0010-0000-0B00-000003000000}" name="2" totalsRowFunction="count" dataDxfId="307" totalsRowDxfId="306"/>
    <tableColumn id="4" xr3:uid="{00000000-0010-0000-0B00-000004000000}" name="3" totalsRowFunction="count" dataDxfId="305" totalsRowDxfId="304"/>
    <tableColumn id="5" xr3:uid="{00000000-0010-0000-0B00-000005000000}" name="4" totalsRowFunction="count" dataDxfId="303" totalsRowDxfId="302"/>
    <tableColumn id="6" xr3:uid="{00000000-0010-0000-0B00-000006000000}" name="5" totalsRowFunction="count" dataDxfId="301" totalsRowDxfId="300"/>
    <tableColumn id="7" xr3:uid="{00000000-0010-0000-0B00-000007000000}" name="6" totalsRowFunction="count" dataDxfId="299" totalsRowDxfId="298"/>
    <tableColumn id="8" xr3:uid="{00000000-0010-0000-0B00-000008000000}" name="7" totalsRowFunction="count" dataDxfId="297" totalsRowDxfId="296"/>
    <tableColumn id="9" xr3:uid="{00000000-0010-0000-0B00-000009000000}" name="8" totalsRowFunction="count" dataDxfId="295" totalsRowDxfId="294"/>
    <tableColumn id="10" xr3:uid="{00000000-0010-0000-0B00-00000A000000}" name="9" totalsRowFunction="count" dataDxfId="293" totalsRowDxfId="292"/>
    <tableColumn id="11" xr3:uid="{00000000-0010-0000-0B00-00000B000000}" name="10" totalsRowFunction="count" dataDxfId="291" totalsRowDxfId="290"/>
    <tableColumn id="12" xr3:uid="{00000000-0010-0000-0B00-00000C000000}" name="11" totalsRowFunction="count" dataDxfId="289" totalsRowDxfId="288"/>
    <tableColumn id="13" xr3:uid="{00000000-0010-0000-0B00-00000D000000}" name="12" totalsRowFunction="count" dataDxfId="287" totalsRowDxfId="286"/>
    <tableColumn id="14" xr3:uid="{00000000-0010-0000-0B00-00000E000000}" name="13" totalsRowFunction="count" dataDxfId="285" totalsRowDxfId="284"/>
    <tableColumn id="15" xr3:uid="{00000000-0010-0000-0B00-00000F000000}" name="14" totalsRowFunction="count" dataDxfId="283" totalsRowDxfId="282"/>
    <tableColumn id="16" xr3:uid="{00000000-0010-0000-0B00-000010000000}" name="15" totalsRowFunction="count" dataDxfId="281" totalsRowDxfId="280"/>
    <tableColumn id="17" xr3:uid="{00000000-0010-0000-0B00-000011000000}" name="16" totalsRowFunction="count" dataDxfId="279" totalsRowDxfId="278"/>
    <tableColumn id="18" xr3:uid="{00000000-0010-0000-0B00-000012000000}" name="17" totalsRowFunction="count" dataDxfId="277" totalsRowDxfId="276"/>
    <tableColumn id="19" xr3:uid="{00000000-0010-0000-0B00-000013000000}" name="18" totalsRowFunction="count" dataDxfId="275" totalsRowDxfId="274"/>
    <tableColumn id="20" xr3:uid="{00000000-0010-0000-0B00-000014000000}" name="19" totalsRowFunction="count" dataDxfId="273" totalsRowDxfId="272"/>
    <tableColumn id="21" xr3:uid="{00000000-0010-0000-0B00-000015000000}" name="20" totalsRowFunction="count" dataDxfId="271" totalsRowDxfId="270"/>
    <tableColumn id="22" xr3:uid="{00000000-0010-0000-0B00-000016000000}" name="21" totalsRowFunction="count" dataDxfId="269" totalsRowDxfId="268"/>
    <tableColumn id="23" xr3:uid="{00000000-0010-0000-0B00-000017000000}" name="22" totalsRowFunction="count" dataDxfId="267" totalsRowDxfId="266"/>
    <tableColumn id="24" xr3:uid="{00000000-0010-0000-0B00-000018000000}" name="23" totalsRowFunction="count" dataDxfId="265" totalsRowDxfId="264"/>
    <tableColumn id="25" xr3:uid="{00000000-0010-0000-0B00-000019000000}" name="24" totalsRowFunction="count" dataDxfId="263" totalsRowDxfId="262"/>
    <tableColumn id="26" xr3:uid="{00000000-0010-0000-0B00-00001A000000}" name="25" totalsRowFunction="count" dataDxfId="261" totalsRowDxfId="260"/>
    <tableColumn id="27" xr3:uid="{00000000-0010-0000-0B00-00001B000000}" name="26" totalsRowFunction="count" dataDxfId="259" totalsRowDxfId="258"/>
    <tableColumn id="28" xr3:uid="{00000000-0010-0000-0B00-00001C000000}" name="27" totalsRowFunction="count" dataDxfId="257" totalsRowDxfId="256"/>
    <tableColumn id="29" xr3:uid="{00000000-0010-0000-0B00-00001D000000}" name="28" totalsRowFunction="count" dataDxfId="255" totalsRowDxfId="254"/>
    <tableColumn id="30" xr3:uid="{00000000-0010-0000-0B00-00001E000000}" name="29" totalsRowFunction="count" dataDxfId="253" totalsRowDxfId="252"/>
    <tableColumn id="31" xr3:uid="{00000000-0010-0000-0B00-00001F000000}" name="30" totalsRowFunction="sum" dataDxfId="251" totalsRowDxfId="250"/>
    <tableColumn id="32" xr3:uid="{00000000-0010-0000-0B00-000020000000}" name="31" totalsRowFunction="sum" dataDxfId="249" totalsRowDxfId="248" dataCellStyle="Total"/>
    <tableColumn id="33" xr3:uid="{00000000-0010-0000-0B00-000021000000}" name="Total des jours" totalsRowFunction="sum" dataDxfId="247" totalsRowDxfId="246"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totalsRowShown="0">
  <autoFilter ref="B3:B8" xr:uid="{00000000-0009-0000-0100-00000D000000}"/>
  <tableColumns count="1">
    <tableColumn id="1" xr3:uid="{00000000-0010-0000-0C00-000001000000}" name="Noms des employés" dataDxfId="245"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TM03987167">
      <a:dk1>
        <a:srgbClr val="000000"/>
      </a:dk1>
      <a:lt1>
        <a:srgbClr val="FFFFFF"/>
      </a:lt1>
      <a:dk2>
        <a:srgbClr val="44546A"/>
      </a:dk2>
      <a:lt2>
        <a:srgbClr val="E7E6E6"/>
      </a:lt2>
      <a:accent1>
        <a:srgbClr val="1F452F"/>
      </a:accent1>
      <a:accent2>
        <a:srgbClr val="709A97"/>
      </a:accent2>
      <a:accent3>
        <a:srgbClr val="1B417C"/>
      </a:accent3>
      <a:accent4>
        <a:srgbClr val="D8A141"/>
      </a:accent4>
      <a:accent5>
        <a:srgbClr val="CAAFF3"/>
      </a:accent5>
      <a:accent6>
        <a:srgbClr val="EF5C37"/>
      </a:accent6>
      <a:hlink>
        <a:srgbClr val="0563C1"/>
      </a:hlink>
      <a:folHlink>
        <a:srgbClr val="954F72"/>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6" tint="0.39997558519241921"/>
  </sheetPr>
  <dimension ref="A1:AS14"/>
  <sheetViews>
    <sheetView showGridLines="0" tabSelected="1" topLeftCell="A2" zoomScaleNormal="100" workbookViewId="0">
      <selection activeCell="B2" sqref="B2"/>
    </sheetView>
  </sheetViews>
  <sheetFormatPr baseColWidth="10" defaultColWidth="8.7109375" defaultRowHeight="30" customHeight="1"/>
  <cols>
    <col min="1" max="1" width="2.7109375" customWidth="1"/>
    <col min="2" max="2" width="30.28515625" customWidth="1"/>
    <col min="3" max="33" width="4.7109375" customWidth="1"/>
    <col min="34" max="34" width="14.85546875" bestFit="1" customWidth="1"/>
    <col min="35" max="35" width="2.7109375" customWidth="1"/>
    <col min="36" max="45" width="5.28515625" customWidth="1"/>
  </cols>
  <sheetData>
    <row r="1" spans="1:45" s="14" customFormat="1" ht="50.1" customHeight="1">
      <c r="A1" s="13"/>
      <c r="B1" s="23" t="s">
        <v>0</v>
      </c>
    </row>
    <row r="2" spans="1:45" s="14" customFormat="1" ht="100.35" customHeight="1">
      <c r="A2"/>
      <c r="B2" s="22" t="s">
        <v>1</v>
      </c>
    </row>
    <row r="3" spans="1:45" s="14" customFormat="1" ht="15" customHeight="1" thickBot="1">
      <c r="A3"/>
      <c r="B3" s="9"/>
      <c r="C3" s="15"/>
      <c r="D3" s="15"/>
      <c r="E3" s="15"/>
      <c r="F3" s="15"/>
      <c r="G3" s="15"/>
      <c r="H3" s="15"/>
      <c r="I3" s="15"/>
      <c r="J3" s="15"/>
      <c r="K3" s="15"/>
      <c r="L3" s="15"/>
      <c r="M3" s="15"/>
      <c r="N3" s="15"/>
      <c r="O3" s="15"/>
      <c r="P3" s="15"/>
      <c r="Q3" s="15"/>
      <c r="R3" s="15"/>
      <c r="S3" s="15"/>
      <c r="T3" s="15"/>
      <c r="U3" s="15"/>
      <c r="V3" s="15"/>
      <c r="W3" s="15"/>
      <c r="X3" s="15"/>
      <c r="Y3" s="15"/>
      <c r="Z3" s="15"/>
      <c r="AA3" s="15"/>
      <c r="AB3" s="15"/>
      <c r="AC3" s="15"/>
      <c r="AD3" s="15"/>
      <c r="AE3" s="15"/>
      <c r="AF3" s="15"/>
      <c r="AG3" s="15"/>
      <c r="AH3" s="15"/>
    </row>
    <row r="4" spans="1:45" ht="30" customHeight="1" thickTop="1" thickBot="1">
      <c r="B4" s="7" t="s">
        <v>2</v>
      </c>
      <c r="C4" s="28" t="s">
        <v>63</v>
      </c>
      <c r="D4" s="80" t="s">
        <v>12</v>
      </c>
      <c r="E4" s="80"/>
      <c r="F4" s="26" t="s">
        <v>64</v>
      </c>
      <c r="G4" s="80" t="s">
        <v>19</v>
      </c>
      <c r="H4" s="80"/>
      <c r="I4" s="80"/>
      <c r="J4" s="33" t="s">
        <v>17</v>
      </c>
      <c r="K4" s="80" t="s">
        <v>24</v>
      </c>
      <c r="L4" s="80"/>
      <c r="M4" s="32"/>
      <c r="N4" s="33" t="s">
        <v>15</v>
      </c>
      <c r="O4" s="80" t="s">
        <v>28</v>
      </c>
      <c r="P4" s="80"/>
      <c r="Q4" s="80"/>
      <c r="R4" s="80"/>
      <c r="S4" s="33" t="s">
        <v>65</v>
      </c>
      <c r="T4" s="80" t="s">
        <v>65</v>
      </c>
      <c r="U4" s="80"/>
      <c r="V4" s="80"/>
      <c r="W4" s="80"/>
    </row>
    <row r="5" spans="1:45" ht="15" customHeight="1" thickTop="1">
      <c r="B5" s="16"/>
      <c r="C5" s="16"/>
      <c r="D5" s="16"/>
      <c r="E5" s="16"/>
      <c r="F5" s="16"/>
      <c r="G5" s="16"/>
      <c r="H5" s="16"/>
      <c r="I5" s="16"/>
      <c r="J5" s="16"/>
      <c r="K5" s="16"/>
      <c r="L5" s="16"/>
      <c r="M5" s="16"/>
      <c r="N5" s="16"/>
      <c r="O5" s="16"/>
      <c r="P5" s="16"/>
      <c r="Q5" s="16"/>
      <c r="R5" s="16"/>
      <c r="S5" s="16"/>
      <c r="T5" s="16"/>
      <c r="U5" s="16"/>
      <c r="V5" s="16"/>
      <c r="W5" s="16"/>
      <c r="X5" s="16"/>
      <c r="Y5" s="16"/>
      <c r="Z5" s="16"/>
      <c r="AA5" s="16"/>
      <c r="AB5" s="16"/>
      <c r="AC5" s="16"/>
      <c r="AD5" s="16"/>
      <c r="AE5" s="16"/>
      <c r="AF5" s="16"/>
      <c r="AG5" s="16"/>
      <c r="AH5" s="17"/>
    </row>
    <row r="6" spans="1:45"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v>2024</v>
      </c>
    </row>
    <row r="7" spans="1:45" ht="30" customHeight="1">
      <c r="B7" s="6"/>
      <c r="C7" s="20" t="str">
        <f>TEXT(WEEKDAY(DATE(CalendarYear,1,1),1),"jjj")</f>
        <v>lun</v>
      </c>
      <c r="D7" s="20" t="str">
        <f>TEXT(WEEKDAY(DATE(CalendarYear,1,2),1),"jjj")</f>
        <v>mar</v>
      </c>
      <c r="E7" s="20" t="str">
        <f>TEXT(WEEKDAY(DATE(CalendarYear,1,3),1),"jjj")</f>
        <v>mer</v>
      </c>
      <c r="F7" s="20" t="str">
        <f>TEXT(WEEKDAY(DATE(CalendarYear,1,4),1),"jjj")</f>
        <v>jeu</v>
      </c>
      <c r="G7" s="20" t="str">
        <f>TEXT(WEEKDAY(DATE(CalendarYear,1,5),1),"jjj")</f>
        <v>ven</v>
      </c>
      <c r="H7" s="20" t="str">
        <f>TEXT(WEEKDAY(DATE(CalendarYear,1,6),1),"jjj")</f>
        <v>sam</v>
      </c>
      <c r="I7" s="20" t="str">
        <f>TEXT(WEEKDAY(DATE(CalendarYear,1,7),1),"jjj")</f>
        <v>dim</v>
      </c>
      <c r="J7" s="20" t="str">
        <f>TEXT(WEEKDAY(DATE(CalendarYear,1,8),1),"jjj")</f>
        <v>lun</v>
      </c>
      <c r="K7" s="20" t="str">
        <f>TEXT(WEEKDAY(DATE(CalendarYear,1,9),1),"jjj")</f>
        <v>mar</v>
      </c>
      <c r="L7" s="20" t="str">
        <f>TEXT(WEEKDAY(DATE(CalendarYear,1,10),1),"jjj")</f>
        <v>mer</v>
      </c>
      <c r="M7" s="20" t="str">
        <f>TEXT(WEEKDAY(DATE(CalendarYear,1,11),1),"jjj")</f>
        <v>jeu</v>
      </c>
      <c r="N7" s="20" t="str">
        <f>TEXT(WEEKDAY(DATE(CalendarYear,1,12),1),"jjj")</f>
        <v>ven</v>
      </c>
      <c r="O7" s="20" t="str">
        <f>TEXT(WEEKDAY(DATE(CalendarYear,1,13),1),"jjj")</f>
        <v>sam</v>
      </c>
      <c r="P7" s="20" t="str">
        <f>TEXT(WEEKDAY(DATE(CalendarYear,1,14),1),"jjj")</f>
        <v>dim</v>
      </c>
      <c r="Q7" s="20" t="str">
        <f>TEXT(WEEKDAY(DATE(CalendarYear,1,15),1),"jjj")</f>
        <v>lun</v>
      </c>
      <c r="R7" s="20" t="str">
        <f>TEXT(WEEKDAY(DATE(CalendarYear,1,16),1),"jjj")</f>
        <v>mar</v>
      </c>
      <c r="S7" s="20" t="str">
        <f>TEXT(WEEKDAY(DATE(CalendarYear,1,17),1),"jjj")</f>
        <v>mer</v>
      </c>
      <c r="T7" s="20" t="str">
        <f>TEXT(WEEKDAY(DATE(CalendarYear,1,18),1),"jjj")</f>
        <v>jeu</v>
      </c>
      <c r="U7" s="20" t="str">
        <f>TEXT(WEEKDAY(DATE(CalendarYear,1,19),1),"jjj")</f>
        <v>ven</v>
      </c>
      <c r="V7" s="20" t="str">
        <f>TEXT(WEEKDAY(DATE(CalendarYear,1,20),1),"jjj")</f>
        <v>sam</v>
      </c>
      <c r="W7" s="20" t="str">
        <f>TEXT(WEEKDAY(DATE(CalendarYear,1,21),1),"jjj")</f>
        <v>dim</v>
      </c>
      <c r="X7" s="20" t="str">
        <f>TEXT(WEEKDAY(DATE(CalendarYear,1,22),1),"jjj")</f>
        <v>lun</v>
      </c>
      <c r="Y7" s="20" t="str">
        <f>TEXT(WEEKDAY(DATE(CalendarYear,1,23),1),"jjj")</f>
        <v>mar</v>
      </c>
      <c r="Z7" s="20" t="str">
        <f>TEXT(WEEKDAY(DATE(CalendarYear,1,24),1),"jjj")</f>
        <v>mer</v>
      </c>
      <c r="AA7" s="20" t="str">
        <f>TEXT(WEEKDAY(DATE(CalendarYear,1,25),1),"jjj")</f>
        <v>jeu</v>
      </c>
      <c r="AB7" s="20" t="str">
        <f>TEXT(WEEKDAY(DATE(CalendarYear,1,26),1),"jjj")</f>
        <v>ven</v>
      </c>
      <c r="AC7" s="20" t="str">
        <f>TEXT(WEEKDAY(DATE(CalendarYear,1,27),1),"jjj")</f>
        <v>sam</v>
      </c>
      <c r="AD7" s="20" t="str">
        <f>TEXT(WEEKDAY(DATE(CalendarYear,1,28),1),"jjj")</f>
        <v>dim</v>
      </c>
      <c r="AE7" s="20" t="str">
        <f>TEXT(WEEKDAY(DATE(CalendarYear,1,29),1),"jjj")</f>
        <v>lun</v>
      </c>
      <c r="AF7" s="20" t="str">
        <f>TEXT(WEEKDAY(DATE(CalendarYear,1,30),1),"jjj")</f>
        <v>mar</v>
      </c>
      <c r="AG7" s="20" t="str">
        <f>TEXT(WEEKDAY(DATE(CalendarYear,1,31),1),"jjj")</f>
        <v>mer</v>
      </c>
      <c r="AH7" s="6"/>
      <c r="AJ7" s="47" t="s">
        <v>67</v>
      </c>
      <c r="AK7" s="48"/>
      <c r="AL7" s="48"/>
      <c r="AM7" s="48"/>
      <c r="AN7" s="49"/>
      <c r="AO7" s="47" t="s">
        <v>68</v>
      </c>
      <c r="AP7" s="48"/>
      <c r="AQ7" s="48"/>
      <c r="AR7" s="48"/>
      <c r="AS7" s="49"/>
    </row>
    <row r="8" spans="1:45"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35" t="s">
        <v>66</v>
      </c>
      <c r="AI8" s="36"/>
      <c r="AJ8" s="50" t="s">
        <v>63</v>
      </c>
      <c r="AK8" s="51" t="s">
        <v>64</v>
      </c>
      <c r="AL8" s="52" t="s">
        <v>17</v>
      </c>
      <c r="AM8" s="52" t="s">
        <v>15</v>
      </c>
      <c r="AN8" s="53" t="s">
        <v>65</v>
      </c>
      <c r="AO8" s="50" t="s">
        <v>63</v>
      </c>
      <c r="AP8" s="51" t="s">
        <v>64</v>
      </c>
      <c r="AQ8" s="52" t="s">
        <v>17</v>
      </c>
      <c r="AR8" s="52" t="s">
        <v>15</v>
      </c>
      <c r="AS8" s="53" t="s">
        <v>65</v>
      </c>
    </row>
    <row r="9" spans="1:45" ht="30" customHeight="1">
      <c r="B9" s="2" t="s">
        <v>4</v>
      </c>
      <c r="C9" s="1"/>
      <c r="D9" s="1"/>
      <c r="E9" s="18" t="s">
        <v>63</v>
      </c>
      <c r="F9" s="18" t="s">
        <v>63</v>
      </c>
      <c r="G9" s="18" t="s">
        <v>63</v>
      </c>
      <c r="H9" s="18" t="s">
        <v>63</v>
      </c>
      <c r="I9" s="1"/>
      <c r="J9" s="1"/>
      <c r="K9" s="1"/>
      <c r="L9" s="1"/>
      <c r="M9" s="1"/>
      <c r="N9" s="1"/>
      <c r="O9" s="1" t="s">
        <v>15</v>
      </c>
      <c r="P9" s="1"/>
      <c r="Q9" s="1"/>
      <c r="R9" s="1"/>
      <c r="S9" s="1"/>
      <c r="T9" s="1"/>
      <c r="U9" s="1"/>
      <c r="V9" s="1"/>
      <c r="W9" s="1"/>
      <c r="X9" s="1"/>
      <c r="Y9" s="1"/>
      <c r="Z9" s="1"/>
      <c r="AA9" s="1"/>
      <c r="AB9" s="1"/>
      <c r="AC9" s="1"/>
      <c r="AD9" s="1"/>
      <c r="AE9" s="1"/>
      <c r="AF9" s="1"/>
      <c r="AG9" s="1"/>
      <c r="AH9" s="3">
        <f>COUNTA(Janvier!$C9:$AG9)</f>
        <v>5</v>
      </c>
      <c r="AJ9" s="38">
        <f>COUNTIF(Janvier[[#This Row],[1]:[31]],AJ$8)</f>
        <v>4</v>
      </c>
      <c r="AK9" s="39">
        <f>COUNTIF(Janvier[[#This Row],[1]:[31]],AK$8)</f>
        <v>0</v>
      </c>
      <c r="AL9" s="39">
        <f>COUNTIF(Janvier[[#This Row],[1]:[31]],AL$8)</f>
        <v>0</v>
      </c>
      <c r="AM9" s="39">
        <f>COUNTIF(Janvier[[#This Row],[1]:[31]],AM$8)</f>
        <v>1</v>
      </c>
      <c r="AN9" s="40">
        <f>COUNTIF(Janvier[[#This Row],[1]:[31]],AN$8)</f>
        <v>0</v>
      </c>
      <c r="AO9" s="38">
        <f>'Noms des employés'!$G$1-'Noms des employés'!G4</f>
        <v>26</v>
      </c>
      <c r="AP9" s="81">
        <f>'Noms des employés'!$H$1-'Noms des employés'!H4</f>
        <v>18</v>
      </c>
      <c r="AQ9" s="39">
        <f>'Noms des employés'!$I$1-'Noms des employés'!I4</f>
        <v>0</v>
      </c>
      <c r="AR9" s="39">
        <f>'Noms des employés'!$J$1-'Noms des employés'!J4</f>
        <v>-1</v>
      </c>
      <c r="AS9" s="40">
        <f>'Noms des employés'!$K$1-'Noms des employés'!K4</f>
        <v>15</v>
      </c>
    </row>
    <row r="10" spans="1:45" ht="30" customHeight="1">
      <c r="B10" s="2" t="s">
        <v>5</v>
      </c>
      <c r="C10" s="1"/>
      <c r="D10" s="1"/>
      <c r="E10" s="1"/>
      <c r="F10" s="1"/>
      <c r="G10" s="1" t="s">
        <v>17</v>
      </c>
      <c r="H10" s="1" t="s">
        <v>17</v>
      </c>
      <c r="I10" s="1"/>
      <c r="J10" s="1"/>
      <c r="K10" s="1"/>
      <c r="L10" s="1"/>
      <c r="M10" s="1" t="s">
        <v>64</v>
      </c>
      <c r="N10" s="1"/>
      <c r="O10" s="1"/>
      <c r="P10" s="1"/>
      <c r="Q10" s="1"/>
      <c r="R10" s="1" t="s">
        <v>63</v>
      </c>
      <c r="S10" s="1"/>
      <c r="T10" s="1"/>
      <c r="U10" s="1"/>
      <c r="V10" s="1" t="s">
        <v>17</v>
      </c>
      <c r="W10" s="1"/>
      <c r="X10" s="1"/>
      <c r="Y10" s="1"/>
      <c r="Z10" s="1"/>
      <c r="AA10" s="1" t="s">
        <v>64</v>
      </c>
      <c r="AB10" s="1" t="s">
        <v>64</v>
      </c>
      <c r="AC10" s="1" t="s">
        <v>64</v>
      </c>
      <c r="AD10" s="1"/>
      <c r="AE10" s="1"/>
      <c r="AF10" s="1"/>
      <c r="AG10" s="1"/>
      <c r="AH10" s="3">
        <f>COUNTA(Janvier!$C10:$AG10)</f>
        <v>8</v>
      </c>
      <c r="AJ10" s="41">
        <f>COUNTIF(Janvier[[#This Row],[1]:[31]],AJ$8)</f>
        <v>1</v>
      </c>
      <c r="AK10" s="42">
        <f>COUNTIF(Janvier[[#This Row],[1]:[31]],AK$8)</f>
        <v>4</v>
      </c>
      <c r="AL10" s="42">
        <f>COUNTIF(Janvier[[#This Row],[1]:[31]],AL$8)</f>
        <v>3</v>
      </c>
      <c r="AM10" s="42">
        <f>COUNTIF(Janvier[[#This Row],[1]:[31]],AM$8)</f>
        <v>0</v>
      </c>
      <c r="AN10" s="43">
        <f>COUNTIF(Janvier[[#This Row],[1]:[31]],AN$8)</f>
        <v>0</v>
      </c>
      <c r="AO10" s="41">
        <f>'Noms des employés'!$G$1-'Noms des employés'!G5</f>
        <v>29</v>
      </c>
      <c r="AP10" s="82">
        <f>'Noms des employés'!$H$1-'Noms des employés'!H5</f>
        <v>14</v>
      </c>
      <c r="AQ10" s="42">
        <f>'Noms des employés'!$I$1-'Noms des employés'!I5</f>
        <v>-3</v>
      </c>
      <c r="AR10" s="42">
        <f>'Noms des employés'!$J$1-'Noms des employés'!J5</f>
        <v>0</v>
      </c>
      <c r="AS10" s="43">
        <f>'Noms des employés'!$K$1-'Noms des employés'!K5</f>
        <v>15</v>
      </c>
    </row>
    <row r="11" spans="1:45" ht="30" customHeight="1">
      <c r="B11" s="2" t="s">
        <v>6</v>
      </c>
      <c r="C11" s="1"/>
      <c r="D11" s="1"/>
      <c r="E11" s="1" t="s">
        <v>65</v>
      </c>
      <c r="F11" s="1"/>
      <c r="G11" s="1"/>
      <c r="H11" s="1"/>
      <c r="I11" s="1"/>
      <c r="J11" s="1"/>
      <c r="K11" s="1"/>
      <c r="L11" s="1"/>
      <c r="M11" s="1"/>
      <c r="N11" s="1"/>
      <c r="O11" s="1"/>
      <c r="P11" s="1" t="s">
        <v>17</v>
      </c>
      <c r="Q11" s="1"/>
      <c r="R11" s="1"/>
      <c r="S11" s="1"/>
      <c r="T11" s="1"/>
      <c r="U11" s="1"/>
      <c r="V11" s="1"/>
      <c r="W11" s="1"/>
      <c r="X11" s="1"/>
      <c r="Y11" s="1"/>
      <c r="Z11" s="1"/>
      <c r="AA11" s="1"/>
      <c r="AB11" s="1"/>
      <c r="AC11" s="1"/>
      <c r="AD11" s="1"/>
      <c r="AE11" s="1" t="s">
        <v>17</v>
      </c>
      <c r="AF11" s="1"/>
      <c r="AG11" s="1"/>
      <c r="AH11" s="3">
        <f>COUNTA(Janvier!$C11:$AG11)</f>
        <v>3</v>
      </c>
      <c r="AJ11" s="41">
        <f>COUNTIF(Janvier[[#This Row],[1]:[31]],AJ$8)</f>
        <v>0</v>
      </c>
      <c r="AK11" s="42">
        <f>COUNTIF(Janvier[[#This Row],[1]:[31]],AK$8)</f>
        <v>0</v>
      </c>
      <c r="AL11" s="42">
        <f>COUNTIF(Janvier[[#This Row],[1]:[31]],AL$8)</f>
        <v>2</v>
      </c>
      <c r="AM11" s="42">
        <f>COUNTIF(Janvier[[#This Row],[1]:[31]],AM$8)</f>
        <v>0</v>
      </c>
      <c r="AN11" s="43">
        <f>COUNTIF(Janvier[[#This Row],[1]:[31]],AN$8)</f>
        <v>1</v>
      </c>
      <c r="AO11" s="41">
        <f>'Noms des employés'!$G$1-'Noms des employés'!G6</f>
        <v>30</v>
      </c>
      <c r="AP11" s="82">
        <f>'Noms des employés'!$H$1-'Noms des employés'!H6</f>
        <v>18</v>
      </c>
      <c r="AQ11" s="42">
        <f>'Noms des employés'!$I$1-'Noms des employés'!I6</f>
        <v>-2</v>
      </c>
      <c r="AR11" s="42">
        <f>'Noms des employés'!$J$1-'Noms des employés'!J6</f>
        <v>0</v>
      </c>
      <c r="AS11" s="43">
        <f>'Noms des employés'!$K$1-'Noms des employés'!K6</f>
        <v>14</v>
      </c>
    </row>
    <row r="12" spans="1:45" ht="30" customHeight="1">
      <c r="B12" s="2" t="s">
        <v>7</v>
      </c>
      <c r="C12" s="1"/>
      <c r="D12" s="1"/>
      <c r="E12" s="1"/>
      <c r="F12" s="1"/>
      <c r="G12" s="1"/>
      <c r="H12" s="1"/>
      <c r="I12" s="1" t="s">
        <v>15</v>
      </c>
      <c r="J12" s="1"/>
      <c r="K12" s="1" t="s">
        <v>65</v>
      </c>
      <c r="L12" s="1"/>
      <c r="M12" s="1"/>
      <c r="N12" s="1"/>
      <c r="O12" s="1"/>
      <c r="P12" s="1"/>
      <c r="Q12" s="1"/>
      <c r="R12" s="1"/>
      <c r="S12" s="1"/>
      <c r="T12" s="1"/>
      <c r="U12" s="1" t="s">
        <v>64</v>
      </c>
      <c r="V12" s="1" t="s">
        <v>64</v>
      </c>
      <c r="W12" s="1" t="s">
        <v>64</v>
      </c>
      <c r="X12" s="1"/>
      <c r="Y12" s="1"/>
      <c r="Z12" s="1"/>
      <c r="AA12" s="1"/>
      <c r="AB12" s="1"/>
      <c r="AC12" s="1"/>
      <c r="AD12" s="1"/>
      <c r="AE12" s="1"/>
      <c r="AF12" s="1"/>
      <c r="AG12" s="1"/>
      <c r="AH12" s="3">
        <f>COUNTA(Janvier!$C12:$AG12)</f>
        <v>5</v>
      </c>
      <c r="AJ12" s="41">
        <f>COUNTIF(Janvier[[#This Row],[1]:[31]],AJ$8)</f>
        <v>0</v>
      </c>
      <c r="AK12" s="42">
        <f>COUNTIF(Janvier[[#This Row],[1]:[31]],AK$8)</f>
        <v>3</v>
      </c>
      <c r="AL12" s="42">
        <f>COUNTIF(Janvier[[#This Row],[1]:[31]],AL$8)</f>
        <v>0</v>
      </c>
      <c r="AM12" s="42">
        <f>COUNTIF(Janvier[[#This Row],[1]:[31]],AM$8)</f>
        <v>1</v>
      </c>
      <c r="AN12" s="43">
        <f>COUNTIF(Janvier[[#This Row],[1]:[31]],AN$8)</f>
        <v>1</v>
      </c>
      <c r="AO12" s="41">
        <f>'Noms des employés'!$G$1-'Noms des employés'!G7</f>
        <v>30</v>
      </c>
      <c r="AP12" s="82">
        <f>'Noms des employés'!$H$1-'Noms des employés'!H7</f>
        <v>15</v>
      </c>
      <c r="AQ12" s="42">
        <f>'Noms des employés'!$I$1-'Noms des employés'!I7</f>
        <v>0</v>
      </c>
      <c r="AR12" s="42">
        <f>'Noms des employés'!$J$1-'Noms des employés'!J7</f>
        <v>-1</v>
      </c>
      <c r="AS12" s="43">
        <f>'Noms des employés'!$K$1-'Noms des employés'!K7</f>
        <v>14</v>
      </c>
    </row>
    <row r="13" spans="1:45" ht="30" customHeight="1">
      <c r="B13" s="2" t="s">
        <v>8</v>
      </c>
      <c r="C13" s="1"/>
      <c r="D13" s="1"/>
      <c r="E13" s="1"/>
      <c r="F13" s="1" t="s">
        <v>17</v>
      </c>
      <c r="G13" s="1" t="s">
        <v>64</v>
      </c>
      <c r="H13" s="1" t="s">
        <v>64</v>
      </c>
      <c r="I13" s="1"/>
      <c r="J13" s="1"/>
      <c r="K13" s="1"/>
      <c r="L13" s="1"/>
      <c r="M13" s="1"/>
      <c r="N13" s="1"/>
      <c r="O13" s="1"/>
      <c r="P13" s="1"/>
      <c r="Q13" s="1"/>
      <c r="R13" s="1"/>
      <c r="S13" s="1" t="s">
        <v>17</v>
      </c>
      <c r="T13" s="1"/>
      <c r="U13" s="1"/>
      <c r="V13" s="1"/>
      <c r="W13" s="1"/>
      <c r="X13" s="1"/>
      <c r="Y13" s="1"/>
      <c r="Z13" s="1" t="s">
        <v>17</v>
      </c>
      <c r="AA13" s="1"/>
      <c r="AB13" s="1"/>
      <c r="AC13" s="1"/>
      <c r="AD13" s="1"/>
      <c r="AE13" s="1"/>
      <c r="AF13" s="1"/>
      <c r="AG13" s="1" t="s">
        <v>9</v>
      </c>
      <c r="AH13" s="3">
        <f>COUNTA(Janvier!$C13:$AG13)</f>
        <v>6</v>
      </c>
      <c r="AJ13" s="44">
        <f>COUNTIF(Janvier[[#This Row],[1]:[31]],AJ$8)</f>
        <v>0</v>
      </c>
      <c r="AK13" s="45">
        <f>COUNTIF(Janvier[[#This Row],[1]:[31]],AK$8)</f>
        <v>2</v>
      </c>
      <c r="AL13" s="45">
        <f>COUNTIF(Janvier[[#This Row],[1]:[31]],AL$8)</f>
        <v>3</v>
      </c>
      <c r="AM13" s="45">
        <f>COUNTIF(Janvier[[#This Row],[1]:[31]],AM$8)</f>
        <v>0</v>
      </c>
      <c r="AN13" s="46">
        <f>COUNTIF(Janvier[[#This Row],[1]:[31]],AN$8)</f>
        <v>0</v>
      </c>
      <c r="AO13" s="44">
        <f>'Noms des employés'!$G$1-'Noms des employés'!G8</f>
        <v>30</v>
      </c>
      <c r="AP13" s="83">
        <f>'Noms des employés'!$H$1-'Noms des employés'!H8</f>
        <v>16</v>
      </c>
      <c r="AQ13" s="45">
        <f>'Noms des employés'!$I$1-'Noms des employés'!I8</f>
        <v>-3</v>
      </c>
      <c r="AR13" s="45">
        <f>'Noms des employés'!$J$1-'Noms des employés'!J8</f>
        <v>0</v>
      </c>
      <c r="AS13" s="46">
        <f>'Noms des employés'!$K$1-'Noms des employés'!K8</f>
        <v>15</v>
      </c>
    </row>
    <row r="14" spans="1:45" ht="30" customHeight="1">
      <c r="B14" s="5" t="str">
        <f>NomMois&amp;" total"</f>
        <v>Janvier total</v>
      </c>
      <c r="C14" s="4">
        <f>SUBTOTAL(103,Janvier!$C$9:$C$13)</f>
        <v>0</v>
      </c>
      <c r="D14" s="4">
        <f>SUBTOTAL(103,Janvier!$D$9:$D$13)</f>
        <v>0</v>
      </c>
      <c r="E14" s="4">
        <f>SUBTOTAL(103,Janvier!$E$9:$E$13)</f>
        <v>2</v>
      </c>
      <c r="F14" s="4">
        <f>SUBTOTAL(103,Janvier!$F$9:$F$13)</f>
        <v>2</v>
      </c>
      <c r="G14" s="4">
        <f>SUBTOTAL(103,Janvier!$G$9:$G$13)</f>
        <v>3</v>
      </c>
      <c r="H14" s="4">
        <f>SUBTOTAL(103,Janvier!$H$9:$H$13)</f>
        <v>3</v>
      </c>
      <c r="I14" s="4">
        <f>SUBTOTAL(103,Janvier!$I$9:$I$13)</f>
        <v>1</v>
      </c>
      <c r="J14" s="4">
        <f>SUBTOTAL(103,Janvier!$J$9:$J$13)</f>
        <v>0</v>
      </c>
      <c r="K14" s="4">
        <f>SUBTOTAL(103,Janvier!$K$9:$K$13)</f>
        <v>1</v>
      </c>
      <c r="L14" s="4">
        <f>SUBTOTAL(103,Janvier!$L$9:$L$13)</f>
        <v>0</v>
      </c>
      <c r="M14" s="4">
        <f>SUBTOTAL(103,Janvier!$M$9:$M$13)</f>
        <v>1</v>
      </c>
      <c r="N14" s="4">
        <f>SUBTOTAL(103,Janvier!$N$9:$N$13)</f>
        <v>0</v>
      </c>
      <c r="O14" s="4">
        <f>SUBTOTAL(103,Janvier!$O$9:$O$13)</f>
        <v>1</v>
      </c>
      <c r="P14" s="4">
        <f>SUBTOTAL(103,Janvier!$P$9:$P$13)</f>
        <v>1</v>
      </c>
      <c r="Q14" s="4">
        <f>SUBTOTAL(103,Janvier!$Q$9:$Q$13)</f>
        <v>0</v>
      </c>
      <c r="R14" s="4">
        <f>SUBTOTAL(103,Janvier!$R$9:$R$13)</f>
        <v>1</v>
      </c>
      <c r="S14" s="4">
        <f>SUBTOTAL(103,Janvier!$S$9:$S$13)</f>
        <v>1</v>
      </c>
      <c r="T14" s="4">
        <f>SUBTOTAL(103,Janvier!$T$9:$T$13)</f>
        <v>0</v>
      </c>
      <c r="U14" s="4">
        <f>SUBTOTAL(103,Janvier!$U$9:$U$13)</f>
        <v>1</v>
      </c>
      <c r="V14" s="4">
        <f>SUBTOTAL(103,Janvier!$V$9:$V$13)</f>
        <v>2</v>
      </c>
      <c r="W14" s="4">
        <f>SUBTOTAL(103,Janvier!$W$9:$W$13)</f>
        <v>1</v>
      </c>
      <c r="X14" s="4">
        <f>SUBTOTAL(103,Janvier!$X$9:$X$13)</f>
        <v>0</v>
      </c>
      <c r="Y14" s="4">
        <f>SUBTOTAL(103,Janvier!$Y$9:$Y$13)</f>
        <v>0</v>
      </c>
      <c r="Z14" s="4">
        <f>SUBTOTAL(103,Janvier!$Z$9:$Z$13)</f>
        <v>1</v>
      </c>
      <c r="AA14" s="4">
        <f>SUBTOTAL(103,Janvier!$AA$9:$AA$13)</f>
        <v>1</v>
      </c>
      <c r="AB14" s="4">
        <f>SUBTOTAL(103,Janvier!$AB$9:$AB$13)</f>
        <v>1</v>
      </c>
      <c r="AC14" s="4">
        <f>SUBTOTAL(103,Janvier!$AC$9:$AC$13)</f>
        <v>1</v>
      </c>
      <c r="AD14" s="4">
        <f>SUBTOTAL(103,Janvier!$AD$9:$AD$13)</f>
        <v>0</v>
      </c>
      <c r="AE14" s="4">
        <f>SUBTOTAL(103,Janvier!$AE$9:$AE$13)</f>
        <v>1</v>
      </c>
      <c r="AF14" s="4">
        <f>SUBTOTAL(103,Janvier!$AF$9:$AF$13)</f>
        <v>0</v>
      </c>
      <c r="AG14" s="4">
        <f>SUBTOTAL(103,Janvier!$AG$9:$AG$13)</f>
        <v>1</v>
      </c>
      <c r="AH14" s="4">
        <f>SUBTOTAL(109,Janvier[Total abscences])</f>
        <v>27</v>
      </c>
      <c r="AJ14" s="34"/>
      <c r="AK14" s="34"/>
      <c r="AL14" s="34"/>
      <c r="AM14" s="34"/>
      <c r="AN14" s="34"/>
      <c r="AO14" s="34"/>
      <c r="AP14" s="34"/>
      <c r="AQ14" s="34"/>
    </row>
  </sheetData>
  <mergeCells count="6">
    <mergeCell ref="C6:AG6"/>
    <mergeCell ref="D4:E4"/>
    <mergeCell ref="G4:I4"/>
    <mergeCell ref="K4:L4"/>
    <mergeCell ref="O4:R4"/>
    <mergeCell ref="T4:W4"/>
  </mergeCells>
  <phoneticPr fontId="31" type="noConversion"/>
  <conditionalFormatting sqref="C9:AG13">
    <cfRule type="expression" dxfId="244" priority="66" stopIfTrue="1">
      <formula>C9=CléCongé</formula>
    </cfRule>
    <cfRule type="expression" dxfId="243" priority="65" stopIfTrue="1">
      <formula>C9=CléPersonnel</formula>
    </cfRule>
    <cfRule type="expression" dxfId="242" priority="64" stopIfTrue="1">
      <formula>C9=CléMaladie</formula>
    </cfRule>
    <cfRule type="expression" dxfId="241" priority="63" stopIfTrue="1">
      <formula>C9=CléPersonnalisée1</formula>
    </cfRule>
    <cfRule type="expression" priority="57" stopIfTrue="1">
      <formula>C9=""</formula>
    </cfRule>
    <cfRule type="expression" dxfId="240" priority="62" stopIfTrue="1">
      <formula>C9=CléPersonnalisée2</formula>
    </cfRule>
  </conditionalFormatting>
  <conditionalFormatting sqref="J4">
    <cfRule type="expression" priority="25" stopIfTrue="1">
      <formula>J4=""</formula>
    </cfRule>
    <cfRule type="expression" dxfId="239" priority="26" stopIfTrue="1">
      <formula>J4=CléPersonnalisée2</formula>
    </cfRule>
    <cfRule type="expression" dxfId="238" priority="27" stopIfTrue="1">
      <formula>J4=CléPersonnalisée1</formula>
    </cfRule>
    <cfRule type="expression" dxfId="237" priority="28" stopIfTrue="1">
      <formula>J4=CléMaladie</formula>
    </cfRule>
    <cfRule type="expression" dxfId="236" priority="29" stopIfTrue="1">
      <formula>J4=CléPersonnel</formula>
    </cfRule>
    <cfRule type="expression" dxfId="235" priority="30" stopIfTrue="1">
      <formula>J4=CléCongé</formula>
    </cfRule>
  </conditionalFormatting>
  <conditionalFormatting sqref="N4">
    <cfRule type="expression" dxfId="234" priority="46" stopIfTrue="1">
      <formula>N4=CléMaladie</formula>
    </cfRule>
    <cfRule type="expression" dxfId="233" priority="45" stopIfTrue="1">
      <formula>N4=CléPersonnalisée1</formula>
    </cfRule>
    <cfRule type="expression" dxfId="232" priority="44" stopIfTrue="1">
      <formula>N4=CléPersonnalisée2</formula>
    </cfRule>
    <cfRule type="expression" priority="43" stopIfTrue="1">
      <formula>N4=""</formula>
    </cfRule>
    <cfRule type="expression" dxfId="231" priority="48" stopIfTrue="1">
      <formula>N4=CléCongé</formula>
    </cfRule>
    <cfRule type="expression" dxfId="230" priority="47" stopIfTrue="1">
      <formula>N4=CléPersonnel</formula>
    </cfRule>
  </conditionalFormatting>
  <conditionalFormatting sqref="S4">
    <cfRule type="expression" dxfId="229" priority="52" stopIfTrue="1">
      <formula>S4=CléMaladie</formula>
    </cfRule>
    <cfRule type="expression" dxfId="228" priority="53" stopIfTrue="1">
      <formula>S4=CléPersonnel</formula>
    </cfRule>
    <cfRule type="expression" dxfId="227" priority="54" stopIfTrue="1">
      <formula>S4=CléCongé</formula>
    </cfRule>
    <cfRule type="expression" dxfId="226" priority="50" stopIfTrue="1">
      <formula>S4=CléPersonnalisée2</formula>
    </cfRule>
    <cfRule type="expression" priority="49" stopIfTrue="1">
      <formula>S4=""</formula>
    </cfRule>
    <cfRule type="expression" dxfId="225" priority="51" stopIfTrue="1">
      <formula>S4=CléPersonnalisée1</formula>
    </cfRule>
  </conditionalFormatting>
  <conditionalFormatting sqref="AH9:AH13">
    <cfRule type="dataBar" priority="224">
      <dataBar>
        <cfvo type="num" val="0"/>
        <cfvo type="num" val="31"/>
        <color theme="4"/>
      </dataBar>
      <extLst>
        <ext xmlns:x14="http://schemas.microsoft.com/office/spreadsheetml/2009/9/main" uri="{B025F937-C7B1-47D3-B67F-A62EFF666E3E}">
          <x14:id>{ECCE2C3C-1B01-4700-B60E-DAAAB19A9C1A}</x14:id>
        </ext>
      </extLst>
    </cfRule>
  </conditionalFormatting>
  <conditionalFormatting sqref="AL8">
    <cfRule type="expression" dxfId="224" priority="22" stopIfTrue="1">
      <formula>AL8=CléMaladie</formula>
    </cfRule>
    <cfRule type="expression" dxfId="223" priority="24" stopIfTrue="1">
      <formula>AL8=CléCongé</formula>
    </cfRule>
    <cfRule type="expression" dxfId="222" priority="23" stopIfTrue="1">
      <formula>AL8=CléPersonnel</formula>
    </cfRule>
  </conditionalFormatting>
  <conditionalFormatting sqref="AL8:AN8">
    <cfRule type="expression" dxfId="221" priority="20" stopIfTrue="1">
      <formula>AL8=CléPersonnalisée2</formula>
    </cfRule>
    <cfRule type="expression" priority="19" stopIfTrue="1">
      <formula>AL8=""</formula>
    </cfRule>
    <cfRule type="expression" dxfId="220" priority="21" stopIfTrue="1">
      <formula>AL8=CléPersonnalisée1</formula>
    </cfRule>
  </conditionalFormatting>
  <conditionalFormatting sqref="AM8:AN8">
    <cfRule type="expression" dxfId="219" priority="34" stopIfTrue="1">
      <formula>AM8=CléMaladie</formula>
    </cfRule>
    <cfRule type="expression" dxfId="218" priority="35" stopIfTrue="1">
      <formula>AM8=CléPersonnel</formula>
    </cfRule>
    <cfRule type="expression" dxfId="217" priority="36" stopIfTrue="1">
      <formula>AM8=CléCongé</formula>
    </cfRule>
  </conditionalFormatting>
  <conditionalFormatting sqref="AQ8">
    <cfRule type="expression" dxfId="216" priority="6" stopIfTrue="1">
      <formula>AQ8=CléCongé</formula>
    </cfRule>
    <cfRule type="expression" dxfId="215" priority="5" stopIfTrue="1">
      <formula>AQ8=CléPersonnel</formula>
    </cfRule>
    <cfRule type="expression" dxfId="214" priority="4" stopIfTrue="1">
      <formula>AQ8=CléMaladie</formula>
    </cfRule>
  </conditionalFormatting>
  <conditionalFormatting sqref="AQ8:AS8">
    <cfRule type="expression" dxfId="213" priority="2" stopIfTrue="1">
      <formula>AQ8=CléPersonnalisée2</formula>
    </cfRule>
    <cfRule type="expression" priority="1" stopIfTrue="1">
      <formula>AQ8=""</formula>
    </cfRule>
    <cfRule type="expression" dxfId="212" priority="3" stopIfTrue="1">
      <formula>AQ8=CléPersonnalisée1</formula>
    </cfRule>
  </conditionalFormatting>
  <conditionalFormatting sqref="AR8:AS8">
    <cfRule type="expression" dxfId="211" priority="12" stopIfTrue="1">
      <formula>AR8=CléCongé</formula>
    </cfRule>
    <cfRule type="expression" dxfId="210" priority="11" stopIfTrue="1">
      <formula>AR8=CléPersonnel</formula>
    </cfRule>
    <cfRule type="expression" dxfId="209" priority="10" stopIfTrue="1">
      <formula>AR8=CléMaladie</formula>
    </cfRule>
  </conditionalFormatting>
  <dataValidations count="16">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FAB55708-481E-2E48-9F66-3C8E8545F6B0}"/>
    <dataValidation allowBlank="1" showInputMessage="1" showErrorMessage="1" prompt="La lettre « C » indique une absence pour cause de congé" sqref="C4" xr:uid="{9058FE4E-B17F-E943-9A83-5582DE92BDB6}"/>
    <dataValidation allowBlank="1" showInputMessage="1" showErrorMessage="1" prompt="La lettre « P » indique une absence pour motifs personnels" sqref="F4" xr:uid="{C4744D51-42B4-0342-B86A-BE9D6063B807}"/>
    <dataValidation allowBlank="1" showInputMessage="1" showErrorMessage="1" prompt="La lettre « M » indique une absence pour cause de maladie" sqref="J4" xr:uid="{EBA2AA00-2D66-0547-8889-4D34A2A72241}"/>
    <dataValidation allowBlank="1" showInputMessage="1" showErrorMessage="1" prompt="Entrez une lettre et personnalisez l’étiquette à droite pour ajouter un élément de clé" sqref="N4 S4" xr:uid="{FEABEF84-83D3-7D42-BA7C-926AE09CBA1E}"/>
    <dataValidation allowBlank="1" showInputMessage="1" showErrorMessage="1" prompt="Entrez une étiquette pour décrire la clé personnalisée à gauche" sqref="O4 T4" xr:uid="{12884A59-5F75-0848-A6CD-363E691B1D2A}"/>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5" xr:uid="{00000000-0002-0000-0000-00000E00000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DF4494D1-42F6-BB47-AFAB-18021A3441AC}"/>
    <dataValidation allowBlank="1" showInputMessage="1" showErrorMessage="1" prompt="Le titre mis à jour automatiquement figure dans cette cellule. Pour modifier le titre, mettez à jour la cellule B1 de la feuille de calcul Janvier" sqref="B2" xr:uid="{20FFCBA6-5698-4E4B-9E75-1B2FD678A86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FE3C1916-A13B-EF44-83B6-EF87C12834B2}"/>
    <dataValidation allowBlank="1" showInputMessage="1" showErrorMessage="1" prompt="Calcule automatiquement le nombre total de jours d’absence d’un employé ce mois-ci dans cette colonne" sqref="AH8" xr:uid="{17D68424-3ED0-774F-A440-37779B4905D7}"/>
    <dataValidation allowBlank="1" showInputMessage="1" showErrorMessage="1" prompt="Entrez l’année dans cette cellule" sqref="AH6" xr:uid="{00000000-0002-0000-0000-000000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F6CAA384-C773-F044-845D-980CB65F95B2}"/>
    <dataValidation allowBlank="1" showInputMessage="1" showErrorMessage="1" prompt="Cette ligne définit les clés utilisées dans le tableau : la cellule C4 un congé, la G4 personnel, et K4 un congé maladie. Les cellules N4 et R4 sont personnalisables " sqref="B4" xr:uid="{254C5299-B8DC-4E28-AD10-F93B45AED253}"/>
    <dataValidation allowBlank="1" showInputMessage="1" showErrorMessage="1" prompt="Le titre de la feuille de calcul figure dans cette cellule. " sqref="B1" xr:uid="{F61E6882-FE5C-43CD-B756-4B881652736D}"/>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gradient="0">
              <x14:cfvo type="num">
                <xm:f>0</xm:f>
              </x14:cfvo>
              <x14:cfvo type="num">
                <xm:f>31</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B9:B13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tint="0.39997558519241921"/>
  </sheetPr>
  <dimension ref="A1:AJ14"/>
  <sheetViews>
    <sheetView showGridLines="0" zoomScaleNormal="100" workbookViewId="0">
      <selection activeCell="AJ9" sqref="AJ9"/>
    </sheetView>
  </sheetViews>
  <sheetFormatPr baseColWidth="10" defaultColWidth="9.14062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1:36" ht="50.1" customHeight="1">
      <c r="B1" s="23" t="s">
        <v>0</v>
      </c>
    </row>
    <row r="2" spans="1:36" s="11" customFormat="1" ht="100.35" customHeight="1">
      <c r="A2"/>
      <c r="B2" s="22" t="s">
        <v>49</v>
      </c>
    </row>
    <row r="3" spans="1: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1: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1: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1: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1:36" ht="30" customHeight="1">
      <c r="B7" s="6"/>
      <c r="C7" s="20" t="str">
        <f>TEXT(WEEKDAY(DATE(CalendarYear,2,1),1),"jjj")</f>
        <v>jeu</v>
      </c>
      <c r="D7" s="20" t="str">
        <f>TEXT(WEEKDAY(DATE(CalendarYear,2,2),1),"jjj")</f>
        <v>ven</v>
      </c>
      <c r="E7" s="20" t="str">
        <f>TEXT(WEEKDAY(DATE(CalendarYear,2,3),1),"jjj")</f>
        <v>sam</v>
      </c>
      <c r="F7" s="20" t="str">
        <f>TEXT(WEEKDAY(DATE(CalendarYear,2,4),1),"jjj")</f>
        <v>dim</v>
      </c>
      <c r="G7" s="20" t="str">
        <f>TEXT(WEEKDAY(DATE(CalendarYear,2,5),1),"jjj")</f>
        <v>lun</v>
      </c>
      <c r="H7" s="20" t="str">
        <f>TEXT(WEEKDAY(DATE(CalendarYear,2,6),1),"jjj")</f>
        <v>mar</v>
      </c>
      <c r="I7" s="20" t="str">
        <f>TEXT(WEEKDAY(DATE(CalendarYear,2,7),1),"jjj")</f>
        <v>mer</v>
      </c>
      <c r="J7" s="20" t="str">
        <f>TEXT(WEEKDAY(DATE(CalendarYear,2,8),1),"jjj")</f>
        <v>jeu</v>
      </c>
      <c r="K7" s="20" t="str">
        <f>TEXT(WEEKDAY(DATE(CalendarYear,2,9),1),"jjj")</f>
        <v>ven</v>
      </c>
      <c r="L7" s="20" t="str">
        <f>TEXT(WEEKDAY(DATE(CalendarYear,2,10),1),"jjj")</f>
        <v>sam</v>
      </c>
      <c r="M7" s="20" t="str">
        <f>TEXT(WEEKDAY(DATE(CalendarYear,2,11),1),"jjj")</f>
        <v>dim</v>
      </c>
      <c r="N7" s="20" t="str">
        <f>TEXT(WEEKDAY(DATE(CalendarYear,2,12),1),"jjj")</f>
        <v>lun</v>
      </c>
      <c r="O7" s="20" t="str">
        <f>TEXT(WEEKDAY(DATE(CalendarYear,2,13),1),"jjj")</f>
        <v>mar</v>
      </c>
      <c r="P7" s="20" t="str">
        <f>TEXT(WEEKDAY(DATE(CalendarYear,2,14),1),"jjj")</f>
        <v>mer</v>
      </c>
      <c r="Q7" s="20" t="str">
        <f>TEXT(WEEKDAY(DATE(CalendarYear,2,15),1),"jjj")</f>
        <v>jeu</v>
      </c>
      <c r="R7" s="20" t="str">
        <f>TEXT(WEEKDAY(DATE(CalendarYear,2,16),1),"jjj")</f>
        <v>ven</v>
      </c>
      <c r="S7" s="20" t="str">
        <f>TEXT(WEEKDAY(DATE(CalendarYear,2,17),1),"jjj")</f>
        <v>sam</v>
      </c>
      <c r="T7" s="20" t="str">
        <f>TEXT(WEEKDAY(DATE(CalendarYear,2,18),1),"jjj")</f>
        <v>dim</v>
      </c>
      <c r="U7" s="20" t="str">
        <f>TEXT(WEEKDAY(DATE(CalendarYear,2,19),1),"jjj")</f>
        <v>lun</v>
      </c>
      <c r="V7" s="20" t="str">
        <f>TEXT(WEEKDAY(DATE(CalendarYear,2,20),1),"jjj")</f>
        <v>mar</v>
      </c>
      <c r="W7" s="20" t="str">
        <f>TEXT(WEEKDAY(DATE(CalendarYear,2,21),1),"jjj")</f>
        <v>mer</v>
      </c>
      <c r="X7" s="20" t="str">
        <f>TEXT(WEEKDAY(DATE(CalendarYear,2,22),1),"jjj")</f>
        <v>jeu</v>
      </c>
      <c r="Y7" s="20" t="str">
        <f>TEXT(WEEKDAY(DATE(CalendarYear,2,23),1),"jjj")</f>
        <v>ven</v>
      </c>
      <c r="Z7" s="20" t="str">
        <f>TEXT(WEEKDAY(DATE(CalendarYear,2,24),1),"jjj")</f>
        <v>sam</v>
      </c>
      <c r="AA7" s="20" t="str">
        <f>TEXT(WEEKDAY(DATE(CalendarYear,2,25),1),"jjj")</f>
        <v>dim</v>
      </c>
      <c r="AB7" s="20" t="str">
        <f>TEXT(WEEKDAY(DATE(CalendarYear,2,26),1),"jjj")</f>
        <v>lun</v>
      </c>
      <c r="AC7" s="20" t="str">
        <f>TEXT(WEEKDAY(DATE(CalendarYear,2,27),1),"jjj")</f>
        <v>mar</v>
      </c>
      <c r="AD7" s="20" t="str">
        <f>TEXT(WEEKDAY(DATE(CalendarYear,2,28),1),"jjj")</f>
        <v>mer</v>
      </c>
      <c r="AE7" s="20" t="str">
        <f>TEXT(WEEKDAY(DATE(CalendarYear,2,29),1),"jjj")</f>
        <v>jeu</v>
      </c>
      <c r="AF7" s="20"/>
      <c r="AG7" s="20"/>
      <c r="AH7" s="6"/>
    </row>
    <row r="8" spans="1: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50</v>
      </c>
      <c r="AG8" s="1" t="s">
        <v>51</v>
      </c>
      <c r="AH8" s="21" t="s">
        <v>48</v>
      </c>
    </row>
    <row r="9" spans="1:36" ht="30" customHeight="1">
      <c r="B9" s="2" t="s">
        <v>4</v>
      </c>
      <c r="C9" s="18"/>
      <c r="D9" s="18"/>
      <c r="E9" s="18"/>
      <c r="F9" s="18"/>
      <c r="G9" s="18"/>
      <c r="H9" s="18"/>
      <c r="I9" s="18"/>
      <c r="J9" s="18"/>
      <c r="K9" s="18"/>
      <c r="L9" s="18"/>
      <c r="M9" s="18"/>
      <c r="N9" s="18"/>
      <c r="O9" s="18"/>
      <c r="P9" s="18"/>
      <c r="Q9" s="18"/>
      <c r="R9" s="18"/>
      <c r="S9" s="18"/>
      <c r="T9" s="18"/>
      <c r="U9" s="18"/>
      <c r="V9" s="18"/>
      <c r="W9" s="18"/>
      <c r="X9" s="18"/>
      <c r="Y9" s="18"/>
      <c r="Z9" s="18"/>
      <c r="AA9" s="18"/>
      <c r="AB9" s="18"/>
      <c r="AC9" s="18"/>
      <c r="AD9" s="18"/>
      <c r="AE9" s="18"/>
      <c r="AF9" s="18"/>
      <c r="AG9" s="18"/>
      <c r="AH9" s="3">
        <f>COUNTA(Février[[#This Row],[1]:[29]])</f>
        <v>0</v>
      </c>
      <c r="AJ9">
        <f>COUNTIF(Janvier[[#This Row],[1]:[31]],AJ$8)</f>
        <v>0</v>
      </c>
    </row>
    <row r="10" spans="1:36" ht="30" customHeight="1">
      <c r="B10" s="2" t="s">
        <v>5</v>
      </c>
      <c r="C10" s="18"/>
      <c r="D10" s="18"/>
      <c r="E10" s="18"/>
      <c r="F10" s="18"/>
      <c r="G10" s="18"/>
      <c r="H10" s="18"/>
      <c r="I10" s="18"/>
      <c r="J10" s="18"/>
      <c r="K10" s="18" t="s">
        <v>15</v>
      </c>
      <c r="L10" s="18"/>
      <c r="M10" s="18"/>
      <c r="N10" s="18"/>
      <c r="O10" s="18"/>
      <c r="P10" s="18"/>
      <c r="Q10" s="18"/>
      <c r="R10" s="18"/>
      <c r="S10" s="18"/>
      <c r="T10" s="18"/>
      <c r="U10" s="18"/>
      <c r="V10" s="18"/>
      <c r="W10" s="18"/>
      <c r="X10" s="18"/>
      <c r="Y10" s="18"/>
      <c r="Z10" s="18"/>
      <c r="AA10" s="18"/>
      <c r="AB10" s="18"/>
      <c r="AC10" s="18"/>
      <c r="AD10" s="18"/>
      <c r="AE10" s="18"/>
      <c r="AF10" s="18"/>
      <c r="AG10" s="18"/>
      <c r="AH10" s="3">
        <f>COUNTA(Février[[#This Row],[1]:[29]])</f>
        <v>1</v>
      </c>
    </row>
    <row r="11" spans="1:36" ht="30" customHeight="1">
      <c r="B11" s="2" t="s">
        <v>6</v>
      </c>
      <c r="C11" s="18"/>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8"/>
      <c r="AF11" s="18"/>
      <c r="AG11" s="18"/>
      <c r="AH11" s="3">
        <f>COUNTA(Février[[#This Row],[1]:[29]])</f>
        <v>0</v>
      </c>
    </row>
    <row r="12" spans="1:36" ht="30" customHeight="1">
      <c r="B12" s="2" t="s">
        <v>7</v>
      </c>
      <c r="C12" s="18"/>
      <c r="D12" s="18"/>
      <c r="E12" s="18"/>
      <c r="F12" s="18"/>
      <c r="G12" s="18"/>
      <c r="H12" s="18"/>
      <c r="I12" s="18"/>
      <c r="J12" s="18"/>
      <c r="K12" s="18"/>
      <c r="L12" s="18"/>
      <c r="M12" s="18"/>
      <c r="N12" s="18"/>
      <c r="O12" s="18"/>
      <c r="P12" s="18"/>
      <c r="Q12" s="18"/>
      <c r="R12" s="18"/>
      <c r="S12" s="18"/>
      <c r="T12" s="18"/>
      <c r="U12" s="18"/>
      <c r="V12" s="18"/>
      <c r="W12" s="18"/>
      <c r="X12" s="18"/>
      <c r="Y12" s="18"/>
      <c r="Z12" s="18"/>
      <c r="AA12" s="18"/>
      <c r="AB12" s="18"/>
      <c r="AC12" s="18"/>
      <c r="AD12" s="18"/>
      <c r="AE12" s="18"/>
      <c r="AF12" s="18"/>
      <c r="AG12" s="18"/>
      <c r="AH12" s="3">
        <f>COUNTA(Février[[#This Row],[1]:[29]])</f>
        <v>0</v>
      </c>
    </row>
    <row r="13" spans="1:36" ht="30" customHeight="1">
      <c r="B13" s="2" t="s">
        <v>8</v>
      </c>
      <c r="C13" s="18"/>
      <c r="D13" s="18"/>
      <c r="E13" s="18"/>
      <c r="F13" s="18"/>
      <c r="G13" s="18"/>
      <c r="H13" s="18"/>
      <c r="I13" s="18"/>
      <c r="J13" s="18"/>
      <c r="K13" s="18"/>
      <c r="L13" s="18"/>
      <c r="M13" s="18"/>
      <c r="N13" s="18"/>
      <c r="O13" s="18"/>
      <c r="P13" s="18"/>
      <c r="Q13" s="18"/>
      <c r="R13" s="18"/>
      <c r="S13" s="18"/>
      <c r="T13" s="18"/>
      <c r="U13" s="18"/>
      <c r="V13" s="18"/>
      <c r="W13" s="18"/>
      <c r="X13" s="18"/>
      <c r="Y13" s="18"/>
      <c r="Z13" s="18"/>
      <c r="AA13" s="18"/>
      <c r="AB13" s="18"/>
      <c r="AC13" s="18"/>
      <c r="AD13" s="18"/>
      <c r="AE13" s="18"/>
      <c r="AF13" s="18"/>
      <c r="AG13" s="18"/>
      <c r="AH13" s="3">
        <f>COUNTA(Février[[#This Row],[1]:[29]])</f>
        <v>0</v>
      </c>
    </row>
    <row r="14" spans="1:36" ht="30" customHeight="1">
      <c r="B14" s="5" t="str">
        <f>NomMois&amp;" total"</f>
        <v>Février total</v>
      </c>
      <c r="C14" s="4">
        <f>SUBTOTAL(103,Février[1])</f>
        <v>0</v>
      </c>
      <c r="D14" s="4">
        <f>SUBTOTAL(103,Février[2])</f>
        <v>0</v>
      </c>
      <c r="E14" s="4">
        <f>SUBTOTAL(103,Février[3])</f>
        <v>0</v>
      </c>
      <c r="F14" s="4">
        <f>SUBTOTAL(103,Février[4])</f>
        <v>0</v>
      </c>
      <c r="G14" s="4">
        <f>SUBTOTAL(103,Février[5])</f>
        <v>0</v>
      </c>
      <c r="H14" s="4">
        <f>SUBTOTAL(103,Février[6])</f>
        <v>0</v>
      </c>
      <c r="I14" s="4">
        <f>SUBTOTAL(103,Février[7])</f>
        <v>0</v>
      </c>
      <c r="J14" s="4">
        <f>SUBTOTAL(103,Février[8])</f>
        <v>0</v>
      </c>
      <c r="K14" s="4">
        <f>SUBTOTAL(103,Février[9])</f>
        <v>1</v>
      </c>
      <c r="L14" s="4">
        <f>SUBTOTAL(103,Février[10])</f>
        <v>0</v>
      </c>
      <c r="M14" s="4">
        <f>SUBTOTAL(103,Février[11])</f>
        <v>0</v>
      </c>
      <c r="N14" s="4">
        <f>SUBTOTAL(103,Février[12])</f>
        <v>0</v>
      </c>
      <c r="O14" s="4">
        <f>SUBTOTAL(103,Février[13])</f>
        <v>0</v>
      </c>
      <c r="P14" s="4">
        <f>SUBTOTAL(103,Février[14])</f>
        <v>0</v>
      </c>
      <c r="Q14" s="4">
        <f>SUBTOTAL(103,Février[15])</f>
        <v>0</v>
      </c>
      <c r="R14" s="4">
        <f>SUBTOTAL(103,Février[16])</f>
        <v>0</v>
      </c>
      <c r="S14" s="4">
        <f>SUBTOTAL(103,Février[17])</f>
        <v>0</v>
      </c>
      <c r="T14" s="4">
        <f>SUBTOTAL(103,Février[18])</f>
        <v>0</v>
      </c>
      <c r="U14" s="4">
        <f>SUBTOTAL(103,Février[19])</f>
        <v>0</v>
      </c>
      <c r="V14" s="4">
        <f>SUBTOTAL(103,Février[20])</f>
        <v>0</v>
      </c>
      <c r="W14" s="4">
        <f>SUBTOTAL(103,Février[21])</f>
        <v>0</v>
      </c>
      <c r="X14" s="4">
        <f>SUBTOTAL(103,Février[22])</f>
        <v>0</v>
      </c>
      <c r="Y14" s="4">
        <f>SUBTOTAL(103,Février[23])</f>
        <v>0</v>
      </c>
      <c r="Z14" s="4">
        <f>SUBTOTAL(103,Février[24])</f>
        <v>0</v>
      </c>
      <c r="AA14" s="4">
        <f>SUBTOTAL(103,Février[25])</f>
        <v>0</v>
      </c>
      <c r="AB14" s="4">
        <f>SUBTOTAL(103,Février[26])</f>
        <v>0</v>
      </c>
      <c r="AC14" s="4">
        <f>SUBTOTAL(103,Février[27])</f>
        <v>0</v>
      </c>
      <c r="AD14" s="4">
        <f>SUBTOTAL(103,Février[28])</f>
        <v>0</v>
      </c>
      <c r="AE14" s="4">
        <f>SUBTOTAL(103,Février[29])</f>
        <v>0</v>
      </c>
      <c r="AF14" s="4"/>
      <c r="AG14" s="4"/>
      <c r="AH14" s="4">
        <f>SUBTOTAL(109,Février[Total des jours])</f>
        <v>1</v>
      </c>
    </row>
  </sheetData>
  <mergeCells count="6">
    <mergeCell ref="C6:AG6"/>
    <mergeCell ref="D4:E4"/>
    <mergeCell ref="G4:I4"/>
    <mergeCell ref="K4:L4"/>
    <mergeCell ref="O4:R4"/>
    <mergeCell ref="T4:W4"/>
  </mergeCells>
  <phoneticPr fontId="31" type="noConversion"/>
  <conditionalFormatting sqref="C9:AG13">
    <cfRule type="expression" priority="15" stopIfTrue="1">
      <formula>C9=""</formula>
    </cfRule>
    <cfRule type="expression" dxfId="208" priority="16" stopIfTrue="1">
      <formula>C9=CléPersonnalisée2</formula>
    </cfRule>
    <cfRule type="expression" dxfId="207" priority="18" stopIfTrue="1">
      <formula>C9=CléPersonnalisée1</formula>
    </cfRule>
    <cfRule type="expression" dxfId="206" priority="19" stopIfTrue="1">
      <formula>C9=CléMaladie</formula>
    </cfRule>
    <cfRule type="expression" dxfId="205" priority="20" stopIfTrue="1">
      <formula>C9=CléPersonnel</formula>
    </cfRule>
    <cfRule type="expression" dxfId="204" priority="21" stopIfTrue="1">
      <formula>C9=CléCongé</formula>
    </cfRule>
  </conditionalFormatting>
  <conditionalFormatting sqref="N4">
    <cfRule type="expression" priority="1" stopIfTrue="1">
      <formula>N4=""</formula>
    </cfRule>
    <cfRule type="expression" dxfId="203" priority="2" stopIfTrue="1">
      <formula>N4=CléPersonnalisée2</formula>
    </cfRule>
    <cfRule type="expression" dxfId="202" priority="3" stopIfTrue="1">
      <formula>N4=CléPersonnalisée1</formula>
    </cfRule>
    <cfRule type="expression" dxfId="201" priority="4" stopIfTrue="1">
      <formula>N4=CléMaladie</formula>
    </cfRule>
    <cfRule type="expression" dxfId="200" priority="5" stopIfTrue="1">
      <formula>N4=CléPersonnel</formula>
    </cfRule>
    <cfRule type="expression" dxfId="199" priority="6" stopIfTrue="1">
      <formula>N4=CléCongé</formula>
    </cfRule>
  </conditionalFormatting>
  <conditionalFormatting sqref="S4">
    <cfRule type="expression" priority="7" stopIfTrue="1">
      <formula>S4=""</formula>
    </cfRule>
    <cfRule type="expression" dxfId="198" priority="8" stopIfTrue="1">
      <formula>S4=CléPersonnalisée2</formula>
    </cfRule>
    <cfRule type="expression" dxfId="197" priority="9" stopIfTrue="1">
      <formula>S4=CléPersonnalisée1</formula>
    </cfRule>
    <cfRule type="expression" dxfId="196" priority="10" stopIfTrue="1">
      <formula>S4=CléMaladie</formula>
    </cfRule>
    <cfRule type="expression" dxfId="195" priority="11" stopIfTrue="1">
      <formula>S4=CléPersonnel</formula>
    </cfRule>
    <cfRule type="expression" dxfId="194" priority="12" stopIfTrue="1">
      <formula>S4=CléCongé</formula>
    </cfRule>
  </conditionalFormatting>
  <conditionalFormatting sqref="AE7">
    <cfRule type="expression" dxfId="193" priority="13">
      <formula>MONTH(DATE(CalendarYear,2,29))&lt;&gt;2</formula>
    </cfRule>
  </conditionalFormatting>
  <conditionalFormatting sqref="AE8">
    <cfRule type="expression" dxfId="192" priority="29">
      <formula>MONTH(DATE(CalendarYear,2,29))&lt;&gt;2</formula>
    </cfRule>
  </conditionalFormatting>
  <conditionalFormatting sqref="AH9:AH13">
    <cfRule type="dataBar" priority="166">
      <dataBar>
        <cfvo type="min"/>
        <cfvo type="formula" val="DATEDIF(DATE(CalendarYear,2,1),DATE(CalendarYear,3,1),&quot;d&quot;)"/>
        <color theme="4"/>
      </dataBar>
      <extLst>
        <ext xmlns:x14="http://schemas.microsoft.com/office/spreadsheetml/2009/9/main" uri="{B025F937-C7B1-47D3-B67F-A62EFF666E3E}">
          <x14:id>{94738C71-AB78-40C3-A818-D083AE35CC38}</x14:id>
        </ext>
      </extLst>
    </cfRule>
  </conditionalFormatting>
  <dataValidations xWindow="232" yWindow="365" count="15">
    <dataValidation allowBlank="1" showInputMessage="1" showErrorMessage="1" prompt="Année mise à jour automatiquement en fonction de l’année entrée dans la feuille de calcul Janvier" sqref="AH6"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8" xr:uid="{77246999-1DD3-7143-AA66-1A208D7E07C6}"/>
    <dataValidation allowBlank="1" showInputMessage="1" showErrorMessage="1" prompt="Le titre mis à jour automatiquement figure dans cette cellule. Pour modifier le titre, mettez à jour la cellule B1 de la feuille de calcul Janvier" sqref="B2"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2"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63261372-7DCA-F84F-9EF6-13D18C8D58CC}"/>
    <dataValidation allowBlank="1" showInputMessage="1" showErrorMessage="1" prompt="Entrez une étiquette pour décrire la clé personnalisée à gauche" sqref="O4 T4" xr:uid="{D925D010-DA48-491E-B5AC-8F62D74DB7E9}"/>
    <dataValidation allowBlank="1" showInputMessage="1" showErrorMessage="1" prompt="Entrez une lettre et personnalisez l’étiquette à droite pour ajouter un élément de clé" sqref="N4 S4" xr:uid="{3F77CC4F-EB37-4132-BA4E-2C2284DA4B4E}"/>
    <dataValidation allowBlank="1" showInputMessage="1" showErrorMessage="1" prompt="La lettre « M » indique une absence pour cause de maladie" sqref="J4" xr:uid="{25D31850-8C90-4E4F-B71E-A6F45DBEEB69}"/>
    <dataValidation allowBlank="1" showInputMessage="1" showErrorMessage="1" prompt="La lettre « P » indique une absence pour motifs personnels" sqref="F4" xr:uid="{65B32518-C77F-48D3-87FE-743FD83C61C7}"/>
    <dataValidation allowBlank="1" showInputMessage="1" showErrorMessage="1" prompt="La lettre « C » indique une absence pour cause de congé" sqref="C4" xr:uid="{D9F5D705-F48E-453A-833F-89222BC1D7D4}"/>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0000000-0002-0000-0100-00000D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525721C9-B345-0C4C-8302-350AF692807F}"/>
    <dataValidation allowBlank="1" showInputMessage="1" showErrorMessage="1" prompt="Cette ligne définit les clés utilisées dans le tableau : la cellule C4 un congé, la G4 personnel, et K4 un congé maladie. Les cellules N4 et R4 sont personnalisables " sqref="B4" xr:uid="{7C2F778E-AA90-4389-BE25-016652C40577}"/>
    <dataValidation allowBlank="1" showInputMessage="1" showErrorMessage="1" prompt="Le titre de la feuille de calcul figure dans cette cellule. " sqref="B1" xr:uid="{3720AAC7-6CB9-46B3-ABB5-C56FB01AC59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gradient="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B9:B13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4" tint="0.499984740745262"/>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4" t="s">
        <v>52</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TEXT(WEEKDAY(DATE(CalendarYear,3,1),1),"jjj")</f>
        <v>ven</v>
      </c>
      <c r="D7" s="20" t="str">
        <f>TEXT(WEEKDAY(DATE(CalendarYear,3,2),1),"jjj")</f>
        <v>sam</v>
      </c>
      <c r="E7" s="20" t="str">
        <f>TEXT(WEEKDAY(DATE(CalendarYear,3,3),1),"jjj")</f>
        <v>dim</v>
      </c>
      <c r="F7" s="20" t="str">
        <f>TEXT(WEEKDAY(DATE(CalendarYear,3,4),1),"jjj")</f>
        <v>lun</v>
      </c>
      <c r="G7" s="20" t="str">
        <f>TEXT(WEEKDAY(DATE(CalendarYear,3,5),1),"jjj")</f>
        <v>mar</v>
      </c>
      <c r="H7" s="20" t="str">
        <f>TEXT(WEEKDAY(DATE(CalendarYear,3,6),1),"jjj")</f>
        <v>mer</v>
      </c>
      <c r="I7" s="20" t="str">
        <f>TEXT(WEEKDAY(DATE(CalendarYear,3,7),1),"jjj")</f>
        <v>jeu</v>
      </c>
      <c r="J7" s="20" t="str">
        <f>TEXT(WEEKDAY(DATE(CalendarYear,3,8),1),"jjj")</f>
        <v>ven</v>
      </c>
      <c r="K7" s="20" t="str">
        <f>TEXT(WEEKDAY(DATE(CalendarYear,3,9),1),"jjj")</f>
        <v>sam</v>
      </c>
      <c r="L7" s="20" t="str">
        <f>TEXT(WEEKDAY(DATE(CalendarYear,3,10),1),"jjj")</f>
        <v>dim</v>
      </c>
      <c r="M7" s="20" t="str">
        <f>TEXT(WEEKDAY(DATE(CalendarYear,3,11),1),"jjj")</f>
        <v>lun</v>
      </c>
      <c r="N7" s="20" t="str">
        <f>TEXT(WEEKDAY(DATE(CalendarYear,3,12),1),"jjj")</f>
        <v>mar</v>
      </c>
      <c r="O7" s="20" t="str">
        <f>TEXT(WEEKDAY(DATE(CalendarYear,3,13),1),"jjj")</f>
        <v>mer</v>
      </c>
      <c r="P7" s="20" t="str">
        <f>TEXT(WEEKDAY(DATE(CalendarYear,3,14),1),"jjj")</f>
        <v>jeu</v>
      </c>
      <c r="Q7" s="20" t="str">
        <f>TEXT(WEEKDAY(DATE(CalendarYear,3,15),1),"jjj")</f>
        <v>ven</v>
      </c>
      <c r="R7" s="20" t="str">
        <f>TEXT(WEEKDAY(DATE(CalendarYear,3,16),1),"jjj")</f>
        <v>sam</v>
      </c>
      <c r="S7" s="20" t="str">
        <f>TEXT(WEEKDAY(DATE(CalendarYear,3,17),1),"jjj")</f>
        <v>dim</v>
      </c>
      <c r="T7" s="20" t="str">
        <f>TEXT(WEEKDAY(DATE(CalendarYear,3,18),1),"jjj")</f>
        <v>lun</v>
      </c>
      <c r="U7" s="20" t="str">
        <f>TEXT(WEEKDAY(DATE(CalendarYear,3,19),1),"jjj")</f>
        <v>mar</v>
      </c>
      <c r="V7" s="20" t="str">
        <f>TEXT(WEEKDAY(DATE(CalendarYear,3,20),1),"jjj")</f>
        <v>mer</v>
      </c>
      <c r="W7" s="20" t="str">
        <f>TEXT(WEEKDAY(DATE(CalendarYear,3,21),1),"jjj")</f>
        <v>jeu</v>
      </c>
      <c r="X7" s="20" t="str">
        <f>TEXT(WEEKDAY(DATE(CalendarYear,3,22),1),"jjj")</f>
        <v>ven</v>
      </c>
      <c r="Y7" s="20" t="str">
        <f>TEXT(WEEKDAY(DATE(CalendarYear,3,23),1),"jjj")</f>
        <v>sam</v>
      </c>
      <c r="Z7" s="20" t="str">
        <f>TEXT(WEEKDAY(DATE(CalendarYear,3,24),1),"jjj")</f>
        <v>dim</v>
      </c>
      <c r="AA7" s="20" t="str">
        <f>TEXT(WEEKDAY(DATE(CalendarYear,3,25),1),"jjj")</f>
        <v>lun</v>
      </c>
      <c r="AB7" s="20" t="str">
        <f>TEXT(WEEKDAY(DATE(CalendarYear,3,26),1),"jjj")</f>
        <v>mar</v>
      </c>
      <c r="AC7" s="20" t="str">
        <f>TEXT(WEEKDAY(DATE(CalendarYear,3,27),1),"jjj")</f>
        <v>mer</v>
      </c>
      <c r="AD7" s="20" t="str">
        <f>TEXT(WEEKDAY(DATE(CalendarYear,3,28),1),"jjj")</f>
        <v>jeu</v>
      </c>
      <c r="AE7" s="20" t="str">
        <f>TEXT(WEEKDAY(DATE(CalendarYear,3,29),1),"jjj")</f>
        <v>ven</v>
      </c>
      <c r="AF7" s="20" t="str">
        <f>TEXT(WEEKDAY(DATE(CalendarYear,3,30),1),"jjj")</f>
        <v>sam</v>
      </c>
      <c r="AG7" s="20" t="str">
        <f>TEXT(WEEKDAY(DATE(CalendarYear,3,31),1),"jjj")</f>
        <v>dim</v>
      </c>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COUNTA(Mars[[#This Row],[1]:[31]])</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COUNTA(Mars[[#This Row],[1]:[31]])</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COUNTA(Mars[[#This Row],[1]:[31]])</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COUNTA(Mars[[#This Row],[1]:[31]])</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COUNTA(Mars[[#This Row],[1]:[31]])</f>
        <v>0</v>
      </c>
    </row>
    <row r="14" spans="2:36" ht="30" customHeight="1">
      <c r="B14" s="5" t="str">
        <f>NomMois&amp;" Total"</f>
        <v>Mars Total</v>
      </c>
      <c r="C14" s="4">
        <f>SUBTOTAL(103,Mars[1])</f>
        <v>0</v>
      </c>
      <c r="D14" s="4">
        <f>SUBTOTAL(103,Mars[2])</f>
        <v>0</v>
      </c>
      <c r="E14" s="4">
        <f>SUBTOTAL(103,Mars[3])</f>
        <v>0</v>
      </c>
      <c r="F14" s="4">
        <f>SUBTOTAL(103,Mars[4])</f>
        <v>0</v>
      </c>
      <c r="G14" s="4">
        <f>SUBTOTAL(103,Mars[5])</f>
        <v>0</v>
      </c>
      <c r="H14" s="4">
        <f>SUBTOTAL(103,Mars[6])</f>
        <v>0</v>
      </c>
      <c r="I14" s="4">
        <f>SUBTOTAL(103,Mars[7])</f>
        <v>0</v>
      </c>
      <c r="J14" s="4">
        <f>SUBTOTAL(103,Mars[8])</f>
        <v>0</v>
      </c>
      <c r="K14" s="4">
        <f>SUBTOTAL(103,Mars[9])</f>
        <v>0</v>
      </c>
      <c r="L14" s="4">
        <f>SUBTOTAL(103,Mars[10])</f>
        <v>0</v>
      </c>
      <c r="M14" s="4">
        <f>SUBTOTAL(103,Mars[11])</f>
        <v>0</v>
      </c>
      <c r="N14" s="4">
        <f>SUBTOTAL(103,Mars[12])</f>
        <v>0</v>
      </c>
      <c r="O14" s="4">
        <f>SUBTOTAL(103,Mars[13])</f>
        <v>0</v>
      </c>
      <c r="P14" s="4">
        <f>SUBTOTAL(103,Mars[14])</f>
        <v>0</v>
      </c>
      <c r="Q14" s="4">
        <f>SUBTOTAL(103,Mars[15])</f>
        <v>0</v>
      </c>
      <c r="R14" s="4">
        <f>SUBTOTAL(103,Mars[16])</f>
        <v>0</v>
      </c>
      <c r="S14" s="4">
        <f>SUBTOTAL(103,Mars[17])</f>
        <v>0</v>
      </c>
      <c r="T14" s="4">
        <f>SUBTOTAL(103,Mars[18])</f>
        <v>0</v>
      </c>
      <c r="U14" s="4">
        <f>SUBTOTAL(103,Mars[19])</f>
        <v>0</v>
      </c>
      <c r="V14" s="4">
        <f>SUBTOTAL(103,Mars[20])</f>
        <v>0</v>
      </c>
      <c r="W14" s="4">
        <f>SUBTOTAL(103,Mars[21])</f>
        <v>0</v>
      </c>
      <c r="X14" s="4">
        <f>SUBTOTAL(103,Mars[22])</f>
        <v>0</v>
      </c>
      <c r="Y14" s="4">
        <f>SUBTOTAL(103,Mars[23])</f>
        <v>0</v>
      </c>
      <c r="Z14" s="4">
        <f>SUBTOTAL(103,Mars[24])</f>
        <v>0</v>
      </c>
      <c r="AA14" s="4">
        <f>SUBTOTAL(103,Mars[25])</f>
        <v>0</v>
      </c>
      <c r="AB14" s="4">
        <f>SUBTOTAL(103,Mars[26])</f>
        <v>0</v>
      </c>
      <c r="AC14" s="4">
        <f>SUBTOTAL(103,Mars[27])</f>
        <v>0</v>
      </c>
      <c r="AD14" s="4">
        <f>SUBTOTAL(103,Mars[28])</f>
        <v>0</v>
      </c>
      <c r="AE14" s="4">
        <f>SUBTOTAL(103,Mars[29])</f>
        <v>0</v>
      </c>
      <c r="AF14" s="4">
        <f>SUBTOTAL(109,Mars[30])</f>
        <v>0</v>
      </c>
      <c r="AG14" s="4">
        <f>SUBTOTAL(109,Mars[31])</f>
        <v>0</v>
      </c>
      <c r="AH14" s="4">
        <f>SUBTOTAL(109,Mars[Total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191" priority="14" stopIfTrue="1">
      <formula>C9=CléPersonnalisée2</formula>
    </cfRule>
    <cfRule type="expression" dxfId="190" priority="15" stopIfTrue="1">
      <formula>C9=CléPersonnalisée1</formula>
    </cfRule>
    <cfRule type="expression" dxfId="189" priority="16" stopIfTrue="1">
      <formula>C9=CléMaladie</formula>
    </cfRule>
    <cfRule type="expression" dxfId="188" priority="17" stopIfTrue="1">
      <formula>C9=CléPersonnel</formula>
    </cfRule>
    <cfRule type="expression" dxfId="187" priority="18" stopIfTrue="1">
      <formula>C9=CléCongé</formula>
    </cfRule>
  </conditionalFormatting>
  <conditionalFormatting sqref="N4">
    <cfRule type="expression" priority="1" stopIfTrue="1">
      <formula>N4=""</formula>
    </cfRule>
    <cfRule type="expression" dxfId="186" priority="2" stopIfTrue="1">
      <formula>N4=CléPersonnalisée2</formula>
    </cfRule>
    <cfRule type="expression" dxfId="185" priority="3" stopIfTrue="1">
      <formula>N4=CléPersonnalisée1</formula>
    </cfRule>
    <cfRule type="expression" dxfId="184" priority="4" stopIfTrue="1">
      <formula>N4=CléMaladie</formula>
    </cfRule>
    <cfRule type="expression" dxfId="183" priority="5" stopIfTrue="1">
      <formula>N4=CléPersonnel</formula>
    </cfRule>
    <cfRule type="expression" dxfId="182" priority="6" stopIfTrue="1">
      <formula>N4=CléCongé</formula>
    </cfRule>
  </conditionalFormatting>
  <conditionalFormatting sqref="S4">
    <cfRule type="expression" priority="7" stopIfTrue="1">
      <formula>S4=""</formula>
    </cfRule>
    <cfRule type="expression" dxfId="181" priority="8" stopIfTrue="1">
      <formula>S4=CléPersonnalisée2</formula>
    </cfRule>
    <cfRule type="expression" dxfId="180" priority="9" stopIfTrue="1">
      <formula>S4=CléPersonnalisée1</formula>
    </cfRule>
    <cfRule type="expression" dxfId="179" priority="10" stopIfTrue="1">
      <formula>S4=CléMaladie</formula>
    </cfRule>
    <cfRule type="expression" dxfId="178" priority="11" stopIfTrue="1">
      <formula>S4=CléPersonnel</formula>
    </cfRule>
    <cfRule type="expression" dxfId="177"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0000000-0002-0000-0200-000000000000}"/>
    <dataValidation allowBlank="1" showInputMessage="1" showErrorMessage="1" prompt="Entrez une étiquette pour décrire la clé personnalisée à gauche" sqref="O4 T4" xr:uid="{65B5F202-E936-4133-BAA4-D73EE7FCF07B}"/>
    <dataValidation allowBlank="1" showInputMessage="1" showErrorMessage="1" prompt="Entrez une lettre et personnalisez l’étiquette à droite pour ajouter un élément de clé" sqref="N4 S4" xr:uid="{8AE8E2BE-171D-461E-9374-170870ECE22F}"/>
    <dataValidation allowBlank="1" showInputMessage="1" showErrorMessage="1" prompt="La lettre « M » indique une absence pour cause de maladie" sqref="J4" xr:uid="{F6E33D0C-DA83-4B29-8AB6-A599F4633E33}"/>
    <dataValidation allowBlank="1" showInputMessage="1" showErrorMessage="1" prompt="La lettre « P » indique une absence pour motifs personnels" sqref="F4" xr:uid="{29FCFA62-ED38-4CAD-BAFC-E5CD11D5FB0E}"/>
    <dataValidation allowBlank="1" showInputMessage="1" showErrorMessage="1" prompt="La lettre « C » indique une absence pour cause de congé" sqref="C4" xr:uid="{D1161CDC-50FC-44AC-9737-29ADC7A61C23}"/>
    <dataValidation allowBlank="1" showInputMessage="1" showErrorMessage="1" prompt="Le titre mis à jour automatiquement figure dans cette cellule. Pour modifier le titre, mettez à jour la cellule B1 de la feuille de calcul Janvier" sqref="B2"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E46101B5-4A18-414B-9169-B2F7AB28F054}"/>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8" xr:uid="{70BD9EEE-E1FD-D147-919D-901970D7AADE}"/>
    <dataValidation allowBlank="1" showInputMessage="1" showErrorMessage="1" prompt="Année mise à jour automatiquement en fonction de l’année entrée dans la feuille de calcul Janvier" sqref="AH6" xr:uid="{A06F72EE-346E-CD4A-B706-B1500A526D8A}"/>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02C7B989-E77F-4A4F-82FD-F03860560B2B}"/>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200-000002000000}"/>
    <dataValidation allowBlank="1" showInputMessage="1" showErrorMessage="1" prompt="Cette ligne définit les clés utilisées dans le tableau : la cellule C4 un congé, la G4 personnel, et K4 un congé maladie. Les cellules N4 et R4 sont personnalisables " sqref="B4" xr:uid="{9A98B74B-4764-403E-92AD-9C10299A10A6}"/>
    <dataValidation allowBlank="1" showInputMessage="1" showErrorMessage="1" prompt="Le titre de la feuille de calcul figure dans cette cellule. " sqref="B1" xr:uid="{40DFEC58-0648-4944-BD5A-E9153E7FE7C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B9:B13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4" tint="0.499984740745262"/>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5" t="s">
        <v>53</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TEXT(WEEKDAY(DATE(CalendarYear,4,1),1),"jjj")</f>
        <v>lun</v>
      </c>
      <c r="D7" s="20" t="str">
        <f>TEXT(WEEKDAY(DATE(CalendarYear,4,2),1),"jjj")</f>
        <v>mar</v>
      </c>
      <c r="E7" s="20" t="str">
        <f>TEXT(WEEKDAY(DATE(CalendarYear,4,3),1),"jjj")</f>
        <v>mer</v>
      </c>
      <c r="F7" s="20" t="str">
        <f>TEXT(WEEKDAY(DATE(CalendarYear,4,4),1),"jjj")</f>
        <v>jeu</v>
      </c>
      <c r="G7" s="20" t="str">
        <f>TEXT(WEEKDAY(DATE(CalendarYear,4,5),1),"jjj")</f>
        <v>ven</v>
      </c>
      <c r="H7" s="20" t="str">
        <f>TEXT(WEEKDAY(DATE(CalendarYear,4,6),1),"jjj")</f>
        <v>sam</v>
      </c>
      <c r="I7" s="20" t="str">
        <f>TEXT(WEEKDAY(DATE(CalendarYear,4,7),1),"jjj")</f>
        <v>dim</v>
      </c>
      <c r="J7" s="20" t="str">
        <f>TEXT(WEEKDAY(DATE(CalendarYear,4,8),1),"jjj")</f>
        <v>lun</v>
      </c>
      <c r="K7" s="20" t="str">
        <f>TEXT(WEEKDAY(DATE(CalendarYear,4,9),1),"jjj")</f>
        <v>mar</v>
      </c>
      <c r="L7" s="20" t="str">
        <f>TEXT(WEEKDAY(DATE(CalendarYear,4,10),1),"jjj")</f>
        <v>mer</v>
      </c>
      <c r="M7" s="20" t="str">
        <f>TEXT(WEEKDAY(DATE(CalendarYear,4,11),1),"jjj")</f>
        <v>jeu</v>
      </c>
      <c r="N7" s="20" t="str">
        <f>TEXT(WEEKDAY(DATE(CalendarYear,4,12),1),"jjj")</f>
        <v>ven</v>
      </c>
      <c r="O7" s="20" t="str">
        <f>TEXT(WEEKDAY(DATE(CalendarYear,4,13),1),"jjj")</f>
        <v>sam</v>
      </c>
      <c r="P7" s="20" t="str">
        <f>TEXT(WEEKDAY(DATE(CalendarYear,4,14),1),"jjj")</f>
        <v>dim</v>
      </c>
      <c r="Q7" s="20" t="str">
        <f>TEXT(WEEKDAY(DATE(CalendarYear,4,15),1),"jjj")</f>
        <v>lun</v>
      </c>
      <c r="R7" s="20" t="str">
        <f>TEXT(WEEKDAY(DATE(CalendarYear,4,16),1),"jjj")</f>
        <v>mar</v>
      </c>
      <c r="S7" s="20" t="str">
        <f>TEXT(WEEKDAY(DATE(CalendarYear,4,17),1),"jjj")</f>
        <v>mer</v>
      </c>
      <c r="T7" s="20" t="str">
        <f>TEXT(WEEKDAY(DATE(CalendarYear,4,18),1),"jjj")</f>
        <v>jeu</v>
      </c>
      <c r="U7" s="20" t="str">
        <f>TEXT(WEEKDAY(DATE(CalendarYear,4,19),1),"jjj")</f>
        <v>ven</v>
      </c>
      <c r="V7" s="20" t="str">
        <f>TEXT(WEEKDAY(DATE(CalendarYear,4,20),1),"jjj")</f>
        <v>sam</v>
      </c>
      <c r="W7" s="20" t="str">
        <f>TEXT(WEEKDAY(DATE(CalendarYear,4,21),1),"jjj")</f>
        <v>dim</v>
      </c>
      <c r="X7" s="20" t="str">
        <f>TEXT(WEEKDAY(DATE(CalendarYear,4,22),1),"jjj")</f>
        <v>lun</v>
      </c>
      <c r="Y7" s="20" t="str">
        <f>TEXT(WEEKDAY(DATE(CalendarYear,4,23),1),"jjj")</f>
        <v>mar</v>
      </c>
      <c r="Z7" s="20" t="str">
        <f>TEXT(WEEKDAY(DATE(CalendarYear,4,24),1),"jjj")</f>
        <v>mer</v>
      </c>
      <c r="AA7" s="20" t="str">
        <f>TEXT(WEEKDAY(DATE(CalendarYear,4,25),1),"jjj")</f>
        <v>jeu</v>
      </c>
      <c r="AB7" s="20" t="str">
        <f>TEXT(WEEKDAY(DATE(CalendarYear,4,26),1),"jjj")</f>
        <v>ven</v>
      </c>
      <c r="AC7" s="20" t="str">
        <f>TEXT(WEEKDAY(DATE(CalendarYear,4,27),1),"jjj")</f>
        <v>sam</v>
      </c>
      <c r="AD7" s="20" t="str">
        <f>TEXT(WEEKDAY(DATE(CalendarYear,4,28),1),"jjj")</f>
        <v>dim</v>
      </c>
      <c r="AE7" s="20" t="str">
        <f>TEXT(WEEKDAY(DATE(CalendarYear,4,29),1),"jjj")</f>
        <v>lun</v>
      </c>
      <c r="AF7" s="20" t="str">
        <f>TEXT(WEEKDAY(DATE(CalendarYear,4,30),1),"jjj")</f>
        <v>mar</v>
      </c>
      <c r="AG7" s="20"/>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50</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COUNTA(March5[[#This Row],[1]:[ ]])</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COUNTA(March5[[#This Row],[1]:[ ]])</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COUNTA(March5[[#This Row],[1]:[ ]])</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COUNTA(March5[[#This Row],[1]:[ ]])</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COUNTA(March5[[#This Row],[1]:[ ]])</f>
        <v>0</v>
      </c>
    </row>
    <row r="14" spans="2:36" ht="30" customHeight="1">
      <c r="B14" s="5" t="str">
        <f>NomMois&amp;" Total"</f>
        <v>Avril Total</v>
      </c>
      <c r="C14" s="4">
        <f>SUBTOTAL(103,March5[1])</f>
        <v>0</v>
      </c>
      <c r="D14" s="4">
        <f>SUBTOTAL(103,March5[2])</f>
        <v>0</v>
      </c>
      <c r="E14" s="4">
        <f>SUBTOTAL(103,March5[3])</f>
        <v>0</v>
      </c>
      <c r="F14" s="4">
        <f>SUBTOTAL(103,March5[4])</f>
        <v>0</v>
      </c>
      <c r="G14" s="4">
        <f>SUBTOTAL(103,March5[5])</f>
        <v>0</v>
      </c>
      <c r="H14" s="4">
        <f>SUBTOTAL(103,March5[6])</f>
        <v>0</v>
      </c>
      <c r="I14" s="4">
        <f>SUBTOTAL(103,March5[7])</f>
        <v>0</v>
      </c>
      <c r="J14" s="4">
        <f>SUBTOTAL(103,March5[8])</f>
        <v>0</v>
      </c>
      <c r="K14" s="4">
        <f>SUBTOTAL(103,March5[9])</f>
        <v>0</v>
      </c>
      <c r="L14" s="4">
        <f>SUBTOTAL(103,March5[10])</f>
        <v>0</v>
      </c>
      <c r="M14" s="4">
        <f>SUBTOTAL(103,March5[11])</f>
        <v>0</v>
      </c>
      <c r="N14" s="4">
        <f>SUBTOTAL(103,March5[12])</f>
        <v>0</v>
      </c>
      <c r="O14" s="4">
        <f>SUBTOTAL(103,March5[13])</f>
        <v>0</v>
      </c>
      <c r="P14" s="4">
        <f>SUBTOTAL(103,March5[14])</f>
        <v>0</v>
      </c>
      <c r="Q14" s="4">
        <f>SUBTOTAL(103,March5[15])</f>
        <v>0</v>
      </c>
      <c r="R14" s="4">
        <f>SUBTOTAL(103,March5[16])</f>
        <v>0</v>
      </c>
      <c r="S14" s="4">
        <f>SUBTOTAL(103,March5[17])</f>
        <v>0</v>
      </c>
      <c r="T14" s="4">
        <f>SUBTOTAL(103,March5[18])</f>
        <v>0</v>
      </c>
      <c r="U14" s="4">
        <f>SUBTOTAL(103,March5[19])</f>
        <v>0</v>
      </c>
      <c r="V14" s="4">
        <f>SUBTOTAL(103,March5[20])</f>
        <v>0</v>
      </c>
      <c r="W14" s="4">
        <f>SUBTOTAL(103,March5[21])</f>
        <v>0</v>
      </c>
      <c r="X14" s="4">
        <f>SUBTOTAL(103,March5[22])</f>
        <v>0</v>
      </c>
      <c r="Y14" s="4">
        <f>SUBTOTAL(103,March5[23])</f>
        <v>0</v>
      </c>
      <c r="Z14" s="4">
        <f>SUBTOTAL(103,March5[24])</f>
        <v>0</v>
      </c>
      <c r="AA14" s="4">
        <f>SUBTOTAL(103,March5[25])</f>
        <v>0</v>
      </c>
      <c r="AB14" s="4">
        <f>SUBTOTAL(103,March5[26])</f>
        <v>0</v>
      </c>
      <c r="AC14" s="4">
        <f>SUBTOTAL(103,March5[27])</f>
        <v>0</v>
      </c>
      <c r="AD14" s="4">
        <f>SUBTOTAL(103,March5[28])</f>
        <v>0</v>
      </c>
      <c r="AE14" s="4">
        <f>SUBTOTAL(103,March5[29])</f>
        <v>0</v>
      </c>
      <c r="AF14" s="4">
        <f>SUBTOTAL(109,March5[30])</f>
        <v>0</v>
      </c>
      <c r="AG14" s="4">
        <f>SUBTOTAL(109,March5[[ ]])</f>
        <v>0</v>
      </c>
      <c r="AH14" s="4">
        <f>SUBTOTAL(109,March5[Total des jours])</f>
        <v>0</v>
      </c>
    </row>
  </sheetData>
  <mergeCells count="6">
    <mergeCell ref="C6:AG6"/>
    <mergeCell ref="D4:E4"/>
    <mergeCell ref="G4:I4"/>
    <mergeCell ref="K4:L4"/>
    <mergeCell ref="O4:R4"/>
    <mergeCell ref="T4:W4"/>
  </mergeCells>
  <phoneticPr fontId="6" type="noConversion"/>
  <conditionalFormatting sqref="C9:AG13">
    <cfRule type="expression" priority="13" stopIfTrue="1">
      <formula>C9=""</formula>
    </cfRule>
    <cfRule type="expression" dxfId="176" priority="14" stopIfTrue="1">
      <formula>C9=CléPersonnalisée2</formula>
    </cfRule>
    <cfRule type="expression" dxfId="175" priority="15" stopIfTrue="1">
      <formula>C9=CléPersonnalisée1</formula>
    </cfRule>
    <cfRule type="expression" dxfId="174" priority="16" stopIfTrue="1">
      <formula>C9=CléMaladie</formula>
    </cfRule>
    <cfRule type="expression" dxfId="173" priority="17" stopIfTrue="1">
      <formula>C9=CléPersonnel</formula>
    </cfRule>
    <cfRule type="expression" dxfId="172" priority="18" stopIfTrue="1">
      <formula>C9=CléCongé</formula>
    </cfRule>
  </conditionalFormatting>
  <conditionalFormatting sqref="N4">
    <cfRule type="expression" priority="1" stopIfTrue="1">
      <formula>N4=""</formula>
    </cfRule>
    <cfRule type="expression" dxfId="171" priority="2" stopIfTrue="1">
      <formula>N4=CléPersonnalisée2</formula>
    </cfRule>
    <cfRule type="expression" dxfId="170" priority="3" stopIfTrue="1">
      <formula>N4=CléPersonnalisée1</formula>
    </cfRule>
    <cfRule type="expression" dxfId="169" priority="4" stopIfTrue="1">
      <formula>N4=CléMaladie</formula>
    </cfRule>
    <cfRule type="expression" dxfId="168" priority="5" stopIfTrue="1">
      <formula>N4=CléPersonnel</formula>
    </cfRule>
    <cfRule type="expression" dxfId="167" priority="6" stopIfTrue="1">
      <formula>N4=CléCongé</formula>
    </cfRule>
  </conditionalFormatting>
  <conditionalFormatting sqref="S4">
    <cfRule type="expression" priority="7" stopIfTrue="1">
      <formula>S4=""</formula>
    </cfRule>
    <cfRule type="expression" dxfId="166" priority="8" stopIfTrue="1">
      <formula>S4=CléPersonnalisée2</formula>
    </cfRule>
    <cfRule type="expression" dxfId="165" priority="9" stopIfTrue="1">
      <formula>S4=CléPersonnalisée1</formula>
    </cfRule>
    <cfRule type="expression" dxfId="164" priority="10" stopIfTrue="1">
      <formula>S4=CléMaladie</formula>
    </cfRule>
    <cfRule type="expression" dxfId="163" priority="11" stopIfTrue="1">
      <formula>S4=CléPersonnel</formula>
    </cfRule>
    <cfRule type="expression" dxfId="162"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{C6C51CE4-E5A5-6548-B677-75BFC57A1AE7}</x14:id>
        </ext>
      </extLst>
    </cfRule>
  </conditionalFormatting>
  <dataValidations count="15">
    <dataValidation allowBlank="1" showInputMessage="1" showErrorMessage="1" prompt="L’année est mise à jour automatiquement en fonction de l’année entrée dans la feuille de calcul Janvier" sqref="AH6" xr:uid="{D534D450-4040-4C4B-ACFB-E0820ABC2CFC}"/>
    <dataValidation allowBlank="1" showInputMessage="1" showErrorMessage="1" prompt="Calcule automatiquement le nombre total de jours d’absence d’un employé ce mois-ci dans cette colonne" sqref="AH8" xr:uid="{DC341019-F88D-494A-80A9-FE7E975A2861}"/>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F36BC021-F71B-E743-A612-BDD36FE48F9B}"/>
    <dataValidation allowBlank="1" showInputMessage="1" showErrorMessage="1" prompt="Le titre mis à jour automatiquement figure dans cette cellule. Pour modifier le titre, mettez à jour la cellule B1 de la feuille de calcul Janvier" sqref="B2" xr:uid="{FC807180-F3E3-414D-9702-8FBC5210B550}"/>
    <dataValidation allowBlank="1" showInputMessage="1" showErrorMessage="1" prompt="La lettre « C » indique une absence pour cause de congé" sqref="C4" xr:uid="{DADCBC64-0388-4DD0-A771-0D03D0EEA568}"/>
    <dataValidation allowBlank="1" showInputMessage="1" showErrorMessage="1" prompt="La lettre « P » indique une absence pour motifs personnels" sqref="F4" xr:uid="{9CBD5619-489F-426D-92DB-BEC705EC5252}"/>
    <dataValidation allowBlank="1" showInputMessage="1" showErrorMessage="1" prompt="La lettre « M » indique une absence pour cause de maladie" sqref="J4" xr:uid="{F2D71A7C-65C4-434B-9726-0FFCFC805FC3}"/>
    <dataValidation allowBlank="1" showInputMessage="1" showErrorMessage="1" prompt="Entrez une lettre et personnalisez l’étiquette à droite pour ajouter un élément de clé" sqref="N4 S4" xr:uid="{FD691873-22EE-43EF-8DD7-CE16CA5FDA55}"/>
    <dataValidation allowBlank="1" showInputMessage="1" showErrorMessage="1" prompt="Entrez une étiquette pour décrire la clé personnalisée à gauche" sqref="O4 T4" xr:uid="{49A2CA86-5545-4FF4-8262-CE0F4F01619D}"/>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8A4BB08A-5DC1-A74C-9332-E844D960CD4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8" xr:uid="{D8726BCE-956C-3B41-916D-0B0F98B156A4}"/>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492FF65C-4A5C-D048-AC41-58954D7E6423}"/>
    <dataValidation allowBlank="1" showInputMessage="1" showErrorMessage="1" prompt="Suivez les absences du mois de mars dans cette feuille de calcul" sqref="A1" xr:uid="{9C29030B-C671-584C-88AB-6E5DAA9E8710}"/>
    <dataValidation allowBlank="1" showInputMessage="1" showErrorMessage="1" prompt="Cette ligne définit les clés utilisées dans le tableau : la cellule C4 un congé, la G4 personnel, et K4 un congé maladie. Les cellules N4 et R4 sont personnalisables " sqref="B4" xr:uid="{5938E394-FC66-4AD8-81BE-3B6CE81FAFA6}"/>
    <dataValidation allowBlank="1" showInputMessage="1" showErrorMessage="1" prompt="Le titre de la feuille de calcul figure dans cette cellule. " sqref="B1" xr:uid="{CFDFBA1E-67F5-48E1-9539-54C88919AFD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6C51CE4-E5A5-6548-B677-75BFC57A1AE7}">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8A0626E6-C18A-DC42-8971-E3030B4FEB3F}">
          <x14:formula1>
            <xm:f>'Noms des employés'!$B$4:$B$8</xm:f>
          </x14:formula1>
          <xm:sqref>B9:B13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4" tint="0.499984740745262"/>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5" t="s">
        <v>54</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TEXT(WEEKDAY(DATE(CalendarYear,5,1),1),"jjj")</f>
        <v>mer</v>
      </c>
      <c r="D7" s="20" t="str">
        <f>TEXT(WEEKDAY(DATE(CalendarYear,5,2),1),"jjj")</f>
        <v>jeu</v>
      </c>
      <c r="E7" s="20" t="str">
        <f>TEXT(WEEKDAY(DATE(CalendarYear,5,3),1),"jjj")</f>
        <v>ven</v>
      </c>
      <c r="F7" s="20" t="str">
        <f>TEXT(WEEKDAY(DATE(CalendarYear,5,4),1),"jjj")</f>
        <v>sam</v>
      </c>
      <c r="G7" s="20" t="str">
        <f>TEXT(WEEKDAY(DATE(CalendarYear,5,5),1),"jjj")</f>
        <v>dim</v>
      </c>
      <c r="H7" s="20" t="str">
        <f>TEXT(WEEKDAY(DATE(CalendarYear,5,6),1),"jjj")</f>
        <v>lun</v>
      </c>
      <c r="I7" s="20" t="str">
        <f>TEXT(WEEKDAY(DATE(CalendarYear,5,7),1),"jjj")</f>
        <v>mar</v>
      </c>
      <c r="J7" s="20" t="str">
        <f>TEXT(WEEKDAY(DATE(CalendarYear,5,8),1),"jjj")</f>
        <v>mer</v>
      </c>
      <c r="K7" s="20" t="str">
        <f>TEXT(WEEKDAY(DATE(CalendarYear,5,9),1),"jjj")</f>
        <v>jeu</v>
      </c>
      <c r="L7" s="20" t="str">
        <f>TEXT(WEEKDAY(DATE(CalendarYear,5,10),1),"jjj")</f>
        <v>ven</v>
      </c>
      <c r="M7" s="20" t="str">
        <f>TEXT(WEEKDAY(DATE(CalendarYear,5,11),1),"jjj")</f>
        <v>sam</v>
      </c>
      <c r="N7" s="20" t="str">
        <f>TEXT(WEEKDAY(DATE(CalendarYear,5,12),1),"jjj")</f>
        <v>dim</v>
      </c>
      <c r="O7" s="20" t="str">
        <f>TEXT(WEEKDAY(DATE(CalendarYear,5,13),1),"jjj")</f>
        <v>lun</v>
      </c>
      <c r="P7" s="20" t="str">
        <f>TEXT(WEEKDAY(DATE(CalendarYear,5,14),1),"jjj")</f>
        <v>mar</v>
      </c>
      <c r="Q7" s="20" t="str">
        <f>TEXT(WEEKDAY(DATE(CalendarYear,5,15),1),"jjj")</f>
        <v>mer</v>
      </c>
      <c r="R7" s="20" t="str">
        <f>TEXT(WEEKDAY(DATE(CalendarYear,5,16),1),"jjj")</f>
        <v>jeu</v>
      </c>
      <c r="S7" s="20" t="str">
        <f>TEXT(WEEKDAY(DATE(CalendarYear,5,17),1),"jjj")</f>
        <v>ven</v>
      </c>
      <c r="T7" s="20" t="str">
        <f>TEXT(WEEKDAY(DATE(CalendarYear,5,18),1),"jjj")</f>
        <v>sam</v>
      </c>
      <c r="U7" s="20" t="str">
        <f>TEXT(WEEKDAY(DATE(CalendarYear,5,19),1),"jjj")</f>
        <v>dim</v>
      </c>
      <c r="V7" s="20" t="str">
        <f>TEXT(WEEKDAY(DATE(CalendarYear,5,20),1),"jjj")</f>
        <v>lun</v>
      </c>
      <c r="W7" s="20" t="str">
        <f>TEXT(WEEKDAY(DATE(CalendarYear,5,21),1),"jjj")</f>
        <v>mar</v>
      </c>
      <c r="X7" s="20" t="str">
        <f>TEXT(WEEKDAY(DATE(CalendarYear,5,22),1),"jjj")</f>
        <v>mer</v>
      </c>
      <c r="Y7" s="20" t="str">
        <f>TEXT(WEEKDAY(DATE(CalendarYear,5,23),1),"jjj")</f>
        <v>jeu</v>
      </c>
      <c r="Z7" s="20" t="str">
        <f>TEXT(WEEKDAY(DATE(CalendarYear,5,24),1),"jjj")</f>
        <v>ven</v>
      </c>
      <c r="AA7" s="20" t="str">
        <f>TEXT(WEEKDAY(DATE(CalendarYear,5,25),1),"jjj")</f>
        <v>sam</v>
      </c>
      <c r="AB7" s="20" t="str">
        <f>TEXT(WEEKDAY(DATE(CalendarYear,5,26),1),"jjj")</f>
        <v>dim</v>
      </c>
      <c r="AC7" s="20" t="str">
        <f>TEXT(WEEKDAY(DATE(CalendarYear,5,27),1),"jjj")</f>
        <v>lun</v>
      </c>
      <c r="AD7" s="20" t="str">
        <f>TEXT(WEEKDAY(DATE(CalendarYear,5,28),1),"jjj")</f>
        <v>mar</v>
      </c>
      <c r="AE7" s="20" t="str">
        <f>TEXT(WEEKDAY(DATE(CalendarYear,5,29),1),"jjj")</f>
        <v>mer</v>
      </c>
      <c r="AF7" s="20" t="str">
        <f>TEXT(WEEKDAY(DATE(CalendarYear,5,30),1),"jjj")</f>
        <v>jeu</v>
      </c>
      <c r="AG7" s="20" t="str">
        <f>TEXT(WEEKDAY(DATE(CalendarYear,5,31),1),"jjj")</f>
        <v>ven</v>
      </c>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COUNTA(March58[[#This Row],[1]:[31]])</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COUNTA(March58[[#This Row],[1]:[31]])</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COUNTA(March58[[#This Row],[1]:[31]])</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COUNTA(March58[[#This Row],[1]:[31]])</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COUNTA(March58[[#This Row],[1]:[31]])</f>
        <v>0</v>
      </c>
    </row>
    <row r="14" spans="2:36" ht="30" customHeight="1">
      <c r="B14" s="5" t="str">
        <f>NomMois&amp;" Total"</f>
        <v>Clé de motif d’absence Total</v>
      </c>
      <c r="C14" s="4">
        <f>SUBTOTAL(103,March58[1])</f>
        <v>0</v>
      </c>
      <c r="D14" s="4">
        <f>SUBTOTAL(103,March58[2])</f>
        <v>0</v>
      </c>
      <c r="E14" s="4">
        <f>SUBTOTAL(103,March58[3])</f>
        <v>0</v>
      </c>
      <c r="F14" s="4">
        <f>SUBTOTAL(103,March58[4])</f>
        <v>0</v>
      </c>
      <c r="G14" s="4">
        <f>SUBTOTAL(103,March58[5])</f>
        <v>0</v>
      </c>
      <c r="H14" s="4">
        <f>SUBTOTAL(103,March58[6])</f>
        <v>0</v>
      </c>
      <c r="I14" s="4">
        <f>SUBTOTAL(103,March58[7])</f>
        <v>0</v>
      </c>
      <c r="J14" s="4">
        <f>SUBTOTAL(103,March58[8])</f>
        <v>0</v>
      </c>
      <c r="K14" s="4">
        <f>SUBTOTAL(103,March58[9])</f>
        <v>0</v>
      </c>
      <c r="L14" s="4">
        <f>SUBTOTAL(103,March58[10])</f>
        <v>0</v>
      </c>
      <c r="M14" s="4">
        <f>SUBTOTAL(103,March58[11])</f>
        <v>0</v>
      </c>
      <c r="N14" s="4">
        <f>SUBTOTAL(103,March58[12])</f>
        <v>0</v>
      </c>
      <c r="O14" s="4">
        <f>SUBTOTAL(103,March58[13])</f>
        <v>0</v>
      </c>
      <c r="P14" s="4">
        <f>SUBTOTAL(103,March58[14])</f>
        <v>0</v>
      </c>
      <c r="Q14" s="4">
        <f>SUBTOTAL(103,March58[15])</f>
        <v>0</v>
      </c>
      <c r="R14" s="4">
        <f>SUBTOTAL(103,March58[16])</f>
        <v>0</v>
      </c>
      <c r="S14" s="4">
        <f>SUBTOTAL(103,March58[17])</f>
        <v>0</v>
      </c>
      <c r="T14" s="4">
        <f>SUBTOTAL(103,March58[18])</f>
        <v>0</v>
      </c>
      <c r="U14" s="4">
        <f>SUBTOTAL(103,March58[19])</f>
        <v>0</v>
      </c>
      <c r="V14" s="4">
        <f>SUBTOTAL(103,March58[20])</f>
        <v>0</v>
      </c>
      <c r="W14" s="4">
        <f>SUBTOTAL(103,March58[21])</f>
        <v>0</v>
      </c>
      <c r="X14" s="4">
        <f>SUBTOTAL(103,March58[22])</f>
        <v>0</v>
      </c>
      <c r="Y14" s="4">
        <f>SUBTOTAL(103,March58[23])</f>
        <v>0</v>
      </c>
      <c r="Z14" s="4">
        <f>SUBTOTAL(103,March58[24])</f>
        <v>0</v>
      </c>
      <c r="AA14" s="4">
        <f>SUBTOTAL(103,March58[25])</f>
        <v>0</v>
      </c>
      <c r="AB14" s="4">
        <f>SUBTOTAL(103,March58[26])</f>
        <v>0</v>
      </c>
      <c r="AC14" s="4">
        <f>SUBTOTAL(103,March58[27])</f>
        <v>0</v>
      </c>
      <c r="AD14" s="4">
        <f>SUBTOTAL(103,March58[28])</f>
        <v>0</v>
      </c>
      <c r="AE14" s="4">
        <f>SUBTOTAL(103,March58[29])</f>
        <v>0</v>
      </c>
      <c r="AF14" s="4">
        <f>SUBTOTAL(109,March58[30])</f>
        <v>0</v>
      </c>
      <c r="AG14" s="4">
        <f>SUBTOTAL(109,March58[31])</f>
        <v>0</v>
      </c>
      <c r="AH14" s="4">
        <f>SUBTOTAL(109,March58[Total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161" priority="14" stopIfTrue="1">
      <formula>C9=CléPersonnalisée2</formula>
    </cfRule>
    <cfRule type="expression" dxfId="160" priority="15" stopIfTrue="1">
      <formula>C9=CléPersonnalisée1</formula>
    </cfRule>
    <cfRule type="expression" dxfId="159" priority="16" stopIfTrue="1">
      <formula>C9=CléMaladie</formula>
    </cfRule>
    <cfRule type="expression" dxfId="158" priority="17" stopIfTrue="1">
      <formula>C9=CléPersonnel</formula>
    </cfRule>
    <cfRule type="expression" dxfId="157" priority="18" stopIfTrue="1">
      <formula>C9=CléCongé</formula>
    </cfRule>
  </conditionalFormatting>
  <conditionalFormatting sqref="N4">
    <cfRule type="expression" priority="1" stopIfTrue="1">
      <formula>N4=""</formula>
    </cfRule>
    <cfRule type="expression" dxfId="156" priority="2" stopIfTrue="1">
      <formula>N4=CléPersonnalisée2</formula>
    </cfRule>
    <cfRule type="expression" dxfId="155" priority="3" stopIfTrue="1">
      <formula>N4=CléPersonnalisée1</formula>
    </cfRule>
    <cfRule type="expression" dxfId="154" priority="4" stopIfTrue="1">
      <formula>N4=CléMaladie</formula>
    </cfRule>
    <cfRule type="expression" dxfId="153" priority="5" stopIfTrue="1">
      <formula>N4=CléPersonnel</formula>
    </cfRule>
    <cfRule type="expression" dxfId="152" priority="6" stopIfTrue="1">
      <formula>N4=CléCongé</formula>
    </cfRule>
  </conditionalFormatting>
  <conditionalFormatting sqref="S4">
    <cfRule type="expression" priority="7" stopIfTrue="1">
      <formula>S4=""</formula>
    </cfRule>
    <cfRule type="expression" dxfId="151" priority="8" stopIfTrue="1">
      <formula>S4=CléPersonnalisée2</formula>
    </cfRule>
    <cfRule type="expression" dxfId="150" priority="9" stopIfTrue="1">
      <formula>S4=CléPersonnalisée1</formula>
    </cfRule>
    <cfRule type="expression" dxfId="149" priority="10" stopIfTrue="1">
      <formula>S4=CléMaladie</formula>
    </cfRule>
    <cfRule type="expression" dxfId="148" priority="11" stopIfTrue="1">
      <formula>S4=CléPersonnel</formula>
    </cfRule>
    <cfRule type="expression" dxfId="147"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{A375B1A4-CE4E-6D4B-BAE6-14354F30C96E}</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335D4725-041B-2E47-BBA9-5D657DA932CD}"/>
    <dataValidation allowBlank="1" showInputMessage="1" showErrorMessage="1" prompt="Entrez une étiquette pour décrire la clé personnalisée à gauche" sqref="O4 T4" xr:uid="{A972DCA7-2F70-4324-8D8C-87AE018EC9FA}"/>
    <dataValidation allowBlank="1" showInputMessage="1" showErrorMessage="1" prompt="Entrez une lettre et personnalisez l’étiquette à droite pour ajouter un élément de clé" sqref="N4 S4" xr:uid="{ACDD6107-CAC3-4DE3-B3DB-B34C5374A2C7}"/>
    <dataValidation allowBlank="1" showInputMessage="1" showErrorMessage="1" prompt="La lettre « M » indique une absence pour cause de maladie" sqref="J4" xr:uid="{FA1C3308-1C9D-433A-9348-BFE0E5FA81B4}"/>
    <dataValidation allowBlank="1" showInputMessage="1" showErrorMessage="1" prompt="La lettre « P » indique une absence pour motifs personnels" sqref="F4" xr:uid="{B1D20D6C-EAC7-4D19-9E8D-5B9309D01368}"/>
    <dataValidation allowBlank="1" showInputMessage="1" showErrorMessage="1" prompt="La lettre « C » indique une absence pour cause de congé" sqref="C4" xr:uid="{8DBB110D-51CA-43FA-B1EF-9AE489FC23CE}"/>
    <dataValidation allowBlank="1" showInputMessage="1" showErrorMessage="1" prompt="Le titre mis à jour automatiquement figure dans cette cellule. Pour modifier le titre, mettez à jour la cellule B1 de la feuille de calcul Janvier" sqref="B2" xr:uid="{AF65042B-CFA9-EE45-B22D-BF607EFD23A2}"/>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5151223E-F15A-CC42-BB59-D2CDBDCF3261}"/>
    <dataValidation allowBlank="1" showInputMessage="1" showErrorMessage="1" prompt="Calcule automatiquement le nombre total de jours d’absence d’un employé ce mois-ci dans cette colonne" sqref="AH8" xr:uid="{AA6AB7B7-5D91-F64F-B211-A848209375D2}"/>
    <dataValidation allowBlank="1" showInputMessage="1" showErrorMessage="1" prompt="Année mise à jour automatiquement en fonction de l’année entrée dans la feuille de calcul Janvier" sqref="AH6" xr:uid="{B487DEDD-C1B1-7244-96C6-F378FEF21F51}"/>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01F3DA31-27D6-FF4D-B48B-4013BF344DCF}"/>
    <dataValidation allowBlank="1" showInputMessage="1" showErrorMessage="1" prompt="Suivez les absences du mois de mars dans cette feuille de calcul" sqref="A1" xr:uid="{13CF1C37-090E-F24B-AF68-CAE6199B19C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B5AA8D04-FE35-8C4F-90FD-347160FC6301}"/>
    <dataValidation allowBlank="1" showInputMessage="1" showErrorMessage="1" prompt="Cette ligne définit les clés utilisées dans le tableau : la cellule C4 un congé, la G4 personnel, et K4 un congé maladie. Les cellules N4 et R4 sont personnalisables " sqref="B4" xr:uid="{E5AF47AE-EACF-4382-8995-97EA4D653F4A}"/>
    <dataValidation allowBlank="1" showInputMessage="1" showErrorMessage="1" prompt="Le titre de la feuille de calcul figure dans cette cellule. " sqref="B1" xr:uid="{4F7FEADB-B66E-49E8-AD11-DB789AA552A4}"/>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A375B1A4-CE4E-6D4B-BAE6-14354F30C96E}">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B1B1DACF-B091-8040-A452-F5B0F1F6A6F7}">
          <x14:formula1>
            <xm:f>'Noms des employés'!$B$4:$B$8</xm:f>
          </x14:formula1>
          <xm:sqref>B9:B13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8"/>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30" t="s">
        <v>55</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TEXT(WEEKDAY(DATE(CalendarYear,6,1),1),"jjj")</f>
        <v>sam</v>
      </c>
      <c r="D7" s="20" t="str">
        <f>TEXT(WEEKDAY(DATE(CalendarYear,6,2),1),"jjj")</f>
        <v>dim</v>
      </c>
      <c r="E7" s="20" t="str">
        <f>TEXT(WEEKDAY(DATE(CalendarYear,6,3),1),"jjj")</f>
        <v>lun</v>
      </c>
      <c r="F7" s="20" t="str">
        <f>TEXT(WEEKDAY(DATE(CalendarYear,6,4),1),"jjj")</f>
        <v>mar</v>
      </c>
      <c r="G7" s="20" t="str">
        <f>TEXT(WEEKDAY(DATE(CalendarYear,6,5),1),"jjj")</f>
        <v>mer</v>
      </c>
      <c r="H7" s="20" t="str">
        <f>TEXT(WEEKDAY(DATE(CalendarYear,6,6),1),"jjj")</f>
        <v>jeu</v>
      </c>
      <c r="I7" s="20" t="str">
        <f>TEXT(WEEKDAY(DATE(CalendarYear,6,7),1),"jjj")</f>
        <v>ven</v>
      </c>
      <c r="J7" s="20" t="str">
        <f>TEXT(WEEKDAY(DATE(CalendarYear,6,8),1),"jjj")</f>
        <v>sam</v>
      </c>
      <c r="K7" s="20" t="str">
        <f>TEXT(WEEKDAY(DATE(CalendarYear,6,9),1),"jjj")</f>
        <v>dim</v>
      </c>
      <c r="L7" s="20" t="str">
        <f>TEXT(WEEKDAY(DATE(CalendarYear,6,10),1),"jjj")</f>
        <v>lun</v>
      </c>
      <c r="M7" s="20" t="str">
        <f>TEXT(WEEKDAY(DATE(CalendarYear,6,11),1),"jjj")</f>
        <v>mar</v>
      </c>
      <c r="N7" s="20" t="str">
        <f>TEXT(WEEKDAY(DATE(CalendarYear,6,12),1),"jjj")</f>
        <v>mer</v>
      </c>
      <c r="O7" s="20" t="str">
        <f>TEXT(WEEKDAY(DATE(CalendarYear,6,13),1),"jjj")</f>
        <v>jeu</v>
      </c>
      <c r="P7" s="20" t="str">
        <f>TEXT(WEEKDAY(DATE(CalendarYear,6,14),1),"jjj")</f>
        <v>ven</v>
      </c>
      <c r="Q7" s="20" t="str">
        <f>TEXT(WEEKDAY(DATE(CalendarYear,6,15),1),"jjj")</f>
        <v>sam</v>
      </c>
      <c r="R7" s="20" t="str">
        <f>TEXT(WEEKDAY(DATE(CalendarYear,6,16),1),"jjj")</f>
        <v>dim</v>
      </c>
      <c r="S7" s="20" t="str">
        <f>TEXT(WEEKDAY(DATE(CalendarYear,6,17),1),"jjj")</f>
        <v>lun</v>
      </c>
      <c r="T7" s="20" t="str">
        <f>TEXT(WEEKDAY(DATE(CalendarYear,6,18),1),"jjj")</f>
        <v>mar</v>
      </c>
      <c r="U7" s="20" t="str">
        <f>TEXT(WEEKDAY(DATE(CalendarYear,6,19),1),"jjj")</f>
        <v>mer</v>
      </c>
      <c r="V7" s="20" t="str">
        <f>TEXT(WEEKDAY(DATE(CalendarYear,6,20),1),"jjj")</f>
        <v>jeu</v>
      </c>
      <c r="W7" s="20" t="str">
        <f>TEXT(WEEKDAY(DATE(CalendarYear,6,21),1),"jjj")</f>
        <v>ven</v>
      </c>
      <c r="X7" s="20" t="str">
        <f>TEXT(WEEKDAY(DATE(CalendarYear,6,22),1),"jjj")</f>
        <v>sam</v>
      </c>
      <c r="Y7" s="20" t="str">
        <f>TEXT(WEEKDAY(DATE(CalendarYear,6,23),1),"jjj")</f>
        <v>dim</v>
      </c>
      <c r="Z7" s="20" t="str">
        <f>TEXT(WEEKDAY(DATE(CalendarYear,6,24),1),"jjj")</f>
        <v>lun</v>
      </c>
      <c r="AA7" s="20" t="str">
        <f>TEXT(WEEKDAY(DATE(CalendarYear,6,25),1),"jjj")</f>
        <v>mar</v>
      </c>
      <c r="AB7" s="20" t="str">
        <f>TEXT(WEEKDAY(DATE(CalendarYear,6,26),1),"jjj")</f>
        <v>mer</v>
      </c>
      <c r="AC7" s="20" t="str">
        <f>TEXT(WEEKDAY(DATE(CalendarYear,6,27),1),"jjj")</f>
        <v>jeu</v>
      </c>
      <c r="AD7" s="20" t="str">
        <f>TEXT(WEEKDAY(DATE(CalendarYear,6,28),1),"jjj")</f>
        <v>ven</v>
      </c>
      <c r="AE7" s="20" t="str">
        <f>TEXT(WEEKDAY(DATE(CalendarYear,6,29),1),"jjj")</f>
        <v>sam</v>
      </c>
      <c r="AF7" s="20" t="str">
        <f>TEXT(WEEKDAY(DATE(CalendarYear,6,30),1),"jjj")</f>
        <v>dim</v>
      </c>
      <c r="AG7" s="20"/>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50</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COUNTA(Juin[[#This Row],[1]:[ ]])</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COUNTA(Juin[[#This Row],[1]:[ ]])</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COUNTA(Juin[[#This Row],[1]:[ ]])</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COUNTA(Juin[[#This Row],[1]:[ ]])</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COUNTA(Juin[[#This Row],[1]:[ ]])</f>
        <v>0</v>
      </c>
    </row>
    <row r="14" spans="2:36" ht="30" customHeight="1">
      <c r="B14" s="5" t="str">
        <f>NomMois&amp;" Total"</f>
        <v>Juin Total</v>
      </c>
      <c r="C14" s="4">
        <f>SUBTOTAL(103,Juin[1])</f>
        <v>0</v>
      </c>
      <c r="D14" s="4">
        <f>SUBTOTAL(103,Juin[2])</f>
        <v>0</v>
      </c>
      <c r="E14" s="4">
        <f>SUBTOTAL(103,Juin[3])</f>
        <v>0</v>
      </c>
      <c r="F14" s="4">
        <f>SUBTOTAL(103,Juin[4])</f>
        <v>0</v>
      </c>
      <c r="G14" s="4">
        <f>SUBTOTAL(103,Juin[5])</f>
        <v>0</v>
      </c>
      <c r="H14" s="4">
        <f>SUBTOTAL(103,Juin[6])</f>
        <v>0</v>
      </c>
      <c r="I14" s="4">
        <f>SUBTOTAL(103,Juin[7])</f>
        <v>0</v>
      </c>
      <c r="J14" s="4">
        <f>SUBTOTAL(103,Juin[8])</f>
        <v>0</v>
      </c>
      <c r="K14" s="4">
        <f>SUBTOTAL(103,Juin[9])</f>
        <v>0</v>
      </c>
      <c r="L14" s="4">
        <f>SUBTOTAL(103,Juin[10])</f>
        <v>0</v>
      </c>
      <c r="M14" s="4">
        <f>SUBTOTAL(103,Juin[11])</f>
        <v>0</v>
      </c>
      <c r="N14" s="4">
        <f>SUBTOTAL(103,Juin[12])</f>
        <v>0</v>
      </c>
      <c r="O14" s="4">
        <f>SUBTOTAL(103,Juin[13])</f>
        <v>0</v>
      </c>
      <c r="P14" s="4">
        <f>SUBTOTAL(103,Juin[14])</f>
        <v>0</v>
      </c>
      <c r="Q14" s="4">
        <f>SUBTOTAL(103,Juin[15])</f>
        <v>0</v>
      </c>
      <c r="R14" s="4">
        <f>SUBTOTAL(103,Juin[16])</f>
        <v>0</v>
      </c>
      <c r="S14" s="4">
        <f>SUBTOTAL(103,Juin[17])</f>
        <v>0</v>
      </c>
      <c r="T14" s="4">
        <f>SUBTOTAL(103,Juin[18])</f>
        <v>0</v>
      </c>
      <c r="U14" s="4">
        <f>SUBTOTAL(103,Juin[19])</f>
        <v>0</v>
      </c>
      <c r="V14" s="4">
        <f>SUBTOTAL(103,Juin[20])</f>
        <v>0</v>
      </c>
      <c r="W14" s="4">
        <f>SUBTOTAL(103,Juin[21])</f>
        <v>0</v>
      </c>
      <c r="X14" s="4">
        <f>SUBTOTAL(103,Juin[22])</f>
        <v>0</v>
      </c>
      <c r="Y14" s="4">
        <f>SUBTOTAL(103,Juin[23])</f>
        <v>0</v>
      </c>
      <c r="Z14" s="4">
        <f>SUBTOTAL(103,Juin[24])</f>
        <v>0</v>
      </c>
      <c r="AA14" s="4">
        <f>SUBTOTAL(103,Juin[25])</f>
        <v>0</v>
      </c>
      <c r="AB14" s="4">
        <f>SUBTOTAL(103,Juin[26])</f>
        <v>0</v>
      </c>
      <c r="AC14" s="4">
        <f>SUBTOTAL(103,Juin[27])</f>
        <v>0</v>
      </c>
      <c r="AD14" s="4">
        <f>SUBTOTAL(103,Juin[28])</f>
        <v>0</v>
      </c>
      <c r="AE14" s="4">
        <f>SUBTOTAL(103,Juin[29])</f>
        <v>0</v>
      </c>
      <c r="AF14" s="4">
        <f>SUBTOTAL(109,Juin[30])</f>
        <v>0</v>
      </c>
      <c r="AG14" s="4">
        <f>SUBTOTAL(109,Juin[[ ]])</f>
        <v>0</v>
      </c>
      <c r="AH14" s="4">
        <f>SUBTOTAL(109,Juin[Total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146" priority="14" stopIfTrue="1">
      <formula>C9=CléPersonnalisée2</formula>
    </cfRule>
    <cfRule type="expression" dxfId="145" priority="15" stopIfTrue="1">
      <formula>C9=CléPersonnalisée1</formula>
    </cfRule>
    <cfRule type="expression" dxfId="144" priority="16" stopIfTrue="1">
      <formula>C9=CléMaladie</formula>
    </cfRule>
    <cfRule type="expression" dxfId="143" priority="17" stopIfTrue="1">
      <formula>C9=CléPersonnel</formula>
    </cfRule>
    <cfRule type="expression" dxfId="142" priority="18" stopIfTrue="1">
      <formula>C9=CléCongé</formula>
    </cfRule>
  </conditionalFormatting>
  <conditionalFormatting sqref="N4">
    <cfRule type="expression" priority="1" stopIfTrue="1">
      <formula>N4=""</formula>
    </cfRule>
    <cfRule type="expression" dxfId="141" priority="2" stopIfTrue="1">
      <formula>N4=CléPersonnalisée2</formula>
    </cfRule>
    <cfRule type="expression" dxfId="140" priority="3" stopIfTrue="1">
      <formula>N4=CléPersonnalisée1</formula>
    </cfRule>
    <cfRule type="expression" dxfId="139" priority="4" stopIfTrue="1">
      <formula>N4=CléMaladie</formula>
    </cfRule>
    <cfRule type="expression" dxfId="138" priority="5" stopIfTrue="1">
      <formula>N4=CléPersonnel</formula>
    </cfRule>
    <cfRule type="expression" dxfId="137" priority="6" stopIfTrue="1">
      <formula>N4=CléCongé</formula>
    </cfRule>
  </conditionalFormatting>
  <conditionalFormatting sqref="S4">
    <cfRule type="expression" priority="7" stopIfTrue="1">
      <formula>S4=""</formula>
    </cfRule>
    <cfRule type="expression" dxfId="136" priority="8" stopIfTrue="1">
      <formula>S4=CléPersonnalisée2</formula>
    </cfRule>
    <cfRule type="expression" dxfId="135" priority="9" stopIfTrue="1">
      <formula>S4=CléPersonnalisée1</formula>
    </cfRule>
    <cfRule type="expression" dxfId="134" priority="10" stopIfTrue="1">
      <formula>S4=CléMaladie</formula>
    </cfRule>
    <cfRule type="expression" dxfId="133" priority="11" stopIfTrue="1">
      <formula>S4=CléPersonnel</formula>
    </cfRule>
    <cfRule type="expression" dxfId="132"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dataValidations count="1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85B1AA25-701F-5E4F-A537-8492818323AC}"/>
    <dataValidation allowBlank="1" showInputMessage="1" showErrorMessage="1" prompt="Année mise à jour automatiquement en fonction de l’année entrée dans la feuille de calcul Janvier" sqref="AH6" xr:uid="{84DE34BD-C74C-E949-BDDC-390099447919}"/>
    <dataValidation allowBlank="1" showInputMessage="1" showErrorMessage="1" prompt="Calcule automatiquement le nombre total de jours d’absence d’un employé durant ce mois dans cette colonne" sqref="AH8" xr:uid="{EFC3BF89-2526-1648-9032-54E38409D629}"/>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D4ADDEE7-3BB2-0A42-AA24-1DBB30531A38}"/>
    <dataValidation allowBlank="1" showInputMessage="1" showErrorMessage="1" prompt="Le titre mis à jour automatiquement figure dans cette cellule. Pour modifier le titre, mettez à jour la cellule B1 de la feuille de calcul Janvier" sqref="B2" xr:uid="{00000000-0002-0000-0500-000005000000}"/>
    <dataValidation allowBlank="1" showInputMessage="1" showErrorMessage="1" prompt="La lettre « C » indique une absence pour cause de congé" sqref="C4" xr:uid="{0FBF9228-E1F8-48FD-AD99-830A0E59C781}"/>
    <dataValidation allowBlank="1" showInputMessage="1" showErrorMessage="1" prompt="La lettre « P » indique une absence pour motifs personnels" sqref="F4" xr:uid="{4BA61CB4-0D61-45FE-9F53-2F10AB90DE1A}"/>
    <dataValidation allowBlank="1" showInputMessage="1" showErrorMessage="1" prompt="La lettre « M » indique une absence pour cause de maladie" sqref="J4" xr:uid="{CB318B63-D085-4C36-8320-A15AE1E1D619}"/>
    <dataValidation allowBlank="1" showInputMessage="1" showErrorMessage="1" prompt="Entrez une lettre et personnalisez l’étiquette à droite pour ajouter un élément de clé" sqref="N4 S4" xr:uid="{30518C71-2857-44AF-9BE4-050EFAC431EF}"/>
    <dataValidation allowBlank="1" showInputMessage="1" showErrorMessage="1" prompt="Entrez une étiquette pour décrire la clé personnalisée à gauche" sqref="O4 T4" xr:uid="{B45E05AC-47B0-404D-8C86-C28E0F62512C}"/>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500-00000C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5F765F6B-473A-3349-9925-D065E8DF0F17}"/>
    <dataValidation allowBlank="1" showInputMessage="1" showErrorMessage="1" prompt="Cette ligne définit les clés utilisées dans le tableau : la cellule C4 un congé, la G4 personnel, et K4 un congé maladie. Les cellules N4 et R4 sont personnalisables " sqref="B4" xr:uid="{9A98F9D7-8874-4D13-82D2-1EEC27A6D951}"/>
    <dataValidation allowBlank="1" showInputMessage="1" showErrorMessage="1" prompt="Le titre de la feuille de calcul figure dans cette cellule. " sqref="B1" xr:uid="{D81EDF62-F132-4F32-A772-764FF14B69A5}"/>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B9:B13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8"/>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31" t="s">
        <v>56</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TEXT(WEEKDAY(DATE(CalendarYear,7,1),1),"jjj")</f>
        <v>lun</v>
      </c>
      <c r="D7" s="20" t="str">
        <f>TEXT(WEEKDAY(DATE(CalendarYear,7,2),1),"jjj")</f>
        <v>mar</v>
      </c>
      <c r="E7" s="20" t="str">
        <f>TEXT(WEEKDAY(DATE(CalendarYear,7,3),1),"jjj")</f>
        <v>mer</v>
      </c>
      <c r="F7" s="20" t="str">
        <f>TEXT(WEEKDAY(DATE(CalendarYear,7,4),1),"jjj")</f>
        <v>jeu</v>
      </c>
      <c r="G7" s="20" t="str">
        <f>TEXT(WEEKDAY(DATE(CalendarYear,7,5),1),"jjj")</f>
        <v>ven</v>
      </c>
      <c r="H7" s="20" t="str">
        <f>TEXT(WEEKDAY(DATE(CalendarYear,7,6),1),"jjj")</f>
        <v>sam</v>
      </c>
      <c r="I7" s="20" t="str">
        <f>TEXT(WEEKDAY(DATE(CalendarYear,7,7),1),"jjj")</f>
        <v>dim</v>
      </c>
      <c r="J7" s="20" t="str">
        <f>TEXT(WEEKDAY(DATE(CalendarYear,7,8),1),"jjj")</f>
        <v>lun</v>
      </c>
      <c r="K7" s="20" t="str">
        <f>TEXT(WEEKDAY(DATE(CalendarYear,7,9),1),"jjj")</f>
        <v>mar</v>
      </c>
      <c r="L7" s="20" t="str">
        <f>TEXT(WEEKDAY(DATE(CalendarYear,7,10),1),"jjj")</f>
        <v>mer</v>
      </c>
      <c r="M7" s="20" t="str">
        <f>TEXT(WEEKDAY(DATE(CalendarYear,7,11),1),"jjj")</f>
        <v>jeu</v>
      </c>
      <c r="N7" s="20" t="str">
        <f>TEXT(WEEKDAY(DATE(CalendarYear,7,12),1),"jjj")</f>
        <v>ven</v>
      </c>
      <c r="O7" s="20" t="str">
        <f>TEXT(WEEKDAY(DATE(CalendarYear,7,13),1),"jjj")</f>
        <v>sam</v>
      </c>
      <c r="P7" s="20" t="str">
        <f>TEXT(WEEKDAY(DATE(CalendarYear,7,14),1),"jjj")</f>
        <v>dim</v>
      </c>
      <c r="Q7" s="20" t="str">
        <f>TEXT(WEEKDAY(DATE(CalendarYear,7,15),1),"jjj")</f>
        <v>lun</v>
      </c>
      <c r="R7" s="20" t="str">
        <f>TEXT(WEEKDAY(DATE(CalendarYear,7,16),1),"jjj")</f>
        <v>mar</v>
      </c>
      <c r="S7" s="20" t="str">
        <f>TEXT(WEEKDAY(DATE(CalendarYear,7,17),1),"jjj")</f>
        <v>mer</v>
      </c>
      <c r="T7" s="20" t="str">
        <f>TEXT(WEEKDAY(DATE(CalendarYear,7,18),1),"jjj")</f>
        <v>jeu</v>
      </c>
      <c r="U7" s="20" t="str">
        <f>TEXT(WEEKDAY(DATE(CalendarYear,7,19),1),"jjj")</f>
        <v>ven</v>
      </c>
      <c r="V7" s="20" t="str">
        <f>TEXT(WEEKDAY(DATE(CalendarYear,7,20),1),"jjj")</f>
        <v>sam</v>
      </c>
      <c r="W7" s="20" t="str">
        <f>TEXT(WEEKDAY(DATE(CalendarYear,7,21),1),"jjj")</f>
        <v>dim</v>
      </c>
      <c r="X7" s="20" t="str">
        <f>TEXT(WEEKDAY(DATE(CalendarYear,7,22),1),"jjj")</f>
        <v>lun</v>
      </c>
      <c r="Y7" s="20" t="str">
        <f>TEXT(WEEKDAY(DATE(CalendarYear,7,23),1),"jjj")</f>
        <v>mar</v>
      </c>
      <c r="Z7" s="20" t="str">
        <f>TEXT(WEEKDAY(DATE(CalendarYear,7,24),1),"jjj")</f>
        <v>mer</v>
      </c>
      <c r="AA7" s="20" t="str">
        <f>TEXT(WEEKDAY(DATE(CalendarYear,7,25),1),"jjj")</f>
        <v>jeu</v>
      </c>
      <c r="AB7" s="20" t="str">
        <f>TEXT(WEEKDAY(DATE(CalendarYear,7,26),1),"jjj")</f>
        <v>ven</v>
      </c>
      <c r="AC7" s="20" t="str">
        <f>TEXT(WEEKDAY(DATE(CalendarYear,7,27),1),"jjj")</f>
        <v>sam</v>
      </c>
      <c r="AD7" s="20" t="str">
        <f>TEXT(WEEKDAY(DATE(CalendarYear,7,28),1),"jjj")</f>
        <v>dim</v>
      </c>
      <c r="AE7" s="20" t="str">
        <f>TEXT(WEEKDAY(DATE(CalendarYear,7,29),1),"jjj")</f>
        <v>lun</v>
      </c>
      <c r="AF7" s="20" t="str">
        <f>TEXT(WEEKDAY(DATE(CalendarYear,7,30),1),"jjj")</f>
        <v>mar</v>
      </c>
      <c r="AG7" s="20" t="str">
        <f>TEXT(WEEKDAY(DATE(CalendarYear,7,31),1),"jjj")</f>
        <v>mer</v>
      </c>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COUNTA(Juillet[[#This Row],[1]:[31]])</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COUNTA(Juillet[[#This Row],[1]:[31]])</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COUNTA(Juillet[[#This Row],[1]:[31]])</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COUNTA(Juillet[[#This Row],[1]:[31]])</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COUNTA(Juillet[[#This Row],[1]:[31]])</f>
        <v>0</v>
      </c>
    </row>
    <row r="14" spans="2:36" ht="30" customHeight="1">
      <c r="B14" s="5" t="str">
        <f>NomMois&amp;" Total"</f>
        <v>Juillet Total</v>
      </c>
      <c r="C14" s="4">
        <f>SUBTOTAL(103,Juillet[1])</f>
        <v>0</v>
      </c>
      <c r="D14" s="4">
        <f>SUBTOTAL(103,Juillet[2])</f>
        <v>0</v>
      </c>
      <c r="E14" s="4">
        <f>SUBTOTAL(103,Juillet[3])</f>
        <v>0</v>
      </c>
      <c r="F14" s="4">
        <f>SUBTOTAL(103,Juillet[4])</f>
        <v>0</v>
      </c>
      <c r="G14" s="4">
        <f>SUBTOTAL(103,Juillet[5])</f>
        <v>0</v>
      </c>
      <c r="H14" s="4">
        <f>SUBTOTAL(103,Juillet[6])</f>
        <v>0</v>
      </c>
      <c r="I14" s="4">
        <f>SUBTOTAL(103,Juillet[7])</f>
        <v>0</v>
      </c>
      <c r="J14" s="4">
        <f>SUBTOTAL(103,Juillet[8])</f>
        <v>0</v>
      </c>
      <c r="K14" s="4">
        <f>SUBTOTAL(103,Juillet[9])</f>
        <v>0</v>
      </c>
      <c r="L14" s="4">
        <f>SUBTOTAL(103,Juillet[10])</f>
        <v>0</v>
      </c>
      <c r="M14" s="4">
        <f>SUBTOTAL(103,Juillet[11])</f>
        <v>0</v>
      </c>
      <c r="N14" s="4">
        <f>SUBTOTAL(103,Juillet[12])</f>
        <v>0</v>
      </c>
      <c r="O14" s="4">
        <f>SUBTOTAL(103,Juillet[13])</f>
        <v>0</v>
      </c>
      <c r="P14" s="4">
        <f>SUBTOTAL(103,Juillet[14])</f>
        <v>0</v>
      </c>
      <c r="Q14" s="4">
        <f>SUBTOTAL(103,Juillet[15])</f>
        <v>0</v>
      </c>
      <c r="R14" s="4">
        <f>SUBTOTAL(103,Juillet[16])</f>
        <v>0</v>
      </c>
      <c r="S14" s="4">
        <f>SUBTOTAL(103,Juillet[17])</f>
        <v>0</v>
      </c>
      <c r="T14" s="4">
        <f>SUBTOTAL(103,Juillet[18])</f>
        <v>0</v>
      </c>
      <c r="U14" s="4">
        <f>SUBTOTAL(103,Juillet[19])</f>
        <v>0</v>
      </c>
      <c r="V14" s="4">
        <f>SUBTOTAL(103,Juillet[20])</f>
        <v>0</v>
      </c>
      <c r="W14" s="4">
        <f>SUBTOTAL(103,Juillet[21])</f>
        <v>0</v>
      </c>
      <c r="X14" s="4">
        <f>SUBTOTAL(103,Juillet[22])</f>
        <v>0</v>
      </c>
      <c r="Y14" s="4">
        <f>SUBTOTAL(103,Juillet[23])</f>
        <v>0</v>
      </c>
      <c r="Z14" s="4">
        <f>SUBTOTAL(103,Juillet[24])</f>
        <v>0</v>
      </c>
      <c r="AA14" s="4">
        <f>SUBTOTAL(103,Juillet[25])</f>
        <v>0</v>
      </c>
      <c r="AB14" s="4">
        <f>SUBTOTAL(103,Juillet[26])</f>
        <v>0</v>
      </c>
      <c r="AC14" s="4">
        <f>SUBTOTAL(103,Juillet[27])</f>
        <v>0</v>
      </c>
      <c r="AD14" s="4">
        <f>SUBTOTAL(103,Juillet[28])</f>
        <v>0</v>
      </c>
      <c r="AE14" s="4">
        <f>SUBTOTAL(103,Juillet[29])</f>
        <v>0</v>
      </c>
      <c r="AF14" s="4">
        <f>SUBTOTAL(109,Juillet[30])</f>
        <v>0</v>
      </c>
      <c r="AG14" s="4">
        <f>SUBTOTAL(109,Juillet[31])</f>
        <v>0</v>
      </c>
      <c r="AH14" s="4">
        <f>SUBTOTAL(109,Juillet[Total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131" priority="14" stopIfTrue="1">
      <formula>C9=CléPersonnalisée2</formula>
    </cfRule>
    <cfRule type="expression" dxfId="130" priority="15" stopIfTrue="1">
      <formula>C9=CléPersonnalisée1</formula>
    </cfRule>
    <cfRule type="expression" dxfId="129" priority="16" stopIfTrue="1">
      <formula>C9=CléMaladie</formula>
    </cfRule>
    <cfRule type="expression" dxfId="128" priority="17" stopIfTrue="1">
      <formula>C9=CléPersonnel</formula>
    </cfRule>
    <cfRule type="expression" dxfId="127" priority="18" stopIfTrue="1">
      <formula>C9=CléCongé</formula>
    </cfRule>
  </conditionalFormatting>
  <conditionalFormatting sqref="N4">
    <cfRule type="expression" priority="1" stopIfTrue="1">
      <formula>N4=""</formula>
    </cfRule>
    <cfRule type="expression" dxfId="126" priority="2" stopIfTrue="1">
      <formula>N4=CléPersonnalisée2</formula>
    </cfRule>
    <cfRule type="expression" dxfId="125" priority="3" stopIfTrue="1">
      <formula>N4=CléPersonnalisée1</formula>
    </cfRule>
    <cfRule type="expression" dxfId="124" priority="4" stopIfTrue="1">
      <formula>N4=CléMaladie</formula>
    </cfRule>
    <cfRule type="expression" dxfId="123" priority="5" stopIfTrue="1">
      <formula>N4=CléPersonnel</formula>
    </cfRule>
    <cfRule type="expression" dxfId="122" priority="6" stopIfTrue="1">
      <formula>N4=CléCongé</formula>
    </cfRule>
  </conditionalFormatting>
  <conditionalFormatting sqref="S4">
    <cfRule type="expression" priority="7" stopIfTrue="1">
      <formula>S4=""</formula>
    </cfRule>
    <cfRule type="expression" dxfId="121" priority="8" stopIfTrue="1">
      <formula>S4=CléPersonnalisée2</formula>
    </cfRule>
    <cfRule type="expression" dxfId="120" priority="9" stopIfTrue="1">
      <formula>S4=CléPersonnalisée1</formula>
    </cfRule>
    <cfRule type="expression" dxfId="119" priority="10" stopIfTrue="1">
      <formula>S4=CléMaladie</formula>
    </cfRule>
    <cfRule type="expression" dxfId="118" priority="11" stopIfTrue="1">
      <formula>S4=CléPersonnel</formula>
    </cfRule>
    <cfRule type="expression" dxfId="117"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{E0DCF129-9B2A-4CEB-9E56-27607F4BED20}</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3C1A45F-45B9-C64C-AB94-81563D67373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600-000001000000}"/>
    <dataValidation allowBlank="1" showInputMessage="1" showErrorMessage="1" prompt="Entrez une étiquette pour décrire la clé personnalisée à gauche" sqref="O4 T4" xr:uid="{5AE58C00-D618-4302-99AC-8C0CD4E84498}"/>
    <dataValidation allowBlank="1" showInputMessage="1" showErrorMessage="1" prompt="Entrez une lettre et personnalisez l’étiquette à droite pour ajouter un élément de clé" sqref="N4 S4" xr:uid="{618042DC-C44D-43C5-8FE3-020125FF9AF4}"/>
    <dataValidation allowBlank="1" showInputMessage="1" showErrorMessage="1" prompt="La lettre « M » indique une absence pour cause de maladie" sqref="J4" xr:uid="{33E4DFA7-A665-41E6-AB72-309A95FA160C}"/>
    <dataValidation allowBlank="1" showInputMessage="1" showErrorMessage="1" prompt="La lettre « P » indique une absence pour motifs personnels" sqref="F4" xr:uid="{AFB19773-0FEF-43AA-B367-7C0539932533}"/>
    <dataValidation allowBlank="1" showInputMessage="1" showErrorMessage="1" prompt="La lettre « C » indique une absence pour cause de congé" sqref="C4" xr:uid="{2BE086CB-587F-4DF5-B868-896B62C1EE2F}"/>
    <dataValidation allowBlank="1" showInputMessage="1" showErrorMessage="1" prompt="Le titre mis à jour automatiquement figure dans cette cellule. Pour modifier le titre, mettez à jour la cellule B1 de la feuille de calcul Janvier" sqref="B2"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56BA2E4C-7843-2040-9E97-682F447A602F}"/>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8" xr:uid="{7EEB97FE-C4E8-0B42-8F26-4ACE0C358EA5}"/>
    <dataValidation allowBlank="1" showInputMessage="1" showErrorMessage="1" prompt="Année mise à jour automatiquement en fonction de l’année entrée dans la feuille de calcul Janvier" sqref="AH6" xr:uid="{00000000-0002-0000-0600-00000C00000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956AA00F-FA3E-EE4C-BC75-65E8AA2EA95F}"/>
    <dataValidation allowBlank="1" showInputMessage="1" showErrorMessage="1" prompt="Cette ligne définit les clés utilisées dans le tableau : la cellule C4 un congé, la G4 personnel, et K4 un congé maladie. Les cellules N4 et R4 sont personnalisables " sqref="B4" xr:uid="{49FE03CF-624B-4523-A1B1-B51C2CB6F6D6}"/>
    <dataValidation allowBlank="1" showInputMessage="1" showErrorMessage="1" prompt="Le titre de la feuille de calcul figure dans cette cellule. " sqref="B1" xr:uid="{0AC8E3EA-A233-463E-AEDF-A0DB4FC9697F}"/>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B9:B13</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8"/>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30" t="s">
        <v>57</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TEXT(WEEKDAY(DATE(CalendarYear,8,1),1),"jjj")</f>
        <v>jeu</v>
      </c>
      <c r="D7" s="20" t="str">
        <f>TEXT(WEEKDAY(DATE(CalendarYear,8,2),1),"jjj")</f>
        <v>ven</v>
      </c>
      <c r="E7" s="20" t="str">
        <f>TEXT(WEEKDAY(DATE(CalendarYear,8,3),1),"jjj")</f>
        <v>sam</v>
      </c>
      <c r="F7" s="20" t="str">
        <f>TEXT(WEEKDAY(DATE(CalendarYear,8,4),1),"jjj")</f>
        <v>dim</v>
      </c>
      <c r="G7" s="20" t="str">
        <f>TEXT(WEEKDAY(DATE(CalendarYear,8,5),1),"jjj")</f>
        <v>lun</v>
      </c>
      <c r="H7" s="20" t="str">
        <f>TEXT(WEEKDAY(DATE(CalendarYear,8,6),1),"jjj")</f>
        <v>mar</v>
      </c>
      <c r="I7" s="20" t="str">
        <f>TEXT(WEEKDAY(DATE(CalendarYear,8,7),1),"jjj")</f>
        <v>mer</v>
      </c>
      <c r="J7" s="20" t="str">
        <f>TEXT(WEEKDAY(DATE(CalendarYear,8,8),1),"jjj")</f>
        <v>jeu</v>
      </c>
      <c r="K7" s="20" t="str">
        <f>TEXT(WEEKDAY(DATE(CalendarYear,8,9),1),"jjj")</f>
        <v>ven</v>
      </c>
      <c r="L7" s="20" t="str">
        <f>TEXT(WEEKDAY(DATE(CalendarYear,8,10),1),"jjj")</f>
        <v>sam</v>
      </c>
      <c r="M7" s="20" t="str">
        <f>TEXT(WEEKDAY(DATE(CalendarYear,8,11),1),"jjj")</f>
        <v>dim</v>
      </c>
      <c r="N7" s="20" t="str">
        <f>TEXT(WEEKDAY(DATE(CalendarYear,8,12),1),"jjj")</f>
        <v>lun</v>
      </c>
      <c r="O7" s="20" t="str">
        <f>TEXT(WEEKDAY(DATE(CalendarYear,8,13),1),"jjj")</f>
        <v>mar</v>
      </c>
      <c r="P7" s="20" t="str">
        <f>TEXT(WEEKDAY(DATE(CalendarYear,8,14),1),"jjj")</f>
        <v>mer</v>
      </c>
      <c r="Q7" s="20" t="str">
        <f>TEXT(WEEKDAY(DATE(CalendarYear,8,15),1),"jjj")</f>
        <v>jeu</v>
      </c>
      <c r="R7" s="20" t="str">
        <f>TEXT(WEEKDAY(DATE(CalendarYear,8,16),1),"jjj")</f>
        <v>ven</v>
      </c>
      <c r="S7" s="20" t="str">
        <f>TEXT(WEEKDAY(DATE(CalendarYear,8,17),1),"jjj")</f>
        <v>sam</v>
      </c>
      <c r="T7" s="20" t="str">
        <f>TEXT(WEEKDAY(DATE(CalendarYear,8,18),1),"jjj")</f>
        <v>dim</v>
      </c>
      <c r="U7" s="20" t="str">
        <f>TEXT(WEEKDAY(DATE(CalendarYear,8,19),1),"jjj")</f>
        <v>lun</v>
      </c>
      <c r="V7" s="20" t="str">
        <f>TEXT(WEEKDAY(DATE(CalendarYear,8,20),1),"jjj")</f>
        <v>mar</v>
      </c>
      <c r="W7" s="20" t="str">
        <f>TEXT(WEEKDAY(DATE(CalendarYear,8,21),1),"jjj")</f>
        <v>mer</v>
      </c>
      <c r="X7" s="20" t="str">
        <f>TEXT(WEEKDAY(DATE(CalendarYear,8,22),1),"jjj")</f>
        <v>jeu</v>
      </c>
      <c r="Y7" s="20" t="str">
        <f>TEXT(WEEKDAY(DATE(CalendarYear,8,23),1),"jjj")</f>
        <v>ven</v>
      </c>
      <c r="Z7" s="20" t="str">
        <f>TEXT(WEEKDAY(DATE(CalendarYear,8,24),1),"jjj")</f>
        <v>sam</v>
      </c>
      <c r="AA7" s="20" t="str">
        <f>TEXT(WEEKDAY(DATE(CalendarYear,8,25),1),"jjj")</f>
        <v>dim</v>
      </c>
      <c r="AB7" s="20" t="str">
        <f>TEXT(WEEKDAY(DATE(CalendarYear,8,26),1),"jjj")</f>
        <v>lun</v>
      </c>
      <c r="AC7" s="20" t="str">
        <f>TEXT(WEEKDAY(DATE(CalendarYear,8,27),1),"jjj")</f>
        <v>mar</v>
      </c>
      <c r="AD7" s="20" t="str">
        <f>TEXT(WEEKDAY(DATE(CalendarYear,8,28),1),"jjj")</f>
        <v>mer</v>
      </c>
      <c r="AE7" s="20" t="str">
        <f>TEXT(WEEKDAY(DATE(CalendarYear,8,29),1),"jjj")</f>
        <v>jeu</v>
      </c>
      <c r="AF7" s="20" t="str">
        <f>TEXT(WEEKDAY(DATE(CalendarYear,8,30),1),"jjj")</f>
        <v>ven</v>
      </c>
      <c r="AG7" s="20" t="str">
        <f>TEXT(WEEKDAY(DATE(CalendarYear,8,31),1),"jjj")</f>
        <v>sam</v>
      </c>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COUNTA(Août[[#This Row],[1]:[31]])</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COUNTA(Août[[#This Row],[1]:[31]])</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COUNTA(Août[[#This Row],[1]:[31]])</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COUNTA(Août[[#This Row],[1]:[31]])</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COUNTA(Août[[#This Row],[1]:[31]])</f>
        <v>0</v>
      </c>
    </row>
    <row r="14" spans="2:36" ht="30" customHeight="1">
      <c r="B14" s="5" t="str">
        <f>NomMois&amp;" Total"</f>
        <v>Août Total</v>
      </c>
      <c r="C14" s="4">
        <f>SUBTOTAL(103,Août[1])</f>
        <v>0</v>
      </c>
      <c r="D14" s="4">
        <f>SUBTOTAL(103,Août[2])</f>
        <v>0</v>
      </c>
      <c r="E14" s="4">
        <f>SUBTOTAL(103,Août[3])</f>
        <v>0</v>
      </c>
      <c r="F14" s="4">
        <f>SUBTOTAL(103,Août[4])</f>
        <v>0</v>
      </c>
      <c r="G14" s="4">
        <f>SUBTOTAL(103,Août[5])</f>
        <v>0</v>
      </c>
      <c r="H14" s="4">
        <f>SUBTOTAL(103,Août[6])</f>
        <v>0</v>
      </c>
      <c r="I14" s="4">
        <f>SUBTOTAL(103,Août[7])</f>
        <v>0</v>
      </c>
      <c r="J14" s="4">
        <f>SUBTOTAL(103,Août[8])</f>
        <v>0</v>
      </c>
      <c r="K14" s="4">
        <f>SUBTOTAL(103,Août[9])</f>
        <v>0</v>
      </c>
      <c r="L14" s="4">
        <f>SUBTOTAL(103,Août[10])</f>
        <v>0</v>
      </c>
      <c r="M14" s="4">
        <f>SUBTOTAL(103,Août[11])</f>
        <v>0</v>
      </c>
      <c r="N14" s="4">
        <f>SUBTOTAL(103,Août[12])</f>
        <v>0</v>
      </c>
      <c r="O14" s="4">
        <f>SUBTOTAL(103,Août[13])</f>
        <v>0</v>
      </c>
      <c r="P14" s="4">
        <f>SUBTOTAL(103,Août[14])</f>
        <v>0</v>
      </c>
      <c r="Q14" s="4">
        <f>SUBTOTAL(103,Août[15])</f>
        <v>0</v>
      </c>
      <c r="R14" s="4">
        <f>SUBTOTAL(103,Août[16])</f>
        <v>0</v>
      </c>
      <c r="S14" s="4">
        <f>SUBTOTAL(103,Août[17])</f>
        <v>0</v>
      </c>
      <c r="T14" s="4">
        <f>SUBTOTAL(103,Août[18])</f>
        <v>0</v>
      </c>
      <c r="U14" s="4">
        <f>SUBTOTAL(103,Août[19])</f>
        <v>0</v>
      </c>
      <c r="V14" s="4">
        <f>SUBTOTAL(103,Août[20])</f>
        <v>0</v>
      </c>
      <c r="W14" s="4">
        <f>SUBTOTAL(103,Août[21])</f>
        <v>0</v>
      </c>
      <c r="X14" s="4">
        <f>SUBTOTAL(103,Août[22])</f>
        <v>0</v>
      </c>
      <c r="Y14" s="4">
        <f>SUBTOTAL(103,Août[23])</f>
        <v>0</v>
      </c>
      <c r="Z14" s="4">
        <f>SUBTOTAL(103,Août[24])</f>
        <v>0</v>
      </c>
      <c r="AA14" s="4">
        <f>SUBTOTAL(103,Août[25])</f>
        <v>0</v>
      </c>
      <c r="AB14" s="4">
        <f>SUBTOTAL(103,Août[26])</f>
        <v>0</v>
      </c>
      <c r="AC14" s="4">
        <f>SUBTOTAL(103,Août[27])</f>
        <v>0</v>
      </c>
      <c r="AD14" s="4">
        <f>SUBTOTAL(103,Août[28])</f>
        <v>0</v>
      </c>
      <c r="AE14" s="4">
        <f>SUBTOTAL(103,Août[29])</f>
        <v>0</v>
      </c>
      <c r="AF14" s="4">
        <f>SUBTOTAL(109,Août[30])</f>
        <v>0</v>
      </c>
      <c r="AG14" s="4">
        <f>SUBTOTAL(109,Août[31])</f>
        <v>0</v>
      </c>
      <c r="AH14" s="4">
        <f>SUBTOTAL(109,Août[Total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116" priority="14" stopIfTrue="1">
      <formula>C9=CléPersonnalisée2</formula>
    </cfRule>
    <cfRule type="expression" dxfId="115" priority="15" stopIfTrue="1">
      <formula>C9=CléPersonnalisée1</formula>
    </cfRule>
    <cfRule type="expression" dxfId="114" priority="16" stopIfTrue="1">
      <formula>C9=CléMaladie</formula>
    </cfRule>
    <cfRule type="expression" dxfId="113" priority="17" stopIfTrue="1">
      <formula>C9=CléPersonnel</formula>
    </cfRule>
    <cfRule type="expression" dxfId="112" priority="18" stopIfTrue="1">
      <formula>C9=CléCongé</formula>
    </cfRule>
  </conditionalFormatting>
  <conditionalFormatting sqref="N4">
    <cfRule type="expression" priority="1" stopIfTrue="1">
      <formula>N4=""</formula>
    </cfRule>
    <cfRule type="expression" dxfId="111" priority="2" stopIfTrue="1">
      <formula>N4=CléPersonnalisée2</formula>
    </cfRule>
    <cfRule type="expression" dxfId="110" priority="3" stopIfTrue="1">
      <formula>N4=CléPersonnalisée1</formula>
    </cfRule>
    <cfRule type="expression" dxfId="109" priority="4" stopIfTrue="1">
      <formula>N4=CléMaladie</formula>
    </cfRule>
    <cfRule type="expression" dxfId="108" priority="5" stopIfTrue="1">
      <formula>N4=CléPersonnel</formula>
    </cfRule>
    <cfRule type="expression" dxfId="107" priority="6" stopIfTrue="1">
      <formula>N4=CléCongé</formula>
    </cfRule>
  </conditionalFormatting>
  <conditionalFormatting sqref="S4">
    <cfRule type="expression" priority="7" stopIfTrue="1">
      <formula>S4=""</formula>
    </cfRule>
    <cfRule type="expression" dxfId="106" priority="8" stopIfTrue="1">
      <formula>S4=CléPersonnalisée2</formula>
    </cfRule>
    <cfRule type="expression" dxfId="105" priority="9" stopIfTrue="1">
      <formula>S4=CléPersonnalisée1</formula>
    </cfRule>
    <cfRule type="expression" dxfId="104" priority="10" stopIfTrue="1">
      <formula>S4=CléMaladie</formula>
    </cfRule>
    <cfRule type="expression" dxfId="103" priority="11" stopIfTrue="1">
      <formula>S4=CléPersonnel</formula>
    </cfRule>
    <cfRule type="expression" dxfId="102"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dataValidations count="15">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C31066D8-39EA-EB48-A883-D56040D3EA81}"/>
    <dataValidation allowBlank="1" showInputMessage="1" showErrorMessage="1" prompt="Année mise à jour automatiquement en fonction de l’année entrée dans la feuille de calcul Janvier" sqref="AH6" xr:uid="{4F3A1A67-5AD0-224A-B9EB-2AA94773859B}"/>
    <dataValidation allowBlank="1" showInputMessage="1" showErrorMessage="1" prompt="Calcule automatiquement le nombre total de jours d’absence d’un employé durant ce mois dans cette colonne" sqref="AH8" xr:uid="{AC80500B-13F9-964F-8855-BCABB1C8AF13}"/>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3B37E336-5BFF-874C-B045-F359DA78F99B}"/>
    <dataValidation allowBlank="1" showInputMessage="1" showErrorMessage="1" prompt="Le titre mis à jour automatiquement figure dans cette cellule. Pour modifier le titre, mettez à jour la cellule B1 de la feuille de calcul Janvier" sqref="B2" xr:uid="{00000000-0002-0000-0700-000005000000}"/>
    <dataValidation allowBlank="1" showInputMessage="1" showErrorMessage="1" prompt="La lettre « C » indique une absence pour cause de congé" sqref="C4" xr:uid="{C669C381-9292-4A6C-BB42-FBC3ED211B7E}"/>
    <dataValidation allowBlank="1" showInputMessage="1" showErrorMessage="1" prompt="La lettre « P » indique une absence pour motifs personnels" sqref="F4" xr:uid="{C0E77A16-CDD7-4D92-8D0E-3CAABEB1CDAE}"/>
    <dataValidation allowBlank="1" showInputMessage="1" showErrorMessage="1" prompt="La lettre « M » indique une absence pour cause de maladie" sqref="J4" xr:uid="{8688933E-84FC-4063-BD46-43A58A8935BD}"/>
    <dataValidation allowBlank="1" showInputMessage="1" showErrorMessage="1" prompt="Entrez une lettre et personnalisez l’étiquette à droite pour ajouter un élément de clé" sqref="N4 S4" xr:uid="{6F66D225-F178-4025-AF9E-E77D66466D2B}"/>
    <dataValidation allowBlank="1" showInputMessage="1" showErrorMessage="1" prompt="Entrez une étiquette pour décrire la clé personnalisée à gauche" sqref="O4 T4" xr:uid="{AAE19CEE-5D89-42AF-9C0D-BF63079C1FCF}"/>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700-00000C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ACF8EA0E-6010-5D46-9524-6055BFC9D4A3}"/>
    <dataValidation allowBlank="1" showInputMessage="1" showErrorMessage="1" prompt="Cette ligne définit les clés utilisées dans le tableau : la cellule C4 un congé, la G4 personnel, et K4 un congé maladie. Les cellules N4 et R4 sont personnalisables " sqref="B4" xr:uid="{2AD8EE52-D84F-4685-9E2E-4F8D1A731125}"/>
    <dataValidation allowBlank="1" showInputMessage="1" showErrorMessage="1" prompt="Le titre de la feuille de calcul figure dans cette cellule. " sqref="B1" xr:uid="{3F261A71-5753-4B06-A7AE-03F6BBA4818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B9:B13</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7"/>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9" t="s">
        <v>58</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TEXT(WEEKDAY(DATE(CalendarYear,9,1),1),"jjj")</f>
        <v>dim</v>
      </c>
      <c r="D7" s="20" t="str">
        <f>TEXT(WEEKDAY(DATE(CalendarYear,9,2),1),"jjj")</f>
        <v>lun</v>
      </c>
      <c r="E7" s="20" t="str">
        <f>TEXT(WEEKDAY(DATE(CalendarYear,9,3),1),"jjj")</f>
        <v>mar</v>
      </c>
      <c r="F7" s="20" t="str">
        <f>TEXT(WEEKDAY(DATE(CalendarYear,9,4),1),"jjj")</f>
        <v>mer</v>
      </c>
      <c r="G7" s="20" t="str">
        <f>TEXT(WEEKDAY(DATE(CalendarYear,9,5),1),"jjj")</f>
        <v>jeu</v>
      </c>
      <c r="H7" s="20" t="str">
        <f>TEXT(WEEKDAY(DATE(CalendarYear,9,6),1),"jjj")</f>
        <v>ven</v>
      </c>
      <c r="I7" s="20" t="str">
        <f>TEXT(WEEKDAY(DATE(CalendarYear,9,7),1),"jjj")</f>
        <v>sam</v>
      </c>
      <c r="J7" s="20" t="str">
        <f>TEXT(WEEKDAY(DATE(CalendarYear,9,8),1),"jjj")</f>
        <v>dim</v>
      </c>
      <c r="K7" s="20" t="str">
        <f>TEXT(WEEKDAY(DATE(CalendarYear,9,9),1),"jjj")</f>
        <v>lun</v>
      </c>
      <c r="L7" s="20" t="str">
        <f>TEXT(WEEKDAY(DATE(CalendarYear,9,10),1),"jjj")</f>
        <v>mar</v>
      </c>
      <c r="M7" s="20" t="str">
        <f>TEXT(WEEKDAY(DATE(CalendarYear,9,11),1),"jjj")</f>
        <v>mer</v>
      </c>
      <c r="N7" s="20" t="str">
        <f>TEXT(WEEKDAY(DATE(CalendarYear,9,12),1),"jjj")</f>
        <v>jeu</v>
      </c>
      <c r="O7" s="20" t="str">
        <f>TEXT(WEEKDAY(DATE(CalendarYear,9,13),1),"jjj")</f>
        <v>ven</v>
      </c>
      <c r="P7" s="20" t="str">
        <f>TEXT(WEEKDAY(DATE(CalendarYear,9,14),1),"jjj")</f>
        <v>sam</v>
      </c>
      <c r="Q7" s="20" t="str">
        <f>TEXT(WEEKDAY(DATE(CalendarYear,9,15),1),"jjj")</f>
        <v>dim</v>
      </c>
      <c r="R7" s="20" t="str">
        <f>TEXT(WEEKDAY(DATE(CalendarYear,9,16),1),"jjj")</f>
        <v>lun</v>
      </c>
      <c r="S7" s="20" t="str">
        <f>TEXT(WEEKDAY(DATE(CalendarYear,9,17),1),"jjj")</f>
        <v>mar</v>
      </c>
      <c r="T7" s="20" t="str">
        <f>TEXT(WEEKDAY(DATE(CalendarYear,9,18),1),"jjj")</f>
        <v>mer</v>
      </c>
      <c r="U7" s="20" t="str">
        <f>TEXT(WEEKDAY(DATE(CalendarYear,9,19),1),"jjj")</f>
        <v>jeu</v>
      </c>
      <c r="V7" s="20" t="str">
        <f>TEXT(WEEKDAY(DATE(CalendarYear,9,20),1),"jjj")</f>
        <v>ven</v>
      </c>
      <c r="W7" s="20" t="str">
        <f>TEXT(WEEKDAY(DATE(CalendarYear,9,21),1),"jjj")</f>
        <v>sam</v>
      </c>
      <c r="X7" s="20" t="str">
        <f>TEXT(WEEKDAY(DATE(CalendarYear,9,22),1),"jjj")</f>
        <v>dim</v>
      </c>
      <c r="Y7" s="20" t="str">
        <f>TEXT(WEEKDAY(DATE(CalendarYear,9,23),1),"jjj")</f>
        <v>lun</v>
      </c>
      <c r="Z7" s="20" t="str">
        <f>TEXT(WEEKDAY(DATE(CalendarYear,9,24),1),"jjj")</f>
        <v>mar</v>
      </c>
      <c r="AA7" s="20" t="str">
        <f>TEXT(WEEKDAY(DATE(CalendarYear,9,25),1),"jjj")</f>
        <v>mer</v>
      </c>
      <c r="AB7" s="20" t="str">
        <f>TEXT(WEEKDAY(DATE(CalendarYear,9,26),1),"jjj")</f>
        <v>jeu</v>
      </c>
      <c r="AC7" s="20" t="str">
        <f>TEXT(WEEKDAY(DATE(CalendarYear,9,27),1),"jjj")</f>
        <v>ven</v>
      </c>
      <c r="AD7" s="20" t="str">
        <f>TEXT(WEEKDAY(DATE(CalendarYear,9,28),1),"jjj")</f>
        <v>sam</v>
      </c>
      <c r="AE7" s="20" t="str">
        <f>TEXT(WEEKDAY(DATE(CalendarYear,9,29),1),"jjj")</f>
        <v>dim</v>
      </c>
      <c r="AF7" s="20" t="str">
        <f>TEXT(WEEKDAY(DATE(CalendarYear,9,30),1),"jjj")</f>
        <v>lun</v>
      </c>
      <c r="AG7" s="20"/>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50</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COUNTA(Septembre[[#This Row],[1]:[ ]])</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COUNTA(Septembre[[#This Row],[1]:[ ]])</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COUNTA(Septembre[[#This Row],[1]:[ ]])</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COUNTA(Septembre[[#This Row],[1]:[ ]])</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COUNTA(Septembre[[#This Row],[1]:[ ]])</f>
        <v>0</v>
      </c>
    </row>
    <row r="14" spans="2:36" ht="30" customHeight="1">
      <c r="B14" s="5" t="str">
        <f>NomMois&amp;" Total"</f>
        <v>Septembre Total</v>
      </c>
      <c r="C14" s="4">
        <f>SUBTOTAL(103,Septembre[1])</f>
        <v>0</v>
      </c>
      <c r="D14" s="4">
        <f>SUBTOTAL(103,Septembre[2])</f>
        <v>0</v>
      </c>
      <c r="E14" s="4">
        <f>SUBTOTAL(103,Septembre[3])</f>
        <v>0</v>
      </c>
      <c r="F14" s="4">
        <f>SUBTOTAL(103,Septembre[4])</f>
        <v>0</v>
      </c>
      <c r="G14" s="4">
        <f>SUBTOTAL(103,Septembre[5])</f>
        <v>0</v>
      </c>
      <c r="H14" s="4">
        <f>SUBTOTAL(103,Septembre[6])</f>
        <v>0</v>
      </c>
      <c r="I14" s="4">
        <f>SUBTOTAL(103,Septembre[7])</f>
        <v>0</v>
      </c>
      <c r="J14" s="4">
        <f>SUBTOTAL(103,Septembre[8])</f>
        <v>0</v>
      </c>
      <c r="K14" s="4">
        <f>SUBTOTAL(103,Septembre[9])</f>
        <v>0</v>
      </c>
      <c r="L14" s="4">
        <f>SUBTOTAL(103,Septembre[10])</f>
        <v>0</v>
      </c>
      <c r="M14" s="4">
        <f>SUBTOTAL(103,Septembre[11])</f>
        <v>0</v>
      </c>
      <c r="N14" s="4">
        <f>SUBTOTAL(103,Septembre[12])</f>
        <v>0</v>
      </c>
      <c r="O14" s="4">
        <f>SUBTOTAL(103,Septembre[13])</f>
        <v>0</v>
      </c>
      <c r="P14" s="4">
        <f>SUBTOTAL(103,Septembre[14])</f>
        <v>0</v>
      </c>
      <c r="Q14" s="4">
        <f>SUBTOTAL(103,Septembre[15])</f>
        <v>0</v>
      </c>
      <c r="R14" s="4">
        <f>SUBTOTAL(103,Septembre[16])</f>
        <v>0</v>
      </c>
      <c r="S14" s="4">
        <f>SUBTOTAL(103,Septembre[17])</f>
        <v>0</v>
      </c>
      <c r="T14" s="4">
        <f>SUBTOTAL(103,Septembre[18])</f>
        <v>0</v>
      </c>
      <c r="U14" s="4">
        <f>SUBTOTAL(103,Septembre[19])</f>
        <v>0</v>
      </c>
      <c r="V14" s="4">
        <f>SUBTOTAL(103,Septembre[20])</f>
        <v>0</v>
      </c>
      <c r="W14" s="4">
        <f>SUBTOTAL(103,Septembre[21])</f>
        <v>0</v>
      </c>
      <c r="X14" s="4">
        <f>SUBTOTAL(103,Septembre[22])</f>
        <v>0</v>
      </c>
      <c r="Y14" s="4">
        <f>SUBTOTAL(103,Septembre[23])</f>
        <v>0</v>
      </c>
      <c r="Z14" s="4">
        <f>SUBTOTAL(103,Septembre[24])</f>
        <v>0</v>
      </c>
      <c r="AA14" s="4">
        <f>SUBTOTAL(103,Septembre[25])</f>
        <v>0</v>
      </c>
      <c r="AB14" s="4">
        <f>SUBTOTAL(103,Septembre[26])</f>
        <v>0</v>
      </c>
      <c r="AC14" s="4">
        <f>SUBTOTAL(103,Septembre[27])</f>
        <v>0</v>
      </c>
      <c r="AD14" s="4">
        <f>SUBTOTAL(103,Septembre[28])</f>
        <v>0</v>
      </c>
      <c r="AE14" s="4">
        <f>SUBTOTAL(103,Septembre[29])</f>
        <v>0</v>
      </c>
      <c r="AF14" s="4">
        <f>SUBTOTAL(109,Septembre[30])</f>
        <v>0</v>
      </c>
      <c r="AG14" s="4">
        <f>SUBTOTAL(109,Septembre[[ ]])</f>
        <v>0</v>
      </c>
      <c r="AH14" s="4">
        <f>SUBTOTAL(109,Septembre[Total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101" priority="14" stopIfTrue="1">
      <formula>C9=CléPersonnalisée2</formula>
    </cfRule>
    <cfRule type="expression" dxfId="100" priority="15" stopIfTrue="1">
      <formula>C9=CléPersonnalisée1</formula>
    </cfRule>
    <cfRule type="expression" dxfId="99" priority="16" stopIfTrue="1">
      <formula>C9=CléMaladie</formula>
    </cfRule>
    <cfRule type="expression" dxfId="98" priority="17" stopIfTrue="1">
      <formula>C9=CléPersonnel</formula>
    </cfRule>
    <cfRule type="expression" dxfId="97" priority="18" stopIfTrue="1">
      <formula>C9=CléCongé</formula>
    </cfRule>
  </conditionalFormatting>
  <conditionalFormatting sqref="N4">
    <cfRule type="expression" priority="1" stopIfTrue="1">
      <formula>N4=""</formula>
    </cfRule>
    <cfRule type="expression" dxfId="96" priority="2" stopIfTrue="1">
      <formula>N4=CléPersonnalisée2</formula>
    </cfRule>
    <cfRule type="expression" dxfId="95" priority="3" stopIfTrue="1">
      <formula>N4=CléPersonnalisée1</formula>
    </cfRule>
    <cfRule type="expression" dxfId="94" priority="4" stopIfTrue="1">
      <formula>N4=CléMaladie</formula>
    </cfRule>
    <cfRule type="expression" dxfId="93" priority="5" stopIfTrue="1">
      <formula>N4=CléPersonnel</formula>
    </cfRule>
    <cfRule type="expression" dxfId="92" priority="6" stopIfTrue="1">
      <formula>N4=CléCongé</formula>
    </cfRule>
  </conditionalFormatting>
  <conditionalFormatting sqref="S4">
    <cfRule type="expression" priority="7" stopIfTrue="1">
      <formula>S4=""</formula>
    </cfRule>
    <cfRule type="expression" dxfId="91" priority="8" stopIfTrue="1">
      <formula>S4=CléPersonnalisée2</formula>
    </cfRule>
    <cfRule type="expression" dxfId="90" priority="9" stopIfTrue="1">
      <formula>S4=CléPersonnalisée1</formula>
    </cfRule>
    <cfRule type="expression" dxfId="89" priority="10" stopIfTrue="1">
      <formula>S4=CléMaladie</formula>
    </cfRule>
    <cfRule type="expression" dxfId="88" priority="11" stopIfTrue="1">
      <formula>S4=CléPersonnel</formula>
    </cfRule>
    <cfRule type="expression" dxfId="87"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9DDE2A21-51EA-3649-A2EE-B04BD18F4ABA}"/>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800-000001000000}"/>
    <dataValidation allowBlank="1" showInputMessage="1" showErrorMessage="1" prompt="Entrez une étiquette pour décrire la clé personnalisée à gauche" sqref="O4 T4" xr:uid="{B5F2179E-AACA-48FC-BC2D-772710416EDB}"/>
    <dataValidation allowBlank="1" showInputMessage="1" showErrorMessage="1" prompt="Entrez une lettre et personnalisez l’étiquette à droite pour ajouter un élément de clé" sqref="N4 S4" xr:uid="{73F80402-20CE-42AE-8B37-81078BD40752}"/>
    <dataValidation allowBlank="1" showInputMessage="1" showErrorMessage="1" prompt="La lettre « M » indique une absence pour cause de maladie" sqref="J4" xr:uid="{6D705B22-1CC0-4316-9927-73FDF5600AB2}"/>
    <dataValidation allowBlank="1" showInputMessage="1" showErrorMessage="1" prompt="La lettre « P » indique une absence pour motifs personnels" sqref="F4" xr:uid="{742AB3CA-3484-4CC8-94DC-20D036A45834}"/>
    <dataValidation allowBlank="1" showInputMessage="1" showErrorMessage="1" prompt="La lettre « C » indique une absence pour cause de congé" sqref="C4" xr:uid="{485CCD50-1B5E-47CD-888C-D5C19A380BBA}"/>
    <dataValidation allowBlank="1" showInputMessage="1" showErrorMessage="1" prompt="Le titre mis à jour automatiquement figure dans cette cellule. Pour modifier le titre, mettez à jour la cellule B1 de la feuille de calcul Janvier" sqref="B2"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C813148F-9330-314A-8F3F-150F6150691C}"/>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8" xr:uid="{5C77DC9E-A1AE-7C41-B518-6426DAF8D1EE}"/>
    <dataValidation allowBlank="1" showInputMessage="1" showErrorMessage="1" prompt="Année mise à jour automatiquement en fonction de l’année entrée dans la feuille de calcul Janvier" sqref="AH6" xr:uid="{075296AD-6F4A-1446-94E5-CA2E94C7BFCE}"/>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85777C8-14EB-B748-8BBD-8B9BF124E384}"/>
    <dataValidation allowBlank="1" showInputMessage="1" showErrorMessage="1" prompt="Cette ligne définit les clés utilisées dans le tableau : la cellule C4 un congé, la G4 personnel, et K4 un congé maladie. Les cellules N4 et R4 sont personnalisables " sqref="B4" xr:uid="{258809B3-02AD-47F3-A0C7-61BAF9DAB51A}"/>
    <dataValidation allowBlank="1" showInputMessage="1" showErrorMessage="1" prompt="Le titre de la feuille de calcul figure dans cette cellule. " sqref="B1" xr:uid="{EDB7A32F-2F43-4B5F-BF9B-69D720D668DD}"/>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B9:B13</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7"/>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9" t="s">
        <v>59</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TEXT(WEEKDAY(DATE(CalendarYear,10,1),1),"jjj")</f>
        <v>mar</v>
      </c>
      <c r="D7" s="20" t="str">
        <f>TEXT(WEEKDAY(DATE(CalendarYear,10,2),1),"jjj")</f>
        <v>mer</v>
      </c>
      <c r="E7" s="20" t="str">
        <f>TEXT(WEEKDAY(DATE(CalendarYear,10,3),1),"jjj")</f>
        <v>jeu</v>
      </c>
      <c r="F7" s="20" t="str">
        <f>TEXT(WEEKDAY(DATE(CalendarYear,10,4),1),"jjj")</f>
        <v>ven</v>
      </c>
      <c r="G7" s="20" t="str">
        <f>TEXT(WEEKDAY(DATE(CalendarYear,10,5),1),"jjj")</f>
        <v>sam</v>
      </c>
      <c r="H7" s="20" t="str">
        <f>TEXT(WEEKDAY(DATE(CalendarYear,10,6),1),"jjj")</f>
        <v>dim</v>
      </c>
      <c r="I7" s="20" t="str">
        <f>TEXT(WEEKDAY(DATE(CalendarYear,10,7),1),"jjj")</f>
        <v>lun</v>
      </c>
      <c r="J7" s="20" t="str">
        <f>TEXT(WEEKDAY(DATE(CalendarYear,10,8),1),"jjj")</f>
        <v>mar</v>
      </c>
      <c r="K7" s="20" t="str">
        <f>TEXT(WEEKDAY(DATE(CalendarYear,10,9),1),"jjj")</f>
        <v>mer</v>
      </c>
      <c r="L7" s="20" t="str">
        <f>TEXT(WEEKDAY(DATE(CalendarYear,10,10),1),"jjj")</f>
        <v>jeu</v>
      </c>
      <c r="M7" s="20" t="str">
        <f>TEXT(WEEKDAY(DATE(CalendarYear,10,11),1),"jjj")</f>
        <v>ven</v>
      </c>
      <c r="N7" s="20" t="str">
        <f>TEXT(WEEKDAY(DATE(CalendarYear,10,12),1),"jjj")</f>
        <v>sam</v>
      </c>
      <c r="O7" s="20" t="str">
        <f>TEXT(WEEKDAY(DATE(CalendarYear,10,13),1),"jjj")</f>
        <v>dim</v>
      </c>
      <c r="P7" s="20" t="str">
        <f>TEXT(WEEKDAY(DATE(CalendarYear,10,14),1),"jjj")</f>
        <v>lun</v>
      </c>
      <c r="Q7" s="20" t="str">
        <f>TEXT(WEEKDAY(DATE(CalendarYear,10,15),1),"jjj")</f>
        <v>mar</v>
      </c>
      <c r="R7" s="20" t="str">
        <f>TEXT(WEEKDAY(DATE(CalendarYear,10,16),1),"jjj")</f>
        <v>mer</v>
      </c>
      <c r="S7" s="20" t="str">
        <f>TEXT(WEEKDAY(DATE(CalendarYear,10,17),1),"jjj")</f>
        <v>jeu</v>
      </c>
      <c r="T7" s="20" t="str">
        <f>TEXT(WEEKDAY(DATE(CalendarYear,10,18),1),"jjj")</f>
        <v>ven</v>
      </c>
      <c r="U7" s="20" t="str">
        <f>TEXT(WEEKDAY(DATE(CalendarYear,10,19),1),"jjj")</f>
        <v>sam</v>
      </c>
      <c r="V7" s="20" t="str">
        <f>TEXT(WEEKDAY(DATE(CalendarYear,10,20),1),"jjj")</f>
        <v>dim</v>
      </c>
      <c r="W7" s="20" t="str">
        <f>TEXT(WEEKDAY(DATE(CalendarYear,10,21),1),"jjj")</f>
        <v>lun</v>
      </c>
      <c r="X7" s="20" t="str">
        <f>TEXT(WEEKDAY(DATE(CalendarYear,10,22),1),"jjj")</f>
        <v>mar</v>
      </c>
      <c r="Y7" s="20" t="str">
        <f>TEXT(WEEKDAY(DATE(CalendarYear,10,23),1),"jjj")</f>
        <v>mer</v>
      </c>
      <c r="Z7" s="20" t="str">
        <f>TEXT(WEEKDAY(DATE(CalendarYear,10,24),1),"jjj")</f>
        <v>jeu</v>
      </c>
      <c r="AA7" s="20" t="str">
        <f>TEXT(WEEKDAY(DATE(CalendarYear,10,25),1),"jjj")</f>
        <v>ven</v>
      </c>
      <c r="AB7" s="20" t="str">
        <f>TEXT(WEEKDAY(DATE(CalendarYear,10,26),1),"jjj")</f>
        <v>sam</v>
      </c>
      <c r="AC7" s="20" t="str">
        <f>TEXT(WEEKDAY(DATE(CalendarYear,10,27),1),"jjj")</f>
        <v>dim</v>
      </c>
      <c r="AD7" s="20" t="str">
        <f>TEXT(WEEKDAY(DATE(CalendarYear,10,28),1),"jjj")</f>
        <v>lun</v>
      </c>
      <c r="AE7" s="20" t="str">
        <f>TEXT(WEEKDAY(DATE(CalendarYear,10,29),1),"jjj")</f>
        <v>mar</v>
      </c>
      <c r="AF7" s="20" t="str">
        <f>TEXT(WEEKDAY(DATE(CalendarYear,10,30),1),"jjj")</f>
        <v>mer</v>
      </c>
      <c r="AG7" s="20" t="str">
        <f>TEXT(WEEKDAY(DATE(CalendarYear,10,31),1),"jjj")</f>
        <v>jeu</v>
      </c>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COUNTA(Octobre[[#This Row],[1]:[31]])</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COUNTA(Octobre[[#This Row],[1]:[31]])</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COUNTA(Octobre[[#This Row],[1]:[31]])</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COUNTA(Octobre[[#This Row],[1]:[31]])</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COUNTA(Octobre[[#This Row],[1]:[31]])</f>
        <v>0</v>
      </c>
    </row>
    <row r="14" spans="2:36" ht="30" customHeight="1">
      <c r="B14" s="5" t="str">
        <f>NomMois&amp;" Total"</f>
        <v>Octobre Total</v>
      </c>
      <c r="C14" s="4">
        <f>SUBTOTAL(103,Octobre[1])</f>
        <v>0</v>
      </c>
      <c r="D14" s="4">
        <f>SUBTOTAL(103,Octobre[2])</f>
        <v>0</v>
      </c>
      <c r="E14" s="4">
        <f>SUBTOTAL(103,Octobre[3])</f>
        <v>0</v>
      </c>
      <c r="F14" s="4">
        <f>SUBTOTAL(103,Octobre[4])</f>
        <v>0</v>
      </c>
      <c r="G14" s="4">
        <f>SUBTOTAL(103,Octobre[5])</f>
        <v>0</v>
      </c>
      <c r="H14" s="4">
        <f>SUBTOTAL(103,Octobre[6])</f>
        <v>0</v>
      </c>
      <c r="I14" s="4">
        <f>SUBTOTAL(103,Octobre[7])</f>
        <v>0</v>
      </c>
      <c r="J14" s="4">
        <f>SUBTOTAL(103,Octobre[8])</f>
        <v>0</v>
      </c>
      <c r="K14" s="4">
        <f>SUBTOTAL(103,Octobre[9])</f>
        <v>0</v>
      </c>
      <c r="L14" s="4">
        <f>SUBTOTAL(103,Octobre[10])</f>
        <v>0</v>
      </c>
      <c r="M14" s="4">
        <f>SUBTOTAL(103,Octobre[11])</f>
        <v>0</v>
      </c>
      <c r="N14" s="4">
        <f>SUBTOTAL(103,Octobre[12])</f>
        <v>0</v>
      </c>
      <c r="O14" s="4">
        <f>SUBTOTAL(103,Octobre[13])</f>
        <v>0</v>
      </c>
      <c r="P14" s="4">
        <f>SUBTOTAL(103,Octobre[14])</f>
        <v>0</v>
      </c>
      <c r="Q14" s="4">
        <f>SUBTOTAL(103,Octobre[15])</f>
        <v>0</v>
      </c>
      <c r="R14" s="4">
        <f>SUBTOTAL(103,Octobre[16])</f>
        <v>0</v>
      </c>
      <c r="S14" s="4">
        <f>SUBTOTAL(103,Octobre[17])</f>
        <v>0</v>
      </c>
      <c r="T14" s="4">
        <f>SUBTOTAL(103,Octobre[18])</f>
        <v>0</v>
      </c>
      <c r="U14" s="4">
        <f>SUBTOTAL(103,Octobre[19])</f>
        <v>0</v>
      </c>
      <c r="V14" s="4">
        <f>SUBTOTAL(103,Octobre[20])</f>
        <v>0</v>
      </c>
      <c r="W14" s="4">
        <f>SUBTOTAL(103,Octobre[21])</f>
        <v>0</v>
      </c>
      <c r="X14" s="4">
        <f>SUBTOTAL(103,Octobre[22])</f>
        <v>0</v>
      </c>
      <c r="Y14" s="4">
        <f>SUBTOTAL(103,Octobre[23])</f>
        <v>0</v>
      </c>
      <c r="Z14" s="4">
        <f>SUBTOTAL(103,Octobre[24])</f>
        <v>0</v>
      </c>
      <c r="AA14" s="4">
        <f>SUBTOTAL(103,Octobre[25])</f>
        <v>0</v>
      </c>
      <c r="AB14" s="4">
        <f>SUBTOTAL(103,Octobre[26])</f>
        <v>0</v>
      </c>
      <c r="AC14" s="4">
        <f>SUBTOTAL(103,Octobre[27])</f>
        <v>0</v>
      </c>
      <c r="AD14" s="4">
        <f>SUBTOTAL(103,Octobre[28])</f>
        <v>0</v>
      </c>
      <c r="AE14" s="4">
        <f>SUBTOTAL(103,Octobre[29])</f>
        <v>0</v>
      </c>
      <c r="AF14" s="4">
        <f>SUBTOTAL(109,Octobre[30])</f>
        <v>0</v>
      </c>
      <c r="AG14" s="4">
        <f>SUBTOTAL(109,Octobre[31])</f>
        <v>0</v>
      </c>
      <c r="AH14" s="4">
        <f>SUBTOTAL(109,Octobre[Total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86" priority="14" stopIfTrue="1">
      <formula>C9=CléPersonnalisée2</formula>
    </cfRule>
    <cfRule type="expression" dxfId="85" priority="15" stopIfTrue="1">
      <formula>C9=CléPersonnalisée1</formula>
    </cfRule>
    <cfRule type="expression" dxfId="84" priority="16" stopIfTrue="1">
      <formula>C9=CléMaladie</formula>
    </cfRule>
    <cfRule type="expression" dxfId="83" priority="17" stopIfTrue="1">
      <formula>C9=CléPersonnel</formula>
    </cfRule>
    <cfRule type="expression" dxfId="82" priority="18" stopIfTrue="1">
      <formula>C9=CléCongé</formula>
    </cfRule>
  </conditionalFormatting>
  <conditionalFormatting sqref="N4">
    <cfRule type="expression" priority="1" stopIfTrue="1">
      <formula>N4=""</formula>
    </cfRule>
    <cfRule type="expression" dxfId="81" priority="2" stopIfTrue="1">
      <formula>N4=CléPersonnalisée2</formula>
    </cfRule>
    <cfRule type="expression" dxfId="80" priority="3" stopIfTrue="1">
      <formula>N4=CléPersonnalisée1</formula>
    </cfRule>
    <cfRule type="expression" dxfId="79" priority="4" stopIfTrue="1">
      <formula>N4=CléMaladie</formula>
    </cfRule>
    <cfRule type="expression" dxfId="78" priority="5" stopIfTrue="1">
      <formula>N4=CléPersonnel</formula>
    </cfRule>
    <cfRule type="expression" dxfId="77" priority="6" stopIfTrue="1">
      <formula>N4=CléCongé</formula>
    </cfRule>
  </conditionalFormatting>
  <conditionalFormatting sqref="S4">
    <cfRule type="expression" priority="7" stopIfTrue="1">
      <formula>S4=""</formula>
    </cfRule>
    <cfRule type="expression" dxfId="76" priority="8" stopIfTrue="1">
      <formula>S4=CléPersonnalisée2</formula>
    </cfRule>
    <cfRule type="expression" dxfId="75" priority="9" stopIfTrue="1">
      <formula>S4=CléPersonnalisée1</formula>
    </cfRule>
    <cfRule type="expression" dxfId="74" priority="10" stopIfTrue="1">
      <formula>S4=CléMaladie</formula>
    </cfRule>
    <cfRule type="expression" dxfId="73" priority="11" stopIfTrue="1">
      <formula>S4=CléPersonnel</formula>
    </cfRule>
    <cfRule type="expression" dxfId="72"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6C3B7250-7883-E447-A5BD-190F9EC85610}"/>
    <dataValidation allowBlank="1" showInputMessage="1" showErrorMessage="1" prompt="Année mise à jour automatiquement en fonction de l’année entrée dans la feuille de calcul Janvier" sqref="AH6" xr:uid="{856FAEF4-8645-3447-91CD-944E3DA437F4}"/>
    <dataValidation allowBlank="1" showInputMessage="1" showErrorMessage="1" prompt="Calcule automatiquement le nombre total de jours d’absence d’un employé durant ce mois dans cette colonne" sqref="AH8" xr:uid="{460C2673-D90D-514F-89AA-D6D7BDC2B7D4}"/>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44EADDEC-C0C0-D348-A864-4940BC2D178C}"/>
    <dataValidation allowBlank="1" showInputMessage="1" showErrorMessage="1" prompt="La lettre « C » indique une absence pour cause de congé" sqref="C4" xr:uid="{B6CDCB4A-CB51-4934-9F88-8C9B8C1900F8}"/>
    <dataValidation allowBlank="1" showInputMessage="1" showErrorMessage="1" prompt="La lettre « P » indique une absence pour motifs personnels" sqref="F4" xr:uid="{0691BAC2-BB79-4DE0-B58D-BC687A9BDE3B}"/>
    <dataValidation allowBlank="1" showInputMessage="1" showErrorMessage="1" prompt="La lettre « M » indique une absence pour cause de maladie" sqref="J4" xr:uid="{4DD678C8-4917-4BD4-9213-9946144BCD9D}"/>
    <dataValidation allowBlank="1" showInputMessage="1" showErrorMessage="1" prompt="Entrez une lettre et personnalisez l’étiquette à droite pour ajouter un élément de clé" sqref="N4 S4" xr:uid="{88E222AF-E49F-43EC-8331-C792E61826CD}"/>
    <dataValidation allowBlank="1" showInputMessage="1" showErrorMessage="1" prompt="Entrez une étiquette pour décrire la clé personnalisée à gauche" sqref="O4 T4" xr:uid="{17E12EB6-D79D-478B-B0E8-339E53513680}"/>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900-00000C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E2589F34-72AD-7946-9C30-9FD4409BBCB4}"/>
    <dataValidation allowBlank="1" showInputMessage="1" showErrorMessage="1" prompt="Cette ligne définit les clés utilisées dans le tableau : la cellule C4 un congé, la G4 personnel, et K4 un congé maladie. Les cellules N4 et R4 sont personnalisables " sqref="B4" xr:uid="{64951AAF-92FB-44AB-A8AD-B37C0B2DD08A}"/>
    <dataValidation allowBlank="1" showInputMessage="1" showErrorMessage="1" prompt="Le titre de la feuille de calcul figure dans cette cellule. " sqref="B1" xr:uid="{1C12649E-FD35-4288-A6DD-5F40186B166C}"/>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B9:B13</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7"/>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9" t="s">
        <v>60</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TEXT(WEEKDAY(DATE(CalendarYear,11,1),1),"jjj")</f>
        <v>ven</v>
      </c>
      <c r="D7" s="20" t="str">
        <f>TEXT(WEEKDAY(DATE(CalendarYear,11,2),1),"jjj")</f>
        <v>sam</v>
      </c>
      <c r="E7" s="20" t="str">
        <f>TEXT(WEEKDAY(DATE(CalendarYear,11,3),1),"jjj")</f>
        <v>dim</v>
      </c>
      <c r="F7" s="20" t="str">
        <f>TEXT(WEEKDAY(DATE(CalendarYear,11,4),1),"jjj")</f>
        <v>lun</v>
      </c>
      <c r="G7" s="20" t="str">
        <f>TEXT(WEEKDAY(DATE(CalendarYear,11,5),1),"jjj")</f>
        <v>mar</v>
      </c>
      <c r="H7" s="20" t="str">
        <f>TEXT(WEEKDAY(DATE(CalendarYear,11,6),1),"jjj")</f>
        <v>mer</v>
      </c>
      <c r="I7" s="20" t="str">
        <f>TEXT(WEEKDAY(DATE(CalendarYear,11,7),1),"jjj")</f>
        <v>jeu</v>
      </c>
      <c r="J7" s="20" t="str">
        <f>TEXT(WEEKDAY(DATE(CalendarYear,11,8),1),"jjj")</f>
        <v>ven</v>
      </c>
      <c r="K7" s="20" t="str">
        <f>TEXT(WEEKDAY(DATE(CalendarYear,11,9),1),"jjj")</f>
        <v>sam</v>
      </c>
      <c r="L7" s="20" t="str">
        <f>TEXT(WEEKDAY(DATE(CalendarYear,11,10),1),"jjj")</f>
        <v>dim</v>
      </c>
      <c r="M7" s="20" t="str">
        <f>TEXT(WEEKDAY(DATE(CalendarYear,11,11),1),"jjj")</f>
        <v>lun</v>
      </c>
      <c r="N7" s="20" t="str">
        <f>TEXT(WEEKDAY(DATE(CalendarYear,11,12),1),"jjj")</f>
        <v>mar</v>
      </c>
      <c r="O7" s="20" t="str">
        <f>TEXT(WEEKDAY(DATE(CalendarYear,11,13),1),"jjj")</f>
        <v>mer</v>
      </c>
      <c r="P7" s="20" t="str">
        <f>TEXT(WEEKDAY(DATE(CalendarYear,11,14),1),"jjj")</f>
        <v>jeu</v>
      </c>
      <c r="Q7" s="20" t="str">
        <f>TEXT(WEEKDAY(DATE(CalendarYear,11,15),1),"jjj")</f>
        <v>ven</v>
      </c>
      <c r="R7" s="20" t="str">
        <f>TEXT(WEEKDAY(DATE(CalendarYear,11,16),1),"jjj")</f>
        <v>sam</v>
      </c>
      <c r="S7" s="20" t="str">
        <f>TEXT(WEEKDAY(DATE(CalendarYear,11,17),1),"jjj")</f>
        <v>dim</v>
      </c>
      <c r="T7" s="20" t="str">
        <f>TEXT(WEEKDAY(DATE(CalendarYear,11,18),1),"jjj")</f>
        <v>lun</v>
      </c>
      <c r="U7" s="20" t="str">
        <f>TEXT(WEEKDAY(DATE(CalendarYear,11,19),1),"jjj")</f>
        <v>mar</v>
      </c>
      <c r="V7" s="20" t="str">
        <f>TEXT(WEEKDAY(DATE(CalendarYear,11,20),1),"jjj")</f>
        <v>mer</v>
      </c>
      <c r="W7" s="20" t="str">
        <f>TEXT(WEEKDAY(DATE(CalendarYear,11,21),1),"jjj")</f>
        <v>jeu</v>
      </c>
      <c r="X7" s="20" t="str">
        <f>TEXT(WEEKDAY(DATE(CalendarYear,11,22),1),"jjj")</f>
        <v>ven</v>
      </c>
      <c r="Y7" s="20" t="str">
        <f>TEXT(WEEKDAY(DATE(CalendarYear,11,23),1),"jjj")</f>
        <v>sam</v>
      </c>
      <c r="Z7" s="20" t="str">
        <f>TEXT(WEEKDAY(DATE(CalendarYear,11,24),1),"jjj")</f>
        <v>dim</v>
      </c>
      <c r="AA7" s="20" t="str">
        <f>TEXT(WEEKDAY(DATE(CalendarYear,11,25),1),"jjj")</f>
        <v>lun</v>
      </c>
      <c r="AB7" s="20" t="str">
        <f>TEXT(WEEKDAY(DATE(CalendarYear,11,26),1),"jjj")</f>
        <v>mar</v>
      </c>
      <c r="AC7" s="20" t="str">
        <f>TEXT(WEEKDAY(DATE(CalendarYear,11,27),1),"jjj")</f>
        <v>mer</v>
      </c>
      <c r="AD7" s="20" t="str">
        <f>TEXT(WEEKDAY(DATE(CalendarYear,11,28),1),"jjj")</f>
        <v>jeu</v>
      </c>
      <c r="AE7" s="20" t="str">
        <f>TEXT(WEEKDAY(DATE(CalendarYear,11,29),1),"jjj")</f>
        <v>ven</v>
      </c>
      <c r="AF7" s="20" t="str">
        <f>TEXT(WEEKDAY(DATE(CalendarYear,11,30),1),"jjj")</f>
        <v>sam</v>
      </c>
      <c r="AG7" s="20"/>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50</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COUNTA(Novembre[[#This Row],[1]:[ ]])</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COUNTA(Novembre[[#This Row],[1]:[ ]])</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COUNTA(Novembre[[#This Row],[1]:[ ]])</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COUNTA(Novembre[[#This Row],[1]:[ ]])</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COUNTA(Novembre[[#This Row],[1]:[ ]])</f>
        <v>0</v>
      </c>
    </row>
    <row r="14" spans="2:36" ht="30" customHeight="1">
      <c r="B14" s="5" t="str">
        <f>NomMois&amp;" Total"</f>
        <v>Novembre Total</v>
      </c>
      <c r="C14" s="4">
        <f>SUBTOTAL(103,Novembre[1])</f>
        <v>0</v>
      </c>
      <c r="D14" s="4">
        <f>SUBTOTAL(103,Novembre[2])</f>
        <v>0</v>
      </c>
      <c r="E14" s="4">
        <f>SUBTOTAL(103,Novembre[3])</f>
        <v>0</v>
      </c>
      <c r="F14" s="4">
        <f>SUBTOTAL(103,Novembre[4])</f>
        <v>0</v>
      </c>
      <c r="G14" s="4">
        <f>SUBTOTAL(103,Novembre[5])</f>
        <v>0</v>
      </c>
      <c r="H14" s="4">
        <f>SUBTOTAL(103,Novembre[6])</f>
        <v>0</v>
      </c>
      <c r="I14" s="4">
        <f>SUBTOTAL(103,Novembre[7])</f>
        <v>0</v>
      </c>
      <c r="J14" s="4">
        <f>SUBTOTAL(103,Novembre[8])</f>
        <v>0</v>
      </c>
      <c r="K14" s="4">
        <f>SUBTOTAL(103,Novembre[9])</f>
        <v>0</v>
      </c>
      <c r="L14" s="4">
        <f>SUBTOTAL(103,Novembre[10])</f>
        <v>0</v>
      </c>
      <c r="M14" s="4">
        <f>SUBTOTAL(103,Novembre[11])</f>
        <v>0</v>
      </c>
      <c r="N14" s="4">
        <f>SUBTOTAL(103,Novembre[12])</f>
        <v>0</v>
      </c>
      <c r="O14" s="4">
        <f>SUBTOTAL(103,Novembre[13])</f>
        <v>0</v>
      </c>
      <c r="P14" s="4">
        <f>SUBTOTAL(103,Novembre[14])</f>
        <v>0</v>
      </c>
      <c r="Q14" s="4">
        <f>SUBTOTAL(103,Novembre[15])</f>
        <v>0</v>
      </c>
      <c r="R14" s="4">
        <f>SUBTOTAL(103,Novembre[16])</f>
        <v>0</v>
      </c>
      <c r="S14" s="4">
        <f>SUBTOTAL(103,Novembre[17])</f>
        <v>0</v>
      </c>
      <c r="T14" s="4">
        <f>SUBTOTAL(103,Novembre[18])</f>
        <v>0</v>
      </c>
      <c r="U14" s="4">
        <f>SUBTOTAL(103,Novembre[19])</f>
        <v>0</v>
      </c>
      <c r="V14" s="4">
        <f>SUBTOTAL(103,Novembre[20])</f>
        <v>0</v>
      </c>
      <c r="W14" s="4">
        <f>SUBTOTAL(103,Novembre[21])</f>
        <v>0</v>
      </c>
      <c r="X14" s="4">
        <f>SUBTOTAL(103,Novembre[22])</f>
        <v>0</v>
      </c>
      <c r="Y14" s="4">
        <f>SUBTOTAL(103,Novembre[23])</f>
        <v>0</v>
      </c>
      <c r="Z14" s="4">
        <f>SUBTOTAL(103,Novembre[24])</f>
        <v>0</v>
      </c>
      <c r="AA14" s="4">
        <f>SUBTOTAL(103,Novembre[25])</f>
        <v>0</v>
      </c>
      <c r="AB14" s="4">
        <f>SUBTOTAL(103,Novembre[26])</f>
        <v>0</v>
      </c>
      <c r="AC14" s="4">
        <f>SUBTOTAL(103,Novembre[27])</f>
        <v>0</v>
      </c>
      <c r="AD14" s="4">
        <f>SUBTOTAL(103,Novembre[28])</f>
        <v>0</v>
      </c>
      <c r="AE14" s="4">
        <f>SUBTOTAL(103,Novembre[29])</f>
        <v>0</v>
      </c>
      <c r="AF14" s="4">
        <f>SUBTOTAL(109,Novembre[30])</f>
        <v>0</v>
      </c>
      <c r="AG14" s="4">
        <f>SUBTOTAL(109,Novembre[[ ]])</f>
        <v>0</v>
      </c>
      <c r="AH14" s="4">
        <f>SUBTOTAL(109,Novembre[Total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71" priority="14" stopIfTrue="1">
      <formula>C9=CléPersonnalisée2</formula>
    </cfRule>
    <cfRule type="expression" dxfId="70" priority="15" stopIfTrue="1">
      <formula>C9=CléPersonnalisée1</formula>
    </cfRule>
    <cfRule type="expression" dxfId="69" priority="16" stopIfTrue="1">
      <formula>C9=CléMaladie</formula>
    </cfRule>
    <cfRule type="expression" dxfId="68" priority="17" stopIfTrue="1">
      <formula>C9=CléPersonnel</formula>
    </cfRule>
    <cfRule type="expression" dxfId="67" priority="18" stopIfTrue="1">
      <formula>C9=CléCongé</formula>
    </cfRule>
  </conditionalFormatting>
  <conditionalFormatting sqref="N4">
    <cfRule type="expression" priority="1" stopIfTrue="1">
      <formula>N4=""</formula>
    </cfRule>
    <cfRule type="expression" dxfId="66" priority="2" stopIfTrue="1">
      <formula>N4=CléPersonnalisée2</formula>
    </cfRule>
    <cfRule type="expression" dxfId="65" priority="3" stopIfTrue="1">
      <formula>N4=CléPersonnalisée1</formula>
    </cfRule>
    <cfRule type="expression" dxfId="64" priority="4" stopIfTrue="1">
      <formula>N4=CléMaladie</formula>
    </cfRule>
    <cfRule type="expression" dxfId="63" priority="5" stopIfTrue="1">
      <formula>N4=CléPersonnel</formula>
    </cfRule>
    <cfRule type="expression" dxfId="62" priority="6" stopIfTrue="1">
      <formula>N4=CléCongé</formula>
    </cfRule>
  </conditionalFormatting>
  <conditionalFormatting sqref="S4">
    <cfRule type="expression" priority="7" stopIfTrue="1">
      <formula>S4=""</formula>
    </cfRule>
    <cfRule type="expression" dxfId="61" priority="8" stopIfTrue="1">
      <formula>S4=CléPersonnalisée2</formula>
    </cfRule>
    <cfRule type="expression" dxfId="60" priority="9" stopIfTrue="1">
      <formula>S4=CléPersonnalisée1</formula>
    </cfRule>
    <cfRule type="expression" dxfId="59" priority="10" stopIfTrue="1">
      <formula>S4=CléMaladie</formula>
    </cfRule>
    <cfRule type="expression" dxfId="58" priority="11" stopIfTrue="1">
      <formula>S4=CléPersonnel</formula>
    </cfRule>
    <cfRule type="expression" dxfId="57" priority="12" stopIfTrue="1">
      <formula>S4=CléCongé</formula>
    </cfRule>
  </conditionalFormatting>
  <conditionalFormatting sqref="AH9:AH13">
    <cfRule type="dataBar" priority="19">
      <dataBar>
        <cfvo type="min"/>
        <cfvo type="formula" val="DATEDIF(DATE(CalendarYear,2,1),DATE(CalendarYear,3,1),&quot;d&quot;)"/>
        <color theme="2" tint="-0.249977111117893"/>
      </dataBar>
      <extLst>
        <ext xmlns:x14="http://schemas.microsoft.com/office/spreadsheetml/2009/9/main" uri="{B025F937-C7B1-47D3-B67F-A62EFF666E3E}">
          <x14:id>{27D92E49-5CF1-46DF-AD7A-3A5E92F274F3}</x14:id>
        </ext>
      </extLst>
    </cfRule>
  </conditionalFormatting>
  <dataValidations count="15">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97706874-D6EF-7649-8BB0-992E1F25B736}"/>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A00-000001000000}"/>
    <dataValidation allowBlank="1" showInputMessage="1" showErrorMessage="1" prompt="Cette ligne définit les clés utilisées dans le tableau : la cellule C4 un congé, la G4 personnel, et K4 un congé maladie. Les cellules N4 et R4 sont personnalisables " sqref="B4" xr:uid="{3113BD82-2D3E-8F4A-8BB6-5BEEE7BE0789}"/>
    <dataValidation allowBlank="1" showInputMessage="1" showErrorMessage="1" prompt="Entrez une étiquette pour décrire la clé personnalisée à gauche" sqref="O4 T4" xr:uid="{824D5AA0-C5CE-4DBA-8474-84B16608EE4D}"/>
    <dataValidation allowBlank="1" showInputMessage="1" showErrorMessage="1" prompt="Entrez une lettre et personnalisez l’étiquette à droite pour ajouter un élément de clé" sqref="N4 S4" xr:uid="{DF6C78E7-4573-4E81-957A-E07E762157D8}"/>
    <dataValidation allowBlank="1" showInputMessage="1" showErrorMessage="1" prompt="La lettre « M » indique une absence pour cause de maladie" sqref="J4" xr:uid="{EE0FA123-F7EB-46D5-9162-449B6958B705}"/>
    <dataValidation allowBlank="1" showInputMessage="1" showErrorMessage="1" prompt="La lettre « P » indique une absence pour motifs personnels" sqref="F4" xr:uid="{D20A025B-4941-4DF7-A88F-981DDF5D46CB}"/>
    <dataValidation allowBlank="1" showInputMessage="1" showErrorMessage="1" prompt="La lettre « C » indique une absence pour cause de congé" sqref="C4" xr:uid="{5DCB4438-9A04-418A-9DEF-40168B006AAD}"/>
    <dataValidation allowBlank="1" showInputMessage="1" showErrorMessage="1" prompt="Le titre mis à jour automatiquement figure dans cette cellule. Pour modifier le titre, mettez à jour la cellule B1 de la feuille de calcul Janvier" sqref="B2"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8" xr:uid="{3B118AC1-307A-6645-A98D-9A80D2AE0EE3}"/>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8" xr:uid="{689D502A-5D97-B44F-AA8E-4AB5A8802DDE}"/>
    <dataValidation allowBlank="1" showInputMessage="1" showErrorMessage="1" prompt="Année mise à jour automatiquement en fonction de l’année entrée dans la feuille de calcul Janvier" sqref="AH6" xr:uid="{CA024147-D189-C949-8452-0A51ECF8D4AA}"/>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DEEC83F4-4C72-7D4D-B442-B00CC4990A25}"/>
    <dataValidation allowBlank="1" showInputMessage="1" showErrorMessage="1" prompt="Le titre de la feuille de calcul figure dans cette cellule. " sqref="B1" xr:uid="{C3B9D9EA-9B20-4756-B664-7AA7A0EDAD13}"/>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B9:B13</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6" tint="0.39997558519241921"/>
  </sheetPr>
  <dimension ref="B1:AJ14"/>
  <sheetViews>
    <sheetView showGridLines="0" zoomScaleNormal="100" workbookViewId="0">
      <selection activeCell="AJ9" sqref="AJ9"/>
    </sheetView>
  </sheetViews>
  <sheetFormatPr baseColWidth="10" defaultColWidth="8.7109375" defaultRowHeight="30" customHeight="1"/>
  <cols>
    <col min="1" max="1" width="2.7109375" customWidth="1"/>
    <col min="2" max="2" width="30.28515625" customWidth="1"/>
    <col min="3" max="33" width="4.7109375" customWidth="1"/>
    <col min="34" max="34" width="13.42578125" customWidth="1"/>
    <col min="35" max="35" width="2.7109375" customWidth="1"/>
  </cols>
  <sheetData>
    <row r="1" spans="2:36" ht="50.1" customHeight="1">
      <c r="B1" s="23" t="s">
        <v>0</v>
      </c>
    </row>
    <row r="2" spans="2:36" ht="100.35" customHeight="1">
      <c r="B2" s="22" t="s">
        <v>61</v>
      </c>
    </row>
    <row r="3" spans="2:36" ht="15" customHeight="1" thickBot="1">
      <c r="B3" s="9"/>
      <c r="C3" s="10"/>
      <c r="D3" s="10"/>
      <c r="E3" s="10"/>
      <c r="F3" s="10"/>
      <c r="G3" s="10"/>
      <c r="H3" s="10"/>
      <c r="I3" s="10"/>
      <c r="J3" s="10"/>
      <c r="K3" s="10"/>
      <c r="L3" s="10"/>
      <c r="M3" s="10"/>
      <c r="N3" s="10"/>
      <c r="O3" s="10"/>
      <c r="P3" s="10"/>
      <c r="Q3" s="10"/>
      <c r="R3" s="10"/>
      <c r="S3" s="10"/>
      <c r="T3" s="10"/>
      <c r="U3" s="10"/>
      <c r="V3" s="10"/>
      <c r="W3" s="10"/>
      <c r="X3" s="10"/>
      <c r="Y3" s="10"/>
      <c r="Z3" s="10"/>
      <c r="AA3" s="10"/>
      <c r="AB3" s="10"/>
      <c r="AC3" s="10"/>
      <c r="AD3" s="10"/>
      <c r="AE3" s="10"/>
      <c r="AF3" s="10"/>
      <c r="AG3" s="10"/>
      <c r="AH3" s="10"/>
    </row>
    <row r="4" spans="2:36" ht="30" customHeight="1" thickTop="1" thickBot="1">
      <c r="B4" s="7" t="s">
        <v>2</v>
      </c>
      <c r="C4" s="28" t="s">
        <v>63</v>
      </c>
      <c r="D4" s="80" t="s">
        <v>12</v>
      </c>
      <c r="E4" s="80"/>
      <c r="F4" s="26" t="s">
        <v>64</v>
      </c>
      <c r="G4" s="80" t="s">
        <v>19</v>
      </c>
      <c r="H4" s="80"/>
      <c r="I4" s="80"/>
      <c r="J4" s="27" t="s">
        <v>17</v>
      </c>
      <c r="K4" s="80" t="s">
        <v>24</v>
      </c>
      <c r="L4" s="80"/>
      <c r="M4" s="32"/>
      <c r="N4" s="33" t="s">
        <v>15</v>
      </c>
      <c r="O4" s="80" t="s">
        <v>28</v>
      </c>
      <c r="P4" s="80"/>
      <c r="Q4" s="80"/>
      <c r="R4" s="80"/>
      <c r="S4" s="33" t="s">
        <v>65</v>
      </c>
      <c r="T4" s="80" t="s">
        <v>65</v>
      </c>
      <c r="U4" s="80"/>
      <c r="V4" s="80"/>
      <c r="W4" s="80"/>
    </row>
    <row r="5" spans="2:36" ht="15" customHeight="1" thickTop="1">
      <c r="B5" s="8"/>
      <c r="C5" s="8"/>
      <c r="D5" s="8"/>
      <c r="E5" s="8"/>
      <c r="F5" s="8"/>
      <c r="G5" s="8"/>
      <c r="H5" s="8"/>
      <c r="I5" s="8"/>
      <c r="J5" s="8"/>
      <c r="K5" s="8"/>
      <c r="L5" s="8"/>
      <c r="M5" s="8"/>
      <c r="N5" s="8"/>
      <c r="O5" s="8"/>
      <c r="P5" s="8"/>
      <c r="Q5" s="8"/>
      <c r="R5" s="8"/>
      <c r="S5" s="8"/>
      <c r="T5" s="8"/>
      <c r="U5" s="8"/>
      <c r="V5" s="8"/>
      <c r="W5" s="8"/>
      <c r="X5" s="8"/>
      <c r="Y5" s="8"/>
      <c r="Z5" s="8"/>
      <c r="AA5" s="8"/>
      <c r="AB5" s="8"/>
      <c r="AC5" s="8"/>
      <c r="AD5" s="8"/>
      <c r="AE5" s="8"/>
      <c r="AF5" s="8"/>
      <c r="AG5" s="8"/>
      <c r="AH5" s="8"/>
    </row>
    <row r="6" spans="2:36" ht="50.1" customHeight="1">
      <c r="B6" s="6"/>
      <c r="C6" s="79" t="s">
        <v>10</v>
      </c>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6">
        <f>CalendarYear</f>
        <v>2024</v>
      </c>
    </row>
    <row r="7" spans="2:36" ht="30" customHeight="1">
      <c r="B7" s="6"/>
      <c r="C7" s="20" t="str">
        <f>TEXT(WEEKDAY(DATE(CalendarYear,12,1),1),"jjj")</f>
        <v>dim</v>
      </c>
      <c r="D7" s="20" t="str">
        <f>TEXT(WEEKDAY(DATE(CalendarYear,12,2),1),"jjj")</f>
        <v>lun</v>
      </c>
      <c r="E7" s="20" t="str">
        <f>TEXT(WEEKDAY(DATE(CalendarYear,12,3),1),"jjj")</f>
        <v>mar</v>
      </c>
      <c r="F7" s="20" t="str">
        <f>TEXT(WEEKDAY(DATE(CalendarYear,12,4),1),"jjj")</f>
        <v>mer</v>
      </c>
      <c r="G7" s="20" t="str">
        <f>TEXT(WEEKDAY(DATE(CalendarYear,12,5),1),"jjj")</f>
        <v>jeu</v>
      </c>
      <c r="H7" s="20" t="str">
        <f>TEXT(WEEKDAY(DATE(CalendarYear,12,6),1),"jjj")</f>
        <v>ven</v>
      </c>
      <c r="I7" s="20" t="str">
        <f>TEXT(WEEKDAY(DATE(CalendarYear,12,7),1),"jjj")</f>
        <v>sam</v>
      </c>
      <c r="J7" s="20" t="str">
        <f>TEXT(WEEKDAY(DATE(CalendarYear,12,8),1),"jjj")</f>
        <v>dim</v>
      </c>
      <c r="K7" s="20" t="str">
        <f>TEXT(WEEKDAY(DATE(CalendarYear,12,9),1),"jjj")</f>
        <v>lun</v>
      </c>
      <c r="L7" s="20" t="str">
        <f>TEXT(WEEKDAY(DATE(CalendarYear,12,10),1),"jjj")</f>
        <v>mar</v>
      </c>
      <c r="M7" s="20" t="str">
        <f>TEXT(WEEKDAY(DATE(CalendarYear,12,11),1),"jjj")</f>
        <v>mer</v>
      </c>
      <c r="N7" s="20" t="str">
        <f>TEXT(WEEKDAY(DATE(CalendarYear,12,12),1),"jjj")</f>
        <v>jeu</v>
      </c>
      <c r="O7" s="20" t="str">
        <f>TEXT(WEEKDAY(DATE(CalendarYear,12,13),1),"jjj")</f>
        <v>ven</v>
      </c>
      <c r="P7" s="20" t="str">
        <f>TEXT(WEEKDAY(DATE(CalendarYear,12,14),1),"jjj")</f>
        <v>sam</v>
      </c>
      <c r="Q7" s="20" t="str">
        <f>TEXT(WEEKDAY(DATE(CalendarYear,12,15),1),"jjj")</f>
        <v>dim</v>
      </c>
      <c r="R7" s="20" t="str">
        <f>TEXT(WEEKDAY(DATE(CalendarYear,12,16),1),"jjj")</f>
        <v>lun</v>
      </c>
      <c r="S7" s="20" t="str">
        <f>TEXT(WEEKDAY(DATE(CalendarYear,12,17),1),"jjj")</f>
        <v>mar</v>
      </c>
      <c r="T7" s="20" t="str">
        <f>TEXT(WEEKDAY(DATE(CalendarYear,12,18),1),"jjj")</f>
        <v>mer</v>
      </c>
      <c r="U7" s="20" t="str">
        <f>TEXT(WEEKDAY(DATE(CalendarYear,12,19),1),"jjj")</f>
        <v>jeu</v>
      </c>
      <c r="V7" s="20" t="str">
        <f>TEXT(WEEKDAY(DATE(CalendarYear,12,20),1),"jjj")</f>
        <v>ven</v>
      </c>
      <c r="W7" s="20" t="str">
        <f>TEXT(WEEKDAY(DATE(CalendarYear,12,21),1),"jjj")</f>
        <v>sam</v>
      </c>
      <c r="X7" s="20" t="str">
        <f>TEXT(WEEKDAY(DATE(CalendarYear,12,22),1),"jjj")</f>
        <v>dim</v>
      </c>
      <c r="Y7" s="20" t="str">
        <f>TEXT(WEEKDAY(DATE(CalendarYear,12,23),1),"jjj")</f>
        <v>lun</v>
      </c>
      <c r="Z7" s="20" t="str">
        <f>TEXT(WEEKDAY(DATE(CalendarYear,12,24),1),"jjj")</f>
        <v>mar</v>
      </c>
      <c r="AA7" s="20" t="str">
        <f>TEXT(WEEKDAY(DATE(CalendarYear,12,25),1),"jjj")</f>
        <v>mer</v>
      </c>
      <c r="AB7" s="20" t="str">
        <f>TEXT(WEEKDAY(DATE(CalendarYear,12,26),1),"jjj")</f>
        <v>jeu</v>
      </c>
      <c r="AC7" s="20" t="str">
        <f>TEXT(WEEKDAY(DATE(CalendarYear,12,27),1),"jjj")</f>
        <v>ven</v>
      </c>
      <c r="AD7" s="20" t="str">
        <f>TEXT(WEEKDAY(DATE(CalendarYear,12,28),1),"jjj")</f>
        <v>sam</v>
      </c>
      <c r="AE7" s="20" t="str">
        <f>TEXT(WEEKDAY(DATE(CalendarYear,12,29),1),"jjj")</f>
        <v>dim</v>
      </c>
      <c r="AF7" s="20" t="str">
        <f>TEXT(WEEKDAY(DATE(CalendarYear,12,30),1),"jjj")</f>
        <v>lun</v>
      </c>
      <c r="AG7" s="20" t="str">
        <f>TEXT(WEEKDAY(DATE(CalendarYear,12,31),1),"jjj")</f>
        <v>mar</v>
      </c>
      <c r="AH7" s="6"/>
    </row>
    <row r="8" spans="2:36" ht="30" customHeight="1">
      <c r="B8" s="19" t="s">
        <v>3</v>
      </c>
      <c r="C8" s="1" t="s">
        <v>11</v>
      </c>
      <c r="D8" s="1" t="s">
        <v>13</v>
      </c>
      <c r="E8" s="1" t="s">
        <v>14</v>
      </c>
      <c r="F8" s="1" t="s">
        <v>16</v>
      </c>
      <c r="G8" s="1" t="s">
        <v>18</v>
      </c>
      <c r="H8" s="1" t="s">
        <v>20</v>
      </c>
      <c r="I8" s="1" t="s">
        <v>21</v>
      </c>
      <c r="J8" s="1" t="s">
        <v>22</v>
      </c>
      <c r="K8" s="1" t="s">
        <v>23</v>
      </c>
      <c r="L8" s="1" t="s">
        <v>25</v>
      </c>
      <c r="M8" s="1" t="s">
        <v>26</v>
      </c>
      <c r="N8" s="1" t="s">
        <v>27</v>
      </c>
      <c r="O8" s="1" t="s">
        <v>29</v>
      </c>
      <c r="P8" s="1" t="s">
        <v>30</v>
      </c>
      <c r="Q8" s="1" t="s">
        <v>31</v>
      </c>
      <c r="R8" s="1" t="s">
        <v>32</v>
      </c>
      <c r="S8" s="1" t="s">
        <v>33</v>
      </c>
      <c r="T8" s="1" t="s">
        <v>34</v>
      </c>
      <c r="U8" s="1" t="s">
        <v>35</v>
      </c>
      <c r="V8" s="1" t="s">
        <v>36</v>
      </c>
      <c r="W8" s="1" t="s">
        <v>37</v>
      </c>
      <c r="X8" s="1" t="s">
        <v>38</v>
      </c>
      <c r="Y8" s="1" t="s">
        <v>39</v>
      </c>
      <c r="Z8" s="1" t="s">
        <v>40</v>
      </c>
      <c r="AA8" s="1" t="s">
        <v>41</v>
      </c>
      <c r="AB8" s="1" t="s">
        <v>42</v>
      </c>
      <c r="AC8" s="1" t="s">
        <v>43</v>
      </c>
      <c r="AD8" s="1" t="s">
        <v>44</v>
      </c>
      <c r="AE8" s="1" t="s">
        <v>45</v>
      </c>
      <c r="AF8" s="1" t="s">
        <v>46</v>
      </c>
      <c r="AG8" s="1" t="s">
        <v>47</v>
      </c>
      <c r="AH8" s="21" t="s">
        <v>48</v>
      </c>
    </row>
    <row r="9" spans="2:36" ht="30" customHeight="1">
      <c r="B9" s="2" t="s">
        <v>4</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3">
        <f>COUNTA(Décembre[[#This Row],[1]:[31]])</f>
        <v>0</v>
      </c>
      <c r="AJ9">
        <f>COUNTIF(Janvier[[#This Row],[1]:[31]],AJ$8)</f>
        <v>0</v>
      </c>
    </row>
    <row r="10" spans="2:36" ht="30" customHeight="1">
      <c r="B10" s="2" t="s">
        <v>5</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3">
        <f>COUNTA(Décembre[[#This Row],[1]:[31]])</f>
        <v>0</v>
      </c>
    </row>
    <row r="11" spans="2:36" ht="30" customHeight="1">
      <c r="B11" s="2" t="s">
        <v>6</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3">
        <f>COUNTA(Décembre[[#This Row],[1]:[31]])</f>
        <v>0</v>
      </c>
    </row>
    <row r="12" spans="2:36" ht="30" customHeight="1">
      <c r="B12" s="2" t="s">
        <v>7</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3">
        <f>COUNTA(Décembre[[#This Row],[1]:[31]])</f>
        <v>0</v>
      </c>
    </row>
    <row r="13" spans="2:36" ht="30" customHeight="1">
      <c r="B13" s="2" t="s">
        <v>8</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3">
        <f>COUNTA(Décembre[[#This Row],[1]:[31]])</f>
        <v>0</v>
      </c>
    </row>
    <row r="14" spans="2:36" ht="30" customHeight="1">
      <c r="B14" s="5" t="str">
        <f>NomMois&amp;" Total"</f>
        <v>Décembre Total</v>
      </c>
      <c r="C14" s="4">
        <f>SUBTOTAL(103,Décembre[1])</f>
        <v>0</v>
      </c>
      <c r="D14" s="4">
        <f>SUBTOTAL(103,Décembre[2])</f>
        <v>0</v>
      </c>
      <c r="E14" s="4">
        <f>SUBTOTAL(103,Décembre[3])</f>
        <v>0</v>
      </c>
      <c r="F14" s="4">
        <f>SUBTOTAL(103,Décembre[4])</f>
        <v>0</v>
      </c>
      <c r="G14" s="4">
        <f>SUBTOTAL(103,Décembre[5])</f>
        <v>0</v>
      </c>
      <c r="H14" s="4">
        <f>SUBTOTAL(103,Décembre[6])</f>
        <v>0</v>
      </c>
      <c r="I14" s="4">
        <f>SUBTOTAL(103,Décembre[7])</f>
        <v>0</v>
      </c>
      <c r="J14" s="4">
        <f>SUBTOTAL(103,Décembre[8])</f>
        <v>0</v>
      </c>
      <c r="K14" s="4">
        <f>SUBTOTAL(103,Décembre[9])</f>
        <v>0</v>
      </c>
      <c r="L14" s="4">
        <f>SUBTOTAL(103,Décembre[10])</f>
        <v>0</v>
      </c>
      <c r="M14" s="4">
        <f>SUBTOTAL(103,Décembre[11])</f>
        <v>0</v>
      </c>
      <c r="N14" s="4">
        <f>SUBTOTAL(103,Décembre[12])</f>
        <v>0</v>
      </c>
      <c r="O14" s="4">
        <f>SUBTOTAL(103,Décembre[13])</f>
        <v>0</v>
      </c>
      <c r="P14" s="4">
        <f>SUBTOTAL(103,Décembre[14])</f>
        <v>0</v>
      </c>
      <c r="Q14" s="4">
        <f>SUBTOTAL(103,Décembre[15])</f>
        <v>0</v>
      </c>
      <c r="R14" s="4">
        <f>SUBTOTAL(103,Décembre[16])</f>
        <v>0</v>
      </c>
      <c r="S14" s="4">
        <f>SUBTOTAL(103,Décembre[17])</f>
        <v>0</v>
      </c>
      <c r="T14" s="4">
        <f>SUBTOTAL(103,Décembre[18])</f>
        <v>0</v>
      </c>
      <c r="U14" s="4">
        <f>SUBTOTAL(103,Décembre[19])</f>
        <v>0</v>
      </c>
      <c r="V14" s="4">
        <f>SUBTOTAL(103,Décembre[20])</f>
        <v>0</v>
      </c>
      <c r="W14" s="4">
        <f>SUBTOTAL(103,Décembre[21])</f>
        <v>0</v>
      </c>
      <c r="X14" s="4">
        <f>SUBTOTAL(103,Décembre[22])</f>
        <v>0</v>
      </c>
      <c r="Y14" s="4">
        <f>SUBTOTAL(103,Décembre[23])</f>
        <v>0</v>
      </c>
      <c r="Z14" s="4">
        <f>SUBTOTAL(103,Décembre[24])</f>
        <v>0</v>
      </c>
      <c r="AA14" s="4">
        <f>SUBTOTAL(103,Décembre[25])</f>
        <v>0</v>
      </c>
      <c r="AB14" s="4">
        <f>SUBTOTAL(103,Décembre[26])</f>
        <v>0</v>
      </c>
      <c r="AC14" s="4">
        <f>SUBTOTAL(103,Décembre[27])</f>
        <v>0</v>
      </c>
      <c r="AD14" s="4">
        <f>SUBTOTAL(103,Décembre[28])</f>
        <v>0</v>
      </c>
      <c r="AE14" s="4">
        <f>SUBTOTAL(103,Décembre[29])</f>
        <v>0</v>
      </c>
      <c r="AF14" s="4">
        <f>SUBTOTAL(109,Décembre[30])</f>
        <v>0</v>
      </c>
      <c r="AG14" s="4">
        <f>SUBTOTAL(109,Décembre[31])</f>
        <v>0</v>
      </c>
      <c r="AH14" s="4">
        <f>SUBTOTAL(109,Décembre[Total des jours])</f>
        <v>0</v>
      </c>
    </row>
  </sheetData>
  <mergeCells count="6">
    <mergeCell ref="C6:AG6"/>
    <mergeCell ref="D4:E4"/>
    <mergeCell ref="G4:I4"/>
    <mergeCell ref="K4:L4"/>
    <mergeCell ref="O4:R4"/>
    <mergeCell ref="T4:W4"/>
  </mergeCells>
  <phoneticPr fontId="31" type="noConversion"/>
  <conditionalFormatting sqref="C9:AG13">
    <cfRule type="expression" priority="13" stopIfTrue="1">
      <formula>C9=""</formula>
    </cfRule>
    <cfRule type="expression" dxfId="56" priority="14" stopIfTrue="1">
      <formula>C9=CléPersonnalisée2</formula>
    </cfRule>
    <cfRule type="expression" dxfId="55" priority="15" stopIfTrue="1">
      <formula>C9=CléPersonnalisée1</formula>
    </cfRule>
    <cfRule type="expression" dxfId="54" priority="16" stopIfTrue="1">
      <formula>C9=CléMaladie</formula>
    </cfRule>
    <cfRule type="expression" dxfId="53" priority="17" stopIfTrue="1">
      <formula>C9=CléPersonnel</formula>
    </cfRule>
    <cfRule type="expression" dxfId="52" priority="18" stopIfTrue="1">
      <formula>C9=CléCongé</formula>
    </cfRule>
  </conditionalFormatting>
  <conditionalFormatting sqref="N4">
    <cfRule type="expression" priority="1" stopIfTrue="1">
      <formula>N4=""</formula>
    </cfRule>
    <cfRule type="expression" dxfId="51" priority="2" stopIfTrue="1">
      <formula>N4=CléPersonnalisée2</formula>
    </cfRule>
    <cfRule type="expression" dxfId="50" priority="3" stopIfTrue="1">
      <formula>N4=CléPersonnalisée1</formula>
    </cfRule>
    <cfRule type="expression" dxfId="49" priority="4" stopIfTrue="1">
      <formula>N4=CléMaladie</formula>
    </cfRule>
    <cfRule type="expression" dxfId="48" priority="5" stopIfTrue="1">
      <formula>N4=CléPersonnel</formula>
    </cfRule>
    <cfRule type="expression" dxfId="47" priority="6" stopIfTrue="1">
      <formula>N4=CléCongé</formula>
    </cfRule>
  </conditionalFormatting>
  <conditionalFormatting sqref="S4">
    <cfRule type="expression" priority="7" stopIfTrue="1">
      <formula>S4=""</formula>
    </cfRule>
    <cfRule type="expression" dxfId="46" priority="8" stopIfTrue="1">
      <formula>S4=CléPersonnalisée2</formula>
    </cfRule>
    <cfRule type="expression" dxfId="45" priority="9" stopIfTrue="1">
      <formula>S4=CléPersonnalisée1</formula>
    </cfRule>
    <cfRule type="expression" dxfId="44" priority="10" stopIfTrue="1">
      <formula>S4=CléMaladie</formula>
    </cfRule>
    <cfRule type="expression" dxfId="43" priority="11" stopIfTrue="1">
      <formula>S4=CléPersonnel</formula>
    </cfRule>
    <cfRule type="expression" dxfId="42" priority="12" stopIfTrue="1">
      <formula>S4=CléCongé</formula>
    </cfRule>
  </conditionalFormatting>
  <conditionalFormatting sqref="AH9:AH13">
    <cfRule type="dataBar" priority="42">
      <dataBar>
        <cfvo type="min"/>
        <cfvo type="formula" val="DATEDIF(DATE(CalendarYear,2,1),DATE(CalendarYea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L’année est mise à jour automatiquement en fonction de l’année entrée dans la feuille de calcul Janvier" sqref="AH6" xr:uid="{F939E1BE-E9C7-DD4A-972C-CB40EF785EA4}"/>
    <dataValidation allowBlank="1" showInputMessage="1" showErrorMessage="1" prompt="Calcule automatiquement le nombre total de jours d’absence d’un employé durant ce mois dans cette colonne" sqref="AH8" xr:uid="{E810E773-697E-9042-BA14-6FFBF70DB80B}"/>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ayant pour titre Noms des employés, puis sélectionnez un des noms de la liste figurant dans cette colonne. Appuyez sur ALT+FLÈCHE BAS, puis sur ENTRÉE pour sélectionner un nom" sqref="B8" xr:uid="{F25CB198-02E4-9141-B0E1-E7775C53D7BD}"/>
    <dataValidation allowBlank="1" showInputMessage="1" showErrorMessage="1" prompt="La lettre « C » indique une absence pour cause de congé" sqref="C4" xr:uid="{E1A36887-FF95-47AF-8EEF-B2E5E258AC3E}"/>
    <dataValidation allowBlank="1" showInputMessage="1" showErrorMessage="1" prompt="La lettre « P » indique une absence pour motifs personnels" sqref="F4" xr:uid="{0F3A30AE-CB38-4B65-B7BC-7A0741AC9F4F}"/>
    <dataValidation allowBlank="1" showInputMessage="1" showErrorMessage="1" prompt="La lettre « M » indique une absence pour cause de maladie" sqref="J4" xr:uid="{070D5C99-EC8E-41F4-BECB-3EF21B37240D}"/>
    <dataValidation allowBlank="1" showInputMessage="1" showErrorMessage="1" prompt="Entrez une lettre et personnalisez l’étiquette à droite pour ajouter un élément de clé" sqref="N4 S4" xr:uid="{0D4AABC7-9164-4712-97F7-060F90A84DDF}"/>
    <dataValidation allowBlank="1" showInputMessage="1" showErrorMessage="1" prompt="Entrez une étiquette pour décrire la clé personnalisée à gauche" sqref="O4 T4" xr:uid="{623A05B5-FF46-4772-9408-394006AD5C55}"/>
    <dataValidation allowBlank="1" showInputMessage="1" showErrorMessage="1" prompt="Le nom du mois pour ce calendrier des absences se trouve dans cette cellule. Le total des absences pour ce mois figure dans la dernière cellule du tableau. Vous pouvez sélectionner les noms des employés dans la colonne B du tableau" sqref="B2" xr:uid="{00000000-0002-0000-0B00-00000B000000}"/>
    <dataValidation allowBlank="1" showInputMessage="1" showErrorMessage="1" prompt="Les jours du mois de cette ligne sont générés automatiquement. Entrez l’absence et le motif d’absence d’un employé dans chaque colonne pour chaque jour du mois. Un champ vide indique qu’il n’y a pas eu d’absence" sqref="C8" xr:uid="{0482EFB3-0A55-4547-B0F2-69F4B25A0231}"/>
    <dataValidation allowBlank="1" showInputMessage="1" showErrorMessage="1" prompt="Le titre de la feuille de calcul figure dans cette cellule. " sqref="B1" xr:uid="{FDB263A1-B6DC-D444-9FD0-77187D984860}"/>
    <dataValidation allowBlank="1" showInputMessage="1" showErrorMessage="1" prompt="Les jours de la semaine de cette ligne sont automatiquement mis à jour pour le mois en fonction de l’année dans AH4. Chaque jour du mois est une colonne dans laquelle sont notés l’absence et le motif de l’absence d’un employé" sqref="C7" xr:uid="{CB1E42E3-65E1-5041-91B2-633C92F4BB63}"/>
    <dataValidation allowBlank="1" showInputMessage="1" showErrorMessage="1" prompt="Cette ligne définit les clés utilisées dans le tableau : la cellule C4 un congé, la G4 personnel, et K4 un congé maladie. Les cellules N4 et R4 sont personnalisables " sqref="B4" xr:uid="{7C3D3AA3-51C0-46FC-A6A3-BE2B656A1D6B}"/>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DATEDIF(DATE(CalendarYear,2,1),DATE(CalendarYear,3,1),"d")</xm:f>
              </x14:cfvo>
              <x14:negativeFillColor rgb="FFFF0000"/>
              <x14:axisColor rgb="FF000000"/>
            </x14:dataBar>
          </x14:cfRule>
          <xm:sqref>AH9:AH13</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B9:B13</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K15"/>
  <sheetViews>
    <sheetView showGridLines="0" zoomScaleNormal="100" workbookViewId="0">
      <selection activeCell="N4" sqref="N4"/>
    </sheetView>
  </sheetViews>
  <sheetFormatPr baseColWidth="10" defaultColWidth="8.7109375" defaultRowHeight="30" customHeight="1"/>
  <cols>
    <col min="1" max="1" width="2.7109375" customWidth="1"/>
    <col min="2" max="2" width="32.140625" customWidth="1"/>
    <col min="3" max="3" width="2.7109375" customWidth="1"/>
    <col min="6" max="6" width="10.85546875" bestFit="1" customWidth="1"/>
    <col min="7" max="7" width="9.5703125" bestFit="1" customWidth="1"/>
  </cols>
  <sheetData>
    <row r="1" spans="2:11" ht="60" customHeight="1">
      <c r="B1" s="12" t="s">
        <v>62</v>
      </c>
      <c r="F1" s="54" t="s">
        <v>69</v>
      </c>
      <c r="G1" s="55">
        <v>30</v>
      </c>
      <c r="H1" s="55">
        <v>18</v>
      </c>
      <c r="I1" s="55"/>
      <c r="J1" s="55"/>
      <c r="K1" s="56">
        <v>15</v>
      </c>
    </row>
    <row r="2" spans="2:11" ht="12" customHeight="1"/>
    <row r="3" spans="2:11" ht="30" customHeight="1">
      <c r="B3" t="s">
        <v>62</v>
      </c>
      <c r="G3" s="59" t="s">
        <v>63</v>
      </c>
      <c r="H3" s="60" t="s">
        <v>64</v>
      </c>
      <c r="I3" s="61" t="s">
        <v>17</v>
      </c>
      <c r="J3" s="61" t="s">
        <v>15</v>
      </c>
      <c r="K3" s="62" t="s">
        <v>65</v>
      </c>
    </row>
    <row r="4" spans="2:11" ht="30" customHeight="1">
      <c r="B4" s="72" t="s">
        <v>4</v>
      </c>
      <c r="C4" s="73"/>
      <c r="D4" s="73"/>
      <c r="E4" s="73"/>
      <c r="F4" s="74"/>
      <c r="G4" s="63">
        <f>SUM(Janvier:Décembre!AJ9)</f>
        <v>4</v>
      </c>
      <c r="H4" s="57">
        <f>SUM(Janvier:Décembre!AK9)</f>
        <v>0</v>
      </c>
      <c r="I4" s="57">
        <f>SUM(Janvier:Décembre!AL9)</f>
        <v>0</v>
      </c>
      <c r="J4" s="57">
        <f>SUM(Janvier:Décembre!AM9)</f>
        <v>1</v>
      </c>
      <c r="K4" s="64">
        <f>SUM(Janvier:Décembre!AN9)</f>
        <v>0</v>
      </c>
    </row>
    <row r="5" spans="2:11" ht="30" customHeight="1">
      <c r="B5" s="75" t="s">
        <v>5</v>
      </c>
      <c r="C5" s="70"/>
      <c r="D5" s="70"/>
      <c r="E5" s="70"/>
      <c r="F5" s="71"/>
      <c r="G5" s="65">
        <f>SUM(Janvier:Décembre!AJ10)</f>
        <v>1</v>
      </c>
      <c r="H5" s="58">
        <f>SUM(Janvier:Décembre!AK10)</f>
        <v>4</v>
      </c>
      <c r="I5" s="58">
        <f>SUM(Janvier:Décembre!AL10)</f>
        <v>3</v>
      </c>
      <c r="J5" s="58">
        <f>SUM(Janvier:Décembre!AM10)</f>
        <v>0</v>
      </c>
      <c r="K5" s="66">
        <f>SUM(Janvier:Décembre!AN10)</f>
        <v>0</v>
      </c>
    </row>
    <row r="6" spans="2:11" ht="30" customHeight="1">
      <c r="B6" s="75" t="s">
        <v>6</v>
      </c>
      <c r="C6" s="70"/>
      <c r="D6" s="70"/>
      <c r="E6" s="70"/>
      <c r="F6" s="71"/>
      <c r="G6" s="65">
        <f>SUM(Janvier:Décembre!AJ11)</f>
        <v>0</v>
      </c>
      <c r="H6" s="58">
        <f>SUM(Janvier:Décembre!AK11)</f>
        <v>0</v>
      </c>
      <c r="I6" s="58">
        <f>SUM(Janvier:Décembre!AL11)</f>
        <v>2</v>
      </c>
      <c r="J6" s="58">
        <f>SUM(Janvier:Décembre!AM11)</f>
        <v>0</v>
      </c>
      <c r="K6" s="66">
        <f>SUM(Janvier:Décembre!AN11)</f>
        <v>1</v>
      </c>
    </row>
    <row r="7" spans="2:11" ht="30" customHeight="1">
      <c r="B7" s="75" t="s">
        <v>7</v>
      </c>
      <c r="C7" s="70"/>
      <c r="D7" s="70"/>
      <c r="E7" s="70"/>
      <c r="F7" s="71"/>
      <c r="G7" s="65">
        <f>SUM(Janvier:Décembre!AJ12)</f>
        <v>0</v>
      </c>
      <c r="H7" s="58">
        <f>SUM(Janvier:Décembre!AK12)</f>
        <v>3</v>
      </c>
      <c r="I7" s="58">
        <f>SUM(Janvier:Décembre!AL12)</f>
        <v>0</v>
      </c>
      <c r="J7" s="58">
        <f>SUM(Janvier:Décembre!AM12)</f>
        <v>1</v>
      </c>
      <c r="K7" s="66">
        <f>SUM(Janvier:Décembre!AN12)</f>
        <v>1</v>
      </c>
    </row>
    <row r="8" spans="2:11" ht="30" customHeight="1">
      <c r="B8" s="76" t="s">
        <v>8</v>
      </c>
      <c r="C8" s="77"/>
      <c r="D8" s="77"/>
      <c r="E8" s="77"/>
      <c r="F8" s="78"/>
      <c r="G8" s="67">
        <f>SUM(Janvier:Décembre!AJ13)</f>
        <v>0</v>
      </c>
      <c r="H8" s="68">
        <f>SUM(Janvier:Décembre!AK13)</f>
        <v>2</v>
      </c>
      <c r="I8" s="68">
        <f>SUM(Janvier:Décembre!AL13)</f>
        <v>3</v>
      </c>
      <c r="J8" s="68">
        <f>SUM(Janvier:Décembre!AM13)</f>
        <v>0</v>
      </c>
      <c r="K8" s="69">
        <f>SUM(Janvier:Décembre!AN13)</f>
        <v>0</v>
      </c>
    </row>
    <row r="9" spans="2:11" ht="30" customHeight="1">
      <c r="G9" s="37"/>
      <c r="H9" s="37"/>
      <c r="I9" s="37"/>
      <c r="J9" s="37"/>
      <c r="K9" s="37"/>
    </row>
    <row r="10" spans="2:11" ht="30" customHeight="1">
      <c r="G10" s="37"/>
      <c r="H10" s="37"/>
      <c r="I10" s="37"/>
      <c r="J10" s="37"/>
      <c r="K10" s="37"/>
    </row>
    <row r="11" spans="2:11" ht="30" customHeight="1">
      <c r="G11" s="37"/>
      <c r="H11" s="37"/>
      <c r="I11" s="37"/>
      <c r="J11" s="37"/>
      <c r="K11" s="37"/>
    </row>
    <row r="12" spans="2:11" ht="30" customHeight="1">
      <c r="G12" s="37"/>
      <c r="H12" s="37"/>
      <c r="I12" s="37"/>
      <c r="J12" s="37"/>
      <c r="K12" s="37"/>
    </row>
    <row r="13" spans="2:11" ht="30" customHeight="1">
      <c r="G13" s="37"/>
      <c r="H13" s="37"/>
      <c r="I13" s="37"/>
      <c r="J13" s="37"/>
      <c r="K13" s="37"/>
    </row>
    <row r="14" spans="2:11" ht="30" customHeight="1">
      <c r="G14" s="37"/>
      <c r="H14" s="37"/>
      <c r="I14" s="37"/>
      <c r="J14" s="37"/>
      <c r="K14" s="37"/>
    </row>
    <row r="15" spans="2:11" ht="30" customHeight="1">
      <c r="G15" s="34"/>
      <c r="H15" s="34"/>
      <c r="I15" s="34"/>
      <c r="J15" s="34"/>
      <c r="K15" s="34"/>
    </row>
  </sheetData>
  <phoneticPr fontId="31" type="noConversion"/>
  <conditionalFormatting sqref="I3">
    <cfRule type="expression" dxfId="41" priority="4" stopIfTrue="1">
      <formula>I3=CléMaladie</formula>
    </cfRule>
    <cfRule type="expression" dxfId="40" priority="5" stopIfTrue="1">
      <formula>I3=CléPersonnel</formula>
    </cfRule>
    <cfRule type="expression" dxfId="39" priority="6" stopIfTrue="1">
      <formula>I3=CléCongé</formula>
    </cfRule>
  </conditionalFormatting>
  <conditionalFormatting sqref="I3:K3">
    <cfRule type="expression" priority="1" stopIfTrue="1">
      <formula>I3=""</formula>
    </cfRule>
    <cfRule type="expression" dxfId="38" priority="2" stopIfTrue="1">
      <formula>I3=CléPersonnalisée2</formula>
    </cfRule>
    <cfRule type="expression" dxfId="37" priority="3" stopIfTrue="1">
      <formula>I3=CléPersonnalisée1</formula>
    </cfRule>
  </conditionalFormatting>
  <conditionalFormatting sqref="J3:K3">
    <cfRule type="expression" dxfId="36" priority="10" stopIfTrue="1">
      <formula>J3=CléMaladie</formula>
    </cfRule>
    <cfRule type="expression" dxfId="35" priority="11" stopIfTrue="1">
      <formula>J3=CléPersonnel</formula>
    </cfRule>
    <cfRule type="expression" dxfId="34" priority="12" stopIfTrue="1">
      <formula>J3=CléCongé</formula>
    </cfRule>
  </conditionalFormatting>
  <dataValidations count="2">
    <dataValidation allowBlank="1" showInputMessage="1" showErrorMessage="1" prompt="Entrez les noms des employés dans le tableau Noms des employés de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6" ma:contentTypeDescription="Create a new document." ma:contentTypeScope="" ma:versionID="ac37c1753acd5e330d2062ccec26ea66">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3b340c7101c92c5120abd06486f94548"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element ref="ns2:MediaServiceSearchProperties" minOccurs="0"/>
                <xsd:element ref="ns2:MediaServiceDoc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element name="MediaServiceSearchProperties" ma:index="29" nillable="true" ma:displayName="MediaServiceSearchProperties" ma:hidden="true" ma:internalName="MediaServiceSearchProperties" ma:readOnly="true">
      <xsd:simpleType>
        <xsd:restriction base="dms:Note"/>
      </xsd:simpleType>
    </xsd:element>
    <xsd:element name="MediaServiceDocTags" ma:index="30" nillable="true" ma:displayName="MediaServiceDocTags" ma:hidden="true" ma:internalName="MediaServiceDocTag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5C1DB48D-B39A-4027-AC09-EC0D149B5064}">
  <ds:schemaRefs>
    <ds:schemaRef ds:uri="http://schemas.microsoft.com/sharepoint/v3/contenttype/forms"/>
  </ds:schemaRefs>
</ds:datastoreItem>
</file>

<file path=customXml/itemProps2.xml><?xml version="1.0" encoding="utf-8"?>
<ds:datastoreItem xmlns:ds="http://schemas.openxmlformats.org/officeDocument/2006/customXml" ds:itemID="{07D05670-3C2E-4910-93A4-3F46AB1A1CD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CF416EBA-1ECE-4253-8F5F-379C4C21BCA1}">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CalendarYear</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2023-01-31T06:59:27Z</dcterms:created>
  <dcterms:modified xsi:type="dcterms:W3CDTF">2024-11-20T14:29:45Z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