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330" yWindow="-15" windowWidth="19920" windowHeight="6630" tabRatio="950" activeTab="5"/>
  </bookViews>
  <sheets>
    <sheet name="Tableau de bord" sheetId="4" r:id="rId1"/>
    <sheet name="Risques" sheetId="31" r:id="rId2"/>
    <sheet name="Fiches risques" sheetId="32" r:id="rId3"/>
    <sheet name="Actions de maîtrise" sheetId="30" r:id="rId4"/>
    <sheet name="Plan d'actions détaillé" sheetId="28" r:id="rId5"/>
    <sheet name="Matrice" sheetId="15" r:id="rId6"/>
    <sheet name="Listes" sheetId="19" state="hidden" r:id="rId7"/>
    <sheet name="Matrices Risques" sheetId="26" state="hidden" r:id="rId8"/>
    <sheet name="Feuil1 (2)" sheetId="25" state="hidden" r:id="rId9"/>
    <sheet name="Feuil1 (3)" sheetId="27" state="hidden" r:id="rId10"/>
  </sheets>
  <externalReferences>
    <externalReference r:id="rId11"/>
    <externalReference r:id="rId12"/>
    <externalReference r:id="rId13"/>
  </externalReferences>
  <definedNames>
    <definedName name="_xlnm._FilterDatabase" localSheetId="3" hidden="1">'Actions de maîtrise'!$B$5:$N$5</definedName>
    <definedName name="_xlnm._FilterDatabase" localSheetId="5" hidden="1">Matrice!$C$22:$DE$22</definedName>
    <definedName name="_xlnm._FilterDatabase" localSheetId="4" hidden="1">'Plan d''actions détaillé'!$A$5:$P$5</definedName>
    <definedName name="_xlnm._FilterDatabase" localSheetId="1" hidden="1">Risques!$C$20:$AB$40</definedName>
    <definedName name="ColRef" localSheetId="3">OFFSET('[1]Feuil1 (2)'!$B$1,,,COUNTA('[1]Feuil1 (2)'!$C$1:$C$65536)+1)</definedName>
    <definedName name="ColRef" localSheetId="9">OFFSET('Feuil1 (3)'!$B$1,,,COUNTA('Feuil1 (3)'!$C$1:$C$65536)+1)</definedName>
    <definedName name="ColRef" localSheetId="2">OFFSET('[2]Feuil1 (2)'!$B$1,,,COUNTA('[2]Feuil1 (2)'!$C$1:$C$65536)+1)</definedName>
    <definedName name="ColRef" localSheetId="4">OFFSET('[1]Feuil1 (2)'!$B$1,,,COUNTA('[1]Feuil1 (2)'!$C$1:$C$65536)+1)</definedName>
    <definedName name="ColRef">OFFSET('Feuil1 (2)'!$B$1,,,COUNTA('Feuil1 (2)'!$C$1:$C$65536)+1)</definedName>
    <definedName name="ColRef2" localSheetId="3">OFFSET('[1]Feuil1 (2)'!#REF!,,,COUNTA('[1]Feuil1 (2)'!#REF!)+1)</definedName>
    <definedName name="ColRef2" localSheetId="9">OFFSET('Feuil1 (3)'!#REF!,,,COUNTA('Feuil1 (3)'!#REF!)+1)</definedName>
    <definedName name="ColRef2" localSheetId="2">OFFSET('[2]Feuil1 (2)'!#REF!,,,COUNTA('[2]Feuil1 (2)'!#REF!)+1)</definedName>
    <definedName name="ColRef2" localSheetId="4">OFFSET('[1]Feuil1 (2)'!#REF!,,,COUNTA('[1]Feuil1 (2)'!#REF!)+1)</definedName>
    <definedName name="ColRef2" localSheetId="1">OFFSET('Feuil1 (2)'!#REF!,,,COUNTA('Feuil1 (2)'!#REF!)+1)</definedName>
    <definedName name="ColRef2">OFFSET('Feuil1 (2)'!#REF!,,,COUNTA('Feuil1 (2)'!#REF!)+1)</definedName>
    <definedName name="cond">#REF!</definedName>
    <definedName name="dates">[3]Formation!$C$3:$K$500</definedName>
    <definedName name="formations">[3]Formation!$C$1:$K$1</definedName>
    <definedName name="Nom" localSheetId="3">OFFSET('[1]Feuil1 (2)'!$C$3,,,COUNTA('[1]Feuil1 (2)'!$C$1:$C$65536)-1)</definedName>
    <definedName name="Nom" localSheetId="9">OFFSET('Feuil1 (3)'!$C$3,,,COUNTA('Feuil1 (3)'!$C$1:$C$65536)-1)</definedName>
    <definedName name="Nom" localSheetId="2">OFFSET('[2]Feuil1 (2)'!$C$3,,,COUNTA('[2]Feuil1 (2)'!$C$1:$C$65536)-1)</definedName>
    <definedName name="Nom" localSheetId="4">OFFSET('[1]Feuil1 (2)'!$C$3,,,COUNTA('[1]Feuil1 (2)'!$C$1:$C$65536)-1)</definedName>
    <definedName name="Nom">OFFSET('Feuil1 (2)'!$C$3,,,COUNTA('Feuil1 (2)'!$C$1:$C$65536)-1)</definedName>
    <definedName name="NomR" localSheetId="3">OFFSET('[1]Feuil1 (2)'!#REF!,,,COUNTA('[1]Feuil1 (2)'!#REF!)-1)</definedName>
    <definedName name="NomR" localSheetId="9">OFFSET('Feuil1 (3)'!#REF!,,,COUNTA('Feuil1 (3)'!#REF!)-1)</definedName>
    <definedName name="NomR" localSheetId="2">OFFSET('[2]Feuil1 (2)'!#REF!,,,COUNTA('[2]Feuil1 (2)'!#REF!)-1)</definedName>
    <definedName name="NomR" localSheetId="4">OFFSET('[1]Feuil1 (2)'!#REF!,,,COUNTA('[1]Feuil1 (2)'!#REF!)-1)</definedName>
    <definedName name="NomR" localSheetId="1">OFFSET('Feuil1 (2)'!#REF!,,,COUNTA('Feuil1 (2)'!#REF!)-1)</definedName>
    <definedName name="NomR">OFFSET('Feuil1 (2)'!#REF!,,,COUNTA('Feuil1 (2)'!#REF!)-1)</definedName>
    <definedName name="noms">#REF!</definedName>
    <definedName name="Nos">[3]Formation!$A$3:$A$500</definedName>
    <definedName name="Ref" localSheetId="3">OFFSET('[1]Feuil1 (2)'!$B$3,,,COUNTA('[1]Feuil1 (2)'!$C$1:$C$65536)-1)</definedName>
    <definedName name="Ref" localSheetId="9">OFFSET('Feuil1 (3)'!$B$3,,,COUNTA('Feuil1 (3)'!$C$1:$C$65536)-1)</definedName>
    <definedName name="Ref" localSheetId="2">OFFSET('[2]Feuil1 (2)'!$B$3,,,COUNTA('[2]Feuil1 (2)'!$C$1:$C$65536)-1)</definedName>
    <definedName name="Ref" localSheetId="4">OFFSET('[1]Feuil1 (2)'!$B$3,,,COUNTA('[1]Feuil1 (2)'!$C$1:$C$65536)-1)</definedName>
    <definedName name="Ref">OFFSET('Feuil1 (2)'!$B$3,,,COUNTA('Feuil1 (2)'!$C$1:$C$65536)-1)</definedName>
    <definedName name="sport">#REF!</definedName>
    <definedName name="vide">[3]Formation!$B$3:$B$500</definedName>
    <definedName name="_xlnm.Print_Area" localSheetId="3">'Actions de maîtrise'!$A$1:$O$30</definedName>
    <definedName name="_xlnm.Print_Area" localSheetId="2">'Fiches risques'!$G$25:$W$59</definedName>
    <definedName name="_xlnm.Print_Area" localSheetId="5">Matrice!$A$1:$DF$47</definedName>
    <definedName name="_xlnm.Print_Area" localSheetId="7">'Matrices Risques'!$B$1:$P$15</definedName>
    <definedName name="_xlnm.Print_Area" localSheetId="4">'Plan d''actions détaillé'!$A$1:$T$21</definedName>
    <definedName name="_xlnm.Print_Area" localSheetId="1">Risques!$A$1:$AC$25</definedName>
    <definedName name="_xlnm.Print_Area" localSheetId="0">'Tableau de bord'!$A$1:$T$36</definedName>
  </definedNames>
  <calcPr calcId="145621" concurrentCalc="0"/>
</workbook>
</file>

<file path=xl/calcChain.xml><?xml version="1.0" encoding="utf-8"?>
<calcChain xmlns="http://schemas.openxmlformats.org/spreadsheetml/2006/main">
  <c r="T2" i="15" l="1"/>
  <c r="U2" i="15"/>
  <c r="V2" i="15"/>
  <c r="W2" i="15"/>
  <c r="X2" i="15"/>
  <c r="Y2" i="15"/>
  <c r="Z2" i="15"/>
  <c r="AA2" i="15"/>
  <c r="AB2" i="15"/>
  <c r="AC2" i="15"/>
  <c r="AD2" i="15"/>
  <c r="AE2" i="15"/>
  <c r="AF2" i="15"/>
  <c r="AG2" i="15"/>
  <c r="CC2" i="15"/>
  <c r="CD2" i="15"/>
  <c r="CE2" i="15"/>
  <c r="CF2" i="15"/>
  <c r="CG2" i="15"/>
  <c r="CH2" i="15"/>
  <c r="CI2" i="15"/>
  <c r="CJ2" i="15"/>
  <c r="CK2" i="15"/>
  <c r="CL2" i="15"/>
  <c r="A6" i="28"/>
  <c r="F6" i="28"/>
  <c r="CC15" i="15"/>
  <c r="CC16" i="15"/>
  <c r="AH2" i="15"/>
  <c r="AI2" i="15"/>
  <c r="AJ2" i="15"/>
  <c r="AK2" i="15"/>
  <c r="AL2" i="15"/>
  <c r="AM2" i="15"/>
  <c r="AN2" i="15"/>
  <c r="AO2" i="15"/>
  <c r="AP2" i="15"/>
  <c r="AQ2" i="15"/>
  <c r="AR2" i="15"/>
  <c r="AS2" i="15"/>
  <c r="AT2" i="15"/>
  <c r="AU2" i="15"/>
  <c r="AV2" i="15"/>
  <c r="AW2" i="15"/>
  <c r="AX2" i="15"/>
  <c r="AY2" i="15"/>
  <c r="AZ2" i="15"/>
  <c r="BA2" i="15"/>
  <c r="BB2" i="15"/>
  <c r="BC2" i="15"/>
  <c r="BD2" i="15"/>
  <c r="BE2" i="15"/>
  <c r="BF2" i="15"/>
  <c r="BG2" i="15"/>
  <c r="BH2" i="15"/>
  <c r="BI2" i="15"/>
  <c r="BJ2" i="15"/>
  <c r="BK2" i="15"/>
  <c r="BL2" i="15"/>
  <c r="BM2" i="15"/>
  <c r="BN2" i="15"/>
  <c r="BO2" i="15"/>
  <c r="BP2" i="15"/>
  <c r="BQ2" i="15"/>
  <c r="BR2" i="15"/>
  <c r="BS2" i="15"/>
  <c r="BT2" i="15"/>
  <c r="BU2" i="15"/>
  <c r="BV2" i="15"/>
  <c r="CM2" i="15"/>
  <c r="CN2" i="15"/>
  <c r="CO2" i="15"/>
  <c r="CP2" i="15"/>
  <c r="CQ2" i="15"/>
  <c r="CR2" i="15"/>
  <c r="CS2" i="15"/>
  <c r="CT2" i="15"/>
  <c r="CU2" i="15"/>
  <c r="CV2" i="15"/>
  <c r="CW2" i="15"/>
  <c r="CX2" i="15"/>
  <c r="CY2" i="15"/>
  <c r="CZ2" i="15"/>
  <c r="DA2" i="15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0" i="28"/>
  <c r="CJ9" i="15"/>
  <c r="CJ15" i="15"/>
  <c r="CJ16" i="15"/>
  <c r="CI16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42" i="15"/>
  <c r="H43" i="15"/>
  <c r="H44" i="15"/>
  <c r="H45" i="15"/>
  <c r="H46" i="15"/>
  <c r="H47" i="15"/>
  <c r="H23" i="15"/>
  <c r="F7" i="28"/>
  <c r="F8" i="28"/>
  <c r="F9" i="28"/>
  <c r="F10" i="28"/>
  <c r="F11" i="28"/>
  <c r="F12" i="28"/>
  <c r="T9" i="15"/>
  <c r="U9" i="15"/>
  <c r="V9" i="15"/>
  <c r="W9" i="15"/>
  <c r="X9" i="15"/>
  <c r="Y9" i="15"/>
  <c r="Z9" i="15"/>
  <c r="AA9" i="15"/>
  <c r="AB9" i="15"/>
  <c r="AC9" i="15"/>
  <c r="AD9" i="15"/>
  <c r="AE9" i="15"/>
  <c r="AF9" i="15"/>
  <c r="AG9" i="15"/>
  <c r="CC9" i="15"/>
  <c r="CD9" i="15"/>
  <c r="CE9" i="15"/>
  <c r="CF9" i="15"/>
  <c r="CG9" i="15"/>
  <c r="CH9" i="15"/>
  <c r="CI9" i="15"/>
  <c r="CK9" i="15"/>
  <c r="F13" i="28"/>
  <c r="F14" i="28"/>
  <c r="F15" i="28"/>
  <c r="F16" i="28"/>
  <c r="F17" i="28"/>
  <c r="F18" i="28"/>
  <c r="T15" i="15"/>
  <c r="U15" i="15"/>
  <c r="V15" i="15"/>
  <c r="W15" i="15"/>
  <c r="X15" i="15"/>
  <c r="Y15" i="15"/>
  <c r="Z15" i="15"/>
  <c r="AA15" i="15"/>
  <c r="AB15" i="15"/>
  <c r="AC15" i="15"/>
  <c r="AD15" i="15"/>
  <c r="AE15" i="15"/>
  <c r="AF15" i="15"/>
  <c r="AG15" i="15"/>
  <c r="CD15" i="15"/>
  <c r="CE15" i="15"/>
  <c r="CF15" i="15"/>
  <c r="CG15" i="15"/>
  <c r="CH15" i="15"/>
  <c r="CI15" i="15"/>
  <c r="CK15" i="15"/>
  <c r="F19" i="28"/>
  <c r="T16" i="15"/>
  <c r="U16" i="15"/>
  <c r="V16" i="15"/>
  <c r="W16" i="15"/>
  <c r="X16" i="15"/>
  <c r="Y16" i="15"/>
  <c r="Z16" i="15"/>
  <c r="AA16" i="15"/>
  <c r="AB16" i="15"/>
  <c r="AC16" i="15"/>
  <c r="AD16" i="15"/>
  <c r="AE16" i="15"/>
  <c r="AF16" i="15"/>
  <c r="AG16" i="15"/>
  <c r="CD16" i="15"/>
  <c r="CE16" i="15"/>
  <c r="CF16" i="15"/>
  <c r="CG16" i="15"/>
  <c r="CH16" i="15"/>
  <c r="CK16" i="15"/>
  <c r="F20" i="28"/>
  <c r="F21" i="28"/>
  <c r="T18" i="15"/>
  <c r="U18" i="15"/>
  <c r="V18" i="15"/>
  <c r="W18" i="15"/>
  <c r="X18" i="15"/>
  <c r="Y18" i="15"/>
  <c r="Z18" i="15"/>
  <c r="AA18" i="15"/>
  <c r="AB18" i="15"/>
  <c r="AC18" i="15"/>
  <c r="AD18" i="15"/>
  <c r="AE18" i="15"/>
  <c r="AF18" i="15"/>
  <c r="AG18" i="15"/>
  <c r="CC18" i="15"/>
  <c r="CD18" i="15"/>
  <c r="CE18" i="15"/>
  <c r="CF18" i="15"/>
  <c r="CG18" i="15"/>
  <c r="CH18" i="15"/>
  <c r="CI18" i="15"/>
  <c r="CJ18" i="15"/>
  <c r="CK18" i="15"/>
  <c r="F22" i="28"/>
  <c r="T19" i="15"/>
  <c r="U19" i="15"/>
  <c r="V19" i="15"/>
  <c r="W19" i="15"/>
  <c r="X19" i="15"/>
  <c r="Y19" i="15"/>
  <c r="Z19" i="15"/>
  <c r="AA19" i="15"/>
  <c r="AB19" i="15"/>
  <c r="AC19" i="15"/>
  <c r="AD19" i="15"/>
  <c r="AE19" i="15"/>
  <c r="AF19" i="15"/>
  <c r="AG19" i="15"/>
  <c r="CC19" i="15"/>
  <c r="CD19" i="15"/>
  <c r="CE19" i="15"/>
  <c r="CF19" i="15"/>
  <c r="CG19" i="15"/>
  <c r="CH19" i="15"/>
  <c r="CI19" i="15"/>
  <c r="CJ19" i="15"/>
  <c r="CK19" i="15"/>
  <c r="F23" i="28"/>
  <c r="F24" i="28"/>
  <c r="F25" i="28"/>
  <c r="F26" i="28"/>
  <c r="C23" i="15"/>
  <c r="O23" i="15"/>
  <c r="P23" i="15"/>
  <c r="BX23" i="15"/>
  <c r="BY23" i="15"/>
  <c r="BZ23" i="15"/>
  <c r="DC23" i="15"/>
  <c r="DD23" i="15"/>
  <c r="DE23" i="15"/>
  <c r="F27" i="28"/>
  <c r="C24" i="15"/>
  <c r="O24" i="15"/>
  <c r="P24" i="15"/>
  <c r="BX24" i="15"/>
  <c r="BY24" i="15"/>
  <c r="BZ24" i="15"/>
  <c r="DC24" i="15"/>
  <c r="DD24" i="15"/>
  <c r="DE24" i="15"/>
  <c r="F28" i="28"/>
  <c r="C25" i="15"/>
  <c r="O25" i="15"/>
  <c r="P25" i="15"/>
  <c r="BX25" i="15"/>
  <c r="BY25" i="15"/>
  <c r="BZ25" i="15"/>
  <c r="DC25" i="15"/>
  <c r="DD25" i="15"/>
  <c r="DE25" i="15"/>
  <c r="F29" i="28"/>
  <c r="C26" i="15"/>
  <c r="O26" i="15"/>
  <c r="P26" i="15"/>
  <c r="BX26" i="15"/>
  <c r="BY26" i="15"/>
  <c r="BZ26" i="15"/>
  <c r="DC26" i="15"/>
  <c r="DD26" i="15"/>
  <c r="DE26" i="15"/>
  <c r="F30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D6" i="28"/>
  <c r="D7" i="28"/>
  <c r="D8" i="28"/>
  <c r="D9" i="28"/>
  <c r="D10" i="28"/>
  <c r="D11" i="28"/>
  <c r="D12" i="28"/>
  <c r="D13" i="28"/>
  <c r="D14" i="28"/>
  <c r="D15" i="28"/>
  <c r="D16" i="28"/>
  <c r="D17" i="28"/>
  <c r="D18" i="28"/>
  <c r="D19" i="28"/>
  <c r="D20" i="28"/>
  <c r="D21" i="28"/>
  <c r="D22" i="28"/>
  <c r="D23" i="28"/>
  <c r="D24" i="28"/>
  <c r="D25" i="28"/>
  <c r="D26" i="28"/>
  <c r="D27" i="28"/>
  <c r="D28" i="28"/>
  <c r="D29" i="28"/>
  <c r="D30" i="28"/>
  <c r="C6" i="28"/>
  <c r="C7" i="28"/>
  <c r="C8" i="28"/>
  <c r="C9" i="28"/>
  <c r="C10" i="28"/>
  <c r="C11" i="28"/>
  <c r="C12" i="28"/>
  <c r="C13" i="28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A2" i="28"/>
  <c r="N6" i="30"/>
  <c r="N7" i="30"/>
  <c r="N8" i="30"/>
  <c r="N9" i="30"/>
  <c r="N10" i="30"/>
  <c r="N11" i="30"/>
  <c r="N12" i="30"/>
  <c r="N13" i="30"/>
  <c r="N14" i="30"/>
  <c r="N15" i="30"/>
  <c r="N16" i="30"/>
  <c r="N17" i="30"/>
  <c r="N18" i="30"/>
  <c r="N19" i="30"/>
  <c r="N20" i="30"/>
  <c r="N21" i="30"/>
  <c r="N22" i="30"/>
  <c r="N23" i="30"/>
  <c r="N24" i="30"/>
  <c r="N25" i="30"/>
  <c r="N26" i="30"/>
  <c r="N27" i="30"/>
  <c r="N28" i="30"/>
  <c r="N29" i="30"/>
  <c r="N30" i="30"/>
  <c r="N31" i="30"/>
  <c r="N32" i="30"/>
  <c r="N33" i="30"/>
  <c r="N34" i="30"/>
  <c r="N35" i="30"/>
  <c r="N36" i="30"/>
  <c r="N37" i="30"/>
  <c r="N38" i="30"/>
  <c r="N39" i="30"/>
  <c r="N40" i="30"/>
  <c r="N41" i="30"/>
  <c r="N42" i="30"/>
  <c r="N43" i="30"/>
  <c r="N44" i="30"/>
  <c r="N45" i="30"/>
  <c r="N46" i="30"/>
  <c r="N47" i="30"/>
  <c r="N48" i="30"/>
  <c r="N49" i="30"/>
  <c r="N50" i="30"/>
  <c r="N51" i="30"/>
  <c r="N52" i="30"/>
  <c r="N53" i="30"/>
  <c r="N54" i="30"/>
  <c r="N55" i="30"/>
  <c r="N56" i="30"/>
  <c r="N57" i="30"/>
  <c r="N58" i="30"/>
  <c r="N59" i="30"/>
  <c r="N60" i="30"/>
  <c r="M6" i="30"/>
  <c r="M7" i="30"/>
  <c r="M8" i="30"/>
  <c r="M9" i="30"/>
  <c r="M10" i="30"/>
  <c r="M11" i="30"/>
  <c r="M12" i="30"/>
  <c r="M13" i="30"/>
  <c r="M14" i="30"/>
  <c r="M15" i="30"/>
  <c r="M16" i="30"/>
  <c r="M17" i="30"/>
  <c r="M18" i="30"/>
  <c r="M19" i="30"/>
  <c r="M20" i="30"/>
  <c r="M21" i="30"/>
  <c r="M22" i="30"/>
  <c r="M23" i="30"/>
  <c r="M24" i="30"/>
  <c r="M25" i="30"/>
  <c r="M26" i="30"/>
  <c r="M27" i="30"/>
  <c r="M28" i="30"/>
  <c r="M29" i="30"/>
  <c r="M30" i="30"/>
  <c r="M31" i="30"/>
  <c r="M32" i="30"/>
  <c r="M33" i="30"/>
  <c r="M34" i="30"/>
  <c r="M35" i="30"/>
  <c r="M36" i="30"/>
  <c r="M37" i="30"/>
  <c r="M38" i="30"/>
  <c r="M39" i="30"/>
  <c r="M40" i="30"/>
  <c r="M41" i="30"/>
  <c r="M42" i="30"/>
  <c r="M43" i="30"/>
  <c r="M44" i="30"/>
  <c r="M45" i="30"/>
  <c r="M46" i="30"/>
  <c r="M47" i="30"/>
  <c r="M48" i="30"/>
  <c r="M49" i="30"/>
  <c r="M50" i="30"/>
  <c r="M51" i="30"/>
  <c r="M52" i="30"/>
  <c r="M53" i="30"/>
  <c r="M54" i="30"/>
  <c r="M55" i="30"/>
  <c r="M56" i="30"/>
  <c r="M57" i="30"/>
  <c r="M58" i="30"/>
  <c r="M59" i="30"/>
  <c r="M60" i="30"/>
  <c r="L6" i="30"/>
  <c r="L7" i="30"/>
  <c r="L8" i="30"/>
  <c r="L9" i="30"/>
  <c r="L10" i="30"/>
  <c r="L11" i="30"/>
  <c r="L12" i="30"/>
  <c r="L13" i="30"/>
  <c r="L14" i="30"/>
  <c r="L15" i="30"/>
  <c r="L16" i="30"/>
  <c r="L17" i="30"/>
  <c r="L18" i="30"/>
  <c r="L19" i="30"/>
  <c r="L20" i="30"/>
  <c r="L21" i="30"/>
  <c r="L22" i="30"/>
  <c r="L23" i="30"/>
  <c r="L24" i="30"/>
  <c r="L25" i="30"/>
  <c r="L26" i="30"/>
  <c r="L27" i="30"/>
  <c r="L28" i="30"/>
  <c r="L29" i="30"/>
  <c r="L30" i="30"/>
  <c r="L31" i="30"/>
  <c r="L32" i="30"/>
  <c r="L33" i="30"/>
  <c r="L34" i="30"/>
  <c r="L35" i="30"/>
  <c r="L36" i="30"/>
  <c r="L37" i="30"/>
  <c r="L38" i="30"/>
  <c r="L39" i="30"/>
  <c r="L40" i="30"/>
  <c r="L41" i="30"/>
  <c r="L42" i="30"/>
  <c r="L43" i="30"/>
  <c r="L44" i="30"/>
  <c r="L45" i="30"/>
  <c r="L46" i="30"/>
  <c r="L47" i="30"/>
  <c r="L48" i="30"/>
  <c r="L49" i="30"/>
  <c r="L50" i="30"/>
  <c r="L51" i="30"/>
  <c r="L52" i="30"/>
  <c r="L53" i="30"/>
  <c r="L54" i="30"/>
  <c r="L55" i="30"/>
  <c r="L56" i="30"/>
  <c r="L57" i="30"/>
  <c r="L58" i="30"/>
  <c r="L59" i="30"/>
  <c r="L60" i="30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27" i="30"/>
  <c r="K28" i="30"/>
  <c r="K29" i="30"/>
  <c r="K30" i="30"/>
  <c r="K31" i="30"/>
  <c r="K32" i="30"/>
  <c r="K33" i="30"/>
  <c r="K34" i="30"/>
  <c r="K35" i="30"/>
  <c r="K36" i="30"/>
  <c r="K37" i="30"/>
  <c r="K38" i="30"/>
  <c r="K39" i="30"/>
  <c r="K40" i="30"/>
  <c r="K41" i="30"/>
  <c r="K42" i="30"/>
  <c r="K43" i="30"/>
  <c r="K44" i="30"/>
  <c r="K45" i="30"/>
  <c r="K46" i="30"/>
  <c r="K47" i="30"/>
  <c r="K48" i="30"/>
  <c r="K49" i="30"/>
  <c r="K50" i="30"/>
  <c r="K51" i="30"/>
  <c r="K52" i="30"/>
  <c r="K53" i="30"/>
  <c r="K54" i="30"/>
  <c r="K55" i="30"/>
  <c r="K56" i="30"/>
  <c r="K57" i="30"/>
  <c r="K58" i="30"/>
  <c r="K59" i="30"/>
  <c r="K60" i="30"/>
  <c r="J6" i="30"/>
  <c r="J7" i="30"/>
  <c r="J8" i="30"/>
  <c r="J9" i="30"/>
  <c r="J10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J35" i="30"/>
  <c r="J36" i="30"/>
  <c r="J37" i="30"/>
  <c r="J38" i="30"/>
  <c r="J39" i="30"/>
  <c r="J40" i="30"/>
  <c r="J41" i="30"/>
  <c r="J42" i="30"/>
  <c r="J43" i="30"/>
  <c r="J44" i="30"/>
  <c r="J45" i="30"/>
  <c r="J46" i="30"/>
  <c r="J47" i="30"/>
  <c r="J48" i="30"/>
  <c r="J49" i="30"/>
  <c r="J50" i="30"/>
  <c r="J51" i="30"/>
  <c r="J52" i="30"/>
  <c r="J53" i="30"/>
  <c r="J54" i="30"/>
  <c r="J55" i="30"/>
  <c r="J56" i="30"/>
  <c r="J57" i="30"/>
  <c r="J58" i="30"/>
  <c r="J59" i="30"/>
  <c r="J60" i="30"/>
  <c r="I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I42" i="30"/>
  <c r="I43" i="30"/>
  <c r="I44" i="30"/>
  <c r="I45" i="30"/>
  <c r="I46" i="30"/>
  <c r="I47" i="30"/>
  <c r="I48" i="30"/>
  <c r="I49" i="30"/>
  <c r="I50" i="30"/>
  <c r="I51" i="30"/>
  <c r="I52" i="30"/>
  <c r="I53" i="30"/>
  <c r="I54" i="30"/>
  <c r="I55" i="30"/>
  <c r="I56" i="30"/>
  <c r="I57" i="30"/>
  <c r="I58" i="30"/>
  <c r="I59" i="30"/>
  <c r="I60" i="30"/>
  <c r="H6" i="30"/>
  <c r="H7" i="30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H42" i="30"/>
  <c r="H43" i="30"/>
  <c r="H44" i="30"/>
  <c r="H45" i="30"/>
  <c r="H46" i="30"/>
  <c r="H47" i="30"/>
  <c r="H48" i="30"/>
  <c r="H49" i="30"/>
  <c r="H50" i="30"/>
  <c r="H51" i="30"/>
  <c r="H52" i="30"/>
  <c r="H53" i="30"/>
  <c r="H54" i="30"/>
  <c r="H55" i="30"/>
  <c r="H56" i="30"/>
  <c r="H57" i="30"/>
  <c r="H58" i="30"/>
  <c r="H59" i="30"/>
  <c r="H60" i="30"/>
  <c r="G6" i="30"/>
  <c r="G7" i="30"/>
  <c r="G8" i="30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31" i="30"/>
  <c r="G32" i="30"/>
  <c r="G33" i="30"/>
  <c r="G34" i="30"/>
  <c r="G35" i="30"/>
  <c r="G36" i="30"/>
  <c r="G37" i="30"/>
  <c r="G38" i="30"/>
  <c r="G39" i="30"/>
  <c r="G40" i="30"/>
  <c r="G41" i="30"/>
  <c r="G42" i="30"/>
  <c r="G43" i="30"/>
  <c r="G44" i="30"/>
  <c r="G45" i="30"/>
  <c r="G46" i="30"/>
  <c r="G47" i="30"/>
  <c r="G48" i="30"/>
  <c r="G49" i="30"/>
  <c r="G50" i="30"/>
  <c r="G51" i="30"/>
  <c r="G52" i="30"/>
  <c r="G53" i="30"/>
  <c r="G54" i="30"/>
  <c r="G55" i="30"/>
  <c r="G56" i="30"/>
  <c r="G57" i="30"/>
  <c r="G58" i="30"/>
  <c r="G59" i="30"/>
  <c r="G60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32" i="30"/>
  <c r="F33" i="30"/>
  <c r="F34" i="30"/>
  <c r="F35" i="30"/>
  <c r="F36" i="30"/>
  <c r="F37" i="30"/>
  <c r="F38" i="30"/>
  <c r="F39" i="30"/>
  <c r="F40" i="30"/>
  <c r="F41" i="30"/>
  <c r="F42" i="30"/>
  <c r="F43" i="30"/>
  <c r="F44" i="30"/>
  <c r="F45" i="30"/>
  <c r="F46" i="30"/>
  <c r="F47" i="30"/>
  <c r="F48" i="30"/>
  <c r="F49" i="30"/>
  <c r="F50" i="30"/>
  <c r="F51" i="30"/>
  <c r="F52" i="30"/>
  <c r="F53" i="30"/>
  <c r="F54" i="30"/>
  <c r="F55" i="30"/>
  <c r="F56" i="30"/>
  <c r="F57" i="30"/>
  <c r="F58" i="30"/>
  <c r="F59" i="30"/>
  <c r="F60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39" i="30"/>
  <c r="D40" i="30"/>
  <c r="D41" i="30"/>
  <c r="D42" i="30"/>
  <c r="D43" i="30"/>
  <c r="D44" i="30"/>
  <c r="D45" i="30"/>
  <c r="D46" i="30"/>
  <c r="D47" i="30"/>
  <c r="D48" i="30"/>
  <c r="D49" i="30"/>
  <c r="D50" i="30"/>
  <c r="D51" i="30"/>
  <c r="D52" i="30"/>
  <c r="D53" i="30"/>
  <c r="D54" i="30"/>
  <c r="D55" i="30"/>
  <c r="D56" i="30"/>
  <c r="D57" i="30"/>
  <c r="D58" i="30"/>
  <c r="D59" i="30"/>
  <c r="D60" i="30"/>
  <c r="C6" i="30"/>
  <c r="C7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32" i="30"/>
  <c r="C33" i="30"/>
  <c r="C34" i="30"/>
  <c r="C35" i="30"/>
  <c r="C36" i="30"/>
  <c r="C37" i="30"/>
  <c r="C38" i="30"/>
  <c r="C39" i="30"/>
  <c r="C40" i="30"/>
  <c r="C41" i="30"/>
  <c r="C42" i="30"/>
  <c r="C43" i="30"/>
  <c r="C44" i="30"/>
  <c r="C45" i="30"/>
  <c r="C46" i="30"/>
  <c r="C47" i="30"/>
  <c r="C48" i="30"/>
  <c r="C49" i="30"/>
  <c r="C50" i="30"/>
  <c r="C51" i="30"/>
  <c r="C52" i="30"/>
  <c r="C53" i="30"/>
  <c r="C54" i="30"/>
  <c r="C55" i="30"/>
  <c r="C56" i="30"/>
  <c r="C57" i="30"/>
  <c r="C58" i="30"/>
  <c r="C59" i="30"/>
  <c r="C60" i="30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T21" i="31"/>
  <c r="U21" i="31"/>
  <c r="V21" i="31"/>
  <c r="W21" i="31"/>
  <c r="T22" i="31"/>
  <c r="U22" i="31"/>
  <c r="V22" i="31"/>
  <c r="W22" i="31"/>
  <c r="T23" i="31"/>
  <c r="U23" i="31"/>
  <c r="V23" i="31"/>
  <c r="W23" i="31"/>
  <c r="T24" i="31"/>
  <c r="U24" i="31"/>
  <c r="V24" i="31"/>
  <c r="W24" i="31"/>
  <c r="BX27" i="15"/>
  <c r="T25" i="31"/>
  <c r="O27" i="15"/>
  <c r="BY27" i="15"/>
  <c r="U25" i="31"/>
  <c r="V25" i="31"/>
  <c r="W25" i="31"/>
  <c r="BX28" i="15"/>
  <c r="T26" i="31"/>
  <c r="O28" i="15"/>
  <c r="BY28" i="15"/>
  <c r="U26" i="31"/>
  <c r="V26" i="31"/>
  <c r="W26" i="31"/>
  <c r="BX29" i="15"/>
  <c r="T27" i="31"/>
  <c r="O29" i="15"/>
  <c r="BY29" i="15"/>
  <c r="U27" i="31"/>
  <c r="V27" i="31"/>
  <c r="W27" i="31"/>
  <c r="BX30" i="15"/>
  <c r="T28" i="31"/>
  <c r="O30" i="15"/>
  <c r="BY30" i="15"/>
  <c r="U28" i="31"/>
  <c r="V28" i="31"/>
  <c r="W28" i="31"/>
  <c r="BX31" i="15"/>
  <c r="T29" i="31"/>
  <c r="O31" i="15"/>
  <c r="BY31" i="15"/>
  <c r="U29" i="31"/>
  <c r="V29" i="31"/>
  <c r="W29" i="31"/>
  <c r="BX32" i="15"/>
  <c r="T30" i="31"/>
  <c r="O32" i="15"/>
  <c r="BY32" i="15"/>
  <c r="U30" i="31"/>
  <c r="V30" i="31"/>
  <c r="W30" i="31"/>
  <c r="BX33" i="15"/>
  <c r="T31" i="31"/>
  <c r="O33" i="15"/>
  <c r="BY33" i="15"/>
  <c r="U31" i="31"/>
  <c r="V31" i="31"/>
  <c r="W31" i="31"/>
  <c r="BX34" i="15"/>
  <c r="T32" i="31"/>
  <c r="O34" i="15"/>
  <c r="BY34" i="15"/>
  <c r="U32" i="31"/>
  <c r="V32" i="31"/>
  <c r="W32" i="31"/>
  <c r="BX35" i="15"/>
  <c r="T33" i="31"/>
  <c r="O35" i="15"/>
  <c r="BY35" i="15"/>
  <c r="U33" i="31"/>
  <c r="V33" i="31"/>
  <c r="W33" i="31"/>
  <c r="BX36" i="15"/>
  <c r="T34" i="31"/>
  <c r="O36" i="15"/>
  <c r="BY36" i="15"/>
  <c r="U34" i="31"/>
  <c r="V34" i="31"/>
  <c r="W34" i="31"/>
  <c r="BX37" i="15"/>
  <c r="T35" i="31"/>
  <c r="O37" i="15"/>
  <c r="BY37" i="15"/>
  <c r="U35" i="31"/>
  <c r="V35" i="31"/>
  <c r="W35" i="31"/>
  <c r="BX38" i="15"/>
  <c r="T36" i="31"/>
  <c r="O38" i="15"/>
  <c r="BY38" i="15"/>
  <c r="U36" i="31"/>
  <c r="V36" i="31"/>
  <c r="W36" i="31"/>
  <c r="BX39" i="15"/>
  <c r="T37" i="31"/>
  <c r="O39" i="15"/>
  <c r="BY39" i="15"/>
  <c r="U37" i="31"/>
  <c r="V37" i="31"/>
  <c r="W37" i="31"/>
  <c r="BX40" i="15"/>
  <c r="T38" i="31"/>
  <c r="O40" i="15"/>
  <c r="BY40" i="15"/>
  <c r="U38" i="31"/>
  <c r="V38" i="31"/>
  <c r="W38" i="31"/>
  <c r="BX41" i="15"/>
  <c r="T39" i="31"/>
  <c r="O41" i="15"/>
  <c r="BY41" i="15"/>
  <c r="U39" i="31"/>
  <c r="V39" i="31"/>
  <c r="W39" i="31"/>
  <c r="BX42" i="15"/>
  <c r="T40" i="31"/>
  <c r="O42" i="15"/>
  <c r="BY42" i="15"/>
  <c r="U40" i="31"/>
  <c r="V40" i="31"/>
  <c r="W40" i="31"/>
  <c r="A18" i="32"/>
  <c r="D18" i="32" a="1"/>
  <c r="D18" i="32"/>
  <c r="K517" i="32"/>
  <c r="M548" i="32" a="1"/>
  <c r="M548" i="32"/>
  <c r="V548" i="32"/>
  <c r="O548" i="32"/>
  <c r="N548" i="32"/>
  <c r="M547" i="32" a="1"/>
  <c r="M547" i="32"/>
  <c r="V547" i="32"/>
  <c r="O547" i="32"/>
  <c r="N547" i="32"/>
  <c r="M546" i="32" a="1"/>
  <c r="M546" i="32"/>
  <c r="V546" i="32"/>
  <c r="O546" i="32"/>
  <c r="N546" i="32"/>
  <c r="M545" i="32" a="1"/>
  <c r="M545" i="32"/>
  <c r="V545" i="32"/>
  <c r="O545" i="32"/>
  <c r="N545" i="32"/>
  <c r="M544" i="32" a="1"/>
  <c r="M544" i="32"/>
  <c r="V544" i="32"/>
  <c r="O544" i="32"/>
  <c r="N544" i="32"/>
  <c r="M543" i="32" a="1"/>
  <c r="M543" i="32"/>
  <c r="V543" i="32"/>
  <c r="O543" i="32"/>
  <c r="N543" i="32"/>
  <c r="M542" i="32" a="1"/>
  <c r="M542" i="32"/>
  <c r="V542" i="32"/>
  <c r="O542" i="32"/>
  <c r="N542" i="32"/>
  <c r="M541" i="32" a="1"/>
  <c r="M541" i="32"/>
  <c r="V541" i="32"/>
  <c r="O541" i="32"/>
  <c r="N541" i="32"/>
  <c r="M540" i="32" a="1"/>
  <c r="M540" i="32"/>
  <c r="V540" i="32"/>
  <c r="O540" i="32"/>
  <c r="N540" i="32"/>
  <c r="M539" i="32" a="1"/>
  <c r="M539" i="32"/>
  <c r="V539" i="32"/>
  <c r="O539" i="32"/>
  <c r="N539" i="32"/>
  <c r="M538" i="32" a="1"/>
  <c r="M538" i="32"/>
  <c r="V538" i="32"/>
  <c r="O538" i="32"/>
  <c r="N538" i="32"/>
  <c r="M537" i="32" a="1"/>
  <c r="M537" i="32"/>
  <c r="V537" i="32"/>
  <c r="O537" i="32"/>
  <c r="N537" i="32"/>
  <c r="M536" i="32" a="1"/>
  <c r="M536" i="32"/>
  <c r="V536" i="32"/>
  <c r="O536" i="32"/>
  <c r="N536" i="32"/>
  <c r="M535" i="32" a="1"/>
  <c r="M535" i="32"/>
  <c r="V535" i="32"/>
  <c r="O535" i="32"/>
  <c r="N535" i="32"/>
  <c r="M534" i="32" a="1"/>
  <c r="M534" i="32"/>
  <c r="V534" i="32"/>
  <c r="O534" i="32"/>
  <c r="N534" i="32"/>
  <c r="A17" i="32"/>
  <c r="D17" i="32" a="1"/>
  <c r="D17" i="32"/>
  <c r="K482" i="32"/>
  <c r="M513" i="32" a="1"/>
  <c r="M513" i="32"/>
  <c r="V513" i="32"/>
  <c r="O513" i="32"/>
  <c r="N513" i="32"/>
  <c r="M512" i="32" a="1"/>
  <c r="M512" i="32"/>
  <c r="V512" i="32"/>
  <c r="O512" i="32"/>
  <c r="N512" i="32"/>
  <c r="M511" i="32" a="1"/>
  <c r="M511" i="32"/>
  <c r="V511" i="32"/>
  <c r="O511" i="32"/>
  <c r="N511" i="32"/>
  <c r="M510" i="32" a="1"/>
  <c r="M510" i="32"/>
  <c r="V510" i="32"/>
  <c r="O510" i="32"/>
  <c r="N510" i="32"/>
  <c r="M509" i="32" a="1"/>
  <c r="M509" i="32"/>
  <c r="V509" i="32"/>
  <c r="O509" i="32"/>
  <c r="N509" i="32"/>
  <c r="M508" i="32" a="1"/>
  <c r="M508" i="32"/>
  <c r="V508" i="32"/>
  <c r="O508" i="32"/>
  <c r="N508" i="32"/>
  <c r="M507" i="32" a="1"/>
  <c r="M507" i="32"/>
  <c r="V507" i="32"/>
  <c r="O507" i="32"/>
  <c r="N507" i="32"/>
  <c r="M506" i="32" a="1"/>
  <c r="M506" i="32"/>
  <c r="V506" i="32"/>
  <c r="O506" i="32"/>
  <c r="N506" i="32"/>
  <c r="M505" i="32" a="1"/>
  <c r="M505" i="32"/>
  <c r="V505" i="32"/>
  <c r="O505" i="32"/>
  <c r="N505" i="32"/>
  <c r="M504" i="32" a="1"/>
  <c r="M504" i="32"/>
  <c r="V504" i="32"/>
  <c r="O504" i="32"/>
  <c r="N504" i="32"/>
  <c r="M503" i="32" a="1"/>
  <c r="M503" i="32"/>
  <c r="V503" i="32"/>
  <c r="O503" i="32"/>
  <c r="N503" i="32"/>
  <c r="M502" i="32" a="1"/>
  <c r="M502" i="32"/>
  <c r="V502" i="32"/>
  <c r="O502" i="32"/>
  <c r="N502" i="32"/>
  <c r="M501" i="32" a="1"/>
  <c r="M501" i="32"/>
  <c r="V501" i="32"/>
  <c r="O501" i="32"/>
  <c r="N501" i="32"/>
  <c r="M500" i="32" a="1"/>
  <c r="M500" i="32"/>
  <c r="V500" i="32"/>
  <c r="O500" i="32"/>
  <c r="N500" i="32"/>
  <c r="M499" i="32" a="1"/>
  <c r="M499" i="32"/>
  <c r="V499" i="32"/>
  <c r="O499" i="32"/>
  <c r="N499" i="32"/>
  <c r="A16" i="32"/>
  <c r="D16" i="32" a="1"/>
  <c r="D16" i="32"/>
  <c r="K447" i="32"/>
  <c r="M478" i="32" a="1"/>
  <c r="M478" i="32"/>
  <c r="V478" i="32"/>
  <c r="O478" i="32"/>
  <c r="N478" i="32"/>
  <c r="M477" i="32" a="1"/>
  <c r="M477" i="32"/>
  <c r="V477" i="32"/>
  <c r="O477" i="32"/>
  <c r="N477" i="32"/>
  <c r="M476" i="32" a="1"/>
  <c r="M476" i="32"/>
  <c r="V476" i="32"/>
  <c r="O476" i="32"/>
  <c r="N476" i="32"/>
  <c r="M475" i="32" a="1"/>
  <c r="M475" i="32"/>
  <c r="V475" i="32"/>
  <c r="O475" i="32"/>
  <c r="N475" i="32"/>
  <c r="M474" i="32" a="1"/>
  <c r="M474" i="32"/>
  <c r="V474" i="32"/>
  <c r="O474" i="32"/>
  <c r="N474" i="32"/>
  <c r="M473" i="32" a="1"/>
  <c r="M473" i="32"/>
  <c r="V473" i="32"/>
  <c r="O473" i="32"/>
  <c r="N473" i="32"/>
  <c r="M472" i="32" a="1"/>
  <c r="M472" i="32"/>
  <c r="V472" i="32"/>
  <c r="O472" i="32"/>
  <c r="N472" i="32"/>
  <c r="M471" i="32" a="1"/>
  <c r="M471" i="32"/>
  <c r="V471" i="32"/>
  <c r="O471" i="32"/>
  <c r="N471" i="32"/>
  <c r="M470" i="32" a="1"/>
  <c r="M470" i="32"/>
  <c r="V470" i="32"/>
  <c r="O470" i="32"/>
  <c r="N470" i="32"/>
  <c r="M469" i="32" a="1"/>
  <c r="M469" i="32"/>
  <c r="V469" i="32"/>
  <c r="O469" i="32"/>
  <c r="N469" i="32"/>
  <c r="M468" i="32" a="1"/>
  <c r="M468" i="32"/>
  <c r="V468" i="32"/>
  <c r="O468" i="32"/>
  <c r="N468" i="32"/>
  <c r="M467" i="32" a="1"/>
  <c r="M467" i="32"/>
  <c r="V467" i="32"/>
  <c r="O467" i="32"/>
  <c r="N467" i="32"/>
  <c r="M466" i="32" a="1"/>
  <c r="M466" i="32"/>
  <c r="V466" i="32"/>
  <c r="O466" i="32"/>
  <c r="N466" i="32"/>
  <c r="M465" i="32" a="1"/>
  <c r="M465" i="32"/>
  <c r="V465" i="32"/>
  <c r="O465" i="32"/>
  <c r="N465" i="32"/>
  <c r="M464" i="32" a="1"/>
  <c r="M464" i="32"/>
  <c r="V464" i="32"/>
  <c r="O464" i="32"/>
  <c r="N464" i="32"/>
  <c r="A15" i="32"/>
  <c r="D15" i="32" a="1"/>
  <c r="D15" i="32"/>
  <c r="K412" i="32"/>
  <c r="M443" i="32" a="1"/>
  <c r="M443" i="32"/>
  <c r="V443" i="32"/>
  <c r="O443" i="32"/>
  <c r="N443" i="32"/>
  <c r="M442" i="32" a="1"/>
  <c r="M442" i="32"/>
  <c r="V442" i="32"/>
  <c r="O442" i="32"/>
  <c r="N442" i="32"/>
  <c r="M441" i="32" a="1"/>
  <c r="M441" i="32"/>
  <c r="V441" i="32"/>
  <c r="O441" i="32"/>
  <c r="N441" i="32"/>
  <c r="M440" i="32" a="1"/>
  <c r="M440" i="32"/>
  <c r="V440" i="32"/>
  <c r="O440" i="32"/>
  <c r="N440" i="32"/>
  <c r="M439" i="32" a="1"/>
  <c r="M439" i="32"/>
  <c r="V439" i="32"/>
  <c r="O439" i="32"/>
  <c r="N439" i="32"/>
  <c r="M438" i="32" a="1"/>
  <c r="M438" i="32"/>
  <c r="V438" i="32"/>
  <c r="O438" i="32"/>
  <c r="N438" i="32"/>
  <c r="M437" i="32" a="1"/>
  <c r="M437" i="32"/>
  <c r="V437" i="32"/>
  <c r="O437" i="32"/>
  <c r="N437" i="32"/>
  <c r="M436" i="32" a="1"/>
  <c r="M436" i="32"/>
  <c r="V436" i="32"/>
  <c r="O436" i="32"/>
  <c r="N436" i="32"/>
  <c r="M435" i="32" a="1"/>
  <c r="M435" i="32"/>
  <c r="V435" i="32"/>
  <c r="O435" i="32"/>
  <c r="N435" i="32"/>
  <c r="M434" i="32" a="1"/>
  <c r="M434" i="32"/>
  <c r="V434" i="32"/>
  <c r="O434" i="32"/>
  <c r="N434" i="32"/>
  <c r="M433" i="32" a="1"/>
  <c r="M433" i="32"/>
  <c r="V433" i="32"/>
  <c r="O433" i="32"/>
  <c r="N433" i="32"/>
  <c r="M432" i="32" a="1"/>
  <c r="M432" i="32"/>
  <c r="V432" i="32"/>
  <c r="O432" i="32"/>
  <c r="N432" i="32"/>
  <c r="M431" i="32" a="1"/>
  <c r="M431" i="32"/>
  <c r="V431" i="32"/>
  <c r="O431" i="32"/>
  <c r="N431" i="32"/>
  <c r="M430" i="32" a="1"/>
  <c r="M430" i="32"/>
  <c r="V430" i="32"/>
  <c r="O430" i="32"/>
  <c r="N430" i="32"/>
  <c r="M429" i="32" a="1"/>
  <c r="M429" i="32"/>
  <c r="V429" i="32"/>
  <c r="O429" i="32"/>
  <c r="N429" i="32"/>
  <c r="A14" i="32"/>
  <c r="D14" i="32" a="1"/>
  <c r="D14" i="32"/>
  <c r="K377" i="32"/>
  <c r="M408" i="32" a="1"/>
  <c r="M408" i="32"/>
  <c r="V408" i="32"/>
  <c r="O408" i="32"/>
  <c r="N408" i="32"/>
  <c r="M407" i="32" a="1"/>
  <c r="M407" i="32"/>
  <c r="V407" i="32"/>
  <c r="O407" i="32"/>
  <c r="N407" i="32"/>
  <c r="M406" i="32" a="1"/>
  <c r="M406" i="32"/>
  <c r="V406" i="32"/>
  <c r="O406" i="32"/>
  <c r="N406" i="32"/>
  <c r="M405" i="32" a="1"/>
  <c r="M405" i="32"/>
  <c r="V405" i="32"/>
  <c r="O405" i="32"/>
  <c r="N405" i="32"/>
  <c r="M404" i="32" a="1"/>
  <c r="M404" i="32"/>
  <c r="V404" i="32"/>
  <c r="O404" i="32"/>
  <c r="N404" i="32"/>
  <c r="M403" i="32" a="1"/>
  <c r="M403" i="32"/>
  <c r="V403" i="32"/>
  <c r="O403" i="32"/>
  <c r="N403" i="32"/>
  <c r="M402" i="32" a="1"/>
  <c r="M402" i="32"/>
  <c r="V402" i="32"/>
  <c r="O402" i="32"/>
  <c r="N402" i="32"/>
  <c r="M401" i="32" a="1"/>
  <c r="M401" i="32"/>
  <c r="V401" i="32"/>
  <c r="O401" i="32"/>
  <c r="N401" i="32"/>
  <c r="M400" i="32" a="1"/>
  <c r="M400" i="32"/>
  <c r="V400" i="32"/>
  <c r="O400" i="32"/>
  <c r="N400" i="32"/>
  <c r="M399" i="32" a="1"/>
  <c r="M399" i="32"/>
  <c r="V399" i="32"/>
  <c r="O399" i="32"/>
  <c r="N399" i="32"/>
  <c r="M398" i="32" a="1"/>
  <c r="M398" i="32"/>
  <c r="V398" i="32"/>
  <c r="O398" i="32"/>
  <c r="N398" i="32"/>
  <c r="M397" i="32" a="1"/>
  <c r="M397" i="32"/>
  <c r="V397" i="32"/>
  <c r="O397" i="32"/>
  <c r="N397" i="32"/>
  <c r="M396" i="32" a="1"/>
  <c r="M396" i="32"/>
  <c r="V396" i="32"/>
  <c r="O396" i="32"/>
  <c r="N396" i="32"/>
  <c r="M395" i="32" a="1"/>
  <c r="M395" i="32"/>
  <c r="V395" i="32"/>
  <c r="O395" i="32"/>
  <c r="N395" i="32"/>
  <c r="M394" i="32" a="1"/>
  <c r="M394" i="32"/>
  <c r="V394" i="32"/>
  <c r="O394" i="32"/>
  <c r="N394" i="32"/>
  <c r="A13" i="32"/>
  <c r="D13" i="32" a="1"/>
  <c r="D13" i="32"/>
  <c r="K342" i="32"/>
  <c r="M373" i="32" a="1"/>
  <c r="M373" i="32"/>
  <c r="V373" i="32"/>
  <c r="O373" i="32"/>
  <c r="N373" i="32"/>
  <c r="M372" i="32" a="1"/>
  <c r="M372" i="32"/>
  <c r="V372" i="32"/>
  <c r="O372" i="32"/>
  <c r="N372" i="32"/>
  <c r="M371" i="32" a="1"/>
  <c r="M371" i="32"/>
  <c r="V371" i="32"/>
  <c r="O371" i="32"/>
  <c r="N371" i="32"/>
  <c r="M370" i="32" a="1"/>
  <c r="M370" i="32"/>
  <c r="V370" i="32"/>
  <c r="O370" i="32"/>
  <c r="N370" i="32"/>
  <c r="M369" i="32" a="1"/>
  <c r="M369" i="32"/>
  <c r="V369" i="32"/>
  <c r="O369" i="32"/>
  <c r="N369" i="32"/>
  <c r="M368" i="32" a="1"/>
  <c r="M368" i="32"/>
  <c r="V368" i="32"/>
  <c r="O368" i="32"/>
  <c r="N368" i="32"/>
  <c r="M367" i="32" a="1"/>
  <c r="M367" i="32"/>
  <c r="V367" i="32"/>
  <c r="O367" i="32"/>
  <c r="N367" i="32"/>
  <c r="M366" i="32" a="1"/>
  <c r="M366" i="32"/>
  <c r="V366" i="32"/>
  <c r="O366" i="32"/>
  <c r="N366" i="32"/>
  <c r="M365" i="32" a="1"/>
  <c r="M365" i="32"/>
  <c r="V365" i="32"/>
  <c r="O365" i="32"/>
  <c r="N365" i="32"/>
  <c r="M364" i="32" a="1"/>
  <c r="M364" i="32"/>
  <c r="V364" i="32"/>
  <c r="O364" i="32"/>
  <c r="N364" i="32"/>
  <c r="M363" i="32" a="1"/>
  <c r="M363" i="32"/>
  <c r="V363" i="32"/>
  <c r="O363" i="32"/>
  <c r="N363" i="32"/>
  <c r="M362" i="32" a="1"/>
  <c r="M362" i="32"/>
  <c r="V362" i="32"/>
  <c r="O362" i="32"/>
  <c r="N362" i="32"/>
  <c r="M361" i="32" a="1"/>
  <c r="M361" i="32"/>
  <c r="V361" i="32"/>
  <c r="O361" i="32"/>
  <c r="N361" i="32"/>
  <c r="M360" i="32" a="1"/>
  <c r="M360" i="32"/>
  <c r="V360" i="32"/>
  <c r="O360" i="32"/>
  <c r="N360" i="32"/>
  <c r="M359" i="32" a="1"/>
  <c r="M359" i="32"/>
  <c r="V359" i="32"/>
  <c r="O359" i="32"/>
  <c r="N359" i="32"/>
  <c r="A12" i="32"/>
  <c r="D12" i="32" a="1"/>
  <c r="D12" i="32"/>
  <c r="K307" i="32"/>
  <c r="M338" i="32" a="1"/>
  <c r="M338" i="32"/>
  <c r="V338" i="32"/>
  <c r="O338" i="32"/>
  <c r="N338" i="32"/>
  <c r="M337" i="32" a="1"/>
  <c r="M337" i="32"/>
  <c r="V337" i="32"/>
  <c r="O337" i="32"/>
  <c r="N337" i="32"/>
  <c r="M336" i="32" a="1"/>
  <c r="M336" i="32"/>
  <c r="V336" i="32"/>
  <c r="O336" i="32"/>
  <c r="N336" i="32"/>
  <c r="M335" i="32" a="1"/>
  <c r="M335" i="32"/>
  <c r="V335" i="32"/>
  <c r="O335" i="32"/>
  <c r="N335" i="32"/>
  <c r="M334" i="32" a="1"/>
  <c r="M334" i="32"/>
  <c r="V334" i="32"/>
  <c r="O334" i="32"/>
  <c r="N334" i="32"/>
  <c r="M333" i="32" a="1"/>
  <c r="M333" i="32"/>
  <c r="V333" i="32"/>
  <c r="O333" i="32"/>
  <c r="N333" i="32"/>
  <c r="M332" i="32" a="1"/>
  <c r="M332" i="32"/>
  <c r="V332" i="32"/>
  <c r="O332" i="32"/>
  <c r="N332" i="32"/>
  <c r="M331" i="32" a="1"/>
  <c r="M331" i="32"/>
  <c r="V331" i="32"/>
  <c r="O331" i="32"/>
  <c r="N331" i="32"/>
  <c r="M330" i="32" a="1"/>
  <c r="M330" i="32"/>
  <c r="V330" i="32"/>
  <c r="O330" i="32"/>
  <c r="N330" i="32"/>
  <c r="M329" i="32" a="1"/>
  <c r="M329" i="32"/>
  <c r="V329" i="32"/>
  <c r="O329" i="32"/>
  <c r="N329" i="32"/>
  <c r="M328" i="32" a="1"/>
  <c r="M328" i="32"/>
  <c r="V328" i="32"/>
  <c r="O328" i="32"/>
  <c r="N328" i="32"/>
  <c r="M327" i="32" a="1"/>
  <c r="M327" i="32"/>
  <c r="V327" i="32"/>
  <c r="O327" i="32"/>
  <c r="N327" i="32"/>
  <c r="M326" i="32" a="1"/>
  <c r="M326" i="32"/>
  <c r="V326" i="32"/>
  <c r="O326" i="32"/>
  <c r="N326" i="32"/>
  <c r="M325" i="32" a="1"/>
  <c r="M325" i="32"/>
  <c r="V325" i="32"/>
  <c r="O325" i="32"/>
  <c r="N325" i="32"/>
  <c r="M324" i="32" a="1"/>
  <c r="M324" i="32"/>
  <c r="V324" i="32"/>
  <c r="O324" i="32"/>
  <c r="N324" i="32"/>
  <c r="A11" i="32"/>
  <c r="D11" i="32" a="1"/>
  <c r="D11" i="32"/>
  <c r="K272" i="32"/>
  <c r="M303" i="32" a="1"/>
  <c r="M303" i="32"/>
  <c r="V303" i="32"/>
  <c r="O303" i="32"/>
  <c r="N303" i="32"/>
  <c r="M302" i="32" a="1"/>
  <c r="M302" i="32"/>
  <c r="V302" i="32"/>
  <c r="O302" i="32"/>
  <c r="N302" i="32"/>
  <c r="M301" i="32" a="1"/>
  <c r="M301" i="32"/>
  <c r="V301" i="32"/>
  <c r="O301" i="32"/>
  <c r="N301" i="32"/>
  <c r="M300" i="32" a="1"/>
  <c r="M300" i="32"/>
  <c r="V300" i="32"/>
  <c r="O300" i="32"/>
  <c r="N300" i="32"/>
  <c r="M299" i="32" a="1"/>
  <c r="M299" i="32"/>
  <c r="V299" i="32"/>
  <c r="O299" i="32"/>
  <c r="N299" i="32"/>
  <c r="M298" i="32" a="1"/>
  <c r="M298" i="32"/>
  <c r="V298" i="32"/>
  <c r="O298" i="32"/>
  <c r="N298" i="32"/>
  <c r="M297" i="32" a="1"/>
  <c r="M297" i="32"/>
  <c r="V297" i="32"/>
  <c r="O297" i="32"/>
  <c r="N297" i="32"/>
  <c r="M296" i="32" a="1"/>
  <c r="M296" i="32"/>
  <c r="V296" i="32"/>
  <c r="O296" i="32"/>
  <c r="N296" i="32"/>
  <c r="M295" i="32" a="1"/>
  <c r="M295" i="32"/>
  <c r="V295" i="32"/>
  <c r="O295" i="32"/>
  <c r="N295" i="32"/>
  <c r="M294" i="32" a="1"/>
  <c r="M294" i="32"/>
  <c r="V294" i="32"/>
  <c r="O294" i="32"/>
  <c r="N294" i="32"/>
  <c r="M293" i="32" a="1"/>
  <c r="M293" i="32"/>
  <c r="V293" i="32"/>
  <c r="O293" i="32"/>
  <c r="N293" i="32"/>
  <c r="M292" i="32" a="1"/>
  <c r="M292" i="32"/>
  <c r="V292" i="32"/>
  <c r="O292" i="32"/>
  <c r="N292" i="32"/>
  <c r="M291" i="32" a="1"/>
  <c r="M291" i="32"/>
  <c r="V291" i="32"/>
  <c r="O291" i="32"/>
  <c r="N291" i="32"/>
  <c r="M290" i="32" a="1"/>
  <c r="M290" i="32"/>
  <c r="V290" i="32"/>
  <c r="O290" i="32"/>
  <c r="N290" i="32"/>
  <c r="M289" i="32" a="1"/>
  <c r="M289" i="32"/>
  <c r="V289" i="32"/>
  <c r="O289" i="32"/>
  <c r="N289" i="32"/>
  <c r="A10" i="32"/>
  <c r="D10" i="32" a="1"/>
  <c r="D10" i="32"/>
  <c r="K237" i="32"/>
  <c r="M268" i="32" a="1"/>
  <c r="M268" i="32"/>
  <c r="V268" i="32"/>
  <c r="O268" i="32"/>
  <c r="N268" i="32"/>
  <c r="M267" i="32" a="1"/>
  <c r="M267" i="32"/>
  <c r="V267" i="32"/>
  <c r="O267" i="32"/>
  <c r="N267" i="32"/>
  <c r="M266" i="32" a="1"/>
  <c r="M266" i="32"/>
  <c r="V266" i="32"/>
  <c r="O266" i="32"/>
  <c r="N266" i="32"/>
  <c r="M265" i="32" a="1"/>
  <c r="M265" i="32"/>
  <c r="V265" i="32"/>
  <c r="O265" i="32"/>
  <c r="N265" i="32"/>
  <c r="M264" i="32" a="1"/>
  <c r="M264" i="32"/>
  <c r="V264" i="32"/>
  <c r="O264" i="32"/>
  <c r="N264" i="32"/>
  <c r="M263" i="32" a="1"/>
  <c r="M263" i="32"/>
  <c r="V263" i="32"/>
  <c r="O263" i="32"/>
  <c r="N263" i="32"/>
  <c r="M262" i="32" a="1"/>
  <c r="M262" i="32"/>
  <c r="V262" i="32"/>
  <c r="O262" i="32"/>
  <c r="N262" i="32"/>
  <c r="M261" i="32" a="1"/>
  <c r="M261" i="32"/>
  <c r="V261" i="32"/>
  <c r="O261" i="32"/>
  <c r="N261" i="32"/>
  <c r="M260" i="32" a="1"/>
  <c r="M260" i="32"/>
  <c r="V260" i="32"/>
  <c r="O260" i="32"/>
  <c r="N260" i="32"/>
  <c r="M259" i="32" a="1"/>
  <c r="M259" i="32"/>
  <c r="V259" i="32"/>
  <c r="O259" i="32"/>
  <c r="N259" i="32"/>
  <c r="M258" i="32" a="1"/>
  <c r="M258" i="32"/>
  <c r="V258" i="32"/>
  <c r="O258" i="32"/>
  <c r="N258" i="32"/>
  <c r="M257" i="32" a="1"/>
  <c r="M257" i="32"/>
  <c r="V257" i="32"/>
  <c r="O257" i="32"/>
  <c r="N257" i="32"/>
  <c r="M256" i="32" a="1"/>
  <c r="M256" i="32"/>
  <c r="V256" i="32"/>
  <c r="O256" i="32"/>
  <c r="N256" i="32"/>
  <c r="M255" i="32" a="1"/>
  <c r="M255" i="32"/>
  <c r="V255" i="32"/>
  <c r="O255" i="32"/>
  <c r="N255" i="32"/>
  <c r="M254" i="32" a="1"/>
  <c r="M254" i="32"/>
  <c r="V254" i="32"/>
  <c r="O254" i="32"/>
  <c r="N254" i="32"/>
  <c r="A9" i="32"/>
  <c r="D9" i="32" a="1"/>
  <c r="D9" i="32"/>
  <c r="K202" i="32"/>
  <c r="M233" i="32" a="1"/>
  <c r="M233" i="32"/>
  <c r="V233" i="32"/>
  <c r="O233" i="32"/>
  <c r="N233" i="32"/>
  <c r="M232" i="32" a="1"/>
  <c r="M232" i="32"/>
  <c r="V232" i="32"/>
  <c r="O232" i="32"/>
  <c r="N232" i="32"/>
  <c r="M231" i="32" a="1"/>
  <c r="M231" i="32"/>
  <c r="V231" i="32"/>
  <c r="O231" i="32"/>
  <c r="N231" i="32"/>
  <c r="M230" i="32" a="1"/>
  <c r="M230" i="32"/>
  <c r="V230" i="32"/>
  <c r="O230" i="32"/>
  <c r="N230" i="32"/>
  <c r="M229" i="32" a="1"/>
  <c r="M229" i="32"/>
  <c r="V229" i="32"/>
  <c r="O229" i="32"/>
  <c r="N229" i="32"/>
  <c r="M228" i="32" a="1"/>
  <c r="M228" i="32"/>
  <c r="V228" i="32"/>
  <c r="O228" i="32"/>
  <c r="N228" i="32"/>
  <c r="M227" i="32" a="1"/>
  <c r="M227" i="32"/>
  <c r="V227" i="32"/>
  <c r="O227" i="32"/>
  <c r="N227" i="32"/>
  <c r="M226" i="32" a="1"/>
  <c r="M226" i="32"/>
  <c r="V226" i="32"/>
  <c r="O226" i="32"/>
  <c r="N226" i="32"/>
  <c r="M225" i="32" a="1"/>
  <c r="M225" i="32"/>
  <c r="V225" i="32"/>
  <c r="O225" i="32"/>
  <c r="N225" i="32"/>
  <c r="M224" i="32" a="1"/>
  <c r="M224" i="32"/>
  <c r="V224" i="32"/>
  <c r="O224" i="32"/>
  <c r="N224" i="32"/>
  <c r="M223" i="32" a="1"/>
  <c r="M223" i="32"/>
  <c r="V223" i="32"/>
  <c r="O223" i="32"/>
  <c r="N223" i="32"/>
  <c r="M222" i="32" a="1"/>
  <c r="M222" i="32"/>
  <c r="V222" i="32"/>
  <c r="O222" i="32"/>
  <c r="N222" i="32"/>
  <c r="M221" i="32" a="1"/>
  <c r="M221" i="32"/>
  <c r="V221" i="32"/>
  <c r="O221" i="32"/>
  <c r="N221" i="32"/>
  <c r="M220" i="32" a="1"/>
  <c r="M220" i="32"/>
  <c r="V220" i="32"/>
  <c r="O220" i="32"/>
  <c r="N220" i="32"/>
  <c r="M219" i="32" a="1"/>
  <c r="M219" i="32"/>
  <c r="V219" i="32"/>
  <c r="O219" i="32"/>
  <c r="N219" i="32"/>
  <c r="A8" i="32"/>
  <c r="D8" i="32" a="1"/>
  <c r="D8" i="32"/>
  <c r="K167" i="32"/>
  <c r="M198" i="32" a="1"/>
  <c r="M198" i="32"/>
  <c r="V198" i="32"/>
  <c r="O198" i="32"/>
  <c r="N198" i="32"/>
  <c r="M197" i="32" a="1"/>
  <c r="M197" i="32"/>
  <c r="V197" i="32"/>
  <c r="O197" i="32"/>
  <c r="N197" i="32"/>
  <c r="M196" i="32" a="1"/>
  <c r="M196" i="32"/>
  <c r="V196" i="32"/>
  <c r="O196" i="32"/>
  <c r="N196" i="32"/>
  <c r="M195" i="32" a="1"/>
  <c r="M195" i="32"/>
  <c r="V195" i="32"/>
  <c r="O195" i="32"/>
  <c r="N195" i="32"/>
  <c r="M194" i="32" a="1"/>
  <c r="M194" i="32"/>
  <c r="V194" i="32"/>
  <c r="O194" i="32"/>
  <c r="N194" i="32"/>
  <c r="M193" i="32" a="1"/>
  <c r="M193" i="32"/>
  <c r="V193" i="32"/>
  <c r="O193" i="32"/>
  <c r="N193" i="32"/>
  <c r="M192" i="32" a="1"/>
  <c r="M192" i="32"/>
  <c r="V192" i="32"/>
  <c r="O192" i="32"/>
  <c r="N192" i="32"/>
  <c r="M191" i="32" a="1"/>
  <c r="M191" i="32"/>
  <c r="V191" i="32"/>
  <c r="O191" i="32"/>
  <c r="N191" i="32"/>
  <c r="M190" i="32" a="1"/>
  <c r="M190" i="32"/>
  <c r="V190" i="32"/>
  <c r="O190" i="32"/>
  <c r="N190" i="32"/>
  <c r="M189" i="32" a="1"/>
  <c r="M189" i="32"/>
  <c r="V189" i="32"/>
  <c r="O189" i="32"/>
  <c r="N189" i="32"/>
  <c r="M188" i="32" a="1"/>
  <c r="M188" i="32"/>
  <c r="V188" i="32"/>
  <c r="O188" i="32"/>
  <c r="N188" i="32"/>
  <c r="M187" i="32" a="1"/>
  <c r="M187" i="32"/>
  <c r="V187" i="32"/>
  <c r="O187" i="32"/>
  <c r="N187" i="32"/>
  <c r="M186" i="32" a="1"/>
  <c r="M186" i="32"/>
  <c r="V186" i="32"/>
  <c r="O186" i="32"/>
  <c r="N186" i="32"/>
  <c r="M185" i="32" a="1"/>
  <c r="M185" i="32"/>
  <c r="V185" i="32"/>
  <c r="O185" i="32"/>
  <c r="N185" i="32"/>
  <c r="M184" i="32" a="1"/>
  <c r="M184" i="32"/>
  <c r="V184" i="32"/>
  <c r="O184" i="32"/>
  <c r="N184" i="32"/>
  <c r="A7" i="32"/>
  <c r="D7" i="32" a="1"/>
  <c r="D7" i="32"/>
  <c r="K132" i="32"/>
  <c r="M149" i="32" a="1"/>
  <c r="M149" i="32"/>
  <c r="N149" i="32"/>
  <c r="M163" i="32" a="1"/>
  <c r="M163" i="32"/>
  <c r="V163" i="32"/>
  <c r="O163" i="32"/>
  <c r="N163" i="32"/>
  <c r="M162" i="32" a="1"/>
  <c r="M162" i="32"/>
  <c r="V162" i="32"/>
  <c r="O162" i="32"/>
  <c r="N162" i="32"/>
  <c r="M161" i="32" a="1"/>
  <c r="M161" i="32"/>
  <c r="V161" i="32"/>
  <c r="O161" i="32"/>
  <c r="N161" i="32"/>
  <c r="M160" i="32" a="1"/>
  <c r="M160" i="32"/>
  <c r="V160" i="32"/>
  <c r="O160" i="32"/>
  <c r="N160" i="32"/>
  <c r="M159" i="32" a="1"/>
  <c r="M159" i="32"/>
  <c r="V159" i="32"/>
  <c r="O159" i="32"/>
  <c r="N159" i="32"/>
  <c r="M158" i="32" a="1"/>
  <c r="M158" i="32"/>
  <c r="V158" i="32"/>
  <c r="O158" i="32"/>
  <c r="N158" i="32"/>
  <c r="M157" i="32" a="1"/>
  <c r="M157" i="32"/>
  <c r="V157" i="32"/>
  <c r="O157" i="32"/>
  <c r="N157" i="32"/>
  <c r="M156" i="32" a="1"/>
  <c r="M156" i="32"/>
  <c r="V156" i="32"/>
  <c r="O156" i="32"/>
  <c r="N156" i="32"/>
  <c r="M155" i="32" a="1"/>
  <c r="M155" i="32"/>
  <c r="V155" i="32"/>
  <c r="O155" i="32"/>
  <c r="N155" i="32"/>
  <c r="M154" i="32" a="1"/>
  <c r="M154" i="32"/>
  <c r="V154" i="32"/>
  <c r="O154" i="32"/>
  <c r="N154" i="32"/>
  <c r="M153" i="32" a="1"/>
  <c r="M153" i="32"/>
  <c r="V153" i="32"/>
  <c r="O153" i="32"/>
  <c r="N153" i="32"/>
  <c r="M152" i="32" a="1"/>
  <c r="M152" i="32"/>
  <c r="V152" i="32"/>
  <c r="O152" i="32"/>
  <c r="N152" i="32"/>
  <c r="M151" i="32" a="1"/>
  <c r="M151" i="32"/>
  <c r="V151" i="32"/>
  <c r="O151" i="32"/>
  <c r="N151" i="32"/>
  <c r="M150" i="32" a="1"/>
  <c r="M150" i="32"/>
  <c r="V150" i="32"/>
  <c r="O150" i="32"/>
  <c r="N150" i="32"/>
  <c r="V149" i="32"/>
  <c r="O149" i="32"/>
  <c r="D21" i="31"/>
  <c r="D22" i="31"/>
  <c r="D23" i="31"/>
  <c r="D24" i="31"/>
  <c r="D25" i="31"/>
  <c r="D26" i="31"/>
  <c r="D27" i="31"/>
  <c r="D28" i="31"/>
  <c r="D29" i="31"/>
  <c r="D30" i="31"/>
  <c r="D31" i="31"/>
  <c r="D32" i="31"/>
  <c r="D33" i="31"/>
  <c r="D34" i="31"/>
  <c r="A4" i="32"/>
  <c r="D4" i="32" a="1"/>
  <c r="D4" i="32"/>
  <c r="K26" i="32"/>
  <c r="J535" i="32" a="1"/>
  <c r="J535" i="32"/>
  <c r="J536" i="32" a="1"/>
  <c r="J536" i="32"/>
  <c r="J537" i="32" a="1"/>
  <c r="J537" i="32"/>
  <c r="J538" i="32" a="1"/>
  <c r="J538" i="32"/>
  <c r="J539" i="32" a="1"/>
  <c r="J539" i="32"/>
  <c r="J540" i="32" a="1"/>
  <c r="J540" i="32"/>
  <c r="J541" i="32" a="1"/>
  <c r="J541" i="32"/>
  <c r="J542" i="32" a="1"/>
  <c r="J542" i="32"/>
  <c r="J543" i="32" a="1"/>
  <c r="J543" i="32"/>
  <c r="J544" i="32" a="1"/>
  <c r="J544" i="32"/>
  <c r="J545" i="32" a="1"/>
  <c r="J545" i="32"/>
  <c r="J546" i="32" a="1"/>
  <c r="J546" i="32"/>
  <c r="J547" i="32" a="1"/>
  <c r="J547" i="32"/>
  <c r="J548" i="32" a="1"/>
  <c r="J548" i="32"/>
  <c r="J534" i="32" a="1"/>
  <c r="J534" i="32"/>
  <c r="J500" i="32" a="1"/>
  <c r="J500" i="32"/>
  <c r="J501" i="32" a="1"/>
  <c r="J501" i="32"/>
  <c r="J502" i="32" a="1"/>
  <c r="J502" i="32"/>
  <c r="J503" i="32" a="1"/>
  <c r="J503" i="32"/>
  <c r="J504" i="32" a="1"/>
  <c r="J504" i="32"/>
  <c r="J505" i="32" a="1"/>
  <c r="J505" i="32"/>
  <c r="J506" i="32" a="1"/>
  <c r="J506" i="32"/>
  <c r="J507" i="32" a="1"/>
  <c r="J507" i="32"/>
  <c r="J508" i="32" a="1"/>
  <c r="J508" i="32"/>
  <c r="J509" i="32" a="1"/>
  <c r="J509" i="32"/>
  <c r="J510" i="32" a="1"/>
  <c r="J510" i="32"/>
  <c r="J511" i="32" a="1"/>
  <c r="J511" i="32"/>
  <c r="J512" i="32" a="1"/>
  <c r="J512" i="32"/>
  <c r="J513" i="32" a="1"/>
  <c r="J513" i="32"/>
  <c r="J499" i="32" a="1"/>
  <c r="J499" i="32"/>
  <c r="J465" i="32" a="1"/>
  <c r="J465" i="32"/>
  <c r="J466" i="32" a="1"/>
  <c r="J466" i="32"/>
  <c r="J467" i="32" a="1"/>
  <c r="J467" i="32"/>
  <c r="J468" i="32" a="1"/>
  <c r="J468" i="32"/>
  <c r="J469" i="32" a="1"/>
  <c r="J469" i="32"/>
  <c r="J470" i="32" a="1"/>
  <c r="J470" i="32"/>
  <c r="J471" i="32" a="1"/>
  <c r="J471" i="32"/>
  <c r="J472" i="32" a="1"/>
  <c r="J472" i="32"/>
  <c r="J473" i="32" a="1"/>
  <c r="J473" i="32"/>
  <c r="J474" i="32" a="1"/>
  <c r="J474" i="32"/>
  <c r="J475" i="32" a="1"/>
  <c r="J475" i="32"/>
  <c r="J476" i="32" a="1"/>
  <c r="J476" i="32"/>
  <c r="J477" i="32" a="1"/>
  <c r="J477" i="32"/>
  <c r="J478" i="32" a="1"/>
  <c r="J478" i="32"/>
  <c r="J464" i="32" a="1"/>
  <c r="J464" i="32"/>
  <c r="J430" i="32" a="1"/>
  <c r="J430" i="32"/>
  <c r="J431" i="32" a="1"/>
  <c r="J431" i="32"/>
  <c r="J432" i="32" a="1"/>
  <c r="J432" i="32"/>
  <c r="J433" i="32" a="1"/>
  <c r="J433" i="32"/>
  <c r="J434" i="32" a="1"/>
  <c r="J434" i="32"/>
  <c r="J435" i="32" a="1"/>
  <c r="J435" i="32"/>
  <c r="J436" i="32" a="1"/>
  <c r="J436" i="32"/>
  <c r="J437" i="32" a="1"/>
  <c r="J437" i="32"/>
  <c r="J438" i="32" a="1"/>
  <c r="J438" i="32"/>
  <c r="J439" i="32" a="1"/>
  <c r="J439" i="32"/>
  <c r="J440" i="32" a="1"/>
  <c r="J440" i="32"/>
  <c r="J441" i="32" a="1"/>
  <c r="J441" i="32"/>
  <c r="J442" i="32" a="1"/>
  <c r="J442" i="32"/>
  <c r="J443" i="32" a="1"/>
  <c r="J443" i="32"/>
  <c r="J429" i="32" a="1"/>
  <c r="J429" i="32"/>
  <c r="J395" i="32" a="1"/>
  <c r="J395" i="32"/>
  <c r="J396" i="32" a="1"/>
  <c r="J396" i="32"/>
  <c r="J397" i="32" a="1"/>
  <c r="J397" i="32"/>
  <c r="J398" i="32" a="1"/>
  <c r="J398" i="32"/>
  <c r="J399" i="32" a="1"/>
  <c r="J399" i="32"/>
  <c r="J400" i="32" a="1"/>
  <c r="J400" i="32"/>
  <c r="J401" i="32" a="1"/>
  <c r="J401" i="32"/>
  <c r="J402" i="32" a="1"/>
  <c r="J402" i="32"/>
  <c r="J403" i="32" a="1"/>
  <c r="J403" i="32"/>
  <c r="J404" i="32" a="1"/>
  <c r="J404" i="32"/>
  <c r="J405" i="32" a="1"/>
  <c r="J405" i="32"/>
  <c r="J406" i="32" a="1"/>
  <c r="J406" i="32"/>
  <c r="J407" i="32" a="1"/>
  <c r="J407" i="32"/>
  <c r="J408" i="32" a="1"/>
  <c r="J408" i="32"/>
  <c r="J394" i="32" a="1"/>
  <c r="J394" i="32"/>
  <c r="J360" i="32" a="1"/>
  <c r="J360" i="32"/>
  <c r="J361" i="32" a="1"/>
  <c r="J361" i="32"/>
  <c r="J362" i="32" a="1"/>
  <c r="J362" i="32"/>
  <c r="J363" i="32" a="1"/>
  <c r="J363" i="32"/>
  <c r="J364" i="32" a="1"/>
  <c r="J364" i="32"/>
  <c r="J365" i="32" a="1"/>
  <c r="J365" i="32"/>
  <c r="J366" i="32" a="1"/>
  <c r="J366" i="32"/>
  <c r="J367" i="32" a="1"/>
  <c r="J367" i="32"/>
  <c r="J368" i="32" a="1"/>
  <c r="J368" i="32"/>
  <c r="J369" i="32" a="1"/>
  <c r="J369" i="32"/>
  <c r="J370" i="32" a="1"/>
  <c r="J370" i="32"/>
  <c r="J371" i="32" a="1"/>
  <c r="J371" i="32"/>
  <c r="J372" i="32" a="1"/>
  <c r="J372" i="32"/>
  <c r="J373" i="32" a="1"/>
  <c r="J373" i="32"/>
  <c r="J359" i="32" a="1"/>
  <c r="J359" i="32"/>
  <c r="J325" i="32" a="1"/>
  <c r="J325" i="32"/>
  <c r="J326" i="32" a="1"/>
  <c r="J326" i="32"/>
  <c r="J327" i="32" a="1"/>
  <c r="J327" i="32"/>
  <c r="J328" i="32" a="1"/>
  <c r="J328" i="32"/>
  <c r="J329" i="32" a="1"/>
  <c r="J329" i="32"/>
  <c r="J330" i="32" a="1"/>
  <c r="J330" i="32"/>
  <c r="J331" i="32" a="1"/>
  <c r="J331" i="32"/>
  <c r="J332" i="32" a="1"/>
  <c r="J332" i="32"/>
  <c r="J333" i="32" a="1"/>
  <c r="J333" i="32"/>
  <c r="J334" i="32" a="1"/>
  <c r="J334" i="32"/>
  <c r="J335" i="32" a="1"/>
  <c r="J335" i="32"/>
  <c r="J336" i="32" a="1"/>
  <c r="J336" i="32"/>
  <c r="J337" i="32" a="1"/>
  <c r="J337" i="32"/>
  <c r="J338" i="32" a="1"/>
  <c r="J338" i="32"/>
  <c r="J324" i="32" a="1"/>
  <c r="J324" i="32"/>
  <c r="J290" i="32" a="1"/>
  <c r="J290" i="32"/>
  <c r="J291" i="32" a="1"/>
  <c r="J291" i="32"/>
  <c r="J292" i="32" a="1"/>
  <c r="J292" i="32"/>
  <c r="J293" i="32" a="1"/>
  <c r="J293" i="32"/>
  <c r="J294" i="32" a="1"/>
  <c r="J294" i="32"/>
  <c r="J295" i="32" a="1"/>
  <c r="J295" i="32"/>
  <c r="J296" i="32" a="1"/>
  <c r="J296" i="32"/>
  <c r="J297" i="32" a="1"/>
  <c r="J297" i="32"/>
  <c r="J298" i="32" a="1"/>
  <c r="J298" i="32"/>
  <c r="J299" i="32" a="1"/>
  <c r="J299" i="32"/>
  <c r="J300" i="32" a="1"/>
  <c r="J300" i="32"/>
  <c r="J301" i="32" a="1"/>
  <c r="J301" i="32"/>
  <c r="J302" i="32" a="1"/>
  <c r="J302" i="32"/>
  <c r="J303" i="32" a="1"/>
  <c r="J303" i="32"/>
  <c r="J289" i="32" a="1"/>
  <c r="J289" i="32"/>
  <c r="J255" i="32" a="1"/>
  <c r="J255" i="32"/>
  <c r="J256" i="32" a="1"/>
  <c r="J256" i="32"/>
  <c r="J257" i="32" a="1"/>
  <c r="J257" i="32"/>
  <c r="J258" i="32" a="1"/>
  <c r="J258" i="32"/>
  <c r="J259" i="32" a="1"/>
  <c r="J259" i="32"/>
  <c r="J260" i="32" a="1"/>
  <c r="J260" i="32"/>
  <c r="J261" i="32" a="1"/>
  <c r="J261" i="32"/>
  <c r="J262" i="32" a="1"/>
  <c r="J262" i="32"/>
  <c r="J263" i="32" a="1"/>
  <c r="J263" i="32"/>
  <c r="J264" i="32" a="1"/>
  <c r="J264" i="32"/>
  <c r="J265" i="32" a="1"/>
  <c r="J265" i="32"/>
  <c r="J266" i="32" a="1"/>
  <c r="J266" i="32"/>
  <c r="J267" i="32" a="1"/>
  <c r="J267" i="32"/>
  <c r="J268" i="32" a="1"/>
  <c r="J268" i="32"/>
  <c r="J254" i="32" a="1"/>
  <c r="J254" i="32"/>
  <c r="J220" i="32" a="1"/>
  <c r="J220" i="32"/>
  <c r="J221" i="32" a="1"/>
  <c r="J221" i="32"/>
  <c r="J222" i="32" a="1"/>
  <c r="J222" i="32"/>
  <c r="J223" i="32" a="1"/>
  <c r="J223" i="32"/>
  <c r="J224" i="32" a="1"/>
  <c r="J224" i="32"/>
  <c r="J225" i="32" a="1"/>
  <c r="J225" i="32"/>
  <c r="J226" i="32" a="1"/>
  <c r="J226" i="32"/>
  <c r="J227" i="32" a="1"/>
  <c r="J227" i="32"/>
  <c r="J228" i="32" a="1"/>
  <c r="J228" i="32"/>
  <c r="J229" i="32" a="1"/>
  <c r="J229" i="32"/>
  <c r="J230" i="32" a="1"/>
  <c r="J230" i="32"/>
  <c r="J231" i="32" a="1"/>
  <c r="J231" i="32"/>
  <c r="J232" i="32" a="1"/>
  <c r="J232" i="32"/>
  <c r="J233" i="32" a="1"/>
  <c r="J233" i="32"/>
  <c r="J219" i="32" a="1"/>
  <c r="J219" i="32"/>
  <c r="J185" i="32" a="1"/>
  <c r="J185" i="32"/>
  <c r="J186" i="32" a="1"/>
  <c r="J186" i="32"/>
  <c r="J187" i="32" a="1"/>
  <c r="J187" i="32"/>
  <c r="J188" i="32" a="1"/>
  <c r="J188" i="32"/>
  <c r="J189" i="32" a="1"/>
  <c r="J189" i="32"/>
  <c r="J190" i="32" a="1"/>
  <c r="J190" i="32"/>
  <c r="J191" i="32" a="1"/>
  <c r="J191" i="32"/>
  <c r="J192" i="32" a="1"/>
  <c r="J192" i="32"/>
  <c r="J193" i="32" a="1"/>
  <c r="J193" i="32"/>
  <c r="J194" i="32" a="1"/>
  <c r="J194" i="32"/>
  <c r="J195" i="32" a="1"/>
  <c r="J195" i="32"/>
  <c r="J196" i="32" a="1"/>
  <c r="J196" i="32"/>
  <c r="J197" i="32" a="1"/>
  <c r="J197" i="32"/>
  <c r="J198" i="32" a="1"/>
  <c r="J198" i="32"/>
  <c r="J184" i="32" a="1"/>
  <c r="J184" i="32"/>
  <c r="J150" i="32" a="1"/>
  <c r="J150" i="32"/>
  <c r="J151" i="32" a="1"/>
  <c r="J151" i="32"/>
  <c r="J152" i="32" a="1"/>
  <c r="J152" i="32"/>
  <c r="J153" i="32" a="1"/>
  <c r="J153" i="32"/>
  <c r="J154" i="32" a="1"/>
  <c r="J154" i="32"/>
  <c r="J155" i="32" a="1"/>
  <c r="J155" i="32"/>
  <c r="J156" i="32" a="1"/>
  <c r="J156" i="32"/>
  <c r="J157" i="32" a="1"/>
  <c r="J157" i="32"/>
  <c r="J158" i="32" a="1"/>
  <c r="J158" i="32"/>
  <c r="J159" i="32" a="1"/>
  <c r="J159" i="32"/>
  <c r="J160" i="32" a="1"/>
  <c r="J160" i="32"/>
  <c r="J161" i="32" a="1"/>
  <c r="J161" i="32"/>
  <c r="J162" i="32" a="1"/>
  <c r="J162" i="32"/>
  <c r="J163" i="32" a="1"/>
  <c r="J163" i="32"/>
  <c r="J149" i="32" a="1"/>
  <c r="J149" i="32"/>
  <c r="P5" i="30"/>
  <c r="U5" i="28"/>
  <c r="BZ27" i="15"/>
  <c r="DC27" i="15"/>
  <c r="DD27" i="15"/>
  <c r="DE27" i="15"/>
  <c r="BZ28" i="15"/>
  <c r="DC28" i="15"/>
  <c r="DD28" i="15"/>
  <c r="DE28" i="15"/>
  <c r="BZ29" i="15"/>
  <c r="DC29" i="15"/>
  <c r="DD29" i="15"/>
  <c r="DE29" i="15"/>
  <c r="BZ30" i="15"/>
  <c r="DC30" i="15"/>
  <c r="DD30" i="15"/>
  <c r="DE30" i="15"/>
  <c r="BZ31" i="15"/>
  <c r="DC31" i="15"/>
  <c r="DD31" i="15"/>
  <c r="DE31" i="15"/>
  <c r="BZ32" i="15"/>
  <c r="DC32" i="15"/>
  <c r="DD32" i="15"/>
  <c r="DE32" i="15"/>
  <c r="BZ33" i="15"/>
  <c r="DC33" i="15"/>
  <c r="DD33" i="15"/>
  <c r="DE33" i="15"/>
  <c r="BZ34" i="15"/>
  <c r="DC34" i="15"/>
  <c r="DD34" i="15"/>
  <c r="DE34" i="15"/>
  <c r="BZ35" i="15"/>
  <c r="DC35" i="15"/>
  <c r="DD35" i="15"/>
  <c r="DE35" i="15"/>
  <c r="BZ36" i="15"/>
  <c r="DC36" i="15"/>
  <c r="DD36" i="15"/>
  <c r="DE36" i="15"/>
  <c r="BZ37" i="15"/>
  <c r="DC37" i="15"/>
  <c r="DD37" i="15"/>
  <c r="DE37" i="15"/>
  <c r="BZ38" i="15"/>
  <c r="DC38" i="15"/>
  <c r="DD38" i="15"/>
  <c r="DE38" i="15"/>
  <c r="BZ39" i="15"/>
  <c r="DC39" i="15"/>
  <c r="DD39" i="15"/>
  <c r="DE39" i="15"/>
  <c r="BZ40" i="15"/>
  <c r="DC40" i="15"/>
  <c r="DD40" i="15"/>
  <c r="DE40" i="15"/>
  <c r="BZ41" i="15"/>
  <c r="DC41" i="15"/>
  <c r="DD41" i="15"/>
  <c r="DE41" i="15"/>
  <c r="BZ42" i="15"/>
  <c r="DC42" i="15"/>
  <c r="DD42" i="15"/>
  <c r="DE42" i="15"/>
  <c r="BX43" i="15"/>
  <c r="O43" i="15"/>
  <c r="BY43" i="15"/>
  <c r="BZ43" i="15"/>
  <c r="DC43" i="15"/>
  <c r="DD43" i="15"/>
  <c r="DE43" i="15"/>
  <c r="BX44" i="15"/>
  <c r="O44" i="15"/>
  <c r="BY44" i="15"/>
  <c r="BZ44" i="15"/>
  <c r="DC44" i="15"/>
  <c r="DD44" i="15"/>
  <c r="DE44" i="15"/>
  <c r="BX45" i="15"/>
  <c r="O45" i="15"/>
  <c r="BY45" i="15"/>
  <c r="BZ45" i="15"/>
  <c r="DC45" i="15"/>
  <c r="DD45" i="15"/>
  <c r="DE45" i="15"/>
  <c r="BX46" i="15"/>
  <c r="O46" i="15"/>
  <c r="BY46" i="15"/>
  <c r="BZ46" i="15"/>
  <c r="DC46" i="15"/>
  <c r="DD46" i="15"/>
  <c r="DE46" i="15"/>
  <c r="BX47" i="15"/>
  <c r="O47" i="15"/>
  <c r="BY47" i="15"/>
  <c r="BZ47" i="15"/>
  <c r="DC47" i="15"/>
  <c r="DD47" i="15"/>
  <c r="DE47" i="15"/>
  <c r="U7" i="28"/>
  <c r="Q5" i="30"/>
  <c r="V5" i="28"/>
  <c r="V7" i="28"/>
  <c r="R5" i="30"/>
  <c r="W5" i="28"/>
  <c r="W7" i="28"/>
  <c r="S5" i="30"/>
  <c r="X5" i="28"/>
  <c r="X7" i="28"/>
  <c r="T5" i="30"/>
  <c r="Y5" i="28"/>
  <c r="Y7" i="28"/>
  <c r="U5" i="30"/>
  <c r="Z5" i="28"/>
  <c r="Z7" i="28"/>
  <c r="V5" i="30"/>
  <c r="AA5" i="28"/>
  <c r="AA7" i="28"/>
  <c r="W5" i="30"/>
  <c r="AB5" i="28"/>
  <c r="AB7" i="28"/>
  <c r="X5" i="30"/>
  <c r="AC5" i="28"/>
  <c r="AC7" i="28"/>
  <c r="Y5" i="30"/>
  <c r="AD5" i="28"/>
  <c r="AD7" i="28"/>
  <c r="Z5" i="30"/>
  <c r="AE5" i="28"/>
  <c r="AE7" i="28"/>
  <c r="AA5" i="30"/>
  <c r="AF5" i="28"/>
  <c r="AF7" i="28"/>
  <c r="AB5" i="30"/>
  <c r="AG5" i="28"/>
  <c r="AG7" i="28"/>
  <c r="AC5" i="30"/>
  <c r="AH5" i="28"/>
  <c r="AH7" i="28"/>
  <c r="AD5" i="30"/>
  <c r="AI5" i="28"/>
  <c r="AI7" i="28"/>
  <c r="AE5" i="30"/>
  <c r="AJ5" i="28"/>
  <c r="AJ7" i="28"/>
  <c r="AF5" i="30"/>
  <c r="AK5" i="28"/>
  <c r="AK7" i="28"/>
  <c r="AG5" i="30"/>
  <c r="AL5" i="28"/>
  <c r="AL7" i="28"/>
  <c r="U8" i="28"/>
  <c r="V8" i="28"/>
  <c r="W8" i="28"/>
  <c r="X8" i="28"/>
  <c r="Y8" i="28"/>
  <c r="Z8" i="28"/>
  <c r="AA8" i="28"/>
  <c r="AB8" i="28"/>
  <c r="AC8" i="28"/>
  <c r="AD8" i="28"/>
  <c r="AE8" i="28"/>
  <c r="AF8" i="28"/>
  <c r="AG8" i="28"/>
  <c r="AH8" i="28"/>
  <c r="AI8" i="28"/>
  <c r="AJ8" i="28"/>
  <c r="AK8" i="28"/>
  <c r="AL8" i="28"/>
  <c r="U9" i="28"/>
  <c r="V9" i="28"/>
  <c r="W9" i="28"/>
  <c r="X9" i="28"/>
  <c r="Y9" i="28"/>
  <c r="Z9" i="28"/>
  <c r="AA9" i="28"/>
  <c r="AB9" i="28"/>
  <c r="AC9" i="28"/>
  <c r="AD9" i="28"/>
  <c r="AE9" i="28"/>
  <c r="AF9" i="28"/>
  <c r="AG9" i="28"/>
  <c r="AH9" i="28"/>
  <c r="AI9" i="28"/>
  <c r="AJ9" i="28"/>
  <c r="AK9" i="28"/>
  <c r="AL9" i="28"/>
  <c r="U10" i="28"/>
  <c r="V10" i="28"/>
  <c r="W10" i="28"/>
  <c r="X10" i="28"/>
  <c r="Y10" i="28"/>
  <c r="Z10" i="28"/>
  <c r="AA10" i="28"/>
  <c r="AB10" i="28"/>
  <c r="AC10" i="28"/>
  <c r="AD10" i="28"/>
  <c r="AE10" i="28"/>
  <c r="AF10" i="28"/>
  <c r="AG10" i="28"/>
  <c r="AH10" i="28"/>
  <c r="AI10" i="28"/>
  <c r="AJ10" i="28"/>
  <c r="AK10" i="28"/>
  <c r="AL10" i="28"/>
  <c r="U11" i="28"/>
  <c r="V11" i="28"/>
  <c r="W11" i="28"/>
  <c r="X11" i="28"/>
  <c r="Y11" i="28"/>
  <c r="Z11" i="28"/>
  <c r="AA11" i="28"/>
  <c r="AB11" i="28"/>
  <c r="AC11" i="28"/>
  <c r="AD11" i="28"/>
  <c r="AE11" i="28"/>
  <c r="AF11" i="28"/>
  <c r="AG11" i="28"/>
  <c r="AH11" i="28"/>
  <c r="AI11" i="28"/>
  <c r="AJ11" i="28"/>
  <c r="AK11" i="28"/>
  <c r="AL11" i="28"/>
  <c r="U12" i="28"/>
  <c r="V12" i="28"/>
  <c r="W12" i="28"/>
  <c r="X12" i="28"/>
  <c r="Y12" i="28"/>
  <c r="Z12" i="28"/>
  <c r="AA12" i="28"/>
  <c r="AB12" i="28"/>
  <c r="AC12" i="28"/>
  <c r="AD12" i="28"/>
  <c r="AE12" i="28"/>
  <c r="AF12" i="28"/>
  <c r="AG12" i="28"/>
  <c r="AH12" i="28"/>
  <c r="AI12" i="28"/>
  <c r="AJ12" i="28"/>
  <c r="AK12" i="28"/>
  <c r="AL12" i="28"/>
  <c r="U13" i="28"/>
  <c r="V13" i="28"/>
  <c r="W13" i="28"/>
  <c r="X13" i="28"/>
  <c r="Y13" i="28"/>
  <c r="Z13" i="28"/>
  <c r="AA13" i="28"/>
  <c r="AB13" i="28"/>
  <c r="AC13" i="28"/>
  <c r="AD13" i="28"/>
  <c r="AE13" i="28"/>
  <c r="AF13" i="28"/>
  <c r="AG13" i="28"/>
  <c r="AH13" i="28"/>
  <c r="AI13" i="28"/>
  <c r="AJ13" i="28"/>
  <c r="AK13" i="28"/>
  <c r="AL13" i="28"/>
  <c r="U14" i="28"/>
  <c r="V14" i="28"/>
  <c r="W14" i="28"/>
  <c r="X14" i="28"/>
  <c r="Y14" i="28"/>
  <c r="Z14" i="28"/>
  <c r="AA14" i="28"/>
  <c r="AB14" i="28"/>
  <c r="AC14" i="28"/>
  <c r="AD14" i="28"/>
  <c r="AE14" i="28"/>
  <c r="AF14" i="28"/>
  <c r="AG14" i="28"/>
  <c r="AH14" i="28"/>
  <c r="AI14" i="28"/>
  <c r="AJ14" i="28"/>
  <c r="AK14" i="28"/>
  <c r="AL14" i="28"/>
  <c r="U15" i="28"/>
  <c r="V15" i="28"/>
  <c r="W15" i="28"/>
  <c r="X15" i="28"/>
  <c r="Y15" i="28"/>
  <c r="Z15" i="28"/>
  <c r="AA15" i="28"/>
  <c r="AB15" i="28"/>
  <c r="AC15" i="28"/>
  <c r="AD15" i="28"/>
  <c r="AE15" i="28"/>
  <c r="AF15" i="28"/>
  <c r="AG15" i="28"/>
  <c r="AH15" i="28"/>
  <c r="AI15" i="28"/>
  <c r="AJ15" i="28"/>
  <c r="AK15" i="28"/>
  <c r="AL15" i="28"/>
  <c r="U16" i="28"/>
  <c r="V16" i="28"/>
  <c r="W16" i="28"/>
  <c r="X16" i="28"/>
  <c r="Y16" i="28"/>
  <c r="Z16" i="28"/>
  <c r="AA16" i="28"/>
  <c r="AB16" i="28"/>
  <c r="AC16" i="28"/>
  <c r="AD16" i="28"/>
  <c r="AE16" i="28"/>
  <c r="AF16" i="28"/>
  <c r="AG16" i="28"/>
  <c r="AH16" i="28"/>
  <c r="AI16" i="28"/>
  <c r="AJ16" i="28"/>
  <c r="AK16" i="28"/>
  <c r="AL16" i="28"/>
  <c r="U17" i="28"/>
  <c r="V17" i="28"/>
  <c r="W17" i="28"/>
  <c r="X17" i="28"/>
  <c r="Y17" i="28"/>
  <c r="Z17" i="28"/>
  <c r="AA17" i="28"/>
  <c r="AB17" i="28"/>
  <c r="AC17" i="28"/>
  <c r="AD17" i="28"/>
  <c r="AE17" i="28"/>
  <c r="AF17" i="28"/>
  <c r="AG17" i="28"/>
  <c r="AH17" i="28"/>
  <c r="AI17" i="28"/>
  <c r="AJ17" i="28"/>
  <c r="AK17" i="28"/>
  <c r="AL17" i="28"/>
  <c r="U18" i="28"/>
  <c r="V18" i="28"/>
  <c r="W18" i="28"/>
  <c r="X18" i="28"/>
  <c r="Y18" i="28"/>
  <c r="Z18" i="28"/>
  <c r="AA18" i="28"/>
  <c r="AB18" i="28"/>
  <c r="AC18" i="28"/>
  <c r="AD18" i="28"/>
  <c r="AE18" i="28"/>
  <c r="AF18" i="28"/>
  <c r="AG18" i="28"/>
  <c r="AH18" i="28"/>
  <c r="AI18" i="28"/>
  <c r="AJ18" i="28"/>
  <c r="AK18" i="28"/>
  <c r="AL18" i="28"/>
  <c r="U19" i="28"/>
  <c r="V19" i="28"/>
  <c r="W19" i="28"/>
  <c r="X19" i="28"/>
  <c r="Y19" i="28"/>
  <c r="Z19" i="28"/>
  <c r="AA19" i="28"/>
  <c r="AB19" i="28"/>
  <c r="AC19" i="28"/>
  <c r="AD19" i="28"/>
  <c r="AE19" i="28"/>
  <c r="AF19" i="28"/>
  <c r="AG19" i="28"/>
  <c r="AH19" i="28"/>
  <c r="AI19" i="28"/>
  <c r="AJ19" i="28"/>
  <c r="AK19" i="28"/>
  <c r="AL19" i="28"/>
  <c r="U20" i="28"/>
  <c r="V20" i="28"/>
  <c r="W20" i="28"/>
  <c r="X20" i="28"/>
  <c r="Y20" i="28"/>
  <c r="Z20" i="28"/>
  <c r="AA20" i="28"/>
  <c r="AB20" i="28"/>
  <c r="AC20" i="28"/>
  <c r="AD20" i="28"/>
  <c r="AE20" i="28"/>
  <c r="AF20" i="28"/>
  <c r="AG20" i="28"/>
  <c r="AH20" i="28"/>
  <c r="AI20" i="28"/>
  <c r="AJ20" i="28"/>
  <c r="AK20" i="28"/>
  <c r="AL20" i="28"/>
  <c r="U21" i="28"/>
  <c r="V21" i="28"/>
  <c r="W21" i="28"/>
  <c r="X21" i="28"/>
  <c r="Y21" i="28"/>
  <c r="Z21" i="28"/>
  <c r="AA21" i="28"/>
  <c r="AB21" i="28"/>
  <c r="AC21" i="28"/>
  <c r="AD21" i="28"/>
  <c r="AE21" i="28"/>
  <c r="AF21" i="28"/>
  <c r="AG21" i="28"/>
  <c r="AH21" i="28"/>
  <c r="AI21" i="28"/>
  <c r="AJ21" i="28"/>
  <c r="AK21" i="28"/>
  <c r="AL21" i="28"/>
  <c r="U22" i="28"/>
  <c r="V22" i="28"/>
  <c r="W22" i="28"/>
  <c r="X22" i="28"/>
  <c r="Y22" i="28"/>
  <c r="Z22" i="28"/>
  <c r="AA22" i="28"/>
  <c r="AB22" i="28"/>
  <c r="AC22" i="28"/>
  <c r="AD22" i="28"/>
  <c r="AE22" i="28"/>
  <c r="AF22" i="28"/>
  <c r="AG22" i="28"/>
  <c r="AH22" i="28"/>
  <c r="AI22" i="28"/>
  <c r="AJ22" i="28"/>
  <c r="AK22" i="28"/>
  <c r="AL22" i="28"/>
  <c r="U23" i="28"/>
  <c r="V23" i="28"/>
  <c r="W23" i="28"/>
  <c r="X23" i="28"/>
  <c r="Y23" i="28"/>
  <c r="Z23" i="28"/>
  <c r="AA23" i="28"/>
  <c r="AB23" i="28"/>
  <c r="AC23" i="28"/>
  <c r="AD23" i="28"/>
  <c r="AE23" i="28"/>
  <c r="AF23" i="28"/>
  <c r="AG23" i="28"/>
  <c r="AH23" i="28"/>
  <c r="AI23" i="28"/>
  <c r="AJ23" i="28"/>
  <c r="AK23" i="28"/>
  <c r="AL23" i="28"/>
  <c r="U24" i="28"/>
  <c r="V24" i="28"/>
  <c r="W24" i="28"/>
  <c r="X24" i="28"/>
  <c r="Y24" i="28"/>
  <c r="Z24" i="28"/>
  <c r="AA24" i="28"/>
  <c r="AB24" i="28"/>
  <c r="AC24" i="28"/>
  <c r="AD24" i="28"/>
  <c r="AE24" i="28"/>
  <c r="AF24" i="28"/>
  <c r="AG24" i="28"/>
  <c r="AH24" i="28"/>
  <c r="AI24" i="28"/>
  <c r="AJ24" i="28"/>
  <c r="AK24" i="28"/>
  <c r="AL24" i="28"/>
  <c r="U25" i="28"/>
  <c r="V25" i="28"/>
  <c r="W25" i="28"/>
  <c r="X25" i="28"/>
  <c r="Y25" i="28"/>
  <c r="Z25" i="28"/>
  <c r="AA25" i="28"/>
  <c r="AB25" i="28"/>
  <c r="AC25" i="28"/>
  <c r="AD25" i="28"/>
  <c r="AE25" i="28"/>
  <c r="AF25" i="28"/>
  <c r="AG25" i="28"/>
  <c r="AH25" i="28"/>
  <c r="AI25" i="28"/>
  <c r="AJ25" i="28"/>
  <c r="AK25" i="28"/>
  <c r="AL25" i="28"/>
  <c r="U26" i="28"/>
  <c r="V26" i="28"/>
  <c r="W26" i="28"/>
  <c r="X26" i="28"/>
  <c r="Y26" i="28"/>
  <c r="Z26" i="28"/>
  <c r="AA26" i="28"/>
  <c r="AB26" i="28"/>
  <c r="AC26" i="28"/>
  <c r="AD26" i="28"/>
  <c r="AE26" i="28"/>
  <c r="AF26" i="28"/>
  <c r="AG26" i="28"/>
  <c r="AH26" i="28"/>
  <c r="AI26" i="28"/>
  <c r="AJ26" i="28"/>
  <c r="AK26" i="28"/>
  <c r="AL26" i="28"/>
  <c r="U27" i="28"/>
  <c r="V27" i="28"/>
  <c r="W27" i="28"/>
  <c r="X27" i="28"/>
  <c r="Y27" i="28"/>
  <c r="Z27" i="28"/>
  <c r="AA27" i="28"/>
  <c r="AB27" i="28"/>
  <c r="AC27" i="28"/>
  <c r="AD27" i="28"/>
  <c r="AE27" i="28"/>
  <c r="AF27" i="28"/>
  <c r="AG27" i="28"/>
  <c r="AH27" i="28"/>
  <c r="AI27" i="28"/>
  <c r="AJ27" i="28"/>
  <c r="AK27" i="28"/>
  <c r="AL27" i="28"/>
  <c r="U28" i="28"/>
  <c r="V28" i="28"/>
  <c r="W28" i="28"/>
  <c r="X28" i="28"/>
  <c r="Y28" i="28"/>
  <c r="Z28" i="28"/>
  <c r="AA28" i="28"/>
  <c r="AB28" i="28"/>
  <c r="AC28" i="28"/>
  <c r="AD28" i="28"/>
  <c r="AE28" i="28"/>
  <c r="AF28" i="28"/>
  <c r="AG28" i="28"/>
  <c r="AH28" i="28"/>
  <c r="AI28" i="28"/>
  <c r="AJ28" i="28"/>
  <c r="AK28" i="28"/>
  <c r="AL28" i="28"/>
  <c r="U29" i="28"/>
  <c r="V29" i="28"/>
  <c r="W29" i="28"/>
  <c r="X29" i="28"/>
  <c r="Y29" i="28"/>
  <c r="Z29" i="28"/>
  <c r="AA29" i="28"/>
  <c r="AB29" i="28"/>
  <c r="AC29" i="28"/>
  <c r="AD29" i="28"/>
  <c r="AE29" i="28"/>
  <c r="AF29" i="28"/>
  <c r="AG29" i="28"/>
  <c r="AH29" i="28"/>
  <c r="AI29" i="28"/>
  <c r="AJ29" i="28"/>
  <c r="AK29" i="28"/>
  <c r="AL29" i="28"/>
  <c r="U30" i="28"/>
  <c r="V30" i="28"/>
  <c r="W30" i="28"/>
  <c r="X30" i="28"/>
  <c r="Y30" i="28"/>
  <c r="Z30" i="28"/>
  <c r="AA30" i="28"/>
  <c r="AB30" i="28"/>
  <c r="AC30" i="28"/>
  <c r="AD30" i="28"/>
  <c r="AE30" i="28"/>
  <c r="AF30" i="28"/>
  <c r="AG30" i="28"/>
  <c r="AH30" i="28"/>
  <c r="AI30" i="28"/>
  <c r="AJ30" i="28"/>
  <c r="AK30" i="28"/>
  <c r="AL30" i="28"/>
  <c r="V6" i="28"/>
  <c r="W6" i="28"/>
  <c r="X6" i="28"/>
  <c r="Y6" i="28"/>
  <c r="Z6" i="28"/>
  <c r="AA6" i="28"/>
  <c r="AB6" i="28"/>
  <c r="AC6" i="28"/>
  <c r="AD6" i="28"/>
  <c r="AE6" i="28"/>
  <c r="AF6" i="28"/>
  <c r="AG6" i="28"/>
  <c r="AH6" i="28"/>
  <c r="AI6" i="28"/>
  <c r="AJ6" i="28"/>
  <c r="AK6" i="28"/>
  <c r="AL6" i="28"/>
  <c r="U6" i="28"/>
  <c r="A5" i="32"/>
  <c r="C18" i="32" a="1"/>
  <c r="C18" i="32"/>
  <c r="G517" i="32"/>
  <c r="C17" i="32" a="1"/>
  <c r="C17" i="32"/>
  <c r="G482" i="32"/>
  <c r="C16" i="32" a="1"/>
  <c r="C16" i="32"/>
  <c r="G447" i="32"/>
  <c r="C15" i="32" a="1"/>
  <c r="C15" i="32"/>
  <c r="G412" i="32"/>
  <c r="C14" i="32" a="1"/>
  <c r="C14" i="32"/>
  <c r="G377" i="32"/>
  <c r="C13" i="32" a="1"/>
  <c r="C13" i="32"/>
  <c r="G342" i="32"/>
  <c r="C12" i="32" a="1"/>
  <c r="C12" i="32"/>
  <c r="G307" i="32"/>
  <c r="C11" i="32" a="1"/>
  <c r="C11" i="32"/>
  <c r="G272" i="32"/>
  <c r="C10" i="32" a="1"/>
  <c r="C10" i="32"/>
  <c r="G237" i="32"/>
  <c r="C9" i="32" a="1"/>
  <c r="C9" i="32"/>
  <c r="G202" i="32"/>
  <c r="C8" i="32" a="1"/>
  <c r="C8" i="32"/>
  <c r="G167" i="32"/>
  <c r="C7" i="32" a="1"/>
  <c r="C7" i="32"/>
  <c r="G132" i="32"/>
  <c r="A6" i="32"/>
  <c r="F21" i="31"/>
  <c r="M530" i="32"/>
  <c r="Z21" i="31"/>
  <c r="AA21" i="31"/>
  <c r="AB21" i="31"/>
  <c r="Z26" i="31"/>
  <c r="AA26" i="31"/>
  <c r="AB26" i="31"/>
  <c r="Z24" i="31"/>
  <c r="AA24" i="31"/>
  <c r="AB24" i="31"/>
  <c r="P527" i="32"/>
  <c r="O527" i="32"/>
  <c r="P526" i="32"/>
  <c r="O526" i="32"/>
  <c r="P525" i="32"/>
  <c r="O525" i="32"/>
  <c r="L524" i="32"/>
  <c r="K524" i="32"/>
  <c r="J524" i="32"/>
  <c r="I524" i="32"/>
  <c r="H524" i="32"/>
  <c r="L523" i="32"/>
  <c r="K523" i="32"/>
  <c r="J523" i="32"/>
  <c r="I523" i="32"/>
  <c r="H523" i="32"/>
  <c r="L522" i="32"/>
  <c r="K522" i="32"/>
  <c r="J522" i="32"/>
  <c r="I522" i="32"/>
  <c r="H522" i="32"/>
  <c r="N521" i="32"/>
  <c r="L521" i="32"/>
  <c r="K521" i="32"/>
  <c r="J521" i="32"/>
  <c r="I521" i="32"/>
  <c r="H521" i="32"/>
  <c r="N520" i="32"/>
  <c r="L520" i="32"/>
  <c r="K520" i="32"/>
  <c r="J520" i="32"/>
  <c r="I520" i="32"/>
  <c r="H520" i="32"/>
  <c r="M495" i="32"/>
  <c r="P492" i="32"/>
  <c r="O492" i="32"/>
  <c r="P491" i="32"/>
  <c r="O491" i="32"/>
  <c r="P490" i="32"/>
  <c r="O490" i="32"/>
  <c r="L489" i="32"/>
  <c r="K489" i="32"/>
  <c r="J489" i="32"/>
  <c r="I489" i="32"/>
  <c r="H489" i="32"/>
  <c r="L488" i="32"/>
  <c r="K488" i="32"/>
  <c r="J488" i="32"/>
  <c r="I488" i="32"/>
  <c r="H488" i="32"/>
  <c r="L487" i="32"/>
  <c r="K487" i="32"/>
  <c r="J487" i="32"/>
  <c r="I487" i="32"/>
  <c r="H487" i="32"/>
  <c r="N486" i="32"/>
  <c r="L486" i="32"/>
  <c r="K486" i="32"/>
  <c r="J486" i="32"/>
  <c r="I486" i="32"/>
  <c r="H486" i="32"/>
  <c r="N485" i="32"/>
  <c r="L485" i="32"/>
  <c r="K485" i="32"/>
  <c r="J485" i="32"/>
  <c r="I485" i="32"/>
  <c r="H485" i="32"/>
  <c r="M460" i="32"/>
  <c r="P457" i="32"/>
  <c r="O457" i="32"/>
  <c r="P456" i="32"/>
  <c r="O456" i="32"/>
  <c r="P455" i="32"/>
  <c r="O455" i="32"/>
  <c r="L454" i="32"/>
  <c r="K454" i="32"/>
  <c r="J454" i="32"/>
  <c r="I454" i="32"/>
  <c r="H454" i="32"/>
  <c r="L453" i="32"/>
  <c r="K453" i="32"/>
  <c r="J453" i="32"/>
  <c r="I453" i="32"/>
  <c r="H453" i="32"/>
  <c r="L452" i="32"/>
  <c r="K452" i="32"/>
  <c r="J452" i="32"/>
  <c r="I452" i="32"/>
  <c r="H452" i="32"/>
  <c r="N451" i="32"/>
  <c r="L451" i="32"/>
  <c r="K451" i="32"/>
  <c r="J451" i="32"/>
  <c r="I451" i="32"/>
  <c r="H451" i="32"/>
  <c r="N450" i="32"/>
  <c r="L450" i="32"/>
  <c r="K450" i="32"/>
  <c r="J450" i="32"/>
  <c r="I450" i="32"/>
  <c r="H450" i="32"/>
  <c r="M425" i="32"/>
  <c r="P422" i="32"/>
  <c r="O422" i="32"/>
  <c r="P421" i="32"/>
  <c r="O421" i="32"/>
  <c r="P420" i="32"/>
  <c r="O420" i="32"/>
  <c r="L419" i="32"/>
  <c r="K419" i="32"/>
  <c r="J419" i="32"/>
  <c r="I419" i="32"/>
  <c r="H419" i="32"/>
  <c r="L418" i="32"/>
  <c r="K418" i="32"/>
  <c r="J418" i="32"/>
  <c r="I418" i="32"/>
  <c r="H418" i="32"/>
  <c r="L417" i="32"/>
  <c r="K417" i="32"/>
  <c r="J417" i="32"/>
  <c r="I417" i="32"/>
  <c r="H417" i="32"/>
  <c r="N416" i="32"/>
  <c r="L416" i="32"/>
  <c r="K416" i="32"/>
  <c r="J416" i="32"/>
  <c r="I416" i="32"/>
  <c r="H416" i="32"/>
  <c r="N415" i="32"/>
  <c r="L415" i="32"/>
  <c r="K415" i="32"/>
  <c r="J415" i="32"/>
  <c r="I415" i="32"/>
  <c r="H415" i="32"/>
  <c r="M390" i="32"/>
  <c r="P387" i="32"/>
  <c r="O387" i="32"/>
  <c r="P386" i="32"/>
  <c r="O386" i="32"/>
  <c r="P385" i="32"/>
  <c r="O385" i="32"/>
  <c r="L384" i="32"/>
  <c r="K384" i="32"/>
  <c r="J384" i="32"/>
  <c r="I384" i="32"/>
  <c r="H384" i="32"/>
  <c r="L383" i="32"/>
  <c r="K383" i="32"/>
  <c r="J383" i="32"/>
  <c r="I383" i="32"/>
  <c r="H383" i="32"/>
  <c r="L382" i="32"/>
  <c r="K382" i="32"/>
  <c r="J382" i="32"/>
  <c r="I382" i="32"/>
  <c r="H382" i="32"/>
  <c r="N381" i="32"/>
  <c r="L381" i="32"/>
  <c r="K381" i="32"/>
  <c r="J381" i="32"/>
  <c r="I381" i="32"/>
  <c r="H381" i="32"/>
  <c r="N380" i="32"/>
  <c r="L380" i="32"/>
  <c r="K380" i="32"/>
  <c r="J380" i="32"/>
  <c r="I380" i="32"/>
  <c r="H380" i="32"/>
  <c r="M355" i="32"/>
  <c r="P352" i="32"/>
  <c r="O352" i="32"/>
  <c r="P351" i="32"/>
  <c r="O351" i="32"/>
  <c r="P350" i="32"/>
  <c r="O350" i="32"/>
  <c r="L349" i="32"/>
  <c r="K349" i="32"/>
  <c r="J349" i="32"/>
  <c r="I349" i="32"/>
  <c r="H349" i="32"/>
  <c r="L348" i="32"/>
  <c r="K348" i="32"/>
  <c r="J348" i="32"/>
  <c r="I348" i="32"/>
  <c r="H348" i="32"/>
  <c r="L347" i="32"/>
  <c r="K347" i="32"/>
  <c r="J347" i="32"/>
  <c r="I347" i="32"/>
  <c r="H347" i="32"/>
  <c r="N346" i="32"/>
  <c r="L346" i="32"/>
  <c r="K346" i="32"/>
  <c r="J346" i="32"/>
  <c r="I346" i="32"/>
  <c r="H346" i="32"/>
  <c r="N345" i="32"/>
  <c r="L345" i="32"/>
  <c r="K345" i="32"/>
  <c r="J345" i="32"/>
  <c r="I345" i="32"/>
  <c r="H345" i="32"/>
  <c r="M320" i="32"/>
  <c r="P317" i="32"/>
  <c r="O317" i="32"/>
  <c r="P316" i="32"/>
  <c r="O316" i="32"/>
  <c r="P315" i="32"/>
  <c r="O315" i="32"/>
  <c r="L314" i="32"/>
  <c r="K314" i="32"/>
  <c r="J314" i="32"/>
  <c r="I314" i="32"/>
  <c r="H314" i="32"/>
  <c r="L313" i="32"/>
  <c r="K313" i="32"/>
  <c r="J313" i="32"/>
  <c r="I313" i="32"/>
  <c r="H313" i="32"/>
  <c r="L312" i="32"/>
  <c r="K312" i="32"/>
  <c r="J312" i="32"/>
  <c r="I312" i="32"/>
  <c r="H312" i="32"/>
  <c r="N311" i="32"/>
  <c r="L311" i="32"/>
  <c r="K311" i="32"/>
  <c r="J311" i="32"/>
  <c r="I311" i="32"/>
  <c r="H311" i="32"/>
  <c r="N310" i="32"/>
  <c r="L310" i="32"/>
  <c r="K310" i="32"/>
  <c r="J310" i="32"/>
  <c r="I310" i="32"/>
  <c r="H310" i="32"/>
  <c r="M285" i="32"/>
  <c r="P282" i="32"/>
  <c r="O282" i="32"/>
  <c r="P281" i="32"/>
  <c r="O281" i="32"/>
  <c r="P280" i="32"/>
  <c r="O280" i="32"/>
  <c r="L279" i="32"/>
  <c r="K279" i="32"/>
  <c r="J279" i="32"/>
  <c r="I279" i="32"/>
  <c r="H279" i="32"/>
  <c r="L278" i="32"/>
  <c r="K278" i="32"/>
  <c r="J278" i="32"/>
  <c r="I278" i="32"/>
  <c r="H278" i="32"/>
  <c r="L277" i="32"/>
  <c r="K277" i="32"/>
  <c r="J277" i="32"/>
  <c r="I277" i="32"/>
  <c r="H277" i="32"/>
  <c r="N276" i="32"/>
  <c r="L276" i="32"/>
  <c r="K276" i="32"/>
  <c r="J276" i="32"/>
  <c r="I276" i="32"/>
  <c r="H276" i="32"/>
  <c r="N275" i="32"/>
  <c r="L275" i="32"/>
  <c r="K275" i="32"/>
  <c r="J275" i="32"/>
  <c r="I275" i="32"/>
  <c r="H275" i="32"/>
  <c r="M250" i="32"/>
  <c r="P247" i="32"/>
  <c r="O247" i="32"/>
  <c r="P246" i="32"/>
  <c r="O246" i="32"/>
  <c r="P245" i="32"/>
  <c r="O245" i="32"/>
  <c r="L244" i="32"/>
  <c r="K244" i="32"/>
  <c r="J244" i="32"/>
  <c r="I244" i="32"/>
  <c r="H244" i="32"/>
  <c r="L243" i="32"/>
  <c r="K243" i="32"/>
  <c r="J243" i="32"/>
  <c r="I243" i="32"/>
  <c r="H243" i="32"/>
  <c r="L242" i="32"/>
  <c r="K242" i="32"/>
  <c r="J242" i="32"/>
  <c r="I242" i="32"/>
  <c r="H242" i="32"/>
  <c r="N241" i="32"/>
  <c r="L241" i="32"/>
  <c r="K241" i="32"/>
  <c r="J241" i="32"/>
  <c r="I241" i="32"/>
  <c r="H241" i="32"/>
  <c r="N240" i="32"/>
  <c r="L240" i="32"/>
  <c r="K240" i="32"/>
  <c r="J240" i="32"/>
  <c r="I240" i="32"/>
  <c r="H240" i="32"/>
  <c r="M215" i="32"/>
  <c r="P212" i="32"/>
  <c r="O212" i="32"/>
  <c r="P211" i="32"/>
  <c r="O211" i="32"/>
  <c r="P210" i="32"/>
  <c r="O210" i="32"/>
  <c r="L209" i="32"/>
  <c r="K209" i="32"/>
  <c r="J209" i="32"/>
  <c r="I209" i="32"/>
  <c r="H209" i="32"/>
  <c r="L208" i="32"/>
  <c r="K208" i="32"/>
  <c r="J208" i="32"/>
  <c r="I208" i="32"/>
  <c r="H208" i="32"/>
  <c r="L207" i="32"/>
  <c r="K207" i="32"/>
  <c r="J207" i="32"/>
  <c r="I207" i="32"/>
  <c r="H207" i="32"/>
  <c r="N206" i="32"/>
  <c r="L206" i="32"/>
  <c r="K206" i="32"/>
  <c r="J206" i="32"/>
  <c r="I206" i="32"/>
  <c r="H206" i="32"/>
  <c r="N205" i="32"/>
  <c r="L205" i="32"/>
  <c r="K205" i="32"/>
  <c r="J205" i="32"/>
  <c r="I205" i="32"/>
  <c r="H205" i="32"/>
  <c r="M180" i="32"/>
  <c r="P177" i="32"/>
  <c r="O177" i="32"/>
  <c r="P176" i="32"/>
  <c r="O176" i="32"/>
  <c r="P175" i="32"/>
  <c r="O175" i="32"/>
  <c r="L174" i="32"/>
  <c r="K174" i="32"/>
  <c r="J174" i="32"/>
  <c r="I174" i="32"/>
  <c r="H174" i="32"/>
  <c r="L173" i="32"/>
  <c r="K173" i="32"/>
  <c r="J173" i="32"/>
  <c r="I173" i="32"/>
  <c r="H173" i="32"/>
  <c r="L172" i="32"/>
  <c r="K172" i="32"/>
  <c r="J172" i="32"/>
  <c r="I172" i="32"/>
  <c r="H172" i="32"/>
  <c r="N171" i="32"/>
  <c r="L171" i="32"/>
  <c r="K171" i="32"/>
  <c r="J171" i="32"/>
  <c r="I171" i="32"/>
  <c r="H171" i="32"/>
  <c r="N170" i="32"/>
  <c r="L170" i="32"/>
  <c r="K170" i="32"/>
  <c r="J170" i="32"/>
  <c r="I170" i="32"/>
  <c r="H170" i="32"/>
  <c r="M145" i="32"/>
  <c r="P142" i="32"/>
  <c r="O142" i="32"/>
  <c r="P141" i="32"/>
  <c r="O141" i="32"/>
  <c r="P140" i="32"/>
  <c r="O140" i="32"/>
  <c r="L139" i="32"/>
  <c r="K139" i="32"/>
  <c r="J139" i="32"/>
  <c r="I139" i="32"/>
  <c r="H139" i="32"/>
  <c r="L138" i="32"/>
  <c r="K138" i="32"/>
  <c r="J138" i="32"/>
  <c r="I138" i="32"/>
  <c r="H138" i="32"/>
  <c r="L137" i="32"/>
  <c r="K137" i="32"/>
  <c r="J137" i="32"/>
  <c r="I137" i="32"/>
  <c r="H137" i="32"/>
  <c r="N136" i="32"/>
  <c r="L136" i="32"/>
  <c r="K136" i="32"/>
  <c r="J136" i="32"/>
  <c r="I136" i="32"/>
  <c r="H136" i="32"/>
  <c r="N135" i="32"/>
  <c r="L135" i="32"/>
  <c r="K135" i="32"/>
  <c r="J135" i="32"/>
  <c r="I135" i="32"/>
  <c r="H135" i="32"/>
  <c r="N101" i="32"/>
  <c r="N100" i="32"/>
  <c r="N66" i="32"/>
  <c r="N65" i="32"/>
  <c r="A19" i="32"/>
  <c r="C19" i="32" a="1"/>
  <c r="C19" i="32"/>
  <c r="A20" i="32"/>
  <c r="C20" i="32" a="1"/>
  <c r="C20" i="32"/>
  <c r="A21" i="32"/>
  <c r="C21" i="32" a="1"/>
  <c r="C21" i="32"/>
  <c r="A22" i="32"/>
  <c r="C22" i="32" a="1"/>
  <c r="C22" i="32"/>
  <c r="A23" i="32"/>
  <c r="C23" i="32" a="1"/>
  <c r="C23" i="32"/>
  <c r="F24" i="31"/>
  <c r="M39" i="32"/>
  <c r="P36" i="32"/>
  <c r="P35" i="32"/>
  <c r="P34" i="32"/>
  <c r="O34" i="32"/>
  <c r="O35" i="32"/>
  <c r="L33" i="32"/>
  <c r="K33" i="32"/>
  <c r="J33" i="32"/>
  <c r="I33" i="32"/>
  <c r="H33" i="32"/>
  <c r="L32" i="32"/>
  <c r="K32" i="32"/>
  <c r="J32" i="32"/>
  <c r="I32" i="32"/>
  <c r="H32" i="32"/>
  <c r="L31" i="32"/>
  <c r="K31" i="32"/>
  <c r="J31" i="32"/>
  <c r="I31" i="32"/>
  <c r="H31" i="32"/>
  <c r="L30" i="32"/>
  <c r="K30" i="32"/>
  <c r="H30" i="32"/>
  <c r="J30" i="32"/>
  <c r="I30" i="32"/>
  <c r="K29" i="32"/>
  <c r="J29" i="32"/>
  <c r="I29" i="32"/>
  <c r="H29" i="32"/>
  <c r="L29" i="32"/>
  <c r="N30" i="32"/>
  <c r="O36" i="32"/>
  <c r="N29" i="32"/>
  <c r="B23" i="32"/>
  <c r="D23" i="32" a="1"/>
  <c r="D23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D19" i="32" a="1"/>
  <c r="D19" i="32"/>
  <c r="B20" i="32"/>
  <c r="D20" i="32" a="1"/>
  <c r="D20" i="32"/>
  <c r="B21" i="32"/>
  <c r="D21" i="32" a="1"/>
  <c r="D21" i="32"/>
  <c r="B22" i="32"/>
  <c r="D22" i="32" a="1"/>
  <c r="D22" i="32"/>
  <c r="B5" i="32"/>
  <c r="B6" i="32"/>
  <c r="B4" i="32"/>
  <c r="BB5" i="28"/>
  <c r="BA5" i="28"/>
  <c r="AZ5" i="28"/>
  <c r="C1" i="31"/>
  <c r="Q26" i="4"/>
  <c r="R26" i="4"/>
  <c r="Q20" i="4"/>
  <c r="R20" i="4"/>
  <c r="Q27" i="4"/>
  <c r="R27" i="4"/>
  <c r="Q28" i="4"/>
  <c r="R28" i="4"/>
  <c r="Q29" i="4"/>
  <c r="R29" i="4"/>
  <c r="Q30" i="4"/>
  <c r="R30" i="4"/>
  <c r="Q21" i="4"/>
  <c r="R21" i="4"/>
  <c r="Q22" i="4"/>
  <c r="R22" i="4"/>
  <c r="Q23" i="4"/>
  <c r="R23" i="4"/>
  <c r="CL9" i="15"/>
  <c r="CL15" i="15"/>
  <c r="CM9" i="15"/>
  <c r="CM15" i="15"/>
  <c r="CN15" i="15"/>
  <c r="CO15" i="15"/>
  <c r="CP15" i="15"/>
  <c r="CQ15" i="15"/>
  <c r="CR15" i="15"/>
  <c r="CS15" i="15"/>
  <c r="CT15" i="15"/>
  <c r="CU15" i="15"/>
  <c r="CV15" i="15"/>
  <c r="CW15" i="15"/>
  <c r="CX15" i="15"/>
  <c r="CY15" i="15"/>
  <c r="CZ15" i="15"/>
  <c r="DA15" i="15"/>
  <c r="CL16" i="15"/>
  <c r="CM16" i="15"/>
  <c r="CN16" i="15"/>
  <c r="CO16" i="15"/>
  <c r="CP16" i="15"/>
  <c r="CQ16" i="15"/>
  <c r="CR16" i="15"/>
  <c r="CS16" i="15"/>
  <c r="CT16" i="15"/>
  <c r="CU16" i="15"/>
  <c r="CV16" i="15"/>
  <c r="CW16" i="15"/>
  <c r="CX16" i="15"/>
  <c r="CY16" i="15"/>
  <c r="CZ16" i="15"/>
  <c r="DA16" i="15"/>
  <c r="AH16" i="15"/>
  <c r="AI16" i="15"/>
  <c r="AJ16" i="15"/>
  <c r="AK16" i="15"/>
  <c r="AL16" i="15"/>
  <c r="AM16" i="15"/>
  <c r="AN16" i="15"/>
  <c r="AO16" i="15"/>
  <c r="AP16" i="15"/>
  <c r="AQ16" i="15"/>
  <c r="AR16" i="15"/>
  <c r="AS16" i="15"/>
  <c r="AT16" i="15"/>
  <c r="AU16" i="15"/>
  <c r="AV16" i="15"/>
  <c r="AW16" i="15"/>
  <c r="AX16" i="15"/>
  <c r="AY16" i="15"/>
  <c r="AZ16" i="15"/>
  <c r="BA16" i="15"/>
  <c r="BB16" i="15"/>
  <c r="BC16" i="15"/>
  <c r="BD16" i="15"/>
  <c r="BE16" i="15"/>
  <c r="BF16" i="15"/>
  <c r="BG16" i="15"/>
  <c r="BH16" i="15"/>
  <c r="BI16" i="15"/>
  <c r="BJ16" i="15"/>
  <c r="BK16" i="15"/>
  <c r="BL16" i="15"/>
  <c r="BM16" i="15"/>
  <c r="BN16" i="15"/>
  <c r="BO16" i="15"/>
  <c r="BP16" i="15"/>
  <c r="BQ16" i="15"/>
  <c r="BR16" i="15"/>
  <c r="BS16" i="15"/>
  <c r="BT16" i="15"/>
  <c r="BU16" i="15"/>
  <c r="BV16" i="15"/>
  <c r="AH9" i="15"/>
  <c r="AH15" i="15"/>
  <c r="AI9" i="15"/>
  <c r="AI15" i="15"/>
  <c r="AJ9" i="15"/>
  <c r="AJ15" i="15"/>
  <c r="AK15" i="15"/>
  <c r="AL15" i="15"/>
  <c r="AM15" i="15"/>
  <c r="AN15" i="15"/>
  <c r="AO15" i="15"/>
  <c r="AP15" i="15"/>
  <c r="AQ15" i="15"/>
  <c r="AR15" i="15"/>
  <c r="AS15" i="15"/>
  <c r="AT15" i="15"/>
  <c r="AU15" i="15"/>
  <c r="AV15" i="15"/>
  <c r="AW15" i="15"/>
  <c r="AX15" i="15"/>
  <c r="AY15" i="15"/>
  <c r="AZ15" i="15"/>
  <c r="BA15" i="15"/>
  <c r="BB15" i="15"/>
  <c r="BC15" i="15"/>
  <c r="BD15" i="15"/>
  <c r="BE15" i="15"/>
  <c r="BF15" i="15"/>
  <c r="BG15" i="15"/>
  <c r="BH15" i="15"/>
  <c r="BI15" i="15"/>
  <c r="BJ15" i="15"/>
  <c r="BK15" i="15"/>
  <c r="BL15" i="15"/>
  <c r="BM15" i="15"/>
  <c r="BN15" i="15"/>
  <c r="BO15" i="15"/>
  <c r="BP15" i="15"/>
  <c r="BQ15" i="15"/>
  <c r="BR15" i="15"/>
  <c r="BS15" i="15"/>
  <c r="BT15" i="15"/>
  <c r="BU15" i="15"/>
  <c r="BV15" i="15"/>
  <c r="O21" i="31"/>
  <c r="J21" i="31"/>
  <c r="P21" i="31"/>
  <c r="C23" i="31"/>
  <c r="C21" i="31"/>
  <c r="F22" i="31"/>
  <c r="F23" i="31"/>
  <c r="F25" i="31"/>
  <c r="F26" i="31"/>
  <c r="F27" i="31"/>
  <c r="F28" i="31"/>
  <c r="F29" i="31"/>
  <c r="F30" i="31"/>
  <c r="F31" i="31"/>
  <c r="F32" i="31"/>
  <c r="F33" i="31"/>
  <c r="F34" i="31"/>
  <c r="F35" i="31"/>
  <c r="F36" i="31"/>
  <c r="F37" i="31"/>
  <c r="F38" i="31"/>
  <c r="F39" i="31"/>
  <c r="F40" i="31"/>
  <c r="E22" i="31"/>
  <c r="E23" i="31"/>
  <c r="E24" i="31"/>
  <c r="E25" i="31"/>
  <c r="E26" i="31"/>
  <c r="E27" i="31"/>
  <c r="E28" i="31"/>
  <c r="E29" i="31"/>
  <c r="E30" i="31"/>
  <c r="E31" i="31"/>
  <c r="E32" i="31"/>
  <c r="E33" i="31"/>
  <c r="E34" i="31"/>
  <c r="E35" i="31"/>
  <c r="E36" i="31"/>
  <c r="E37" i="31"/>
  <c r="E38" i="31"/>
  <c r="E39" i="31"/>
  <c r="E40" i="31"/>
  <c r="E21" i="31"/>
  <c r="D35" i="31"/>
  <c r="D36" i="31"/>
  <c r="D37" i="31"/>
  <c r="D38" i="31"/>
  <c r="D39" i="31"/>
  <c r="D40" i="31"/>
  <c r="AK9" i="15"/>
  <c r="AL9" i="15"/>
  <c r="AM9" i="15"/>
  <c r="AN9" i="15"/>
  <c r="AO9" i="15"/>
  <c r="AP9" i="15"/>
  <c r="AQ9" i="15"/>
  <c r="AR9" i="15"/>
  <c r="AS9" i="15"/>
  <c r="AT9" i="15"/>
  <c r="AU9" i="15"/>
  <c r="AV9" i="15"/>
  <c r="AW9" i="15"/>
  <c r="AX9" i="15"/>
  <c r="AY9" i="15"/>
  <c r="AZ9" i="15"/>
  <c r="BA9" i="15"/>
  <c r="BB9" i="15"/>
  <c r="BC9" i="15"/>
  <c r="BD9" i="15"/>
  <c r="BE9" i="15"/>
  <c r="BF9" i="15"/>
  <c r="BG9" i="15"/>
  <c r="BH9" i="15"/>
  <c r="BI9" i="15"/>
  <c r="BJ9" i="15"/>
  <c r="BK9" i="15"/>
  <c r="BL9" i="15"/>
  <c r="BM9" i="15"/>
  <c r="BN9" i="15"/>
  <c r="BO9" i="15"/>
  <c r="BP9" i="15"/>
  <c r="BQ9" i="15"/>
  <c r="BR9" i="15"/>
  <c r="BS9" i="15"/>
  <c r="BT9" i="15"/>
  <c r="BU9" i="15"/>
  <c r="BV9" i="15"/>
  <c r="CN9" i="15"/>
  <c r="CO9" i="15"/>
  <c r="CP9" i="15"/>
  <c r="CQ9" i="15"/>
  <c r="CR9" i="15"/>
  <c r="CS9" i="15"/>
  <c r="CT9" i="15"/>
  <c r="CU9" i="15"/>
  <c r="CV9" i="15"/>
  <c r="CW9" i="15"/>
  <c r="CX9" i="15"/>
  <c r="CY9" i="15"/>
  <c r="CZ9" i="15"/>
  <c r="DA9" i="15"/>
  <c r="AH18" i="15"/>
  <c r="AI18" i="15"/>
  <c r="AJ18" i="15"/>
  <c r="AK18" i="15"/>
  <c r="AL18" i="15"/>
  <c r="AM18" i="15"/>
  <c r="AN18" i="15"/>
  <c r="AO18" i="15"/>
  <c r="AP18" i="15"/>
  <c r="AQ18" i="15"/>
  <c r="AR18" i="15"/>
  <c r="AS18" i="15"/>
  <c r="AT18" i="15"/>
  <c r="AU18" i="15"/>
  <c r="AV18" i="15"/>
  <c r="AW18" i="15"/>
  <c r="AX18" i="15"/>
  <c r="AY18" i="15"/>
  <c r="AZ18" i="15"/>
  <c r="BA18" i="15"/>
  <c r="BB18" i="15"/>
  <c r="BC18" i="15"/>
  <c r="BD18" i="15"/>
  <c r="BE18" i="15"/>
  <c r="BF18" i="15"/>
  <c r="BG18" i="15"/>
  <c r="BH18" i="15"/>
  <c r="BI18" i="15"/>
  <c r="BJ18" i="15"/>
  <c r="BK18" i="15"/>
  <c r="BL18" i="15"/>
  <c r="BM18" i="15"/>
  <c r="BN18" i="15"/>
  <c r="BO18" i="15"/>
  <c r="BP18" i="15"/>
  <c r="BQ18" i="15"/>
  <c r="BR18" i="15"/>
  <c r="BS18" i="15"/>
  <c r="BT18" i="15"/>
  <c r="BU18" i="15"/>
  <c r="BV18" i="15"/>
  <c r="CL18" i="15"/>
  <c r="CM18" i="15"/>
  <c r="CN18" i="15"/>
  <c r="CO18" i="15"/>
  <c r="CP18" i="15"/>
  <c r="CQ18" i="15"/>
  <c r="CR18" i="15"/>
  <c r="CS18" i="15"/>
  <c r="CT18" i="15"/>
  <c r="CU18" i="15"/>
  <c r="CV18" i="15"/>
  <c r="CW18" i="15"/>
  <c r="CX18" i="15"/>
  <c r="CY18" i="15"/>
  <c r="CZ18" i="15"/>
  <c r="DA18" i="15"/>
  <c r="AH19" i="15"/>
  <c r="AI19" i="15"/>
  <c r="AJ19" i="15"/>
  <c r="AK19" i="15"/>
  <c r="AL19" i="15"/>
  <c r="AM19" i="15"/>
  <c r="AN19" i="15"/>
  <c r="AO19" i="15"/>
  <c r="AP19" i="15"/>
  <c r="AQ19" i="15"/>
  <c r="AR19" i="15"/>
  <c r="AS19" i="15"/>
  <c r="AT19" i="15"/>
  <c r="AU19" i="15"/>
  <c r="AV19" i="15"/>
  <c r="AW19" i="15"/>
  <c r="AX19" i="15"/>
  <c r="AY19" i="15"/>
  <c r="AZ19" i="15"/>
  <c r="BA19" i="15"/>
  <c r="BB19" i="15"/>
  <c r="BC19" i="15"/>
  <c r="BD19" i="15"/>
  <c r="BE19" i="15"/>
  <c r="BF19" i="15"/>
  <c r="BG19" i="15"/>
  <c r="BH19" i="15"/>
  <c r="BI19" i="15"/>
  <c r="BJ19" i="15"/>
  <c r="BK19" i="15"/>
  <c r="BL19" i="15"/>
  <c r="BM19" i="15"/>
  <c r="BN19" i="15"/>
  <c r="BO19" i="15"/>
  <c r="BP19" i="15"/>
  <c r="BQ19" i="15"/>
  <c r="BR19" i="15"/>
  <c r="BS19" i="15"/>
  <c r="BT19" i="15"/>
  <c r="BU19" i="15"/>
  <c r="BV19" i="15"/>
  <c r="CL19" i="15"/>
  <c r="CM19" i="15"/>
  <c r="CN19" i="15"/>
  <c r="CO19" i="15"/>
  <c r="CP19" i="15"/>
  <c r="CQ19" i="15"/>
  <c r="CR19" i="15"/>
  <c r="CS19" i="15"/>
  <c r="CT19" i="15"/>
  <c r="CU19" i="15"/>
  <c r="CV19" i="15"/>
  <c r="CW19" i="15"/>
  <c r="CX19" i="15"/>
  <c r="CY19" i="15"/>
  <c r="CZ19" i="15"/>
  <c r="DA19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J22" i="31"/>
  <c r="K22" i="31"/>
  <c r="L22" i="31"/>
  <c r="M22" i="31"/>
  <c r="N22" i="31"/>
  <c r="O22" i="31"/>
  <c r="P22" i="31"/>
  <c r="J23" i="31"/>
  <c r="K23" i="31"/>
  <c r="L23" i="31"/>
  <c r="M23" i="31"/>
  <c r="N23" i="31"/>
  <c r="O23" i="31"/>
  <c r="J24" i="31"/>
  <c r="K24" i="31"/>
  <c r="L24" i="31"/>
  <c r="M24" i="31"/>
  <c r="N24" i="31"/>
  <c r="O24" i="31"/>
  <c r="J25" i="31"/>
  <c r="K25" i="31"/>
  <c r="L25" i="31"/>
  <c r="M25" i="31"/>
  <c r="N25" i="31"/>
  <c r="O25" i="31"/>
  <c r="J26" i="31"/>
  <c r="K26" i="31"/>
  <c r="L26" i="31"/>
  <c r="M26" i="31"/>
  <c r="N26" i="31"/>
  <c r="O26" i="31"/>
  <c r="J27" i="31"/>
  <c r="K27" i="31"/>
  <c r="L27" i="31"/>
  <c r="M27" i="31"/>
  <c r="N27" i="31"/>
  <c r="O27" i="31"/>
  <c r="J28" i="31"/>
  <c r="K28" i="31"/>
  <c r="L28" i="31"/>
  <c r="M28" i="31"/>
  <c r="N28" i="31"/>
  <c r="O28" i="31"/>
  <c r="J29" i="31"/>
  <c r="K29" i="31"/>
  <c r="L29" i="31"/>
  <c r="M29" i="31"/>
  <c r="N29" i="31"/>
  <c r="O29" i="31"/>
  <c r="J30" i="31"/>
  <c r="K30" i="31"/>
  <c r="L30" i="31"/>
  <c r="M30" i="31"/>
  <c r="N30" i="31"/>
  <c r="O30" i="31"/>
  <c r="J31" i="31"/>
  <c r="K31" i="31"/>
  <c r="L31" i="31"/>
  <c r="M31" i="31"/>
  <c r="N31" i="31"/>
  <c r="O31" i="31"/>
  <c r="J32" i="31"/>
  <c r="K32" i="31"/>
  <c r="L32" i="31"/>
  <c r="M32" i="31"/>
  <c r="N32" i="31"/>
  <c r="O32" i="31"/>
  <c r="J33" i="31"/>
  <c r="K33" i="31"/>
  <c r="L33" i="31"/>
  <c r="M33" i="31"/>
  <c r="N33" i="31"/>
  <c r="O33" i="31"/>
  <c r="J34" i="31"/>
  <c r="K34" i="31"/>
  <c r="L34" i="31"/>
  <c r="M34" i="31"/>
  <c r="N34" i="31"/>
  <c r="O34" i="31"/>
  <c r="J35" i="31"/>
  <c r="K35" i="31"/>
  <c r="L35" i="31"/>
  <c r="M35" i="31"/>
  <c r="N35" i="31"/>
  <c r="O35" i="31"/>
  <c r="J36" i="31"/>
  <c r="K36" i="31"/>
  <c r="L36" i="31"/>
  <c r="M36" i="31"/>
  <c r="N36" i="31"/>
  <c r="O36" i="31"/>
  <c r="J37" i="31"/>
  <c r="K37" i="31"/>
  <c r="L37" i="31"/>
  <c r="M37" i="31"/>
  <c r="N37" i="31"/>
  <c r="O37" i="31"/>
  <c r="J38" i="31"/>
  <c r="K38" i="31"/>
  <c r="L38" i="31"/>
  <c r="M38" i="31"/>
  <c r="N38" i="31"/>
  <c r="O38" i="31"/>
  <c r="J39" i="31"/>
  <c r="K39" i="31"/>
  <c r="L39" i="31"/>
  <c r="M39" i="31"/>
  <c r="N39" i="31"/>
  <c r="O39" i="31"/>
  <c r="J40" i="31"/>
  <c r="K40" i="31"/>
  <c r="L40" i="31"/>
  <c r="M40" i="31"/>
  <c r="N40" i="31"/>
  <c r="O40" i="31"/>
  <c r="K21" i="31"/>
  <c r="L21" i="31"/>
  <c r="M21" i="31"/>
  <c r="N21" i="31"/>
  <c r="H21" i="31"/>
  <c r="I21" i="31"/>
  <c r="G22" i="31"/>
  <c r="H22" i="31"/>
  <c r="G23" i="31"/>
  <c r="G24" i="31"/>
  <c r="G25" i="31"/>
  <c r="G26" i="31"/>
  <c r="G27" i="31"/>
  <c r="G28" i="31"/>
  <c r="G29" i="31"/>
  <c r="G30" i="31"/>
  <c r="G31" i="31"/>
  <c r="G32" i="31"/>
  <c r="G33" i="31"/>
  <c r="G34" i="31"/>
  <c r="G35" i="31"/>
  <c r="G36" i="31"/>
  <c r="G37" i="31"/>
  <c r="G38" i="31"/>
  <c r="G39" i="31"/>
  <c r="G40" i="31"/>
  <c r="G21" i="31"/>
  <c r="B2" i="4"/>
  <c r="B2" i="30"/>
  <c r="C22" i="31"/>
  <c r="I22" i="31"/>
  <c r="H23" i="31"/>
  <c r="I23" i="31"/>
  <c r="P23" i="31"/>
  <c r="C24" i="31"/>
  <c r="H24" i="31"/>
  <c r="I24" i="31"/>
  <c r="P24" i="31"/>
  <c r="C25" i="31"/>
  <c r="H25" i="31"/>
  <c r="I25" i="31"/>
  <c r="P25" i="31"/>
  <c r="C26" i="31"/>
  <c r="H26" i="31"/>
  <c r="I26" i="31"/>
  <c r="P26" i="31"/>
  <c r="C27" i="31"/>
  <c r="H27" i="31"/>
  <c r="I27" i="31"/>
  <c r="P27" i="31"/>
  <c r="C28" i="31"/>
  <c r="H28" i="31"/>
  <c r="I28" i="31"/>
  <c r="P28" i="31"/>
  <c r="C29" i="31"/>
  <c r="H29" i="31"/>
  <c r="I29" i="31"/>
  <c r="P29" i="31"/>
  <c r="C30" i="31"/>
  <c r="H30" i="31"/>
  <c r="I30" i="31"/>
  <c r="P30" i="31"/>
  <c r="C31" i="31"/>
  <c r="H31" i="31"/>
  <c r="I31" i="31"/>
  <c r="P31" i="31"/>
  <c r="C32" i="31"/>
  <c r="H32" i="31"/>
  <c r="I32" i="31"/>
  <c r="P32" i="31"/>
  <c r="C33" i="31"/>
  <c r="H33" i="31"/>
  <c r="I33" i="31"/>
  <c r="P33" i="31"/>
  <c r="C34" i="31"/>
  <c r="H34" i="31"/>
  <c r="I34" i="31"/>
  <c r="P34" i="31"/>
  <c r="C35" i="31"/>
  <c r="H35" i="31"/>
  <c r="I35" i="31"/>
  <c r="P35" i="31"/>
  <c r="C36" i="31"/>
  <c r="H36" i="31"/>
  <c r="I36" i="31"/>
  <c r="P36" i="31"/>
  <c r="C37" i="31"/>
  <c r="H37" i="31"/>
  <c r="I37" i="31"/>
  <c r="P37" i="31"/>
  <c r="C38" i="31"/>
  <c r="H38" i="31"/>
  <c r="I38" i="31"/>
  <c r="P38" i="31"/>
  <c r="C39" i="31"/>
  <c r="H39" i="31"/>
  <c r="I39" i="31"/>
  <c r="P39" i="31"/>
  <c r="C40" i="31"/>
  <c r="H40" i="31"/>
  <c r="I40" i="31"/>
  <c r="P40" i="31"/>
  <c r="I7" i="4"/>
  <c r="J23" i="4"/>
  <c r="J22" i="4"/>
  <c r="J21" i="4"/>
  <c r="J20" i="4"/>
  <c r="D22" i="4"/>
  <c r="D21" i="4"/>
  <c r="D20" i="4"/>
  <c r="D15" i="4"/>
  <c r="D11" i="4"/>
  <c r="D12" i="4"/>
  <c r="D13" i="4"/>
  <c r="D14" i="4"/>
  <c r="E15" i="4"/>
  <c r="E13" i="4"/>
  <c r="P7" i="4"/>
  <c r="C7" i="4"/>
  <c r="Q11" i="19"/>
  <c r="R12" i="19"/>
  <c r="Q10" i="19"/>
  <c r="R11" i="19"/>
  <c r="Q9" i="19"/>
  <c r="R10" i="19"/>
  <c r="Q8" i="19"/>
  <c r="R9" i="19"/>
  <c r="B10" i="28"/>
  <c r="B11" i="28"/>
  <c r="B12" i="28"/>
  <c r="B6" i="28"/>
  <c r="B15" i="28"/>
  <c r="B13" i="28"/>
  <c r="B14" i="28"/>
  <c r="B7" i="28"/>
  <c r="B8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9" i="28"/>
  <c r="Q7" i="19"/>
  <c r="R8" i="19"/>
  <c r="C37" i="27"/>
  <c r="C38" i="27"/>
  <c r="C39" i="27"/>
  <c r="C40" i="27"/>
  <c r="C41" i="27"/>
  <c r="C42" i="27"/>
  <c r="C43" i="27"/>
  <c r="C44" i="27"/>
  <c r="C45" i="27"/>
  <c r="C46" i="27"/>
  <c r="C47" i="27"/>
  <c r="C48" i="27"/>
  <c r="C49" i="27"/>
  <c r="C50" i="27"/>
  <c r="C51" i="27"/>
  <c r="B4" i="27"/>
  <c r="B5" i="27"/>
  <c r="B6" i="27"/>
  <c r="B7" i="27"/>
  <c r="B8" i="27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39" i="27"/>
  <c r="B40" i="27"/>
  <c r="B41" i="27"/>
  <c r="B42" i="27"/>
  <c r="B43" i="27"/>
  <c r="B44" i="27"/>
  <c r="B45" i="27"/>
  <c r="B46" i="27"/>
  <c r="B47" i="27"/>
  <c r="B48" i="27"/>
  <c r="B3" i="27"/>
  <c r="B3" i="25"/>
  <c r="C24" i="25"/>
  <c r="C25" i="25"/>
  <c r="C26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39" i="25"/>
  <c r="C40" i="25"/>
  <c r="C41" i="25"/>
  <c r="B4" i="25"/>
  <c r="B5" i="25"/>
  <c r="B6" i="25"/>
  <c r="B7" i="25"/>
  <c r="B8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B38" i="25"/>
  <c r="B39" i="25"/>
  <c r="B40" i="25"/>
  <c r="B41" i="25"/>
  <c r="C55" i="27"/>
  <c r="C56" i="27"/>
  <c r="C57" i="27"/>
  <c r="C58" i="27"/>
  <c r="C59" i="27"/>
  <c r="C60" i="27"/>
  <c r="C61" i="27"/>
  <c r="C62" i="27"/>
  <c r="C63" i="27"/>
  <c r="C64" i="27"/>
  <c r="C65" i="27"/>
  <c r="C66" i="27"/>
  <c r="C67" i="27"/>
  <c r="C68" i="27"/>
  <c r="C71" i="27"/>
  <c r="B71" i="27"/>
  <c r="C70" i="27"/>
  <c r="B70" i="27"/>
  <c r="C69" i="27"/>
  <c r="B69" i="27"/>
  <c r="B68" i="27"/>
  <c r="B67" i="27"/>
  <c r="B66" i="27"/>
  <c r="B65" i="27"/>
  <c r="B64" i="27"/>
  <c r="B63" i="27"/>
  <c r="B62" i="27"/>
  <c r="B61" i="27"/>
  <c r="B60" i="27"/>
  <c r="B59" i="27"/>
  <c r="B58" i="27"/>
  <c r="B57" i="27"/>
  <c r="B56" i="27"/>
  <c r="B55" i="27"/>
  <c r="B54" i="27"/>
  <c r="B53" i="27"/>
  <c r="B52" i="27"/>
  <c r="B51" i="27"/>
  <c r="B50" i="27"/>
  <c r="B49" i="27"/>
  <c r="E27" i="27"/>
  <c r="E26" i="27"/>
  <c r="E25" i="27"/>
  <c r="E24" i="27"/>
  <c r="E23" i="27"/>
  <c r="E22" i="27"/>
  <c r="E21" i="27"/>
  <c r="E20" i="27"/>
  <c r="E19" i="27"/>
  <c r="E18" i="27"/>
  <c r="E17" i="27"/>
  <c r="E16" i="27"/>
  <c r="E15" i="27"/>
  <c r="E14" i="27"/>
  <c r="E13" i="27"/>
  <c r="E12" i="27"/>
  <c r="E11" i="27"/>
  <c r="E10" i="27"/>
  <c r="E9" i="27"/>
  <c r="E8" i="27"/>
  <c r="E7" i="27"/>
  <c r="E6" i="27"/>
  <c r="E5" i="27"/>
  <c r="E4" i="27"/>
  <c r="E3" i="27"/>
  <c r="E6" i="25"/>
  <c r="E7" i="25"/>
  <c r="E27" i="25"/>
  <c r="E26" i="25"/>
  <c r="E25" i="25"/>
  <c r="E24" i="25"/>
  <c r="E23" i="25"/>
  <c r="E22" i="25"/>
  <c r="E16" i="25"/>
  <c r="E17" i="25"/>
  <c r="E12" i="25"/>
  <c r="C42" i="25"/>
  <c r="C43" i="25"/>
  <c r="C44" i="25"/>
  <c r="C45" i="25"/>
  <c r="C46" i="25"/>
  <c r="C47" i="25"/>
  <c r="C48" i="25"/>
  <c r="C49" i="25"/>
  <c r="C50" i="25"/>
  <c r="C51" i="25"/>
  <c r="C52" i="25"/>
  <c r="C53" i="25"/>
  <c r="C54" i="25"/>
  <c r="C55" i="25"/>
  <c r="C56" i="25"/>
  <c r="C57" i="25"/>
  <c r="C58" i="25"/>
  <c r="C59" i="25"/>
  <c r="C60" i="25"/>
  <c r="C61" i="25"/>
  <c r="C62" i="25"/>
  <c r="C63" i="25"/>
  <c r="C64" i="25"/>
  <c r="C65" i="25"/>
  <c r="C66" i="25"/>
  <c r="C67" i="25"/>
  <c r="C68" i="25"/>
  <c r="C69" i="25"/>
  <c r="C70" i="25"/>
  <c r="C71" i="25"/>
  <c r="B42" i="25"/>
  <c r="B43" i="25"/>
  <c r="B44" i="25"/>
  <c r="B45" i="25"/>
  <c r="B46" i="25"/>
  <c r="B47" i="25"/>
  <c r="B48" i="25"/>
  <c r="B49" i="25"/>
  <c r="B50" i="25"/>
  <c r="B51" i="25"/>
  <c r="B52" i="25"/>
  <c r="B53" i="25"/>
  <c r="B54" i="25"/>
  <c r="B55" i="25"/>
  <c r="B56" i="25"/>
  <c r="B57" i="25"/>
  <c r="B58" i="25"/>
  <c r="B59" i="25"/>
  <c r="B60" i="25"/>
  <c r="B61" i="25"/>
  <c r="B62" i="25"/>
  <c r="B63" i="25"/>
  <c r="B64" i="25"/>
  <c r="B65" i="25"/>
  <c r="B66" i="25"/>
  <c r="B67" i="25"/>
  <c r="B68" i="25"/>
  <c r="B69" i="25"/>
  <c r="B70" i="25"/>
  <c r="B71" i="25"/>
  <c r="E21" i="25"/>
  <c r="E20" i="25"/>
  <c r="E19" i="25"/>
  <c r="E18" i="25"/>
  <c r="E15" i="25"/>
  <c r="E14" i="25"/>
  <c r="E13" i="25"/>
  <c r="E11" i="25"/>
  <c r="E10" i="25"/>
  <c r="E9" i="25"/>
  <c r="E8" i="25"/>
  <c r="E5" i="25"/>
  <c r="E4" i="25"/>
  <c r="E3" i="25"/>
  <c r="C23" i="25"/>
  <c r="C3" i="25"/>
  <c r="C4" i="25"/>
  <c r="C5" i="25"/>
  <c r="C6" i="25"/>
  <c r="C7" i="25"/>
  <c r="C8" i="25"/>
  <c r="C9" i="25"/>
  <c r="C11" i="25"/>
  <c r="C12" i="25"/>
  <c r="C16" i="25"/>
  <c r="C17" i="25"/>
  <c r="C18" i="25"/>
  <c r="C19" i="25"/>
  <c r="C20" i="25"/>
  <c r="C21" i="25"/>
  <c r="C22" i="25"/>
  <c r="C15" i="25"/>
  <c r="C14" i="25"/>
  <c r="C13" i="25"/>
  <c r="C10" i="25"/>
  <c r="F6" i="25" a="1"/>
  <c r="F6" i="25"/>
  <c r="C8" i="26"/>
  <c r="F27" i="25" a="1"/>
  <c r="F27" i="25"/>
  <c r="G7" i="26"/>
  <c r="F23" i="25" a="1"/>
  <c r="F23" i="25"/>
  <c r="G11" i="26"/>
  <c r="F19" i="25" a="1"/>
  <c r="F19" i="25"/>
  <c r="F10" i="26"/>
  <c r="F7" i="25" a="1"/>
  <c r="F7" i="25"/>
  <c r="C7" i="26"/>
  <c r="F12" i="25" a="1"/>
  <c r="F12" i="25"/>
  <c r="D7" i="26"/>
  <c r="F24" i="25" a="1"/>
  <c r="F24" i="25"/>
  <c r="G10" i="26"/>
  <c r="F20" i="25" a="1"/>
  <c r="F20" i="25"/>
  <c r="F9" i="26"/>
  <c r="F16" i="25" a="1"/>
  <c r="F16" i="25"/>
  <c r="E8" i="26"/>
  <c r="F11" i="25" a="1"/>
  <c r="F11" i="25"/>
  <c r="D8" i="26"/>
  <c r="F4" i="25" a="1"/>
  <c r="F4" i="25"/>
  <c r="C10" i="26"/>
  <c r="F8" i="25" a="1"/>
  <c r="F8" i="25"/>
  <c r="D11" i="26"/>
  <c r="F13" i="25" a="1"/>
  <c r="F13" i="25"/>
  <c r="E11" i="26"/>
  <c r="F9" i="25" a="1"/>
  <c r="F9" i="25"/>
  <c r="D10" i="26"/>
  <c r="F3" i="25" a="1"/>
  <c r="F3" i="25"/>
  <c r="C11" i="26"/>
  <c r="F10" i="25" a="1"/>
  <c r="F10" i="25"/>
  <c r="D9" i="26"/>
  <c r="F15" i="25" a="1"/>
  <c r="F15" i="25"/>
  <c r="E9" i="26"/>
  <c r="F25" i="25" a="1"/>
  <c r="F25" i="25"/>
  <c r="G9" i="26"/>
  <c r="F21" i="25" a="1"/>
  <c r="F21" i="25"/>
  <c r="F8" i="26"/>
  <c r="F17" i="25" a="1"/>
  <c r="F17" i="25"/>
  <c r="E7" i="26"/>
  <c r="F5" i="25" a="1"/>
  <c r="F5" i="25"/>
  <c r="C9" i="26"/>
  <c r="F26" i="25" a="1"/>
  <c r="F26" i="25"/>
  <c r="G8" i="26"/>
  <c r="F22" i="25" a="1"/>
  <c r="F22" i="25"/>
  <c r="F7" i="26"/>
  <c r="F18" i="25" a="1"/>
  <c r="F18" i="25"/>
  <c r="F11" i="26"/>
  <c r="F14" i="25" a="1"/>
  <c r="F14" i="25"/>
  <c r="E10" i="26"/>
  <c r="E22" i="4"/>
  <c r="E20" i="4"/>
  <c r="K20" i="4"/>
  <c r="K22" i="4"/>
  <c r="K23" i="4"/>
  <c r="E21" i="4"/>
  <c r="K21" i="4"/>
  <c r="C17" i="27"/>
  <c r="C9" i="27"/>
  <c r="C22" i="27"/>
  <c r="C6" i="27"/>
  <c r="C19" i="27"/>
  <c r="C11" i="27"/>
  <c r="C3" i="27"/>
  <c r="C16" i="27"/>
  <c r="C8" i="27"/>
  <c r="C21" i="27"/>
  <c r="C13" i="27"/>
  <c r="C5" i="27"/>
  <c r="C18" i="27"/>
  <c r="C10" i="27"/>
  <c r="C23" i="27"/>
  <c r="C7" i="27"/>
  <c r="C20" i="27"/>
  <c r="C12" i="27"/>
  <c r="C4" i="27"/>
  <c r="E14" i="4"/>
  <c r="E12" i="4"/>
  <c r="E11" i="4"/>
  <c r="C26" i="27"/>
  <c r="C14" i="27"/>
  <c r="C15" i="27"/>
  <c r="C24" i="27"/>
  <c r="C25" i="27"/>
  <c r="C27" i="27"/>
  <c r="C28" i="27"/>
  <c r="C29" i="27"/>
  <c r="C30" i="27"/>
  <c r="C31" i="27"/>
  <c r="C32" i="27"/>
  <c r="C33" i="27"/>
  <c r="C34" i="27"/>
  <c r="C35" i="27"/>
  <c r="C36" i="27"/>
  <c r="C52" i="27"/>
  <c r="C53" i="27"/>
  <c r="C54" i="27"/>
  <c r="F3" i="27" a="1"/>
  <c r="F3" i="27"/>
  <c r="K11" i="26"/>
  <c r="F4" i="27" a="1"/>
  <c r="F4" i="27"/>
  <c r="K10" i="26"/>
  <c r="Z40" i="31"/>
  <c r="Z39" i="31"/>
  <c r="Z38" i="31"/>
  <c r="Z37" i="31"/>
  <c r="Z36" i="31"/>
  <c r="Z35" i="31"/>
  <c r="Z34" i="31"/>
  <c r="Z33" i="31"/>
  <c r="Z32" i="31"/>
  <c r="Z31" i="31"/>
  <c r="Z30" i="31"/>
  <c r="Z29" i="31"/>
  <c r="Z28" i="31"/>
  <c r="Z27" i="31"/>
  <c r="Z25" i="31"/>
  <c r="F24" i="27" a="1"/>
  <c r="F24" i="27"/>
  <c r="O10" i="26"/>
  <c r="J27" i="4"/>
  <c r="K27" i="4"/>
  <c r="J26" i="4"/>
  <c r="K26" i="4"/>
  <c r="F14" i="27" a="1"/>
  <c r="F14" i="27"/>
  <c r="M10" i="26"/>
  <c r="F23" i="27" a="1"/>
  <c r="F23" i="27"/>
  <c r="O11" i="26"/>
  <c r="F8" i="27" a="1"/>
  <c r="F8" i="27"/>
  <c r="L11" i="26"/>
  <c r="F10" i="27" a="1"/>
  <c r="F10" i="27"/>
  <c r="L9" i="26"/>
  <c r="F11" i="27" a="1"/>
  <c r="F11" i="27"/>
  <c r="L8" i="26"/>
  <c r="F20" i="27" a="1"/>
  <c r="F20" i="27"/>
  <c r="N9" i="26"/>
  <c r="F12" i="27" a="1"/>
  <c r="F12" i="27"/>
  <c r="L7" i="26"/>
  <c r="F25" i="27" a="1"/>
  <c r="F25" i="27"/>
  <c r="O9" i="26"/>
  <c r="F15" i="27" a="1"/>
  <c r="F15" i="27"/>
  <c r="M9" i="26"/>
  <c r="F13" i="27" a="1"/>
  <c r="F13" i="27"/>
  <c r="M11" i="26"/>
  <c r="J28" i="4"/>
  <c r="K28" i="4"/>
  <c r="F26" i="27" a="1"/>
  <c r="F26" i="27"/>
  <c r="O8" i="26"/>
  <c r="F5" i="27" a="1"/>
  <c r="F5" i="27"/>
  <c r="K9" i="26"/>
  <c r="F27" i="27" a="1"/>
  <c r="F27" i="27"/>
  <c r="O7" i="26"/>
  <c r="F19" i="27" a="1"/>
  <c r="F19" i="27"/>
  <c r="N10" i="26"/>
  <c r="F18" i="27" a="1"/>
  <c r="F18" i="27"/>
  <c r="N11" i="26"/>
  <c r="F17" i="27" a="1"/>
  <c r="F17" i="27"/>
  <c r="M7" i="26"/>
  <c r="F9" i="27" a="1"/>
  <c r="F9" i="27"/>
  <c r="L10" i="26"/>
  <c r="F16" i="27" a="1"/>
  <c r="F16" i="27"/>
  <c r="M8" i="26"/>
  <c r="F6" i="27" a="1"/>
  <c r="F6" i="27"/>
  <c r="K8" i="26"/>
  <c r="F7" i="27" a="1"/>
  <c r="F7" i="27"/>
  <c r="K7" i="26"/>
  <c r="F22" i="27" a="1"/>
  <c r="F22" i="27"/>
  <c r="N7" i="26"/>
  <c r="F21" i="27" a="1"/>
  <c r="F21" i="27"/>
  <c r="N8" i="26"/>
  <c r="AA28" i="31"/>
  <c r="AB28" i="31"/>
  <c r="AA30" i="31"/>
  <c r="AB30" i="31"/>
  <c r="AA32" i="31"/>
  <c r="AB32" i="31"/>
  <c r="AA34" i="31"/>
  <c r="AB34" i="31"/>
  <c r="AA36" i="31"/>
  <c r="AB36" i="31"/>
  <c r="AA38" i="31"/>
  <c r="AB38" i="31"/>
  <c r="AA40" i="31"/>
  <c r="AB40" i="31"/>
  <c r="AA23" i="31"/>
  <c r="AA25" i="31"/>
  <c r="AB25" i="31"/>
  <c r="AA27" i="31"/>
  <c r="AB27" i="31"/>
  <c r="AA29" i="31"/>
  <c r="AB29" i="31"/>
  <c r="AA31" i="31"/>
  <c r="AB31" i="31"/>
  <c r="AA33" i="31"/>
  <c r="AB33" i="31"/>
  <c r="AA35" i="31"/>
  <c r="AB35" i="31"/>
  <c r="AA37" i="31"/>
  <c r="AB37" i="31"/>
  <c r="AA39" i="31"/>
  <c r="AB39" i="31"/>
  <c r="AA22" i="31"/>
  <c r="Z22" i="31"/>
  <c r="AB22" i="31"/>
  <c r="U12" i="30"/>
  <c r="Z23" i="31"/>
  <c r="AB23" i="31"/>
  <c r="P60" i="30"/>
  <c r="V56" i="30"/>
  <c r="AD56" i="30"/>
  <c r="U57" i="30"/>
  <c r="AC57" i="30"/>
  <c r="T58" i="30"/>
  <c r="AB58" i="30"/>
  <c r="S59" i="30"/>
  <c r="AA59" i="30"/>
  <c r="R60" i="30"/>
  <c r="Z60" i="30"/>
  <c r="P7" i="30"/>
  <c r="P15" i="30"/>
  <c r="P23" i="30"/>
  <c r="P31" i="30"/>
  <c r="P39" i="30"/>
  <c r="P47" i="30"/>
  <c r="P55" i="30"/>
  <c r="J12" i="4"/>
  <c r="J11" i="4"/>
  <c r="J13" i="4"/>
  <c r="J14" i="4"/>
  <c r="J15" i="4"/>
  <c r="K12" i="4"/>
  <c r="K15" i="4"/>
  <c r="P6" i="30"/>
  <c r="AE55" i="30"/>
  <c r="P53" i="30"/>
  <c r="P37" i="30"/>
  <c r="P21" i="30"/>
  <c r="P13" i="30"/>
  <c r="AF60" i="30"/>
  <c r="AG59" i="30"/>
  <c r="Q59" i="30"/>
  <c r="Z58" i="30"/>
  <c r="AA57" i="30"/>
  <c r="AB56" i="30"/>
  <c r="AC55" i="30"/>
  <c r="Q15" i="4"/>
  <c r="R15" i="4"/>
  <c r="Q14" i="4"/>
  <c r="R14" i="4"/>
  <c r="Q13" i="4"/>
  <c r="R13" i="4"/>
  <c r="Q12" i="4"/>
  <c r="R12" i="4"/>
  <c r="Q11" i="4"/>
  <c r="R11" i="4"/>
  <c r="AC7" i="30"/>
  <c r="V11" i="30"/>
  <c r="X9" i="30"/>
  <c r="Z7" i="30"/>
  <c r="AG25" i="30"/>
  <c r="R24" i="30"/>
  <c r="T22" i="30"/>
  <c r="V20" i="30"/>
  <c r="X18" i="30"/>
  <c r="Z16" i="30"/>
  <c r="AB35" i="30"/>
  <c r="W33" i="30"/>
  <c r="Y31" i="30"/>
  <c r="AA29" i="30"/>
  <c r="AC27" i="30"/>
  <c r="AF14" i="30"/>
  <c r="S11" i="30"/>
  <c r="U9" i="30"/>
  <c r="AB12" i="30"/>
  <c r="U11" i="30"/>
  <c r="AB13" i="30"/>
  <c r="AA14" i="30"/>
  <c r="Z15" i="30"/>
  <c r="AG16" i="30"/>
  <c r="AF17" i="30"/>
  <c r="AE18" i="30"/>
  <c r="AD19" i="30"/>
  <c r="U20" i="30"/>
  <c r="AA22" i="30"/>
  <c r="R23" i="30"/>
  <c r="Z23" i="30"/>
  <c r="Q24" i="30"/>
  <c r="Y24" i="30"/>
  <c r="AG24" i="30"/>
  <c r="X25" i="30"/>
  <c r="AF25" i="30"/>
  <c r="W26" i="30"/>
  <c r="AE26" i="30"/>
  <c r="V27" i="30"/>
  <c r="AD27" i="30"/>
  <c r="U28" i="30"/>
  <c r="AC28" i="30"/>
  <c r="T29" i="30"/>
  <c r="AB29" i="30"/>
  <c r="S30" i="30"/>
  <c r="AA30" i="30"/>
  <c r="R31" i="30"/>
  <c r="Z31" i="30"/>
  <c r="Q32" i="30"/>
  <c r="Y32" i="30"/>
  <c r="AG32" i="30"/>
  <c r="X33" i="30"/>
  <c r="AF33" i="30"/>
  <c r="W34" i="30"/>
  <c r="AE34" i="30"/>
  <c r="AD35" i="30"/>
  <c r="U35" i="30"/>
  <c r="AC35" i="30"/>
  <c r="T36" i="30"/>
  <c r="AB36" i="30"/>
  <c r="S37" i="30"/>
  <c r="AA37" i="30"/>
  <c r="R38" i="30"/>
  <c r="Z38" i="30"/>
  <c r="Q39" i="30"/>
  <c r="Y39" i="30"/>
  <c r="AG39" i="30"/>
  <c r="X40" i="30"/>
  <c r="AF40" i="30"/>
  <c r="W41" i="30"/>
  <c r="AE41" i="30"/>
  <c r="V42" i="30"/>
  <c r="AD42" i="30"/>
  <c r="U43" i="30"/>
  <c r="AC43" i="30"/>
  <c r="T44" i="30"/>
  <c r="AB44" i="30"/>
  <c r="S45" i="30"/>
  <c r="AA45" i="30"/>
  <c r="R46" i="30"/>
  <c r="Z46" i="30"/>
  <c r="Q47" i="30"/>
  <c r="Y47" i="30"/>
  <c r="AG47" i="30"/>
  <c r="X48" i="30"/>
  <c r="AF48" i="30"/>
  <c r="W49" i="30"/>
  <c r="AE49" i="30"/>
  <c r="V50" i="30"/>
  <c r="AD50" i="30"/>
  <c r="U51" i="30"/>
  <c r="AC51" i="30"/>
  <c r="T52" i="30"/>
  <c r="AB52" i="30"/>
  <c r="S53" i="30"/>
  <c r="AA53" i="30"/>
  <c r="R54" i="30"/>
  <c r="Z54" i="30"/>
  <c r="Q55" i="30"/>
  <c r="Y55" i="30"/>
  <c r="Q36" i="30"/>
  <c r="Y36" i="30"/>
  <c r="AG36" i="30"/>
  <c r="X37" i="30"/>
  <c r="AF37" i="30"/>
  <c r="W38" i="30"/>
  <c r="AE38" i="30"/>
  <c r="V39" i="30"/>
  <c r="AD39" i="30"/>
  <c r="U40" i="30"/>
  <c r="AC40" i="30"/>
  <c r="T41" i="30"/>
  <c r="AB41" i="30"/>
  <c r="S42" i="30"/>
  <c r="AA42" i="30"/>
  <c r="R43" i="30"/>
  <c r="Z43" i="30"/>
  <c r="Q44" i="30"/>
  <c r="Y44" i="30"/>
  <c r="AG44" i="30"/>
  <c r="X45" i="30"/>
  <c r="AF45" i="30"/>
  <c r="W46" i="30"/>
  <c r="AE46" i="30"/>
  <c r="V47" i="30"/>
  <c r="AD47" i="30"/>
  <c r="U48" i="30"/>
  <c r="AC48" i="30"/>
  <c r="T49" i="30"/>
  <c r="AB49" i="30"/>
  <c r="S50" i="30"/>
  <c r="AA50" i="30"/>
  <c r="R51" i="30"/>
  <c r="Z51" i="30"/>
  <c r="Q52" i="30"/>
  <c r="Y52" i="30"/>
  <c r="AG52" i="30"/>
  <c r="X53" i="30"/>
  <c r="AF53" i="30"/>
  <c r="W54" i="30"/>
  <c r="AE54" i="30"/>
  <c r="V55" i="30"/>
  <c r="Q56" i="30"/>
  <c r="Y56" i="30"/>
  <c r="AG56" i="30"/>
  <c r="X57" i="30"/>
  <c r="AF57" i="30"/>
  <c r="W58" i="30"/>
  <c r="AE58" i="30"/>
  <c r="V59" i="30"/>
  <c r="AD59" i="30"/>
  <c r="U60" i="30"/>
  <c r="AC60" i="30"/>
  <c r="P10" i="30"/>
  <c r="P18" i="30"/>
  <c r="P26" i="30"/>
  <c r="P34" i="30"/>
  <c r="P42" i="30"/>
  <c r="P50" i="30"/>
  <c r="P58" i="30"/>
  <c r="U7" i="30"/>
  <c r="S9" i="30"/>
  <c r="AD10" i="30"/>
  <c r="AF12" i="30"/>
  <c r="R14" i="30"/>
  <c r="Q15" i="30"/>
  <c r="Z6" i="30"/>
  <c r="X8" i="30"/>
  <c r="Z10" i="30"/>
  <c r="T12" i="30"/>
  <c r="T6" i="30"/>
  <c r="S7" i="30"/>
  <c r="R8" i="30"/>
  <c r="Q9" i="30"/>
  <c r="AG9" i="30"/>
  <c r="AF10" i="30"/>
  <c r="AE11" i="30"/>
  <c r="AD12" i="30"/>
  <c r="AC13" i="30"/>
  <c r="AB14" i="30"/>
  <c r="AA15" i="30"/>
  <c r="AB26" i="30"/>
  <c r="S27" i="30"/>
  <c r="AA27" i="30"/>
  <c r="R28" i="30"/>
  <c r="Z28" i="30"/>
  <c r="Q29" i="30"/>
  <c r="Y29" i="30"/>
  <c r="AG29" i="30"/>
  <c r="X30" i="30"/>
  <c r="AF30" i="30"/>
  <c r="W31" i="30"/>
  <c r="AE31" i="30"/>
  <c r="V32" i="30"/>
  <c r="AD32" i="30"/>
  <c r="U33" i="30"/>
  <c r="AC33" i="30"/>
  <c r="T34" i="30"/>
  <c r="AB34" i="30"/>
  <c r="X35" i="30"/>
  <c r="AG15" i="30"/>
  <c r="X16" i="30"/>
  <c r="AF16" i="30"/>
  <c r="W17" i="30"/>
  <c r="AE17" i="30"/>
  <c r="V18" i="30"/>
  <c r="AD18" i="30"/>
  <c r="U19" i="30"/>
  <c r="AC19" i="30"/>
  <c r="T20" i="30"/>
  <c r="AB20" i="30"/>
  <c r="S21" i="30"/>
  <c r="AA21" i="30"/>
  <c r="R22" i="30"/>
  <c r="Z22" i="30"/>
  <c r="Q23" i="30"/>
  <c r="Y23" i="30"/>
  <c r="AG23" i="30"/>
  <c r="X24" i="30"/>
  <c r="AF24" i="30"/>
  <c r="W25" i="30"/>
  <c r="AE25" i="30"/>
  <c r="Q6" i="30"/>
  <c r="Y6" i="30"/>
  <c r="AG6" i="30"/>
  <c r="X7" i="30"/>
  <c r="AF7" i="30"/>
  <c r="W8" i="30"/>
  <c r="AE8" i="30"/>
  <c r="V9" i="30"/>
  <c r="AD9" i="30"/>
  <c r="U10" i="30"/>
  <c r="AC10" i="30"/>
  <c r="T11" i="30"/>
  <c r="AB11" i="30"/>
  <c r="S12" i="30"/>
  <c r="AA12" i="30"/>
  <c r="R13" i="30"/>
  <c r="Z13" i="30"/>
  <c r="Q14" i="30"/>
  <c r="Y14" i="30"/>
  <c r="AG14" i="30"/>
  <c r="X15" i="30"/>
  <c r="AF15" i="30"/>
  <c r="W16" i="30"/>
  <c r="AE16" i="30"/>
  <c r="V17" i="30"/>
  <c r="AD17" i="30"/>
  <c r="U18" i="30"/>
  <c r="AC18" i="30"/>
  <c r="T19" i="30"/>
  <c r="AB19" i="30"/>
  <c r="S20" i="30"/>
  <c r="AA20" i="30"/>
  <c r="R21" i="30"/>
  <c r="Z21" i="30"/>
  <c r="Q22" i="30"/>
  <c r="Y22" i="30"/>
  <c r="AG22" i="30"/>
  <c r="X23" i="30"/>
  <c r="AF23" i="30"/>
  <c r="W24" i="30"/>
  <c r="AE24" i="30"/>
  <c r="V25" i="30"/>
  <c r="AD25" i="30"/>
  <c r="U26" i="30"/>
  <c r="AC26" i="30"/>
  <c r="T27" i="30"/>
  <c r="AB27" i="30"/>
  <c r="S28" i="30"/>
  <c r="AA28" i="30"/>
  <c r="R29" i="30"/>
  <c r="Z29" i="30"/>
  <c r="Q30" i="30"/>
  <c r="Y30" i="30"/>
  <c r="AG30" i="30"/>
  <c r="X31" i="30"/>
  <c r="AF31" i="30"/>
  <c r="W32" i="30"/>
  <c r="AE32" i="30"/>
  <c r="V33" i="30"/>
  <c r="AD33" i="30"/>
  <c r="U34" i="30"/>
  <c r="AC34" i="30"/>
  <c r="Z35" i="30"/>
  <c r="S35" i="30"/>
  <c r="AA35" i="30"/>
  <c r="R36" i="30"/>
  <c r="Z36" i="30"/>
  <c r="Q37" i="30"/>
  <c r="Y37" i="30"/>
  <c r="AG37" i="30"/>
  <c r="X38" i="30"/>
  <c r="AF38" i="30"/>
  <c r="W39" i="30"/>
  <c r="AE39" i="30"/>
  <c r="V40" i="30"/>
  <c r="AD40" i="30"/>
  <c r="U41" i="30"/>
  <c r="AC41" i="30"/>
  <c r="T42" i="30"/>
  <c r="AB42" i="30"/>
  <c r="S43" i="30"/>
  <c r="AA43" i="30"/>
  <c r="R44" i="30"/>
  <c r="Z44" i="30"/>
  <c r="Q45" i="30"/>
  <c r="Y45" i="30"/>
  <c r="AG45" i="30"/>
  <c r="X46" i="30"/>
  <c r="AF46" i="30"/>
  <c r="W47" i="30"/>
  <c r="AE47" i="30"/>
  <c r="V48" i="30"/>
  <c r="AD48" i="30"/>
  <c r="U49" i="30"/>
  <c r="AC49" i="30"/>
  <c r="T50" i="30"/>
  <c r="AB50" i="30"/>
  <c r="S51" i="30"/>
  <c r="AA51" i="30"/>
  <c r="R52" i="30"/>
  <c r="Z52" i="30"/>
  <c r="Q53" i="30"/>
  <c r="Y53" i="30"/>
  <c r="AG53" i="30"/>
  <c r="X54" i="30"/>
  <c r="AF54" i="30"/>
  <c r="W55" i="30"/>
  <c r="AF35" i="30"/>
  <c r="W36" i="30"/>
  <c r="AE36" i="30"/>
  <c r="V37" i="30"/>
  <c r="AD37" i="30"/>
  <c r="U38" i="30"/>
  <c r="AC38" i="30"/>
  <c r="T39" i="30"/>
  <c r="AB39" i="30"/>
  <c r="S40" i="30"/>
  <c r="AA40" i="30"/>
  <c r="R41" i="30"/>
  <c r="Z41" i="30"/>
  <c r="Q42" i="30"/>
  <c r="Y42" i="30"/>
  <c r="AG42" i="30"/>
  <c r="X43" i="30"/>
  <c r="AF43" i="30"/>
  <c r="W44" i="30"/>
  <c r="AE44" i="30"/>
  <c r="V45" i="30"/>
  <c r="AD45" i="30"/>
  <c r="U46" i="30"/>
  <c r="AC46" i="30"/>
  <c r="T47" i="30"/>
  <c r="AB47" i="30"/>
  <c r="S48" i="30"/>
  <c r="AA48" i="30"/>
  <c r="R49" i="30"/>
  <c r="Z49" i="30"/>
  <c r="Q50" i="30"/>
  <c r="Y50" i="30"/>
  <c r="AG50" i="30"/>
  <c r="X51" i="30"/>
  <c r="AF51" i="30"/>
  <c r="W52" i="30"/>
  <c r="AE52" i="30"/>
  <c r="V53" i="30"/>
  <c r="AD53" i="30"/>
  <c r="U54" i="30"/>
  <c r="AC54" i="30"/>
  <c r="T55" i="30"/>
  <c r="AD55" i="30"/>
  <c r="W56" i="30"/>
  <c r="AE56" i="30"/>
  <c r="V57" i="30"/>
  <c r="AD57" i="30"/>
  <c r="U58" i="30"/>
  <c r="AC58" i="30"/>
  <c r="T59" i="30"/>
  <c r="AB59" i="30"/>
  <c r="S60" i="30"/>
  <c r="AA60" i="30"/>
  <c r="P8" i="30"/>
  <c r="P16" i="30"/>
  <c r="P24" i="30"/>
  <c r="P32" i="30"/>
  <c r="P40" i="30"/>
  <c r="P48" i="30"/>
  <c r="P56" i="30"/>
  <c r="Q12" i="30"/>
  <c r="R11" i="30"/>
  <c r="S10" i="30"/>
  <c r="T9" i="30"/>
  <c r="U8" i="30"/>
  <c r="V7" i="30"/>
  <c r="W6" i="30"/>
  <c r="AC25" i="30"/>
  <c r="AD24" i="30"/>
  <c r="AE23" i="30"/>
  <c r="AF22" i="30"/>
  <c r="AG21" i="30"/>
  <c r="Q21" i="30"/>
  <c r="R20" i="30"/>
  <c r="S19" i="30"/>
  <c r="T18" i="30"/>
  <c r="U17" i="30"/>
  <c r="V16" i="30"/>
  <c r="T35" i="30"/>
  <c r="R34" i="30"/>
  <c r="S33" i="30"/>
  <c r="T32" i="30"/>
  <c r="U31" i="30"/>
  <c r="V30" i="30"/>
  <c r="W29" i="30"/>
  <c r="X28" i="30"/>
  <c r="Y27" i="30"/>
  <c r="Z26" i="30"/>
  <c r="X14" i="30"/>
  <c r="Z12" i="30"/>
  <c r="AB10" i="30"/>
  <c r="AD8" i="30"/>
  <c r="AF6" i="30"/>
  <c r="AE9" i="30"/>
  <c r="R6" i="30"/>
  <c r="AE13" i="30"/>
  <c r="V10" i="30"/>
  <c r="AD6" i="30"/>
  <c r="U15" i="30"/>
  <c r="AA9" i="30"/>
  <c r="K11" i="4"/>
  <c r="P45" i="30"/>
  <c r="P29" i="30"/>
  <c r="X60" i="30"/>
  <c r="Y59" i="30"/>
  <c r="R58" i="30"/>
  <c r="S57" i="30"/>
  <c r="T56" i="30"/>
  <c r="W10" i="30"/>
  <c r="Y8" i="30"/>
  <c r="AA6" i="30"/>
  <c r="Q25" i="30"/>
  <c r="S23" i="30"/>
  <c r="U21" i="30"/>
  <c r="W19" i="30"/>
  <c r="Y17" i="30"/>
  <c r="V34" i="30"/>
  <c r="X32" i="30"/>
  <c r="Z30" i="30"/>
  <c r="AB28" i="30"/>
  <c r="AD26" i="30"/>
  <c r="Q13" i="30"/>
  <c r="W7" i="30"/>
  <c r="Q7" i="30"/>
  <c r="T13" i="30"/>
  <c r="S14" i="30"/>
  <c r="R15" i="30"/>
  <c r="Q16" i="30"/>
  <c r="Y16" i="30"/>
  <c r="X17" i="30"/>
  <c r="W18" i="30"/>
  <c r="V19" i="30"/>
  <c r="AC20" i="30"/>
  <c r="T21" i="30"/>
  <c r="AB21" i="30"/>
  <c r="S22" i="30"/>
  <c r="K13" i="4"/>
  <c r="K14" i="4"/>
  <c r="P59" i="30"/>
  <c r="P51" i="30"/>
  <c r="P43" i="30"/>
  <c r="P35" i="30"/>
  <c r="P27" i="30"/>
  <c r="P19" i="30"/>
  <c r="P11" i="30"/>
  <c r="AD60" i="30"/>
  <c r="V60" i="30"/>
  <c r="AE59" i="30"/>
  <c r="W59" i="30"/>
  <c r="AF58" i="30"/>
  <c r="X58" i="30"/>
  <c r="AG57" i="30"/>
  <c r="Y57" i="30"/>
  <c r="Q57" i="30"/>
  <c r="Z56" i="30"/>
  <c r="R56" i="30"/>
  <c r="AA55" i="30"/>
  <c r="P57" i="30"/>
  <c r="P49" i="30"/>
  <c r="P41" i="30"/>
  <c r="P33" i="30"/>
  <c r="P25" i="30"/>
  <c r="P17" i="30"/>
  <c r="P9" i="30"/>
  <c r="AB60" i="30"/>
  <c r="T60" i="30"/>
  <c r="AC59" i="30"/>
  <c r="U59" i="30"/>
  <c r="AD58" i="30"/>
  <c r="V58" i="30"/>
  <c r="AE57" i="30"/>
  <c r="W57" i="30"/>
  <c r="AF56" i="30"/>
  <c r="X56" i="30"/>
  <c r="AG55" i="30"/>
  <c r="AC12" i="30"/>
  <c r="AD11" i="30"/>
  <c r="AE10" i="30"/>
  <c r="AF9" i="30"/>
  <c r="AG8" i="30"/>
  <c r="Q8" i="30"/>
  <c r="R7" i="30"/>
  <c r="S6" i="30"/>
  <c r="Y25" i="30"/>
  <c r="Z24" i="30"/>
  <c r="AA23" i="30"/>
  <c r="AB22" i="30"/>
  <c r="AC21" i="30"/>
  <c r="AD20" i="30"/>
  <c r="AE19" i="30"/>
  <c r="AF18" i="30"/>
  <c r="AG17" i="30"/>
  <c r="Q17" i="30"/>
  <c r="R16" i="30"/>
  <c r="AD34" i="30"/>
  <c r="AE33" i="30"/>
  <c r="AF32" i="30"/>
  <c r="AG31" i="30"/>
  <c r="Q31" i="30"/>
  <c r="R30" i="30"/>
  <c r="S29" i="30"/>
  <c r="T28" i="30"/>
  <c r="U27" i="30"/>
  <c r="V26" i="30"/>
  <c r="AG13" i="30"/>
  <c r="R12" i="30"/>
  <c r="T10" i="30"/>
  <c r="V8" i="30"/>
  <c r="X6" i="30"/>
  <c r="Q11" i="30"/>
  <c r="V14" i="30"/>
  <c r="AG12" i="30"/>
  <c r="X13" i="30"/>
  <c r="AF13" i="30"/>
  <c r="W14" i="30"/>
  <c r="AE14" i="30"/>
  <c r="V15" i="30"/>
  <c r="AD15" i="30"/>
  <c r="U16" i="30"/>
  <c r="AC16" i="30"/>
  <c r="T17" i="30"/>
  <c r="AB17" i="30"/>
  <c r="S18" i="30"/>
  <c r="AA18" i="30"/>
  <c r="R19" i="30"/>
  <c r="Z19" i="30"/>
  <c r="Q20" i="30"/>
  <c r="Y20" i="30"/>
  <c r="AG20" i="30"/>
  <c r="X21" i="30"/>
  <c r="AF21" i="30"/>
  <c r="W22" i="30"/>
  <c r="AE22" i="30"/>
  <c r="V23" i="30"/>
  <c r="AD23" i="30"/>
  <c r="U24" i="30"/>
  <c r="AC24" i="30"/>
  <c r="T25" i="30"/>
  <c r="AB25" i="30"/>
  <c r="S26" i="30"/>
  <c r="AA26" i="30"/>
  <c r="R27" i="30"/>
  <c r="Z27" i="30"/>
  <c r="Q28" i="30"/>
  <c r="Y28" i="30"/>
  <c r="AG28" i="30"/>
  <c r="X29" i="30"/>
  <c r="AF29" i="30"/>
  <c r="W30" i="30"/>
  <c r="AE30" i="30"/>
  <c r="V31" i="30"/>
  <c r="AD31" i="30"/>
  <c r="U32" i="30"/>
  <c r="AC32" i="30"/>
  <c r="T33" i="30"/>
  <c r="AB33" i="30"/>
  <c r="S34" i="30"/>
  <c r="AA34" i="30"/>
  <c r="V35" i="30"/>
  <c r="Q35" i="30"/>
  <c r="Y35" i="30"/>
  <c r="AG35" i="30"/>
  <c r="X36" i="30"/>
  <c r="AF36" i="30"/>
  <c r="W37" i="30"/>
  <c r="AE37" i="30"/>
  <c r="V38" i="30"/>
  <c r="AD38" i="30"/>
  <c r="U39" i="30"/>
  <c r="AC39" i="30"/>
  <c r="T40" i="30"/>
  <c r="AB40" i="30"/>
  <c r="S41" i="30"/>
  <c r="AA41" i="30"/>
  <c r="R42" i="30"/>
  <c r="Z42" i="30"/>
  <c r="Q43" i="30"/>
  <c r="Y43" i="30"/>
  <c r="AG43" i="30"/>
  <c r="X44" i="30"/>
  <c r="AF44" i="30"/>
  <c r="W45" i="30"/>
  <c r="AE45" i="30"/>
  <c r="V46" i="30"/>
  <c r="AD46" i="30"/>
  <c r="U47" i="30"/>
  <c r="AC47" i="30"/>
  <c r="T48" i="30"/>
  <c r="AB48" i="30"/>
  <c r="S49" i="30"/>
  <c r="AA49" i="30"/>
  <c r="R50" i="30"/>
  <c r="Z50" i="30"/>
  <c r="Q51" i="30"/>
  <c r="Y51" i="30"/>
  <c r="AG51" i="30"/>
  <c r="X52" i="30"/>
  <c r="AF52" i="30"/>
  <c r="W53" i="30"/>
  <c r="AE53" i="30"/>
  <c r="V54" i="30"/>
  <c r="AD54" i="30"/>
  <c r="U55" i="30"/>
  <c r="AF55" i="30"/>
  <c r="U36" i="30"/>
  <c r="AC36" i="30"/>
  <c r="T37" i="30"/>
  <c r="AB37" i="30"/>
  <c r="S38" i="30"/>
  <c r="AA38" i="30"/>
  <c r="R39" i="30"/>
  <c r="Z39" i="30"/>
  <c r="Q40" i="30"/>
  <c r="Y40" i="30"/>
  <c r="AG40" i="30"/>
  <c r="X41" i="30"/>
  <c r="AF41" i="30"/>
  <c r="W42" i="30"/>
  <c r="AE42" i="30"/>
  <c r="V43" i="30"/>
  <c r="AD43" i="30"/>
  <c r="U44" i="30"/>
  <c r="AC44" i="30"/>
  <c r="T45" i="30"/>
  <c r="AB45" i="30"/>
  <c r="S46" i="30"/>
  <c r="AA46" i="30"/>
  <c r="R47" i="30"/>
  <c r="Z47" i="30"/>
  <c r="Q48" i="30"/>
  <c r="Y48" i="30"/>
  <c r="AG48" i="30"/>
  <c r="X49" i="30"/>
  <c r="AF49" i="30"/>
  <c r="W50" i="30"/>
  <c r="AE50" i="30"/>
  <c r="V51" i="30"/>
  <c r="AD51" i="30"/>
  <c r="U52" i="30"/>
  <c r="AC52" i="30"/>
  <c r="T53" i="30"/>
  <c r="AB53" i="30"/>
  <c r="S54" i="30"/>
  <c r="AA54" i="30"/>
  <c r="R55" i="30"/>
  <c r="Z55" i="30"/>
  <c r="U56" i="30"/>
  <c r="AC56" i="30"/>
  <c r="T57" i="30"/>
  <c r="AB57" i="30"/>
  <c r="S58" i="30"/>
  <c r="AA58" i="30"/>
  <c r="R59" i="30"/>
  <c r="Z59" i="30"/>
  <c r="Q60" i="30"/>
  <c r="Y60" i="30"/>
  <c r="AG60" i="30"/>
  <c r="P14" i="30"/>
  <c r="P22" i="30"/>
  <c r="P30" i="30"/>
  <c r="P38" i="30"/>
  <c r="P46" i="30"/>
  <c r="P54" i="30"/>
  <c r="V6" i="30"/>
  <c r="T8" i="30"/>
  <c r="R10" i="30"/>
  <c r="AC11" i="30"/>
  <c r="AA13" i="30"/>
  <c r="Z14" i="30"/>
  <c r="Y15" i="30"/>
  <c r="Y7" i="30"/>
  <c r="W9" i="30"/>
  <c r="Y11" i="30"/>
  <c r="W13" i="30"/>
  <c r="AB6" i="30"/>
  <c r="AA7" i="30"/>
  <c r="Z8" i="30"/>
  <c r="Y9" i="30"/>
  <c r="X10" i="30"/>
  <c r="W11" i="30"/>
  <c r="V12" i="30"/>
  <c r="U13" i="30"/>
  <c r="T14" i="30"/>
  <c r="S15" i="30"/>
  <c r="X26" i="30"/>
  <c r="AF26" i="30"/>
  <c r="W27" i="30"/>
  <c r="AE27" i="30"/>
  <c r="V28" i="30"/>
  <c r="AD28" i="30"/>
  <c r="U29" i="30"/>
  <c r="AC29" i="30"/>
  <c r="T30" i="30"/>
  <c r="AB30" i="30"/>
  <c r="S31" i="30"/>
  <c r="AA31" i="30"/>
  <c r="R32" i="30"/>
  <c r="Z32" i="30"/>
  <c r="Q33" i="30"/>
  <c r="Y33" i="30"/>
  <c r="AG33" i="30"/>
  <c r="X34" i="30"/>
  <c r="AG34" i="30"/>
  <c r="AC15" i="30"/>
  <c r="T16" i="30"/>
  <c r="AB16" i="30"/>
  <c r="S17" i="30"/>
  <c r="AA17" i="30"/>
  <c r="R18" i="30"/>
  <c r="Z18" i="30"/>
  <c r="Q19" i="30"/>
  <c r="Y19" i="30"/>
  <c r="AG19" i="30"/>
  <c r="X20" i="30"/>
  <c r="AF20" i="30"/>
  <c r="W21" i="30"/>
  <c r="AE21" i="30"/>
  <c r="V22" i="30"/>
  <c r="AD22" i="30"/>
  <c r="U23" i="30"/>
  <c r="AC23" i="30"/>
  <c r="T24" i="30"/>
  <c r="AB24" i="30"/>
  <c r="S25" i="30"/>
  <c r="AA25" i="30"/>
  <c r="R26" i="30"/>
  <c r="U6" i="30"/>
  <c r="AC6" i="30"/>
  <c r="T7" i="30"/>
  <c r="AB7" i="30"/>
  <c r="S8" i="30"/>
  <c r="AA8" i="30"/>
  <c r="R9" i="30"/>
  <c r="Z9" i="30"/>
  <c r="Q10" i="30"/>
  <c r="Y10" i="30"/>
  <c r="AG10" i="30"/>
  <c r="X11" i="30"/>
  <c r="AF11" i="30"/>
  <c r="W12" i="30"/>
  <c r="AE12" i="30"/>
  <c r="V13" i="30"/>
  <c r="AD13" i="30"/>
  <c r="U14" i="30"/>
  <c r="AC14" i="30"/>
  <c r="T15" i="30"/>
  <c r="AB15" i="30"/>
  <c r="S16" i="30"/>
  <c r="AA16" i="30"/>
  <c r="R17" i="30"/>
  <c r="Z17" i="30"/>
  <c r="Q18" i="30"/>
  <c r="Y18" i="30"/>
  <c r="AG18" i="30"/>
  <c r="X19" i="30"/>
  <c r="AF19" i="30"/>
  <c r="W20" i="30"/>
  <c r="AE20" i="30"/>
  <c r="V21" i="30"/>
  <c r="AD21" i="30"/>
  <c r="U22" i="30"/>
  <c r="AC22" i="30"/>
  <c r="T23" i="30"/>
  <c r="AB23" i="30"/>
  <c r="S24" i="30"/>
  <c r="AA24" i="30"/>
  <c r="R25" i="30"/>
  <c r="Z25" i="30"/>
  <c r="Q26" i="30"/>
  <c r="Y26" i="30"/>
  <c r="AG26" i="30"/>
  <c r="X27" i="30"/>
  <c r="AF27" i="30"/>
  <c r="W28" i="30"/>
  <c r="AE28" i="30"/>
  <c r="V29" i="30"/>
  <c r="AD29" i="30"/>
  <c r="U30" i="30"/>
  <c r="AC30" i="30"/>
  <c r="T31" i="30"/>
  <c r="AB31" i="30"/>
  <c r="S32" i="30"/>
  <c r="AA32" i="30"/>
  <c r="R33" i="30"/>
  <c r="Z33" i="30"/>
  <c r="Q34" i="30"/>
  <c r="Y34" i="30"/>
  <c r="R35" i="30"/>
  <c r="AF34" i="30"/>
  <c r="W35" i="30"/>
  <c r="AE35" i="30"/>
  <c r="V36" i="30"/>
  <c r="AD36" i="30"/>
  <c r="U37" i="30"/>
  <c r="AC37" i="30"/>
  <c r="T38" i="30"/>
  <c r="AB38" i="30"/>
  <c r="S39" i="30"/>
  <c r="AA39" i="30"/>
  <c r="R40" i="30"/>
  <c r="Z40" i="30"/>
  <c r="Q41" i="30"/>
  <c r="Y41" i="30"/>
  <c r="AG41" i="30"/>
  <c r="X42" i="30"/>
  <c r="AF42" i="30"/>
  <c r="W43" i="30"/>
  <c r="AE43" i="30"/>
  <c r="V44" i="30"/>
  <c r="AD44" i="30"/>
  <c r="U45" i="30"/>
  <c r="AC45" i="30"/>
  <c r="T46" i="30"/>
  <c r="AB46" i="30"/>
  <c r="S47" i="30"/>
  <c r="AA47" i="30"/>
  <c r="R48" i="30"/>
  <c r="Z48" i="30"/>
  <c r="Q49" i="30"/>
  <c r="Y49" i="30"/>
  <c r="AG49" i="30"/>
  <c r="X50" i="30"/>
  <c r="AF50" i="30"/>
  <c r="W51" i="30"/>
  <c r="AE51" i="30"/>
  <c r="V52" i="30"/>
  <c r="AD52" i="30"/>
  <c r="U53" i="30"/>
  <c r="AC53" i="30"/>
  <c r="T54" i="30"/>
  <c r="AB54" i="30"/>
  <c r="S55" i="30"/>
  <c r="AB55" i="30"/>
  <c r="S36" i="30"/>
  <c r="AA36" i="30"/>
  <c r="R37" i="30"/>
  <c r="Z37" i="30"/>
  <c r="Q38" i="30"/>
  <c r="Y38" i="30"/>
  <c r="AG38" i="30"/>
  <c r="X39" i="30"/>
  <c r="AF39" i="30"/>
  <c r="W40" i="30"/>
  <c r="AE40" i="30"/>
  <c r="V41" i="30"/>
  <c r="AD41" i="30"/>
  <c r="U42" i="30"/>
  <c r="AC42" i="30"/>
  <c r="T43" i="30"/>
  <c r="AB43" i="30"/>
  <c r="S44" i="30"/>
  <c r="AA44" i="30"/>
  <c r="R45" i="30"/>
  <c r="Z45" i="30"/>
  <c r="Q46" i="30"/>
  <c r="Y46" i="30"/>
  <c r="AG46" i="30"/>
  <c r="X47" i="30"/>
  <c r="AF47" i="30"/>
  <c r="W48" i="30"/>
  <c r="AE48" i="30"/>
  <c r="V49" i="30"/>
  <c r="AD49" i="30"/>
  <c r="U50" i="30"/>
  <c r="AC50" i="30"/>
  <c r="T51" i="30"/>
  <c r="AB51" i="30"/>
  <c r="S52" i="30"/>
  <c r="AA52" i="30"/>
  <c r="R53" i="30"/>
  <c r="Z53" i="30"/>
  <c r="Q54" i="30"/>
  <c r="Y54" i="30"/>
  <c r="AG54" i="30"/>
  <c r="X55" i="30"/>
  <c r="S56" i="30"/>
  <c r="AA56" i="30"/>
  <c r="R57" i="30"/>
  <c r="Z57" i="30"/>
  <c r="Q58" i="30"/>
  <c r="Y58" i="30"/>
  <c r="AG58" i="30"/>
  <c r="X59" i="30"/>
  <c r="AF59" i="30"/>
  <c r="W60" i="30"/>
  <c r="AE60" i="30"/>
  <c r="P12" i="30"/>
  <c r="P20" i="30"/>
  <c r="P28" i="30"/>
  <c r="P36" i="30"/>
  <c r="P44" i="30"/>
  <c r="P52" i="30"/>
  <c r="Z11" i="30"/>
  <c r="AA10" i="30"/>
  <c r="AB9" i="30"/>
  <c r="AC8" i="30"/>
  <c r="AD7" i="30"/>
  <c r="AE6" i="30"/>
  <c r="T26" i="30"/>
  <c r="U25" i="30"/>
  <c r="V24" i="30"/>
  <c r="W23" i="30"/>
  <c r="X22" i="30"/>
  <c r="Y21" i="30"/>
  <c r="Z20" i="30"/>
  <c r="AA19" i="30"/>
  <c r="AB18" i="30"/>
  <c r="AC17" i="30"/>
  <c r="AD16" i="30"/>
  <c r="AE15" i="30"/>
  <c r="Z34" i="30"/>
  <c r="AA33" i="30"/>
  <c r="AB32" i="30"/>
  <c r="AC31" i="30"/>
  <c r="AD30" i="30"/>
  <c r="AE29" i="30"/>
  <c r="AF28" i="30"/>
  <c r="AG27" i="30"/>
  <c r="Q27" i="30"/>
  <c r="W15" i="30"/>
  <c r="Y13" i="30"/>
  <c r="AA11" i="30"/>
  <c r="AC9" i="30"/>
  <c r="AE7" i="30"/>
  <c r="AG11" i="30"/>
  <c r="AG7" i="30"/>
  <c r="AD14" i="30"/>
  <c r="X12" i="30"/>
  <c r="AB8" i="30"/>
  <c r="AF8" i="30"/>
  <c r="S13" i="30"/>
  <c r="Y12" i="30"/>
  <c r="C5" i="32" a="1"/>
  <c r="C5" i="32"/>
  <c r="G62" i="32"/>
  <c r="C6" i="32" a="1"/>
  <c r="C6" i="32"/>
  <c r="G97" i="32"/>
  <c r="D5" i="32" a="1"/>
  <c r="D5" i="32"/>
  <c r="K62" i="32"/>
  <c r="O70" i="32"/>
  <c r="O71" i="32"/>
  <c r="H65" i="32"/>
  <c r="I65" i="32"/>
  <c r="J65" i="32"/>
  <c r="K65" i="32"/>
  <c r="L65" i="32"/>
  <c r="H66" i="32"/>
  <c r="I66" i="32"/>
  <c r="J66" i="32"/>
  <c r="K66" i="32"/>
  <c r="L66" i="32"/>
  <c r="H67" i="32"/>
  <c r="I67" i="32"/>
  <c r="J67" i="32"/>
  <c r="K67" i="32"/>
  <c r="L67" i="32"/>
  <c r="H68" i="32"/>
  <c r="I68" i="32"/>
  <c r="J68" i="32"/>
  <c r="K68" i="32"/>
  <c r="L68" i="32"/>
  <c r="H69" i="32"/>
  <c r="I69" i="32"/>
  <c r="J69" i="32"/>
  <c r="K69" i="32"/>
  <c r="L69" i="32"/>
  <c r="P70" i="32"/>
  <c r="P71" i="32"/>
  <c r="O72" i="32"/>
  <c r="P72" i="32"/>
  <c r="M75" i="32"/>
  <c r="D6" i="32" a="1"/>
  <c r="D6" i="32"/>
  <c r="K97" i="32"/>
  <c r="O105" i="32"/>
  <c r="O106" i="32"/>
  <c r="H100" i="32"/>
  <c r="I100" i="32"/>
  <c r="J100" i="32"/>
  <c r="K100" i="32"/>
  <c r="L100" i="32"/>
  <c r="H101" i="32"/>
  <c r="I101" i="32"/>
  <c r="J101" i="32"/>
  <c r="K101" i="32"/>
  <c r="L101" i="32"/>
  <c r="H102" i="32"/>
  <c r="I102" i="32"/>
  <c r="J102" i="32"/>
  <c r="K102" i="32"/>
  <c r="L102" i="32"/>
  <c r="H103" i="32"/>
  <c r="I103" i="32"/>
  <c r="J103" i="32"/>
  <c r="K103" i="32"/>
  <c r="L103" i="32"/>
  <c r="H104" i="32"/>
  <c r="I104" i="32"/>
  <c r="J104" i="32"/>
  <c r="K104" i="32"/>
  <c r="L104" i="32"/>
  <c r="P105" i="32"/>
  <c r="P106" i="32"/>
  <c r="O107" i="32"/>
  <c r="P107" i="32"/>
  <c r="M110" i="32"/>
  <c r="J79" i="32" a="1"/>
  <c r="J79" i="32"/>
  <c r="J80" i="32" a="1"/>
  <c r="J80" i="32"/>
  <c r="J114" i="32" a="1"/>
  <c r="J114" i="32"/>
  <c r="J115" i="32" a="1"/>
  <c r="J115" i="32"/>
  <c r="M114" i="32" a="1"/>
  <c r="M114" i="32"/>
  <c r="N114" i="32"/>
  <c r="V114" i="32"/>
  <c r="O114" i="32"/>
  <c r="M79" i="32" a="1"/>
  <c r="M79" i="32"/>
  <c r="N79" i="32"/>
  <c r="O79" i="32"/>
  <c r="V79" i="32"/>
  <c r="M80" i="32" a="1"/>
  <c r="M80" i="32"/>
  <c r="N80" i="32"/>
  <c r="O80" i="32"/>
  <c r="V80" i="32"/>
  <c r="M81" i="32" a="1"/>
  <c r="M81" i="32"/>
  <c r="N81" i="32"/>
  <c r="O81" i="32"/>
  <c r="V81" i="32"/>
  <c r="M82" i="32" a="1"/>
  <c r="M82" i="32"/>
  <c r="N82" i="32"/>
  <c r="O82" i="32"/>
  <c r="V82" i="32"/>
  <c r="M83" i="32" a="1"/>
  <c r="M83" i="32"/>
  <c r="N83" i="32"/>
  <c r="O83" i="32"/>
  <c r="V83" i="32"/>
  <c r="M84" i="32" a="1"/>
  <c r="M84" i="32"/>
  <c r="N84" i="32"/>
  <c r="O84" i="32"/>
  <c r="V84" i="32"/>
  <c r="M85" i="32" a="1"/>
  <c r="M85" i="32"/>
  <c r="N85" i="32"/>
  <c r="O85" i="32"/>
  <c r="V85" i="32"/>
  <c r="M86" i="32" a="1"/>
  <c r="M86" i="32"/>
  <c r="N86" i="32"/>
  <c r="O86" i="32"/>
  <c r="V86" i="32"/>
  <c r="M87" i="32" a="1"/>
  <c r="M87" i="32"/>
  <c r="N87" i="32"/>
  <c r="O87" i="32"/>
  <c r="V87" i="32"/>
  <c r="M88" i="32" a="1"/>
  <c r="M88" i="32"/>
  <c r="N88" i="32"/>
  <c r="O88" i="32"/>
  <c r="V88" i="32"/>
  <c r="M89" i="32" a="1"/>
  <c r="M89" i="32"/>
  <c r="N89" i="32"/>
  <c r="O89" i="32"/>
  <c r="V89" i="32"/>
  <c r="M90" i="32" a="1"/>
  <c r="M90" i="32"/>
  <c r="N90" i="32"/>
  <c r="O90" i="32"/>
  <c r="V90" i="32"/>
  <c r="M91" i="32" a="1"/>
  <c r="M91" i="32"/>
  <c r="N91" i="32"/>
  <c r="O91" i="32"/>
  <c r="V91" i="32"/>
  <c r="M92" i="32" a="1"/>
  <c r="M92" i="32"/>
  <c r="N92" i="32"/>
  <c r="O92" i="32"/>
  <c r="V92" i="32"/>
  <c r="M93" i="32" a="1"/>
  <c r="M93" i="32"/>
  <c r="N93" i="32"/>
  <c r="O93" i="32"/>
  <c r="V93" i="32"/>
  <c r="M115" i="32" a="1"/>
  <c r="M115" i="32"/>
  <c r="O115" i="32"/>
  <c r="M116" i="32" a="1"/>
  <c r="M116" i="32"/>
  <c r="O116" i="32"/>
  <c r="M117" i="32" a="1"/>
  <c r="M117" i="32"/>
  <c r="O117" i="32"/>
  <c r="V115" i="32"/>
  <c r="V116" i="32"/>
  <c r="V117" i="32"/>
  <c r="N115" i="32"/>
  <c r="N116" i="32"/>
  <c r="N117" i="32"/>
  <c r="M118" i="32" a="1"/>
  <c r="M118" i="32"/>
  <c r="V118" i="32"/>
  <c r="O118" i="32"/>
  <c r="N118" i="32"/>
  <c r="J116" i="32" a="1"/>
  <c r="J116" i="32"/>
  <c r="J117" i="32" a="1"/>
  <c r="J117" i="32"/>
  <c r="J118" i="32" a="1"/>
  <c r="J118" i="32"/>
  <c r="J119" i="32" a="1"/>
  <c r="J119" i="32"/>
  <c r="J120" i="32" a="1"/>
  <c r="J120" i="32"/>
  <c r="J121" i="32" a="1"/>
  <c r="J121" i="32"/>
  <c r="J122" i="32" a="1"/>
  <c r="J122" i="32"/>
  <c r="J123" i="32" a="1"/>
  <c r="J123" i="32"/>
  <c r="J124" i="32" a="1"/>
  <c r="J124" i="32"/>
  <c r="J125" i="32" a="1"/>
  <c r="J125" i="32"/>
  <c r="J126" i="32" a="1"/>
  <c r="J126" i="32"/>
  <c r="J127" i="32" a="1"/>
  <c r="J127" i="32"/>
  <c r="J128" i="32" a="1"/>
  <c r="J128" i="32"/>
  <c r="J81" i="32" a="1"/>
  <c r="J81" i="32"/>
  <c r="J82" i="32" a="1"/>
  <c r="J82" i="32"/>
  <c r="J83" i="32" a="1"/>
  <c r="J83" i="32"/>
  <c r="J84" i="32" a="1"/>
  <c r="J84" i="32"/>
  <c r="J85" i="32" a="1"/>
  <c r="J85" i="32"/>
  <c r="J86" i="32" a="1"/>
  <c r="J86" i="32"/>
  <c r="J87" i="32" a="1"/>
  <c r="J87" i="32"/>
  <c r="J88" i="32" a="1"/>
  <c r="J88" i="32"/>
  <c r="J89" i="32" a="1"/>
  <c r="J89" i="32"/>
  <c r="J90" i="32" a="1"/>
  <c r="J90" i="32"/>
  <c r="J91" i="32" a="1"/>
  <c r="J91" i="32"/>
  <c r="J92" i="32" a="1"/>
  <c r="J92" i="32"/>
  <c r="J93" i="32" a="1"/>
  <c r="J93" i="32"/>
  <c r="J43" i="32" a="1"/>
  <c r="J43" i="32"/>
  <c r="J44" i="32" a="1"/>
  <c r="J44" i="32"/>
  <c r="M43" i="32" a="1"/>
  <c r="M43" i="32"/>
  <c r="N43" i="32"/>
  <c r="O43" i="32"/>
  <c r="V43" i="32"/>
  <c r="M44" i="32" a="1"/>
  <c r="M44" i="32"/>
  <c r="N44" i="32"/>
  <c r="O44" i="32"/>
  <c r="V44" i="32"/>
  <c r="M45" i="32" a="1"/>
  <c r="M45" i="32"/>
  <c r="N45" i="32"/>
  <c r="O45" i="32"/>
  <c r="V45" i="32"/>
  <c r="M46" i="32" a="1"/>
  <c r="M46" i="32"/>
  <c r="N46" i="32"/>
  <c r="O46" i="32"/>
  <c r="V46" i="32"/>
  <c r="M47" i="32" a="1"/>
  <c r="M47" i="32"/>
  <c r="N47" i="32"/>
  <c r="O47" i="32"/>
  <c r="V47" i="32"/>
  <c r="M48" i="32" a="1"/>
  <c r="M48" i="32"/>
  <c r="N48" i="32"/>
  <c r="O48" i="32"/>
  <c r="V48" i="32"/>
  <c r="M49" i="32" a="1"/>
  <c r="M49" i="32"/>
  <c r="N49" i="32"/>
  <c r="O49" i="32"/>
  <c r="V49" i="32"/>
  <c r="M50" i="32" a="1"/>
  <c r="M50" i="32"/>
  <c r="N50" i="32"/>
  <c r="O50" i="32"/>
  <c r="V50" i="32"/>
  <c r="M51" i="32" a="1"/>
  <c r="M51" i="32"/>
  <c r="N51" i="32"/>
  <c r="O51" i="32"/>
  <c r="V51" i="32"/>
  <c r="M52" i="32" a="1"/>
  <c r="M52" i="32"/>
  <c r="N52" i="32"/>
  <c r="O52" i="32"/>
  <c r="V52" i="32"/>
  <c r="M53" i="32" a="1"/>
  <c r="M53" i="32"/>
  <c r="N53" i="32"/>
  <c r="O53" i="32"/>
  <c r="V53" i="32"/>
  <c r="M54" i="32" a="1"/>
  <c r="M54" i="32"/>
  <c r="N54" i="32"/>
  <c r="O54" i="32"/>
  <c r="V54" i="32"/>
  <c r="M55" i="32" a="1"/>
  <c r="M55" i="32"/>
  <c r="N55" i="32"/>
  <c r="O55" i="32"/>
  <c r="V55" i="32"/>
  <c r="M56" i="32" a="1"/>
  <c r="M56" i="32"/>
  <c r="N56" i="32"/>
  <c r="O56" i="32"/>
  <c r="V56" i="32"/>
  <c r="M57" i="32" a="1"/>
  <c r="M57" i="32"/>
  <c r="N57" i="32"/>
  <c r="O57" i="32"/>
  <c r="V57" i="32"/>
  <c r="J45" i="32" a="1"/>
  <c r="J45" i="32"/>
  <c r="J46" i="32" a="1"/>
  <c r="J46" i="32"/>
  <c r="J47" i="32" a="1"/>
  <c r="J47" i="32"/>
  <c r="J48" i="32" a="1"/>
  <c r="J48" i="32"/>
  <c r="J49" i="32" a="1"/>
  <c r="J49" i="32"/>
  <c r="J50" i="32" a="1"/>
  <c r="J50" i="32"/>
  <c r="J51" i="32" a="1"/>
  <c r="J51" i="32"/>
  <c r="J52" i="32" a="1"/>
  <c r="J52" i="32"/>
  <c r="J53" i="32" a="1"/>
  <c r="J53" i="32"/>
  <c r="J54" i="32" a="1"/>
  <c r="J54" i="32"/>
  <c r="J55" i="32" a="1"/>
  <c r="J55" i="32"/>
  <c r="J56" i="32" a="1"/>
  <c r="J56" i="32"/>
  <c r="J57" i="32" a="1"/>
  <c r="J57" i="32"/>
  <c r="M119" i="32" a="1"/>
  <c r="M119" i="32"/>
  <c r="N119" i="32"/>
  <c r="V119" i="32"/>
  <c r="O119" i="32"/>
  <c r="M120" i="32" a="1"/>
  <c r="M120" i="32"/>
  <c r="O120" i="32"/>
  <c r="M121" i="32" a="1"/>
  <c r="M121" i="32"/>
  <c r="O121" i="32"/>
  <c r="M122" i="32" a="1"/>
  <c r="M122" i="32"/>
  <c r="O122" i="32"/>
  <c r="M123" i="32" a="1"/>
  <c r="M123" i="32"/>
  <c r="O123" i="32"/>
  <c r="M124" i="32" a="1"/>
  <c r="M124" i="32"/>
  <c r="O124" i="32"/>
  <c r="M125" i="32" a="1"/>
  <c r="M125" i="32"/>
  <c r="O125" i="32"/>
  <c r="M126" i="32" a="1"/>
  <c r="M126" i="32"/>
  <c r="O126" i="32"/>
  <c r="M127" i="32" a="1"/>
  <c r="M127" i="32"/>
  <c r="O127" i="32"/>
  <c r="M128" i="32" a="1"/>
  <c r="M128" i="32"/>
  <c r="O128" i="32"/>
  <c r="V120" i="32"/>
  <c r="V121" i="32"/>
  <c r="V122" i="32"/>
  <c r="V123" i="32"/>
  <c r="V124" i="32"/>
  <c r="V125" i="32"/>
  <c r="V126" i="32"/>
  <c r="V127" i="32"/>
  <c r="V128" i="32"/>
  <c r="N120" i="32"/>
  <c r="N121" i="32"/>
  <c r="N122" i="32"/>
  <c r="N123" i="32"/>
  <c r="N124" i="32"/>
  <c r="N125" i="32"/>
  <c r="N126" i="32"/>
  <c r="N127" i="32"/>
  <c r="N128" i="32"/>
  <c r="C4" i="32" a="1"/>
  <c r="C4" i="32"/>
  <c r="G26" i="32"/>
</calcChain>
</file>

<file path=xl/sharedStrings.xml><?xml version="1.0" encoding="utf-8"?>
<sst xmlns="http://schemas.openxmlformats.org/spreadsheetml/2006/main" count="812" uniqueCount="259">
  <si>
    <t>Recensement des risques</t>
  </si>
  <si>
    <t>Probabilité</t>
  </si>
  <si>
    <t>Risques Bruts</t>
  </si>
  <si>
    <t>Nombre de risques</t>
  </si>
  <si>
    <t>Type de risque</t>
  </si>
  <si>
    <t>Nombre d'actions</t>
  </si>
  <si>
    <t>Répartition des actions par priorité</t>
  </si>
  <si>
    <t>Avancement de la réalisation des actions</t>
  </si>
  <si>
    <t>Nombre d'éléments de maîtrise existants</t>
  </si>
  <si>
    <t>Indicateur</t>
  </si>
  <si>
    <t>Contrôle</t>
  </si>
  <si>
    <t>Organisation</t>
  </si>
  <si>
    <t>Documentation</t>
  </si>
  <si>
    <t>Financier</t>
  </si>
  <si>
    <t>Image</t>
  </si>
  <si>
    <t>Conformité</t>
  </si>
  <si>
    <t>Impact</t>
  </si>
  <si>
    <t>Criticité</t>
  </si>
  <si>
    <t>RISQUE RESIDUEL</t>
  </si>
  <si>
    <t>C</t>
  </si>
  <si>
    <t>D</t>
  </si>
  <si>
    <t>O</t>
  </si>
  <si>
    <t>IDENTIFICATION DES RISQUES</t>
  </si>
  <si>
    <t>X</t>
  </si>
  <si>
    <t>Mesure</t>
  </si>
  <si>
    <t>Identification</t>
  </si>
  <si>
    <t>n°</t>
  </si>
  <si>
    <t>Risque générique</t>
  </si>
  <si>
    <t>I</t>
  </si>
  <si>
    <t>Action à mettre en place</t>
  </si>
  <si>
    <t>Date de réalisation cible</t>
  </si>
  <si>
    <t>Statut</t>
  </si>
  <si>
    <t>En cours</t>
  </si>
  <si>
    <t xml:space="preserve">Responsable de la réalisation </t>
  </si>
  <si>
    <t>Diffusion</t>
  </si>
  <si>
    <t>Mise en place</t>
  </si>
  <si>
    <t>Catégorie</t>
  </si>
  <si>
    <t>Manuel</t>
  </si>
  <si>
    <t>Implémentation</t>
  </si>
  <si>
    <t>Formalisation</t>
  </si>
  <si>
    <t>Action préventive</t>
  </si>
  <si>
    <t>MESURE</t>
  </si>
  <si>
    <t>Action protective</t>
  </si>
  <si>
    <t>Auto</t>
  </si>
  <si>
    <t>En place</t>
  </si>
  <si>
    <t>A initier</t>
  </si>
  <si>
    <t>Actions de maitrise</t>
  </si>
  <si>
    <t>Catégories des actions de maîtrise</t>
  </si>
  <si>
    <t>Plan d'actions</t>
  </si>
  <si>
    <t>ICOD</t>
  </si>
  <si>
    <r>
      <t xml:space="preserve">Charge estimée
</t>
    </r>
    <r>
      <rPr>
        <i/>
        <sz val="10"/>
        <color theme="4" tint="0.39997558519241921"/>
        <rFont val="Calibri"/>
        <family val="2"/>
        <scheme val="minor"/>
      </rPr>
      <t>(en JH ou en durée pour un Contrôle)</t>
    </r>
  </si>
  <si>
    <t>-</t>
  </si>
  <si>
    <t>Brone -</t>
  </si>
  <si>
    <t>Brone +</t>
  </si>
  <si>
    <t>Paliers</t>
  </si>
  <si>
    <t>Nombre de points à gagner pour adresser le risque</t>
  </si>
  <si>
    <t>Performance opératinnelle</t>
  </si>
  <si>
    <t>Résultat du contrôle exploité ?</t>
  </si>
  <si>
    <t>Résultat du contrôle correct ?</t>
  </si>
  <si>
    <t>Actions de maîtrise</t>
  </si>
  <si>
    <t>Concaténation</t>
  </si>
  <si>
    <t>Réf</t>
  </si>
  <si>
    <t>Nom</t>
  </si>
  <si>
    <t>1 cellule</t>
  </si>
  <si>
    <t>MATRICES RISQUES BRUTS ET NETS</t>
  </si>
  <si>
    <t>Risques résiduels</t>
  </si>
  <si>
    <t>RISQUE PROJETE</t>
  </si>
  <si>
    <t>RISQUE BRUT</t>
  </si>
  <si>
    <t>N°de l'action</t>
  </si>
  <si>
    <t>Date d'ouverture</t>
  </si>
  <si>
    <t>Origine</t>
  </si>
  <si>
    <t>Description /, étapes de mise en place…</t>
  </si>
  <si>
    <t>Objectif à atteindre</t>
  </si>
  <si>
    <t>Contributeurs</t>
  </si>
  <si>
    <t>Type d'action</t>
  </si>
  <si>
    <t>Suivi</t>
  </si>
  <si>
    <t>Efficacité</t>
  </si>
  <si>
    <t>Date de clôture</t>
  </si>
  <si>
    <t>Processus porteur de l'action</t>
  </si>
  <si>
    <r>
      <t xml:space="preserve">Causes
</t>
    </r>
    <r>
      <rPr>
        <sz val="9"/>
        <color rgb="FFDF7D1B"/>
        <rFont val="Arial"/>
        <family val="2"/>
      </rPr>
      <t>Main d 'œuvre (compétences, ressources, communication, formation)
Méthodes  (Consignes, Planning, Piste d'audit)
Matière  (Fournitures)
Milieu (Environnement, Marché)
Moyens (Machines, outils, intervenants)</t>
    </r>
  </si>
  <si>
    <t>PR</t>
  </si>
  <si>
    <t>Evaluation du risque</t>
  </si>
  <si>
    <t>Technique - Assurance - Réassurance</t>
  </si>
  <si>
    <t>Technique - Assurance - Souscription</t>
  </si>
  <si>
    <t>Technique - Finance - Crédit</t>
  </si>
  <si>
    <t>Technique - Finance - Actif / Passif</t>
  </si>
  <si>
    <t>Technique - Finance - Liquidité</t>
  </si>
  <si>
    <t>Technique - Finance - Solvabilité</t>
  </si>
  <si>
    <t>Technique - Finance - Investissement</t>
  </si>
  <si>
    <t>Stratégique - Développement - Adéquation Offre / Marché</t>
  </si>
  <si>
    <t>Stratégique - Développement - Croissance externe</t>
  </si>
  <si>
    <t>Stratégique - Développement - Croissance interne / Gouvernance</t>
  </si>
  <si>
    <t>Stratégique - Développement - Communication externe</t>
  </si>
  <si>
    <t>Stratégique - Environnement - Réputation de la mutuelle</t>
  </si>
  <si>
    <t>Stratégique - Environnement - Tutelle et régulateurs</t>
  </si>
  <si>
    <t>Stratégique - Environnement - Economiques, politiques, règlementaires</t>
  </si>
  <si>
    <t>Stratégique - Environnement - Concurrence</t>
  </si>
  <si>
    <t>Opérationnel - Conformité / Déontologie - Fraude interne</t>
  </si>
  <si>
    <t>Opérationnel - Conformité / Déontologie - Fraude externe</t>
  </si>
  <si>
    <t>Opérationnel - Conformité / Déontologie - Données personnelles</t>
  </si>
  <si>
    <t>Opérationnel - Conformité / Déontologie - Déontologie et conflits d'intérêt</t>
  </si>
  <si>
    <t>Opérationnel - Conformité / Déontologie - Protection de la clientèle</t>
  </si>
  <si>
    <t>Opérationnel - Conformité / Déontologie - Lutte contre le blanchiement d'argent et financement du terrorisme</t>
  </si>
  <si>
    <t>Opérationnel - Conformité / Déontologie - Responsabilité des dirigeants</t>
  </si>
  <si>
    <t>Opérationnel - Ressources Humaines - Compétences</t>
  </si>
  <si>
    <t>Opérationnel - Ressources Humaines - Politique de rémunération</t>
  </si>
  <si>
    <t>Opérationnel - Ressources Humaines - Recrutement</t>
  </si>
  <si>
    <t>Opérationnel - Ressources Humaines - Relations sociales</t>
  </si>
  <si>
    <t>Opérationnel - Systèmes d'Informations - Planification / Organisation</t>
  </si>
  <si>
    <t>Opérationnel - Systèmes d'Informations - Conception / Acquisition applications</t>
  </si>
  <si>
    <t>Opérationnel - Systèmes d'Informations - Distribution / Exploitation</t>
  </si>
  <si>
    <t>Opérationnel - Réalisation des opérations - Fiabilité des données</t>
  </si>
  <si>
    <t>Opérationnel - Réalisation des opérations - Respect des procédures</t>
  </si>
  <si>
    <t>Opérationnel - Réalisation des opérations - Fiabilité des livrables</t>
  </si>
  <si>
    <t>Opérationnel - Réalisation des opérations - Erreur humaine</t>
  </si>
  <si>
    <t>Opérationnel - Réalisation des opérations - Pilotage de l'activité</t>
  </si>
  <si>
    <t>Opérationnel - Organisation opérationnelle - Inadéquation organisation / stratégie</t>
  </si>
  <si>
    <t>Opérationnel - Organisation opérationnelle - Inefficience du processus défini</t>
  </si>
  <si>
    <t>Opérationnel - Organisation opérationnelle - Mauvaise définition des interfaces</t>
  </si>
  <si>
    <t>Opérationnel - Commercial / Partenariat - Défaillance d'un partenaire</t>
  </si>
  <si>
    <t>Opérationnel - Commercial / Partenariat - Répartition des responsabilités</t>
  </si>
  <si>
    <t>Opérationnel - Commercial / Partenariat - Commissionnement</t>
  </si>
  <si>
    <t>Opérationnel - Commercial / Partenariat - Diffusion des produits</t>
  </si>
  <si>
    <t>Opérationnel - Commercial / Partenariat - Connaissance des besoins client</t>
  </si>
  <si>
    <t>Opérationnel - Sécurité - Continuité et réprise d'activité</t>
  </si>
  <si>
    <t>Opérationnel - Sécurité - Sécurité des SI</t>
  </si>
  <si>
    <t>Opérationnel - Sécurité - Sécurité des biens et des personnes</t>
  </si>
  <si>
    <t>Opérationnel - Gestion Déléguée Fournisseurs - Défaillance</t>
  </si>
  <si>
    <t>Opérationnel - Gestion Déléguée Fournisseurs - Contractualisation</t>
  </si>
  <si>
    <t>Opérationnel - Gestion Déléguée Fournisseurs - Respect des engagements</t>
  </si>
  <si>
    <t xml:space="preserve">Stratégique </t>
  </si>
  <si>
    <t xml:space="preserve">Technique </t>
  </si>
  <si>
    <t xml:space="preserve">Opérationnel </t>
  </si>
  <si>
    <t>Réassurance</t>
  </si>
  <si>
    <t>Souscription</t>
  </si>
  <si>
    <t>Crédit</t>
  </si>
  <si>
    <t>Actif / Passif</t>
  </si>
  <si>
    <t>Liquidité</t>
  </si>
  <si>
    <t>Solvabilité</t>
  </si>
  <si>
    <t>Investissement</t>
  </si>
  <si>
    <t>Adéquation Offre / Marché</t>
  </si>
  <si>
    <t>Croissance externe</t>
  </si>
  <si>
    <t>Croissance interne / Gouvernance</t>
  </si>
  <si>
    <t>Communication externe</t>
  </si>
  <si>
    <t>Réputation de la mutuelle</t>
  </si>
  <si>
    <t>Tutelle et régulateurs</t>
  </si>
  <si>
    <t>Economiques, politiques, règlementaires</t>
  </si>
  <si>
    <t>Concurrence</t>
  </si>
  <si>
    <t>Fraude interne</t>
  </si>
  <si>
    <t>Fraude externe</t>
  </si>
  <si>
    <t>Données personnelles</t>
  </si>
  <si>
    <t>Déontologie et conflits d'intérêt</t>
  </si>
  <si>
    <t>Protection de la clientèle</t>
  </si>
  <si>
    <t>Lutte contre le blanchiment d'argent et financement du terrorisme</t>
  </si>
  <si>
    <t>Responsabilité des dirigeants</t>
  </si>
  <si>
    <t>Compétences</t>
  </si>
  <si>
    <t>Politique de rémunération</t>
  </si>
  <si>
    <t>Recrutement</t>
  </si>
  <si>
    <t>Relations sociales</t>
  </si>
  <si>
    <t>Planification / Organisation</t>
  </si>
  <si>
    <t>Conception / Acquisition applications</t>
  </si>
  <si>
    <t>Distribution / Exploitation</t>
  </si>
  <si>
    <t>Fiabilité des données</t>
  </si>
  <si>
    <t>Respect des procédures</t>
  </si>
  <si>
    <t>Fiabilité des livrables</t>
  </si>
  <si>
    <t>Erreur humaine</t>
  </si>
  <si>
    <t>Pilotage de l'activité</t>
  </si>
  <si>
    <t>Inadéquation organisation / stratégie</t>
  </si>
  <si>
    <t>Inefficience du processus défini</t>
  </si>
  <si>
    <t>Mauvaise définition des interfaces</t>
  </si>
  <si>
    <t>Défaillance d'un partenaire</t>
  </si>
  <si>
    <t>Répartition des responsabilités</t>
  </si>
  <si>
    <t>Commissionnement</t>
  </si>
  <si>
    <t>Diffusion des produits</t>
  </si>
  <si>
    <t>Connaissance des besoins client</t>
  </si>
  <si>
    <t>Continuité et réprise d'activité</t>
  </si>
  <si>
    <t>Sécurité des SI</t>
  </si>
  <si>
    <t>Sécurité des biens et des personnes</t>
  </si>
  <si>
    <t>Défaillance</t>
  </si>
  <si>
    <t>Contractualisation</t>
  </si>
  <si>
    <t>Respect des engagements</t>
  </si>
  <si>
    <t>Assurance</t>
  </si>
  <si>
    <t>Finance</t>
  </si>
  <si>
    <t>Développement</t>
  </si>
  <si>
    <t>Environnement</t>
  </si>
  <si>
    <t>Conformité / Déontologie</t>
  </si>
  <si>
    <t>Ressources Humaines</t>
  </si>
  <si>
    <t>Systèmes d'Informations</t>
  </si>
  <si>
    <t>Réalisation des opérations</t>
  </si>
  <si>
    <t>Organisation opérationnelle</t>
  </si>
  <si>
    <t>Commercial / Partenariat</t>
  </si>
  <si>
    <t>Sécurité</t>
  </si>
  <si>
    <t>Gestion Déléguée Fournisseurs</t>
  </si>
  <si>
    <t>Lutte contre le blanchiement d'argent et financement du terrorisme</t>
  </si>
  <si>
    <t>Stratégique</t>
  </si>
  <si>
    <t>Opérationnel</t>
  </si>
  <si>
    <t>Technique</t>
  </si>
  <si>
    <t>Très faible</t>
  </si>
  <si>
    <t>Faible</t>
  </si>
  <si>
    <t>Moyenne</t>
  </si>
  <si>
    <t>Forte</t>
  </si>
  <si>
    <t>Majeure</t>
  </si>
  <si>
    <t>Niveau de mise en place</t>
  </si>
  <si>
    <t>Si D, récupéré?</t>
  </si>
  <si>
    <t>Si contrôle, Auto ou manuel ?</t>
  </si>
  <si>
    <t>Si contrôle, niveau ?</t>
  </si>
  <si>
    <t>Auto-contrôle</t>
  </si>
  <si>
    <t>Hiérarchique</t>
  </si>
  <si>
    <t>Externe et autres services</t>
  </si>
  <si>
    <t>Si C, auto ou manuel?</t>
  </si>
  <si>
    <t>Si C, niveau ?</t>
  </si>
  <si>
    <t>Résultat du contrôle?</t>
  </si>
  <si>
    <t>Probabilité résiduelle</t>
  </si>
  <si>
    <t>Impact résiduel</t>
  </si>
  <si>
    <t>Probabilité projetée</t>
  </si>
  <si>
    <t>Impact projeté</t>
  </si>
  <si>
    <t>Probabilité brute</t>
  </si>
  <si>
    <t>Impact brut</t>
  </si>
  <si>
    <t>Criticité  brute</t>
  </si>
  <si>
    <t>Criticité  projetée</t>
  </si>
  <si>
    <t>Contrôle exploité ?</t>
  </si>
  <si>
    <t>Priorité de 1 
(faible) à 4 
(forte)</t>
  </si>
  <si>
    <t>Colonne1</t>
  </si>
  <si>
    <t>Chapitre de la norme ISO</t>
  </si>
  <si>
    <t>Annulé</t>
  </si>
  <si>
    <t>Non démarré</t>
  </si>
  <si>
    <t>Démarré</t>
  </si>
  <si>
    <t>Terminé</t>
  </si>
  <si>
    <t>Refusé</t>
  </si>
  <si>
    <t>PROCESSUS</t>
  </si>
  <si>
    <t>OUI</t>
  </si>
  <si>
    <t>NON</t>
  </si>
  <si>
    <t>Hors processus</t>
  </si>
  <si>
    <t>Criticité résiduelle</t>
  </si>
  <si>
    <t>Pertinence</t>
  </si>
  <si>
    <t>EVALUATION DES RISQUES</t>
  </si>
  <si>
    <t>Restitution</t>
  </si>
  <si>
    <t>Evaluation 2016</t>
  </si>
  <si>
    <t>Risque projeté</t>
  </si>
  <si>
    <t>N° de l'action</t>
  </si>
  <si>
    <t>Libellé de l'action à mettre en place</t>
  </si>
  <si>
    <t>Responsable de l'action</t>
  </si>
  <si>
    <t>Description de l'action</t>
  </si>
  <si>
    <t>Date échéance initiale</t>
  </si>
  <si>
    <t>Risque</t>
  </si>
  <si>
    <t>Processus</t>
  </si>
  <si>
    <t>PA</t>
  </si>
  <si>
    <t xml:space="preserve">RECAPITULATIF DES RISQUES RESIDUELS MAJEURS ET FORTS </t>
  </si>
  <si>
    <t>Probabilité :</t>
  </si>
  <si>
    <t xml:space="preserve">Impact : </t>
  </si>
  <si>
    <t>Arbitrage</t>
  </si>
  <si>
    <t>Criticité :</t>
  </si>
  <si>
    <t>N°</t>
  </si>
  <si>
    <t>Analyse de causes</t>
  </si>
  <si>
    <t>DI2</t>
  </si>
  <si>
    <t>AAA</t>
  </si>
  <si>
    <t>BBB</t>
  </si>
  <si>
    <t>CCC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</si>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</sst>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9" x14ac:knownFonts="1">
    <font>
      <sz val="10"/>
      <color theme="1"/>
      <name val="Arial Narrow"/>
    </font>
    <font>
      <u/>
      <sz val="10"/>
      <color theme="10"/>
      <name val="Arial Narrow"/>
      <family val="2"/>
    </font>
    <font>
      <u/>
      <sz val="10"/>
      <color theme="11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Arial"/>
      <family val="2"/>
    </font>
    <font>
      <b/>
      <sz val="11"/>
      <color theme="6" tint="-0.249977111117893"/>
      <name val="Arial"/>
      <family val="2"/>
    </font>
    <font>
      <sz val="9"/>
      <color theme="1"/>
      <name val="Arial"/>
      <family val="2"/>
    </font>
    <font>
      <sz val="9"/>
      <color theme="0" tint="-0.34998626667073579"/>
      <name val="Arial"/>
      <family val="2"/>
    </font>
    <font>
      <sz val="9"/>
      <color rgb="FFDF7D1B"/>
      <name val="Arial"/>
      <family val="2"/>
    </font>
    <font>
      <b/>
      <sz val="9"/>
      <color theme="6" tint="-0.249977111117893"/>
      <name val="Arial"/>
      <family val="2"/>
    </font>
    <font>
      <b/>
      <sz val="10"/>
      <color theme="0" tint="-0.499984740745262"/>
      <name val="Arial"/>
      <family val="2"/>
    </font>
    <font>
      <sz val="10"/>
      <color theme="2" tint="-0.499984740745262"/>
      <name val="Arial"/>
      <family val="2"/>
    </font>
    <font>
      <b/>
      <sz val="9"/>
      <color theme="1"/>
      <name val="Arial"/>
      <family val="2"/>
    </font>
    <font>
      <sz val="9"/>
      <color theme="0" tint="-0.1499984740745262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9"/>
      <color rgb="FFDF7D1B"/>
      <name val="Arial"/>
      <family val="2"/>
    </font>
    <font>
      <sz val="9"/>
      <color theme="4" tint="0.39997558519241921"/>
      <name val="Arial"/>
      <family val="2"/>
    </font>
    <font>
      <b/>
      <sz val="9"/>
      <color theme="4" tint="0.39997558519241921"/>
      <name val="Arial"/>
      <family val="2"/>
    </font>
    <font>
      <b/>
      <sz val="8"/>
      <color theme="0" tint="-0.249977111117893"/>
      <name val="Arial"/>
      <family val="2"/>
    </font>
    <font>
      <b/>
      <i/>
      <sz val="11"/>
      <color theme="1" tint="0.34998626667073579"/>
      <name val="Arial"/>
      <family val="2"/>
    </font>
    <font>
      <b/>
      <sz val="9"/>
      <color theme="0" tint="-0.34998626667073579"/>
      <name val="Arial"/>
      <family val="2"/>
    </font>
    <font>
      <sz val="10"/>
      <color theme="0" tint="-0.34998626667073579"/>
      <name val="Arial"/>
      <family val="2"/>
    </font>
    <font>
      <b/>
      <sz val="10"/>
      <color theme="6" tint="-0.249977111117893"/>
      <name val="Arial"/>
      <family val="2"/>
    </font>
    <font>
      <sz val="10"/>
      <color theme="1"/>
      <name val="Arial Narrow"/>
      <family val="2"/>
    </font>
    <font>
      <b/>
      <sz val="10"/>
      <color rgb="FF00863D"/>
      <name val="Calibri"/>
      <family val="2"/>
      <scheme val="minor"/>
    </font>
    <font>
      <b/>
      <sz val="10"/>
      <color rgb="FFAAC56D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rgb="FFDF7D1B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i/>
      <sz val="10"/>
      <color theme="4" tint="0.39997558519241921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sz val="10"/>
      <color theme="1"/>
      <name val="Arial Narrow"/>
      <family val="2"/>
    </font>
    <font>
      <sz val="9"/>
      <color rgb="FFFF0000"/>
      <name val="Arial"/>
      <family val="2"/>
    </font>
    <font>
      <sz val="16"/>
      <color theme="1"/>
      <name val="Arial"/>
      <family val="2"/>
    </font>
    <font>
      <b/>
      <sz val="11"/>
      <color rgb="FF00863D"/>
      <name val="Arial"/>
      <family val="2"/>
    </font>
    <font>
      <b/>
      <sz val="11"/>
      <color theme="3" tint="0.39997558519241921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Verdana"/>
      <family val="2"/>
    </font>
    <font>
      <b/>
      <sz val="36"/>
      <color theme="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4"/>
      <color theme="0" tint="-0.499984740745262"/>
      <name val="Arial"/>
      <family val="2"/>
    </font>
    <font>
      <b/>
      <sz val="11"/>
      <color rgb="FFDF7D1B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DF7D1B"/>
      <name val="Arial"/>
      <family val="2"/>
    </font>
    <font>
      <b/>
      <sz val="11"/>
      <color theme="0" tint="-0.34998626667073579"/>
      <name val="Calibri"/>
      <family val="2"/>
      <scheme val="minor"/>
    </font>
    <font>
      <b/>
      <sz val="24"/>
      <color theme="0"/>
      <name val="Arial"/>
      <family val="2"/>
    </font>
    <font>
      <b/>
      <sz val="22"/>
      <color theme="3" tint="0.39997558519241921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theme="0" tint="-0.34998626667073579"/>
      <name val="Arial"/>
      <family val="2"/>
    </font>
    <font>
      <b/>
      <sz val="11"/>
      <color theme="6" tint="0.5999938962981048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DF7D1B"/>
      <name val="Arial"/>
      <family val="2"/>
    </font>
    <font>
      <b/>
      <sz val="16"/>
      <color theme="1" tint="0.499984740745262"/>
      <name val="Arial"/>
      <family val="2"/>
    </font>
    <font>
      <sz val="16"/>
      <color theme="1" tint="0.499984740745262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0" tint="-0.14999847407452621"/>
      <name val="Arial"/>
      <family val="2"/>
    </font>
    <font>
      <b/>
      <sz val="8"/>
      <color theme="0"/>
      <name val="Arial"/>
      <family val="2"/>
    </font>
    <font>
      <b/>
      <i/>
      <sz val="8"/>
      <color theme="1" tint="0.34998626667073579"/>
      <name val="Arial"/>
      <family val="2"/>
    </font>
    <font>
      <sz val="8"/>
      <color theme="0"/>
      <name val="Arial"/>
      <family val="2"/>
    </font>
    <font>
      <b/>
      <sz val="9"/>
      <color theme="0" tint="-0.499984740745262"/>
      <name val="Arial"/>
      <family val="2"/>
    </font>
    <font>
      <sz val="14"/>
      <color theme="1"/>
      <name val="Arial"/>
      <family val="2"/>
    </font>
    <font>
      <b/>
      <sz val="11"/>
      <color theme="0"/>
      <name val="Arial"/>
      <family val="2"/>
    </font>
    <font>
      <b/>
      <sz val="9"/>
      <color rgb="FFAAC56D"/>
      <name val="Arial"/>
      <family val="2"/>
    </font>
    <font>
      <b/>
      <sz val="9"/>
      <color theme="3" tint="0.39997558519241921"/>
      <name val="Arial"/>
      <family val="2"/>
    </font>
    <font>
      <sz val="9"/>
      <color rgb="FFAAC56D"/>
      <name val="Arial"/>
      <family val="2"/>
    </font>
    <font>
      <sz val="10"/>
      <color theme="0"/>
      <name val="Arial"/>
      <family val="2"/>
    </font>
    <font>
      <sz val="10"/>
      <color theme="0"/>
      <name val="Arial Narrow"/>
      <family val="2"/>
    </font>
    <font>
      <sz val="12"/>
      <name val="Garamond"/>
      <family val="1"/>
    </font>
    <font>
      <b/>
      <sz val="8"/>
      <name val="Verdana"/>
      <family val="2"/>
    </font>
    <font>
      <sz val="8"/>
      <name val="Verdana"/>
      <family val="2"/>
    </font>
    <font>
      <sz val="28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DF7D1B"/>
      <name val="Verdana"/>
      <family val="2"/>
    </font>
    <font>
      <b/>
      <sz val="14"/>
      <color theme="0"/>
      <name val="Arial Narrow"/>
      <family val="2"/>
    </font>
    <font>
      <sz val="8"/>
      <color theme="3" tint="0.39997558519241921"/>
      <name val="Arial Narrow"/>
      <family val="2"/>
    </font>
    <font>
      <sz val="8"/>
      <color theme="0"/>
      <name val="Arial Narrow"/>
      <family val="2"/>
    </font>
    <font>
      <b/>
      <sz val="22"/>
      <color theme="0"/>
      <name val="Arial"/>
      <family val="2"/>
    </font>
    <font>
      <sz val="8"/>
      <color theme="0" tint="-0.499984740745262"/>
      <name val="Arial Narrow"/>
      <family val="2"/>
    </font>
    <font>
      <b/>
      <u/>
      <sz val="12"/>
      <color theme="0"/>
      <name val="Arial Narrow"/>
      <family val="2"/>
    </font>
    <font>
      <b/>
      <sz val="18"/>
      <color theme="0"/>
      <name val="Arial Narrow"/>
      <family val="2"/>
    </font>
    <font>
      <b/>
      <sz val="18"/>
      <color theme="0"/>
      <name val="Verdana"/>
      <family val="2"/>
    </font>
    <font>
      <b/>
      <sz val="10"/>
      <color theme="0"/>
      <name val="Arial Narrow"/>
      <family val="2"/>
    </font>
    <font>
      <sz val="12"/>
      <color rgb="FFDF7D1B"/>
      <name val="Arial Narrow"/>
      <family val="2"/>
    </font>
    <font>
      <sz val="16"/>
      <color theme="0"/>
      <name val="Arial Narrow"/>
      <family val="2"/>
    </font>
    <font>
      <b/>
      <sz val="16"/>
      <color theme="0"/>
      <name val="Arial Narrow"/>
      <family val="2"/>
    </font>
    <font>
      <sz val="12"/>
      <color theme="1"/>
      <name val="Arial Narrow"/>
      <family val="2"/>
    </font>
    <font>
      <sz val="12"/>
      <color theme="1" tint="0.34998626667073579"/>
      <name val="Arial Narrow"/>
      <family val="2"/>
    </font>
    <font>
      <b/>
      <sz val="12"/>
      <color theme="0"/>
      <name val="Arial Narrow"/>
      <family val="2"/>
    </font>
    <font>
      <b/>
      <sz val="14"/>
      <color rgb="FFDF7D1B"/>
      <name val="Arial Narrow"/>
      <family val="2"/>
    </font>
    <font>
      <sz val="14"/>
      <color rgb="FFDF7D1B"/>
      <name val="Arial Narrow"/>
      <family val="2"/>
    </font>
    <font>
      <sz val="14"/>
      <color theme="1"/>
      <name val="Arial Narrow"/>
      <family val="2"/>
    </font>
    <font>
      <sz val="16"/>
      <color theme="1" tint="0.499984740745262"/>
      <name val="Arial Narrow"/>
      <family val="2"/>
    </font>
    <font>
      <b/>
      <sz val="14"/>
      <color theme="9" tint="-0.249977111117893"/>
      <name val="Arial Narrow"/>
      <family val="2"/>
    </font>
    <font>
      <b/>
      <sz val="14"/>
      <color theme="2" tint="-0.499984740745262"/>
      <name val="Arial Narrow"/>
      <family val="2"/>
    </font>
  </fonts>
  <fills count="31">
    <fill>
      <patternFill patternType="none"/>
    </fill>
    <fill>
      <patternFill patternType="gray125"/>
    </fill>
    <fill>
      <patternFill patternType="solid">
        <fgColor rgb="FFDF7D1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0B8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CA7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7D7B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863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154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 tint="-0.14993743705557422"/>
      </top>
      <bottom/>
      <diagonal/>
    </border>
    <border>
      <left style="medium">
        <color rgb="FFDF7D1B"/>
      </left>
      <right/>
      <top style="medium">
        <color rgb="FFDF7D1B"/>
      </top>
      <bottom/>
      <diagonal/>
    </border>
    <border>
      <left/>
      <right/>
      <top style="medium">
        <color rgb="FFDF7D1B"/>
      </top>
      <bottom/>
      <diagonal/>
    </border>
    <border>
      <left/>
      <right style="medium">
        <color rgb="FFDF7D1B"/>
      </right>
      <top style="medium">
        <color rgb="FFDF7D1B"/>
      </top>
      <bottom/>
      <diagonal/>
    </border>
    <border>
      <left style="medium">
        <color rgb="FFDF7D1B"/>
      </left>
      <right style="thin">
        <color theme="0"/>
      </right>
      <top/>
      <bottom/>
      <diagonal/>
    </border>
    <border>
      <left style="thin">
        <color theme="0"/>
      </left>
      <right style="medium">
        <color rgb="FFDF7D1B"/>
      </right>
      <top/>
      <bottom/>
      <diagonal/>
    </border>
    <border>
      <left style="medium">
        <color rgb="FFDF7D1B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rgb="FFDF7D1B"/>
      </right>
      <top style="thin">
        <color theme="0"/>
      </top>
      <bottom/>
      <diagonal/>
    </border>
    <border>
      <left style="medium">
        <color rgb="FFDF7D1B"/>
      </left>
      <right/>
      <top/>
      <bottom/>
      <diagonal/>
    </border>
    <border>
      <left/>
      <right style="medium">
        <color rgb="FFDF7D1B"/>
      </right>
      <top/>
      <bottom style="thin">
        <color theme="0" tint="-0.14996795556505021"/>
      </bottom>
      <diagonal/>
    </border>
    <border>
      <left/>
      <right style="medium">
        <color rgb="FFDF7D1B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rgb="FFDF7D1B"/>
      </left>
      <right/>
      <top style="thin">
        <color theme="0" tint="-0.14993743705557422"/>
      </top>
      <bottom/>
      <diagonal/>
    </border>
    <border>
      <left/>
      <right/>
      <top style="dotted">
        <color theme="6" tint="0.39994506668294322"/>
      </top>
      <bottom/>
      <diagonal/>
    </border>
    <border>
      <left/>
      <right/>
      <top/>
      <bottom style="dotted">
        <color theme="6" tint="0.39994506668294322"/>
      </bottom>
      <diagonal/>
    </border>
    <border>
      <left/>
      <right/>
      <top style="dotted">
        <color theme="6" tint="0.39991454817346722"/>
      </top>
      <bottom style="dotted">
        <color theme="6" tint="0.3999450666829432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rgb="FFECA762"/>
      </left>
      <right/>
      <top style="thin">
        <color rgb="FFECA762"/>
      </top>
      <bottom/>
      <diagonal/>
    </border>
    <border>
      <left/>
      <right/>
      <top style="thin">
        <color rgb="FFECA762"/>
      </top>
      <bottom/>
      <diagonal/>
    </border>
    <border>
      <left/>
      <right style="thin">
        <color rgb="FFECA762"/>
      </right>
      <top style="thin">
        <color rgb="FFECA762"/>
      </top>
      <bottom/>
      <diagonal/>
    </border>
    <border>
      <left style="thin">
        <color rgb="FFECA762"/>
      </left>
      <right/>
      <top/>
      <bottom style="thin">
        <color rgb="FFECA762"/>
      </bottom>
      <diagonal/>
    </border>
    <border>
      <left/>
      <right/>
      <top/>
      <bottom style="thin">
        <color rgb="FFECA762"/>
      </bottom>
      <diagonal/>
    </border>
    <border>
      <left/>
      <right style="thin">
        <color rgb="FFECA762"/>
      </right>
      <top/>
      <bottom style="thin">
        <color rgb="FFECA762"/>
      </bottom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/>
      <top/>
      <bottom style="dotted">
        <color theme="0" tint="-0.24994659260841701"/>
      </bottom>
      <diagonal/>
    </border>
    <border>
      <left style="thin">
        <color rgb="FFECA762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rgb="FFECA762"/>
      </left>
      <right/>
      <top/>
      <bottom style="dotted">
        <color theme="0" tint="-0.24994659260841701"/>
      </bottom>
      <diagonal/>
    </border>
    <border>
      <left/>
      <right style="thin">
        <color rgb="FFECA762"/>
      </right>
      <top/>
      <bottom style="dotted">
        <color theme="0" tint="-0.24994659260841701"/>
      </bottom>
      <diagonal/>
    </border>
    <border>
      <left/>
      <right style="medium">
        <color rgb="FFDF7D1B"/>
      </right>
      <top/>
      <bottom/>
      <diagonal/>
    </border>
    <border>
      <left style="medium">
        <color rgb="FFDF7D1B"/>
      </left>
      <right/>
      <top/>
      <bottom style="medium">
        <color rgb="FFDF7D1B"/>
      </bottom>
      <diagonal/>
    </border>
    <border>
      <left/>
      <right/>
      <top/>
      <bottom style="medium">
        <color rgb="FFDF7D1B"/>
      </bottom>
      <diagonal/>
    </border>
    <border>
      <left/>
      <right style="medium">
        <color rgb="FFDF7D1B"/>
      </right>
      <top/>
      <bottom style="medium">
        <color rgb="FFDF7D1B"/>
      </bottom>
      <diagonal/>
    </border>
    <border>
      <left/>
      <right style="thin">
        <color theme="0" tint="-0.24994659260841701"/>
      </right>
      <top/>
      <bottom/>
      <diagonal/>
    </border>
    <border>
      <left style="hair">
        <color theme="0" tint="-0.14996795556505021"/>
      </left>
      <right style="hair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dotted">
        <color theme="4" tint="0.39991454817346722"/>
      </left>
      <right style="dotted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dotted">
        <color theme="4" tint="0.399914548173467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dotted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4" tint="0.59996337778862885"/>
      </left>
      <right/>
      <top style="thin">
        <color theme="4" tint="0.59996337778862885"/>
      </top>
      <bottom/>
      <diagonal/>
    </border>
    <border>
      <left/>
      <right/>
      <top style="thin">
        <color theme="4" tint="0.59996337778862885"/>
      </top>
      <bottom/>
      <diagonal/>
    </border>
    <border>
      <left/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4" tint="0.59996337778862885"/>
      </left>
      <right/>
      <top/>
      <bottom style="thin">
        <color theme="4" tint="0.59996337778862885"/>
      </bottom>
      <diagonal/>
    </border>
    <border>
      <left/>
      <right/>
      <top/>
      <bottom style="thin">
        <color theme="4" tint="0.59996337778862885"/>
      </bottom>
      <diagonal/>
    </border>
    <border>
      <left/>
      <right style="thin">
        <color theme="4" tint="0.59996337778862885"/>
      </right>
      <top/>
      <bottom style="thin">
        <color theme="4" tint="0.59996337778862885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/>
      <diagonal/>
    </border>
    <border>
      <left/>
      <right/>
      <top style="medium">
        <color theme="4" tint="0.39994506668294322"/>
      </top>
      <bottom/>
      <diagonal/>
    </border>
    <border>
      <left/>
      <right style="medium">
        <color theme="4" tint="0.39994506668294322"/>
      </right>
      <top style="medium">
        <color theme="4" tint="0.39994506668294322"/>
      </top>
      <bottom/>
      <diagonal/>
    </border>
    <border>
      <left style="medium">
        <color theme="4" tint="0.39994506668294322"/>
      </left>
      <right/>
      <top/>
      <bottom/>
      <diagonal/>
    </border>
    <border>
      <left/>
      <right style="medium">
        <color theme="4" tint="0.39994506668294322"/>
      </right>
      <top/>
      <bottom/>
      <diagonal/>
    </border>
    <border>
      <left style="medium">
        <color theme="4" tint="0.39994506668294322"/>
      </left>
      <right/>
      <top/>
      <bottom style="medium">
        <color theme="4" tint="0.39994506668294322"/>
      </bottom>
      <diagonal/>
    </border>
    <border>
      <left/>
      <right/>
      <top/>
      <bottom style="medium">
        <color theme="4" tint="0.39994506668294322"/>
      </bottom>
      <diagonal/>
    </border>
    <border>
      <left/>
      <right style="medium">
        <color theme="4" tint="0.39994506668294322"/>
      </right>
      <top/>
      <bottom style="medium">
        <color theme="4" tint="0.39994506668294322"/>
      </bottom>
      <diagonal/>
    </border>
    <border>
      <left style="thin">
        <color theme="4" tint="0.59996337778862885"/>
      </left>
      <right/>
      <top/>
      <bottom/>
      <diagonal/>
    </border>
    <border>
      <left/>
      <right style="thin">
        <color theme="4" tint="0.59996337778862885"/>
      </right>
      <top/>
      <bottom/>
      <diagonal/>
    </border>
    <border>
      <left/>
      <right style="hair">
        <color theme="0" tint="-0.1499679555650502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 style="thin">
        <color indexed="18"/>
      </left>
      <right/>
      <top/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 style="thin">
        <color indexed="18"/>
      </right>
      <top style="thin">
        <color indexed="18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theme="0" tint="-0.14996795556505021"/>
      </left>
      <right style="hair">
        <color theme="0" tint="-0.14993743705557422"/>
      </right>
      <top style="thin">
        <color theme="0" tint="-0.14996795556505021"/>
      </top>
      <bottom style="hair">
        <color theme="0" tint="-0.14993743705557422"/>
      </bottom>
      <diagonal/>
    </border>
    <border>
      <left style="hair">
        <color theme="0" tint="-0.14993743705557422"/>
      </left>
      <right style="hair">
        <color theme="0" tint="-0.14993743705557422"/>
      </right>
      <top style="thin">
        <color theme="0" tint="-0.14996795556505021"/>
      </top>
      <bottom style="hair">
        <color theme="0" tint="-0.14993743705557422"/>
      </bottom>
      <diagonal/>
    </border>
    <border>
      <left/>
      <right style="hair">
        <color theme="0" tint="-0.14993743705557422"/>
      </right>
      <top style="thin">
        <color theme="0" tint="-0.14996795556505021"/>
      </top>
      <bottom style="hair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/>
      <right style="thin">
        <color theme="6" tint="0.39994506668294322"/>
      </right>
      <top style="thin">
        <color theme="6" tint="0.39994506668294322"/>
      </top>
      <bottom/>
      <diagonal/>
    </border>
    <border>
      <left style="thin">
        <color theme="6" tint="0.39994506668294322"/>
      </left>
      <right/>
      <top/>
      <bottom style="dotted">
        <color theme="0" tint="-0.24994659260841701"/>
      </bottom>
      <diagonal/>
    </border>
    <border>
      <left/>
      <right style="thin">
        <color theme="6" tint="0.39994506668294322"/>
      </right>
      <top/>
      <bottom style="dotted">
        <color theme="0" tint="-0.24994659260841701"/>
      </bottom>
      <diagonal/>
    </border>
    <border>
      <left style="thin">
        <color theme="6" tint="0.39994506668294322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6" tint="0.39994506668294322"/>
      </left>
      <right/>
      <top style="dotted">
        <color theme="0" tint="-0.24994659260841701"/>
      </top>
      <bottom style="thin">
        <color theme="6" tint="0.39994506668294322"/>
      </bottom>
      <diagonal/>
    </border>
    <border>
      <left style="thin">
        <color theme="4" tint="0.59996337778862885"/>
      </left>
      <right/>
      <top/>
      <bottom style="dotted">
        <color theme="0" tint="-0.24994659260841701"/>
      </bottom>
      <diagonal/>
    </border>
    <border>
      <left/>
      <right style="thin">
        <color theme="4" tint="0.59996337778862885"/>
      </right>
      <top/>
      <bottom style="dotted">
        <color theme="0" tint="-0.24994659260841701"/>
      </bottom>
      <diagonal/>
    </border>
    <border>
      <left style="thin">
        <color theme="4" tint="0.59996337778862885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4" tint="0.59996337778862885"/>
      </left>
      <right/>
      <top style="dotted">
        <color theme="0" tint="-0.24994659260841701"/>
      </top>
      <bottom style="thin">
        <color theme="4" tint="0.59996337778862885"/>
      </bottom>
      <diagonal/>
    </border>
    <border>
      <left/>
      <right/>
      <top style="dotted">
        <color theme="0" tint="-0.24994659260841701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 style="dotted">
        <color theme="0" tint="-0.24994659260841701"/>
      </top>
      <bottom style="thin">
        <color theme="4" tint="0.59996337778862885"/>
      </bottom>
      <diagonal/>
    </border>
    <border>
      <left style="thin">
        <color theme="6" tint="0.39994506668294322"/>
      </left>
      <right style="dotted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dotted">
        <color theme="6" tint="0.39994506668294322"/>
      </left>
      <right style="dotted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rgb="FFECA762"/>
      </left>
      <right/>
      <top style="dotted">
        <color theme="0" tint="-0.24994659260841701"/>
      </top>
      <bottom style="thin">
        <color rgb="FFECA762"/>
      </bottom>
      <diagonal/>
    </border>
    <border>
      <left/>
      <right/>
      <top style="dotted">
        <color theme="0" tint="-0.24994659260841701"/>
      </top>
      <bottom style="thin">
        <color rgb="FFECA762"/>
      </bottom>
      <diagonal/>
    </border>
    <border>
      <left style="thin">
        <color theme="0" tint="-0.14996795556505021"/>
      </left>
      <right/>
      <top style="dotted">
        <color theme="0" tint="-0.14993743705557422"/>
      </top>
      <bottom style="dotted">
        <color theme="0" tint="-0.14993743705557422"/>
      </bottom>
      <diagonal/>
    </border>
    <border>
      <left/>
      <right/>
      <top style="dotted">
        <color theme="0" tint="-0.14993743705557422"/>
      </top>
      <bottom style="dotted">
        <color theme="0" tint="-0.14993743705557422"/>
      </bottom>
      <diagonal/>
    </border>
    <border>
      <left/>
      <right style="thin">
        <color theme="0" tint="-0.14996795556505021"/>
      </right>
      <top style="dotted">
        <color theme="0" tint="-0.14993743705557422"/>
      </top>
      <bottom style="dotted">
        <color theme="0" tint="-0.14993743705557422"/>
      </bottom>
      <diagonal/>
    </border>
    <border>
      <left style="thin">
        <color theme="0" tint="-0.14996795556505021"/>
      </left>
      <right/>
      <top style="dotted">
        <color theme="0" tint="-0.14993743705557422"/>
      </top>
      <bottom style="thin">
        <color theme="0" tint="-0.14993743705557422"/>
      </bottom>
      <diagonal/>
    </border>
    <border>
      <left/>
      <right/>
      <top style="dotted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dotted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/>
      <bottom style="dotted">
        <color theme="0" tint="-0.14993743705557422"/>
      </bottom>
      <diagonal/>
    </border>
    <border>
      <left/>
      <right/>
      <top/>
      <bottom style="dotted">
        <color theme="0" tint="-0.14993743705557422"/>
      </bottom>
      <diagonal/>
    </border>
    <border>
      <left/>
      <right style="thin">
        <color theme="0" tint="-0.14996795556505021"/>
      </right>
      <top/>
      <bottom style="dotted">
        <color theme="0" tint="-0.14993743705557422"/>
      </bottom>
      <diagonal/>
    </border>
    <border>
      <left/>
      <right style="thin">
        <color theme="6" tint="0.39994506668294322"/>
      </right>
      <top style="dotted">
        <color theme="0" tint="-0.24994659260841701"/>
      </top>
      <bottom style="thin">
        <color theme="0" tint="-0.24994659260841701"/>
      </bottom>
      <diagonal/>
    </border>
    <border>
      <left/>
      <right/>
      <top style="dotted">
        <color theme="0" tint="-0.24994659260841701"/>
      </top>
      <bottom style="thin">
        <color theme="0" tint="-0.24994659260841701"/>
      </bottom>
      <diagonal/>
    </border>
    <border>
      <left style="dotted">
        <color theme="4" tint="0.39991454817346722"/>
      </left>
      <right/>
      <top/>
      <bottom style="thin">
        <color theme="4" tint="0.39988402966399123"/>
      </bottom>
      <diagonal/>
    </border>
    <border>
      <left style="thin">
        <color theme="0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hair">
        <color theme="0" tint="-0.14993743705557422"/>
      </left>
      <right style="medium">
        <color rgb="FFDF7D1B"/>
      </right>
      <top/>
      <bottom/>
      <diagonal/>
    </border>
    <border>
      <left style="dotted">
        <color theme="4" tint="0.59996337778862885"/>
      </left>
      <right style="dotted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6" tint="0.39994506668294322"/>
      </left>
      <right style="dotted">
        <color theme="6" tint="0.39994506668294322"/>
      </right>
      <top style="thin">
        <color theme="6" tint="0.39994506668294322"/>
      </top>
      <bottom/>
      <diagonal/>
    </border>
    <border>
      <left style="dotted">
        <color theme="6" tint="0.39994506668294322"/>
      </left>
      <right style="dotted">
        <color theme="6" tint="0.39994506668294322"/>
      </right>
      <top style="thin">
        <color theme="6" tint="0.39994506668294322"/>
      </top>
      <bottom/>
      <diagonal/>
    </border>
    <border>
      <left/>
      <right/>
      <top style="medium">
        <color theme="3" tint="0.59996337778862885"/>
      </top>
      <bottom style="thin">
        <color theme="0" tint="-0.24994659260841701"/>
      </bottom>
      <diagonal/>
    </border>
    <border>
      <left/>
      <right/>
      <top style="medium">
        <color rgb="FFAAC56D"/>
      </top>
      <bottom style="thin">
        <color theme="0" tint="-0.24994659260841701"/>
      </bottom>
      <diagonal/>
    </border>
    <border>
      <left style="thin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DF7D1B"/>
      </left>
      <right style="thick">
        <color rgb="FFDF7D1B"/>
      </right>
      <top style="thick">
        <color rgb="FFDF7D1B"/>
      </top>
      <bottom style="thick">
        <color rgb="FFDF7D1B"/>
      </bottom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medium">
        <color rgb="FFDF7D1B"/>
      </left>
      <right style="medium">
        <color theme="1" tint="0.34998626667073579"/>
      </right>
      <top/>
      <bottom/>
      <diagonal/>
    </border>
    <border>
      <left/>
      <right/>
      <top style="medium">
        <color theme="1" tint="0.34998626667073579"/>
      </top>
      <bottom/>
      <diagonal/>
    </border>
    <border>
      <left style="thin">
        <color rgb="FFDF7D1B"/>
      </left>
      <right/>
      <top style="thin">
        <color rgb="FFDF7D1B"/>
      </top>
      <bottom/>
      <diagonal/>
    </border>
    <border>
      <left/>
      <right/>
      <top style="thin">
        <color rgb="FFDF7D1B"/>
      </top>
      <bottom/>
      <diagonal/>
    </border>
    <border>
      <left/>
      <right style="thin">
        <color rgb="FFDF7D1B"/>
      </right>
      <top style="thin">
        <color rgb="FFDF7D1B"/>
      </top>
      <bottom/>
      <diagonal/>
    </border>
    <border>
      <left style="thin">
        <color rgb="FFDF7D1B"/>
      </left>
      <right/>
      <top/>
      <bottom style="thin">
        <color rgb="FFDF7D1B"/>
      </bottom>
      <diagonal/>
    </border>
    <border>
      <left/>
      <right/>
      <top/>
      <bottom style="thin">
        <color rgb="FFDF7D1B"/>
      </bottom>
      <diagonal/>
    </border>
    <border>
      <left/>
      <right style="thin">
        <color rgb="FFDF7D1B"/>
      </right>
      <top/>
      <bottom style="thin">
        <color rgb="FFDF7D1B"/>
      </bottom>
      <diagonal/>
    </border>
    <border>
      <left/>
      <right style="thin">
        <color rgb="FFDF7D1B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51">
    <xf numFmtId="0" fontId="0" fillId="0" borderId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6" fillId="0" borderId="0"/>
    <xf numFmtId="9" fontId="32" fillId="0" borderId="0" applyFont="0" applyFill="0" applyBorder="0" applyAlignment="0" applyProtection="0"/>
    <xf numFmtId="0" fontId="32" fillId="0" borderId="0">
      <alignment horizontal="center" vertical="center" wrapText="1"/>
    </xf>
    <xf numFmtId="0" fontId="92" fillId="0" borderId="0"/>
  </cellStyleXfs>
  <cellXfs count="514">
    <xf numFmtId="0" fontId="0" fillId="0" borderId="0" xfId="0">
      <alignment horizontal="center" vertical="center" wrapText="1"/>
    </xf>
    <xf numFmtId="0" fontId="3" fillId="0" borderId="0" xfId="0" applyFont="1">
      <alignment horizontal="center" vertical="center" wrapText="1"/>
    </xf>
    <xf numFmtId="0" fontId="3" fillId="7" borderId="0" xfId="0" applyFont="1" applyFill="1">
      <alignment horizontal="center" vertical="center" wrapText="1"/>
    </xf>
    <xf numFmtId="0" fontId="3" fillId="0" borderId="0" xfId="0" applyFont="1" applyBorder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0" fontId="3" fillId="7" borderId="0" xfId="0" applyFont="1" applyFill="1" applyBorder="1">
      <alignment horizontal="center" vertical="center" wrapText="1"/>
    </xf>
    <xf numFmtId="0" fontId="12" fillId="0" borderId="0" xfId="0" applyFont="1">
      <alignment horizontal="center" vertical="center" wrapText="1"/>
    </xf>
    <xf numFmtId="0" fontId="14" fillId="7" borderId="0" xfId="0" applyFont="1" applyFill="1" applyAlignment="1">
      <alignment horizontal="right" vertical="top" wrapText="1"/>
    </xf>
    <xf numFmtId="0" fontId="14" fillId="7" borderId="0" xfId="0" applyFont="1" applyFill="1" applyAlignment="1">
      <alignment horizontal="right" vertical="center" wrapText="1"/>
    </xf>
    <xf numFmtId="0" fontId="12" fillId="7" borderId="0" xfId="0" applyFont="1" applyFill="1">
      <alignment horizontal="center" vertical="center" wrapText="1"/>
    </xf>
    <xf numFmtId="0" fontId="20" fillId="0" borderId="0" xfId="0" applyFont="1" applyBorder="1">
      <alignment horizontal="center" vertical="center" wrapText="1"/>
    </xf>
    <xf numFmtId="0" fontId="14" fillId="0" borderId="0" xfId="0" applyFo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4" fillId="0" borderId="0" xfId="0" applyFont="1" applyBorder="1">
      <alignment horizontal="center" vertical="center" wrapText="1"/>
    </xf>
    <xf numFmtId="0" fontId="14" fillId="7" borderId="0" xfId="0" applyFont="1" applyFill="1">
      <alignment horizontal="center" vertical="center" wrapText="1"/>
    </xf>
    <xf numFmtId="0" fontId="24" fillId="11" borderId="23" xfId="0" applyFont="1" applyFill="1" applyBorder="1" applyAlignment="1">
      <alignment horizontal="center" vertical="center" wrapText="1"/>
    </xf>
    <xf numFmtId="0" fontId="15" fillId="8" borderId="31" xfId="0" applyFont="1" applyFill="1" applyBorder="1" applyAlignment="1">
      <alignment horizontal="center" vertical="top" wrapText="1"/>
    </xf>
    <xf numFmtId="0" fontId="15" fillId="0" borderId="0" xfId="0" applyFont="1">
      <alignment horizontal="center" vertical="center" wrapText="1"/>
    </xf>
    <xf numFmtId="0" fontId="29" fillId="0" borderId="0" xfId="0" applyFont="1" applyFill="1" applyAlignment="1">
      <alignment horizontal="right" vertical="top"/>
    </xf>
    <xf numFmtId="0" fontId="15" fillId="0" borderId="30" xfId="0" applyFont="1" applyFill="1" applyBorder="1" applyAlignment="1">
      <alignment horizontal="right" vertical="top"/>
    </xf>
    <xf numFmtId="0" fontId="15" fillId="0" borderId="28" xfId="0" applyFont="1" applyFill="1" applyBorder="1" applyAlignment="1">
      <alignment horizontal="right" vertical="top"/>
    </xf>
    <xf numFmtId="0" fontId="15" fillId="0" borderId="0" xfId="0" applyFont="1" applyBorder="1">
      <alignment horizontal="center" vertical="center" wrapText="1"/>
    </xf>
    <xf numFmtId="0" fontId="15" fillId="0" borderId="0" xfId="0" applyFont="1" applyFill="1" applyBorder="1" applyAlignment="1">
      <alignment horizontal="right" vertical="top"/>
    </xf>
    <xf numFmtId="0" fontId="23" fillId="7" borderId="0" xfId="0" applyFont="1" applyFill="1">
      <alignment horizontal="center" vertical="center" wrapText="1"/>
    </xf>
    <xf numFmtId="0" fontId="26" fillId="7" borderId="0" xfId="0" applyFont="1" applyFill="1" applyAlignment="1">
      <alignment horizontal="right" vertical="top"/>
    </xf>
    <xf numFmtId="0" fontId="25" fillId="7" borderId="0" xfId="0" applyFont="1" applyFill="1" applyAlignment="1">
      <alignment horizontal="right" vertical="top"/>
    </xf>
    <xf numFmtId="0" fontId="25" fillId="7" borderId="0" xfId="0" applyFont="1" applyFill="1" applyAlignment="1">
      <alignment horizontal="right" vertical="center"/>
    </xf>
    <xf numFmtId="0" fontId="26" fillId="7" borderId="0" xfId="0" applyFont="1" applyFill="1" applyAlignment="1">
      <alignment horizontal="right" vertical="center"/>
    </xf>
    <xf numFmtId="0" fontId="31" fillId="7" borderId="0" xfId="0" applyFont="1" applyFill="1" applyBorder="1" applyAlignment="1">
      <alignment vertical="center" textRotation="90" wrapText="1"/>
    </xf>
    <xf numFmtId="0" fontId="12" fillId="4" borderId="0" xfId="0" applyFont="1" applyFill="1">
      <alignment horizontal="center" vertical="center" wrapText="1"/>
    </xf>
    <xf numFmtId="2" fontId="23" fillId="0" borderId="0" xfId="0" applyNumberFormat="1" applyFont="1" applyBorder="1">
      <alignment horizontal="center" vertical="center" wrapText="1"/>
    </xf>
    <xf numFmtId="0" fontId="38" fillId="9" borderId="9" xfId="0" applyFont="1" applyFill="1" applyBorder="1" applyAlignment="1">
      <alignment horizontal="left" vertical="center" wrapText="1"/>
    </xf>
    <xf numFmtId="0" fontId="38" fillId="9" borderId="3" xfId="0" applyFont="1" applyFill="1" applyBorder="1" applyAlignment="1">
      <alignment horizontal="left" vertical="center" wrapText="1"/>
    </xf>
    <xf numFmtId="0" fontId="38" fillId="9" borderId="7" xfId="0" applyFont="1" applyFill="1" applyBorder="1" applyAlignment="1">
      <alignment horizontal="left" vertical="center" wrapText="1"/>
    </xf>
    <xf numFmtId="0" fontId="23" fillId="0" borderId="0" xfId="0" applyFo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4" fillId="0" borderId="43" xfId="0" applyFont="1" applyBorder="1" applyAlignment="1">
      <alignment horizontal="left" vertical="center" wrapText="1"/>
    </xf>
    <xf numFmtId="0" fontId="35" fillId="0" borderId="43" xfId="0" applyFont="1" applyBorder="1" applyAlignment="1">
      <alignment horizontal="left" vertical="center" wrapText="1"/>
    </xf>
    <xf numFmtId="0" fontId="36" fillId="0" borderId="43" xfId="0" applyFont="1" applyFill="1" applyBorder="1" applyAlignment="1">
      <alignment horizontal="left" vertical="center" wrapText="1"/>
    </xf>
    <xf numFmtId="0" fontId="33" fillId="0" borderId="44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center" vertical="center" wrapText="1"/>
    </xf>
    <xf numFmtId="9" fontId="5" fillId="0" borderId="45" xfId="0" applyNumberFormat="1" applyFont="1" applyBorder="1" applyAlignment="1">
      <alignment horizontal="center" vertical="center" wrapText="1"/>
    </xf>
    <xf numFmtId="0" fontId="3" fillId="0" borderId="24" xfId="0" applyFont="1" applyBorder="1">
      <alignment horizontal="center" vertical="center" wrapText="1"/>
    </xf>
    <xf numFmtId="0" fontId="3" fillId="0" borderId="46" xfId="0" applyFont="1" applyBorder="1">
      <alignment horizontal="center" vertical="center" wrapText="1"/>
    </xf>
    <xf numFmtId="0" fontId="3" fillId="0" borderId="47" xfId="0" applyFont="1" applyBorder="1">
      <alignment horizontal="center" vertical="center" wrapText="1"/>
    </xf>
    <xf numFmtId="0" fontId="3" fillId="0" borderId="48" xfId="0" applyFont="1" applyBorder="1">
      <alignment horizontal="center" vertical="center" wrapText="1"/>
    </xf>
    <xf numFmtId="0" fontId="3" fillId="0" borderId="49" xfId="0" applyFont="1" applyBorder="1">
      <alignment horizontal="center" vertical="center" wrapText="1"/>
    </xf>
    <xf numFmtId="9" fontId="39" fillId="0" borderId="40" xfId="48" applyFont="1" applyBorder="1" applyAlignment="1">
      <alignment horizontal="center" wrapText="1"/>
    </xf>
    <xf numFmtId="9" fontId="39" fillId="0" borderId="50" xfId="48" applyFont="1" applyBorder="1" applyAlignment="1">
      <alignment horizontal="center" wrapText="1"/>
    </xf>
    <xf numFmtId="0" fontId="3" fillId="7" borderId="0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41" fillId="7" borderId="0" xfId="0" applyFont="1" applyFill="1" applyAlignment="1">
      <alignment vertical="center" wrapText="1"/>
    </xf>
    <xf numFmtId="0" fontId="42" fillId="7" borderId="0" xfId="0" applyFont="1" applyFill="1" applyAlignment="1">
      <alignment vertical="center" wrapText="1"/>
    </xf>
    <xf numFmtId="0" fontId="3" fillId="7" borderId="0" xfId="0" applyFont="1" applyFill="1" applyBorder="1" applyAlignment="1">
      <alignment vertical="center" wrapText="1"/>
    </xf>
    <xf numFmtId="0" fontId="39" fillId="0" borderId="0" xfId="0" applyFont="1" applyBorder="1" applyAlignment="1">
      <alignment horizontal="center" wrapText="1"/>
    </xf>
    <xf numFmtId="9" fontId="39" fillId="7" borderId="0" xfId="48" applyFont="1" applyFill="1" applyBorder="1" applyAlignment="1">
      <alignment horizontal="center" wrapText="1"/>
    </xf>
    <xf numFmtId="9" fontId="4" fillId="7" borderId="0" xfId="0" applyNumberFormat="1" applyFont="1" applyFill="1" applyBorder="1" applyAlignment="1">
      <alignment horizontal="center" wrapText="1"/>
    </xf>
    <xf numFmtId="0" fontId="39" fillId="0" borderId="32" xfId="0" applyFont="1" applyBorder="1" applyAlignment="1">
      <alignment horizontal="center" wrapText="1"/>
    </xf>
    <xf numFmtId="0" fontId="4" fillId="0" borderId="58" xfId="0" applyFont="1" applyBorder="1" applyAlignment="1">
      <alignment horizontal="left" vertical="center" wrapText="1"/>
    </xf>
    <xf numFmtId="0" fontId="4" fillId="0" borderId="58" xfId="0" applyFont="1" applyFill="1" applyBorder="1" applyAlignment="1">
      <alignment horizontal="left" vertical="center" wrapText="1"/>
    </xf>
    <xf numFmtId="0" fontId="4" fillId="0" borderId="57" xfId="0" applyFont="1" applyBorder="1" applyAlignment="1">
      <alignment horizontal="left" vertical="center" wrapText="1"/>
    </xf>
    <xf numFmtId="0" fontId="3" fillId="0" borderId="60" xfId="0" applyFont="1" applyBorder="1">
      <alignment horizontal="center" vertical="center" wrapText="1"/>
    </xf>
    <xf numFmtId="0" fontId="3" fillId="0" borderId="61" xfId="0" applyFont="1" applyBorder="1">
      <alignment horizontal="center" vertical="center" wrapText="1"/>
    </xf>
    <xf numFmtId="0" fontId="3" fillId="0" borderId="62" xfId="0" applyFont="1" applyBorder="1">
      <alignment horizontal="center" vertical="center" wrapText="1"/>
    </xf>
    <xf numFmtId="0" fontId="3" fillId="0" borderId="63" xfId="0" applyFont="1" applyBorder="1">
      <alignment horizontal="center" vertical="center" wrapText="1"/>
    </xf>
    <xf numFmtId="0" fontId="3" fillId="0" borderId="59" xfId="0" applyFont="1" applyBorder="1">
      <alignment horizontal="center" vertical="center" wrapText="1"/>
    </xf>
    <xf numFmtId="0" fontId="3" fillId="0" borderId="76" xfId="0" applyFont="1" applyBorder="1">
      <alignment horizontal="center" vertical="center" wrapText="1"/>
    </xf>
    <xf numFmtId="0" fontId="3" fillId="0" borderId="77" xfId="0" applyFont="1" applyBorder="1">
      <alignment horizontal="center" vertical="center" wrapText="1"/>
    </xf>
    <xf numFmtId="0" fontId="3" fillId="0" borderId="78" xfId="0" applyFont="1" applyBorder="1">
      <alignment horizontal="center" vertical="center" wrapText="1"/>
    </xf>
    <xf numFmtId="0" fontId="3" fillId="0" borderId="79" xfId="0" applyFont="1" applyBorder="1">
      <alignment horizontal="center" vertical="center" wrapText="1"/>
    </xf>
    <xf numFmtId="0" fontId="3" fillId="0" borderId="80" xfId="0" applyFont="1" applyBorder="1">
      <alignment horizontal="center" vertical="center" wrapText="1"/>
    </xf>
    <xf numFmtId="0" fontId="29" fillId="0" borderId="0" xfId="0" applyFont="1" applyBorder="1">
      <alignment horizontal="center" vertical="center" wrapText="1"/>
    </xf>
    <xf numFmtId="0" fontId="46" fillId="0" borderId="81" xfId="0" applyFont="1" applyBorder="1" applyAlignment="1">
      <alignment horizontal="left" vertical="center" wrapText="1"/>
    </xf>
    <xf numFmtId="9" fontId="39" fillId="0" borderId="82" xfId="48" applyFont="1" applyBorder="1" applyAlignment="1">
      <alignment horizontal="center" wrapText="1"/>
    </xf>
    <xf numFmtId="0" fontId="46" fillId="0" borderId="81" xfId="0" applyFont="1" applyFill="1" applyBorder="1" applyAlignment="1">
      <alignment horizontal="left" vertical="center" wrapText="1"/>
    </xf>
    <xf numFmtId="0" fontId="46" fillId="0" borderId="70" xfId="0" applyFont="1" applyBorder="1" applyAlignment="1">
      <alignment horizontal="left" vertical="center" wrapText="1"/>
    </xf>
    <xf numFmtId="0" fontId="39" fillId="0" borderId="71" xfId="0" applyFont="1" applyBorder="1" applyAlignment="1">
      <alignment horizontal="center" wrapText="1"/>
    </xf>
    <xf numFmtId="9" fontId="39" fillId="0" borderId="72" xfId="48" applyFont="1" applyBorder="1" applyAlignment="1">
      <alignment horizontal="center" wrapText="1"/>
    </xf>
    <xf numFmtId="0" fontId="12" fillId="0" borderId="83" xfId="0" applyFont="1" applyFill="1" applyBorder="1">
      <alignment horizontal="center" vertical="center" wrapText="1"/>
    </xf>
    <xf numFmtId="0" fontId="29" fillId="4" borderId="12" xfId="0" applyFont="1" applyFill="1" applyBorder="1" applyAlignment="1">
      <alignment horizontal="center" textRotation="90" wrapText="1"/>
    </xf>
    <xf numFmtId="0" fontId="29" fillId="4" borderId="13" xfId="0" applyFont="1" applyFill="1" applyBorder="1" applyAlignment="1">
      <alignment horizontal="center" textRotation="90" wrapText="1"/>
    </xf>
    <xf numFmtId="0" fontId="29" fillId="4" borderId="14" xfId="0" applyFont="1" applyFill="1" applyBorder="1" applyAlignment="1">
      <alignment horizontal="center" textRotation="90" wrapText="1"/>
    </xf>
    <xf numFmtId="0" fontId="47" fillId="0" borderId="0" xfId="0" applyFont="1">
      <alignment horizontal="center" vertical="center" wrapText="1"/>
    </xf>
    <xf numFmtId="0" fontId="29" fillId="0" borderId="0" xfId="0" applyFont="1" applyAlignment="1">
      <alignment horizontal="right" vertical="center"/>
    </xf>
    <xf numFmtId="0" fontId="22" fillId="6" borderId="5" xfId="0" applyFont="1" applyFill="1" applyBorder="1" applyAlignment="1">
      <alignment horizontal="center" vertical="center" wrapText="1"/>
    </xf>
    <xf numFmtId="0" fontId="49" fillId="7" borderId="0" xfId="0" applyFont="1" applyFill="1">
      <alignment horizontal="center" vertical="center" wrapText="1"/>
    </xf>
    <xf numFmtId="0" fontId="14" fillId="7" borderId="0" xfId="0" applyFont="1" applyFill="1" applyAlignment="1">
      <alignment horizontal="left" vertical="center"/>
    </xf>
    <xf numFmtId="0" fontId="12" fillId="7" borderId="85" xfId="0" applyFont="1" applyFill="1" applyBorder="1">
      <alignment horizontal="center" vertical="center" wrapText="1"/>
    </xf>
    <xf numFmtId="0" fontId="12" fillId="0" borderId="85" xfId="0" applyFont="1" applyBorder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0" xfId="0" applyFont="1" applyBorder="1">
      <alignment horizontal="center" vertical="center" wrapText="1"/>
    </xf>
    <xf numFmtId="0" fontId="50" fillId="0" borderId="0" xfId="0" applyFont="1" applyAlignment="1">
      <alignment horizontal="center" vertical="center" textRotation="90" wrapText="1"/>
    </xf>
    <xf numFmtId="0" fontId="51" fillId="7" borderId="0" xfId="0" applyFont="1" applyFill="1" applyAlignment="1">
      <alignment horizontal="center" vertical="center" textRotation="90" wrapText="1"/>
    </xf>
    <xf numFmtId="0" fontId="28" fillId="7" borderId="0" xfId="0" applyFont="1" applyFill="1" applyBorder="1" applyAlignment="1">
      <alignment horizontal="left" textRotation="90" wrapText="1"/>
    </xf>
    <xf numFmtId="0" fontId="24" fillId="7" borderId="24" xfId="0" applyFont="1" applyFill="1" applyBorder="1" applyAlignment="1">
      <alignment horizontal="center" vertical="center" wrapText="1"/>
    </xf>
    <xf numFmtId="0" fontId="24" fillId="7" borderId="0" xfId="0" applyFont="1" applyFill="1" applyBorder="1" applyAlignment="1">
      <alignment horizontal="center" vertical="center" wrapText="1"/>
    </xf>
    <xf numFmtId="0" fontId="15" fillId="7" borderId="46" xfId="0" applyFont="1" applyFill="1" applyBorder="1" applyAlignment="1">
      <alignment horizontal="center" textRotation="90" wrapText="1"/>
    </xf>
    <xf numFmtId="0" fontId="29" fillId="7" borderId="0" xfId="0" applyFont="1" applyFill="1" applyBorder="1" applyAlignment="1">
      <alignment horizontal="center" textRotation="90" wrapText="1"/>
    </xf>
    <xf numFmtId="0" fontId="16" fillId="7" borderId="0" xfId="0" applyFont="1" applyFill="1" applyBorder="1" applyAlignment="1">
      <alignment horizontal="center" vertical="center" wrapText="1"/>
    </xf>
    <xf numFmtId="0" fontId="52" fillId="0" borderId="0" xfId="47" applyFont="1"/>
    <xf numFmtId="0" fontId="53" fillId="22" borderId="86" xfId="47" applyFont="1" applyFill="1" applyBorder="1" applyAlignment="1">
      <alignment horizontal="centerContinuous"/>
    </xf>
    <xf numFmtId="0" fontId="53" fillId="22" borderId="87" xfId="47" applyFont="1" applyFill="1" applyBorder="1" applyAlignment="1">
      <alignment horizontal="centerContinuous"/>
    </xf>
    <xf numFmtId="0" fontId="53" fillId="0" borderId="0" xfId="47" applyFont="1" applyAlignment="1">
      <alignment horizontal="center"/>
    </xf>
    <xf numFmtId="0" fontId="53" fillId="0" borderId="0" xfId="47" applyFont="1"/>
    <xf numFmtId="0" fontId="52" fillId="0" borderId="0" xfId="47" applyFont="1" applyAlignment="1">
      <alignment horizontal="center"/>
    </xf>
    <xf numFmtId="0" fontId="52" fillId="22" borderId="88" xfId="47" applyFont="1" applyFill="1" applyBorder="1" applyAlignment="1">
      <alignment horizontal="center"/>
    </xf>
    <xf numFmtId="0" fontId="52" fillId="22" borderId="89" xfId="47" applyFont="1" applyFill="1" applyBorder="1"/>
    <xf numFmtId="0" fontId="52" fillId="0" borderId="0" xfId="47" applyNumberFormat="1" applyFont="1" applyFill="1"/>
    <xf numFmtId="2" fontId="52" fillId="0" borderId="90" xfId="47" applyNumberFormat="1" applyFont="1" applyBorder="1"/>
    <xf numFmtId="0" fontId="52" fillId="0" borderId="91" xfId="47" applyFont="1" applyBorder="1"/>
    <xf numFmtId="0" fontId="52" fillId="0" borderId="0" xfId="47" quotePrefix="1" applyFont="1"/>
    <xf numFmtId="0" fontId="52" fillId="0" borderId="0" xfId="47" applyFont="1" applyAlignment="1">
      <alignment horizontal="centerContinuous" vertical="center"/>
    </xf>
    <xf numFmtId="0" fontId="54" fillId="0" borderId="0" xfId="47" applyFont="1"/>
    <xf numFmtId="0" fontId="3" fillId="14" borderId="0" xfId="49" applyFont="1" applyFill="1">
      <alignment horizontal="center" vertical="center" wrapText="1"/>
    </xf>
    <xf numFmtId="0" fontId="3" fillId="0" borderId="0" xfId="49" applyFont="1">
      <alignment horizontal="center" vertical="center" wrapText="1"/>
    </xf>
    <xf numFmtId="0" fontId="8" fillId="14" borderId="0" xfId="49" applyFont="1" applyFill="1" applyAlignment="1">
      <alignment horizontal="center" vertical="center" wrapText="1"/>
    </xf>
    <xf numFmtId="0" fontId="3" fillId="7" borderId="0" xfId="49" applyFont="1" applyFill="1">
      <alignment horizontal="center" vertical="center" wrapText="1"/>
    </xf>
    <xf numFmtId="0" fontId="10" fillId="2" borderId="19" xfId="49" applyFont="1" applyFill="1" applyBorder="1" applyAlignment="1">
      <alignment horizontal="center" vertical="center" wrapText="1"/>
    </xf>
    <xf numFmtId="0" fontId="41" fillId="7" borderId="0" xfId="49" applyFont="1" applyFill="1" applyAlignment="1">
      <alignment vertical="center" wrapText="1"/>
    </xf>
    <xf numFmtId="0" fontId="42" fillId="7" borderId="0" xfId="49" applyFont="1" applyFill="1" applyAlignment="1">
      <alignment vertical="center" wrapText="1"/>
    </xf>
    <xf numFmtId="0" fontId="3" fillId="0" borderId="24" xfId="49" applyFont="1" applyBorder="1">
      <alignment horizontal="center" vertical="center" wrapText="1"/>
    </xf>
    <xf numFmtId="0" fontId="3" fillId="0" borderId="0" xfId="49" applyFont="1" applyBorder="1">
      <alignment horizontal="center" vertical="center" wrapText="1"/>
    </xf>
    <xf numFmtId="0" fontId="3" fillId="0" borderId="46" xfId="49" applyFont="1" applyBorder="1">
      <alignment horizontal="center" vertical="center" wrapText="1"/>
    </xf>
    <xf numFmtId="0" fontId="3" fillId="7" borderId="0" xfId="49" applyFont="1" applyFill="1" applyBorder="1">
      <alignment horizontal="center" vertical="center" wrapText="1"/>
    </xf>
    <xf numFmtId="0" fontId="9" fillId="7" borderId="0" xfId="49" applyFont="1" applyFill="1" applyBorder="1" applyAlignment="1">
      <alignment horizontal="center" vertical="center" wrapText="1"/>
    </xf>
    <xf numFmtId="0" fontId="36" fillId="0" borderId="24" xfId="49" applyFont="1" applyBorder="1" applyAlignment="1">
      <alignment horizontal="left" vertical="center"/>
    </xf>
    <xf numFmtId="0" fontId="36" fillId="0" borderId="24" xfId="49" applyFont="1" applyBorder="1">
      <alignment horizontal="center" vertical="center" wrapText="1"/>
    </xf>
    <xf numFmtId="0" fontId="36" fillId="0" borderId="0" xfId="49" applyFont="1" applyBorder="1" applyAlignment="1">
      <alignment horizontal="center" vertical="top" wrapText="1"/>
    </xf>
    <xf numFmtId="0" fontId="36" fillId="0" borderId="46" xfId="49" applyFont="1" applyBorder="1" applyAlignment="1">
      <alignment textRotation="90"/>
    </xf>
    <xf numFmtId="0" fontId="3" fillId="7" borderId="0" xfId="49" applyFont="1" applyFill="1" applyBorder="1" applyAlignment="1">
      <alignment vertical="center" wrapText="1"/>
    </xf>
    <xf numFmtId="0" fontId="3" fillId="0" borderId="47" xfId="49" applyFont="1" applyBorder="1">
      <alignment horizontal="center" vertical="center" wrapText="1"/>
    </xf>
    <xf numFmtId="0" fontId="3" fillId="0" borderId="48" xfId="49" applyFont="1" applyBorder="1">
      <alignment horizontal="center" vertical="center" wrapText="1"/>
    </xf>
    <xf numFmtId="0" fontId="36" fillId="0" borderId="48" xfId="49" applyFont="1" applyBorder="1" applyAlignment="1">
      <alignment horizontal="right" vertical="center" wrapText="1"/>
    </xf>
    <xf numFmtId="0" fontId="38" fillId="7" borderId="0" xfId="49" applyFont="1" applyFill="1" applyBorder="1" applyAlignment="1">
      <alignment horizontal="left" vertical="center" wrapText="1"/>
    </xf>
    <xf numFmtId="0" fontId="56" fillId="5" borderId="92" xfId="49" applyNumberFormat="1" applyFont="1" applyFill="1" applyBorder="1" applyAlignment="1">
      <alignment horizontal="center" vertical="center" wrapText="1"/>
    </xf>
    <xf numFmtId="0" fontId="56" fillId="21" borderId="92" xfId="49" applyNumberFormat="1" applyFont="1" applyFill="1" applyBorder="1" applyAlignment="1">
      <alignment horizontal="center" vertical="center" wrapText="1"/>
    </xf>
    <xf numFmtId="0" fontId="56" fillId="2" borderId="92" xfId="49" applyNumberFormat="1" applyFont="1" applyFill="1" applyBorder="1" applyAlignment="1">
      <alignment horizontal="center" vertical="center" wrapText="1"/>
    </xf>
    <xf numFmtId="0" fontId="56" fillId="19" borderId="92" xfId="49" applyNumberFormat="1" applyFont="1" applyFill="1" applyBorder="1" applyAlignment="1">
      <alignment horizontal="center" vertical="center" wrapText="1"/>
    </xf>
    <xf numFmtId="0" fontId="56" fillId="20" borderId="92" xfId="49" applyNumberFormat="1" applyFont="1" applyFill="1" applyBorder="1" applyAlignment="1">
      <alignment horizontal="center" vertical="center" wrapText="1"/>
    </xf>
    <xf numFmtId="0" fontId="9" fillId="12" borderId="39" xfId="0" applyFont="1" applyFill="1" applyBorder="1" applyAlignment="1">
      <alignment horizontal="center" vertical="center" wrapText="1"/>
    </xf>
    <xf numFmtId="0" fontId="9" fillId="12" borderId="56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0" fontId="24" fillId="11" borderId="10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3" fillId="0" borderId="0" xfId="49" applyFont="1" applyAlignment="1">
      <alignment horizontal="center" vertical="center" wrapText="1"/>
    </xf>
    <xf numFmtId="0" fontId="7" fillId="0" borderId="0" xfId="49" applyFont="1">
      <alignment horizontal="center" vertical="center" wrapText="1"/>
    </xf>
    <xf numFmtId="0" fontId="3" fillId="7" borderId="0" xfId="49" applyFont="1" applyFill="1" applyAlignment="1">
      <alignment horizontal="center" vertical="center" wrapText="1"/>
    </xf>
    <xf numFmtId="0" fontId="57" fillId="3" borderId="52" xfId="49" applyFont="1" applyFill="1" applyBorder="1" applyAlignment="1">
      <alignment horizontal="left" vertical="center" wrapText="1"/>
    </xf>
    <xf numFmtId="0" fontId="24" fillId="11" borderId="84" xfId="0" applyFont="1" applyFill="1" applyBorder="1" applyAlignment="1">
      <alignment vertical="center" wrapText="1"/>
    </xf>
    <xf numFmtId="0" fontId="24" fillId="11" borderId="10" xfId="0" applyFont="1" applyFill="1" applyBorder="1" applyAlignment="1">
      <alignment vertical="center" wrapText="1"/>
    </xf>
    <xf numFmtId="0" fontId="28" fillId="0" borderId="0" xfId="0" applyFont="1" applyBorder="1" applyAlignment="1">
      <alignment textRotation="90" wrapText="1"/>
    </xf>
    <xf numFmtId="0" fontId="38" fillId="8" borderId="97" xfId="0" applyFont="1" applyFill="1" applyBorder="1" applyAlignment="1">
      <alignment horizontal="left" vertical="center" wrapText="1"/>
    </xf>
    <xf numFmtId="0" fontId="38" fillId="8" borderId="98" xfId="0" applyFont="1" applyFill="1" applyBorder="1" applyAlignment="1">
      <alignment horizontal="left" vertical="center" wrapText="1"/>
    </xf>
    <xf numFmtId="0" fontId="38" fillId="8" borderId="99" xfId="0" applyFont="1" applyFill="1" applyBorder="1" applyAlignment="1">
      <alignment horizontal="left" vertical="center" wrapText="1"/>
    </xf>
    <xf numFmtId="0" fontId="33" fillId="0" borderId="100" xfId="0" applyFont="1" applyBorder="1" applyAlignment="1">
      <alignment horizontal="left" vertical="center" wrapText="1"/>
    </xf>
    <xf numFmtId="9" fontId="5" fillId="0" borderId="101" xfId="0" applyNumberFormat="1" applyFont="1" applyBorder="1" applyAlignment="1">
      <alignment horizontal="center" vertical="center" wrapText="1"/>
    </xf>
    <xf numFmtId="0" fontId="34" fillId="0" borderId="102" xfId="0" applyFont="1" applyBorder="1" applyAlignment="1">
      <alignment horizontal="left" vertical="center" wrapText="1"/>
    </xf>
    <xf numFmtId="0" fontId="35" fillId="0" borderId="102" xfId="0" applyFont="1" applyBorder="1" applyAlignment="1">
      <alignment horizontal="left" vertical="center" wrapText="1"/>
    </xf>
    <xf numFmtId="0" fontId="36" fillId="0" borderId="102" xfId="0" applyFont="1" applyFill="1" applyBorder="1" applyAlignment="1">
      <alignment horizontal="left" vertical="center" wrapText="1"/>
    </xf>
    <xf numFmtId="0" fontId="37" fillId="0" borderId="103" xfId="0" applyFont="1" applyBorder="1" applyAlignment="1">
      <alignment horizontal="left" vertical="center" wrapText="1"/>
    </xf>
    <xf numFmtId="0" fontId="38" fillId="17" borderId="67" xfId="0" applyFont="1" applyFill="1" applyBorder="1" applyAlignment="1">
      <alignment horizontal="left" vertical="center" wrapText="1"/>
    </xf>
    <xf numFmtId="0" fontId="38" fillId="17" borderId="68" xfId="0" applyFont="1" applyFill="1" applyBorder="1" applyAlignment="1">
      <alignment horizontal="left" vertical="center" wrapText="1"/>
    </xf>
    <xf numFmtId="0" fontId="38" fillId="17" borderId="69" xfId="0" applyFont="1" applyFill="1" applyBorder="1" applyAlignment="1">
      <alignment horizontal="left" vertical="center" wrapText="1"/>
    </xf>
    <xf numFmtId="0" fontId="33" fillId="0" borderId="104" xfId="0" applyFont="1" applyBorder="1" applyAlignment="1">
      <alignment horizontal="left" vertical="center" wrapText="1"/>
    </xf>
    <xf numFmtId="9" fontId="5" fillId="0" borderId="105" xfId="0" applyNumberFormat="1" applyFont="1" applyBorder="1" applyAlignment="1">
      <alignment horizontal="center" vertical="center" wrapText="1"/>
    </xf>
    <xf numFmtId="0" fontId="34" fillId="0" borderId="106" xfId="0" applyFont="1" applyBorder="1" applyAlignment="1">
      <alignment horizontal="left" vertical="center" wrapText="1"/>
    </xf>
    <xf numFmtId="0" fontId="35" fillId="0" borderId="106" xfId="0" applyFont="1" applyBorder="1" applyAlignment="1">
      <alignment horizontal="left" vertical="center" wrapText="1"/>
    </xf>
    <xf numFmtId="0" fontId="36" fillId="0" borderId="106" xfId="0" applyFont="1" applyFill="1" applyBorder="1" applyAlignment="1">
      <alignment horizontal="left" vertical="center" wrapText="1"/>
    </xf>
    <xf numFmtId="0" fontId="37" fillId="0" borderId="107" xfId="0" applyFont="1" applyBorder="1" applyAlignment="1">
      <alignment horizontal="left" vertical="center" wrapText="1"/>
    </xf>
    <xf numFmtId="9" fontId="5" fillId="0" borderId="109" xfId="0" applyNumberFormat="1" applyFont="1" applyBorder="1" applyAlignment="1">
      <alignment horizontal="center" vertical="center" wrapText="1"/>
    </xf>
    <xf numFmtId="0" fontId="8" fillId="14" borderId="0" xfId="49" applyFont="1" applyFill="1" applyAlignment="1">
      <alignment vertical="center"/>
    </xf>
    <xf numFmtId="0" fontId="60" fillId="10" borderId="111" xfId="49" applyFont="1" applyFill="1" applyBorder="1" applyAlignment="1">
      <alignment horizontal="left" vertical="center" wrapText="1"/>
    </xf>
    <xf numFmtId="0" fontId="60" fillId="10" borderId="111" xfId="49" applyFont="1" applyFill="1" applyBorder="1" applyAlignment="1">
      <alignment horizontal="center" vertical="center" wrapText="1"/>
    </xf>
    <xf numFmtId="0" fontId="3" fillId="0" borderId="0" xfId="49" applyFont="1" applyAlignment="1">
      <alignment horizontal="center" wrapText="1"/>
    </xf>
    <xf numFmtId="0" fontId="3" fillId="7" borderId="0" xfId="49" applyFont="1" applyFill="1" applyAlignment="1">
      <alignment horizontal="center" wrapText="1"/>
    </xf>
    <xf numFmtId="0" fontId="8" fillId="14" borderId="0" xfId="49" applyFont="1" applyFill="1" applyAlignment="1">
      <alignment horizontal="center"/>
    </xf>
    <xf numFmtId="0" fontId="37" fillId="0" borderId="112" xfId="0" applyFont="1" applyBorder="1" applyAlignment="1">
      <alignment horizontal="left" vertical="center" wrapText="1"/>
    </xf>
    <xf numFmtId="0" fontId="5" fillId="0" borderId="113" xfId="0" applyFont="1" applyBorder="1" applyAlignment="1">
      <alignment horizontal="center" vertical="center" wrapText="1"/>
    </xf>
    <xf numFmtId="9" fontId="5" fillId="0" borderId="38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textRotation="90"/>
    </xf>
    <xf numFmtId="0" fontId="24" fillId="11" borderId="0" xfId="0" applyFont="1" applyFill="1" applyBorder="1" applyAlignment="1">
      <alignment horizontal="center" vertical="center" wrapText="1"/>
    </xf>
    <xf numFmtId="0" fontId="15" fillId="7" borderId="0" xfId="0" applyFont="1" applyFill="1" applyBorder="1" applyAlignment="1">
      <alignment horizontal="center" textRotation="90" wrapText="1"/>
    </xf>
    <xf numFmtId="0" fontId="14" fillId="7" borderId="0" xfId="0" applyFont="1" applyFill="1" applyAlignment="1">
      <alignment horizontal="center" vertical="center" wrapText="1"/>
    </xf>
    <xf numFmtId="0" fontId="29" fillId="7" borderId="0" xfId="0" applyFont="1" applyFill="1" applyBorder="1">
      <alignment horizontal="center" vertical="center" wrapText="1"/>
    </xf>
    <xf numFmtId="0" fontId="15" fillId="7" borderId="0" xfId="0" applyFont="1" applyFill="1" applyBorder="1">
      <alignment horizontal="center" vertical="center" wrapText="1"/>
    </xf>
    <xf numFmtId="0" fontId="15" fillId="7" borderId="0" xfId="0" applyFont="1" applyFill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24" fillId="11" borderId="22" xfId="0" applyFont="1" applyFill="1" applyBorder="1" applyAlignment="1">
      <alignment vertical="center" textRotation="90" wrapText="1"/>
    </xf>
    <xf numFmtId="0" fontId="24" fillId="11" borderId="20" xfId="0" applyFont="1" applyFill="1" applyBorder="1" applyAlignment="1">
      <alignment vertical="center" textRotation="90" wrapText="1"/>
    </xf>
    <xf numFmtId="0" fontId="24" fillId="11" borderId="6" xfId="0" applyFont="1" applyFill="1" applyBorder="1" applyAlignment="1">
      <alignment vertical="center" textRotation="90" wrapText="1"/>
    </xf>
    <xf numFmtId="0" fontId="24" fillId="11" borderId="10" xfId="0" applyFont="1" applyFill="1" applyBorder="1" applyAlignment="1">
      <alignment vertical="center" textRotation="90" wrapText="1"/>
    </xf>
    <xf numFmtId="0" fontId="24" fillId="11" borderId="20" xfId="0" applyFont="1" applyFill="1" applyBorder="1" applyAlignment="1">
      <alignment vertical="center" wrapText="1"/>
    </xf>
    <xf numFmtId="0" fontId="24" fillId="11" borderId="5" xfId="0" applyFont="1" applyFill="1" applyBorder="1" applyAlignment="1">
      <alignment vertical="center" wrapText="1"/>
    </xf>
    <xf numFmtId="0" fontId="24" fillId="11" borderId="5" xfId="0" applyFont="1" applyFill="1" applyBorder="1" applyAlignment="1">
      <alignment vertical="center" textRotation="90" wrapText="1"/>
    </xf>
    <xf numFmtId="0" fontId="8" fillId="12" borderId="0" xfId="49" applyFont="1" applyFill="1" applyAlignment="1">
      <alignment vertical="center"/>
    </xf>
    <xf numFmtId="0" fontId="7" fillId="12" borderId="0" xfId="49" applyFont="1" applyFill="1">
      <alignment horizontal="center" vertical="center" wrapText="1"/>
    </xf>
    <xf numFmtId="0" fontId="7" fillId="14" borderId="0" xfId="49" applyFont="1" applyFill="1">
      <alignment horizontal="center" vertical="center" wrapText="1"/>
    </xf>
    <xf numFmtId="0" fontId="9" fillId="12" borderId="55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9" fontId="39" fillId="0" borderId="0" xfId="48" applyFont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24" fillId="11" borderId="5" xfId="0" applyFont="1" applyFill="1" applyBorder="1" applyAlignment="1">
      <alignment horizontal="center" vertical="center" wrapText="1"/>
    </xf>
    <xf numFmtId="0" fontId="5" fillId="0" borderId="115" xfId="0" applyFont="1" applyBorder="1" applyAlignment="1">
      <alignment horizontal="center" vertical="center" wrapText="1"/>
    </xf>
    <xf numFmtId="9" fontId="5" fillId="0" borderId="116" xfId="0" applyNumberFormat="1" applyFont="1" applyBorder="1" applyAlignment="1">
      <alignment horizontal="center" vertical="center" wrapText="1"/>
    </xf>
    <xf numFmtId="0" fontId="5" fillId="0" borderId="114" xfId="0" applyFont="1" applyFill="1" applyBorder="1" applyAlignment="1">
      <alignment horizontal="left" vertical="center" wrapText="1"/>
    </xf>
    <xf numFmtId="0" fontId="5" fillId="0" borderId="117" xfId="0" applyFont="1" applyBorder="1" applyAlignment="1">
      <alignment horizontal="left" vertical="center" wrapText="1"/>
    </xf>
    <xf numFmtId="0" fontId="5" fillId="0" borderId="118" xfId="0" applyFont="1" applyBorder="1" applyAlignment="1">
      <alignment horizontal="center" vertical="center" wrapText="1"/>
    </xf>
    <xf numFmtId="9" fontId="5" fillId="0" borderId="119" xfId="0" applyNumberFormat="1" applyFont="1" applyBorder="1" applyAlignment="1">
      <alignment horizontal="center" vertical="center" wrapText="1"/>
    </xf>
    <xf numFmtId="0" fontId="5" fillId="0" borderId="120" xfId="0" applyFont="1" applyBorder="1" applyAlignment="1">
      <alignment horizontal="left" vertical="center" wrapText="1"/>
    </xf>
    <xf numFmtId="0" fontId="5" fillId="0" borderId="121" xfId="0" applyFont="1" applyBorder="1" applyAlignment="1">
      <alignment horizontal="center" vertical="center" wrapText="1"/>
    </xf>
    <xf numFmtId="9" fontId="5" fillId="0" borderId="122" xfId="0" applyNumberFormat="1" applyFont="1" applyBorder="1" applyAlignment="1">
      <alignment horizontal="center" vertical="center" wrapText="1"/>
    </xf>
    <xf numFmtId="0" fontId="5" fillId="0" borderId="124" xfId="0" applyFont="1" applyBorder="1" applyAlignment="1">
      <alignment horizontal="center" vertical="center" wrapText="1"/>
    </xf>
    <xf numFmtId="9" fontId="5" fillId="0" borderId="123" xfId="0" applyNumberFormat="1" applyFont="1" applyBorder="1" applyAlignment="1">
      <alignment horizontal="center" vertical="center" wrapText="1"/>
    </xf>
    <xf numFmtId="0" fontId="37" fillId="0" borderId="0" xfId="0" applyFont="1" applyBorder="1" applyAlignment="1">
      <alignment horizontal="left" vertical="center" wrapText="1"/>
    </xf>
    <xf numFmtId="0" fontId="3" fillId="18" borderId="76" xfId="0" applyFont="1" applyFill="1" applyBorder="1">
      <alignment horizontal="center" vertical="center" wrapText="1"/>
    </xf>
    <xf numFmtId="0" fontId="3" fillId="18" borderId="0" xfId="0" applyFont="1" applyFill="1">
      <alignment horizontal="center" vertical="center" wrapText="1"/>
    </xf>
    <xf numFmtId="0" fontId="3" fillId="18" borderId="77" xfId="0" applyFont="1" applyFill="1" applyBorder="1">
      <alignment horizontal="center" vertical="center" wrapText="1"/>
    </xf>
    <xf numFmtId="0" fontId="3" fillId="24" borderId="60" xfId="0" applyFont="1" applyFill="1" applyBorder="1">
      <alignment horizontal="center" vertical="center" wrapText="1"/>
    </xf>
    <xf numFmtId="0" fontId="3" fillId="24" borderId="0" xfId="0" applyFont="1" applyFill="1" applyBorder="1">
      <alignment horizontal="center" vertical="center" wrapText="1"/>
    </xf>
    <xf numFmtId="0" fontId="3" fillId="24" borderId="61" xfId="0" applyFont="1" applyFill="1" applyBorder="1">
      <alignment horizontal="center" vertical="center" wrapText="1"/>
    </xf>
    <xf numFmtId="0" fontId="3" fillId="25" borderId="24" xfId="0" applyFont="1" applyFill="1" applyBorder="1">
      <alignment horizontal="center" vertical="center" wrapText="1"/>
    </xf>
    <xf numFmtId="0" fontId="3" fillId="25" borderId="0" xfId="0" applyFont="1" applyFill="1">
      <alignment horizontal="center" vertical="center" wrapText="1"/>
    </xf>
    <xf numFmtId="0" fontId="3" fillId="25" borderId="46" xfId="0" applyFont="1" applyFill="1" applyBorder="1">
      <alignment horizontal="center" vertical="center" wrapText="1"/>
    </xf>
    <xf numFmtId="0" fontId="3" fillId="12" borderId="24" xfId="0" applyFont="1" applyFill="1" applyBorder="1">
      <alignment horizontal="center" vertical="center" wrapText="1"/>
    </xf>
    <xf numFmtId="0" fontId="3" fillId="12" borderId="0" xfId="0" applyFont="1" applyFill="1" applyBorder="1">
      <alignment horizontal="center" vertical="center" wrapText="1"/>
    </xf>
    <xf numFmtId="0" fontId="3" fillId="12" borderId="46" xfId="0" applyFont="1" applyFill="1" applyBorder="1">
      <alignment horizontal="center" vertical="center" wrapText="1"/>
    </xf>
    <xf numFmtId="0" fontId="3" fillId="12" borderId="0" xfId="0" applyFont="1" applyFill="1">
      <alignment horizontal="center" vertical="center" wrapText="1"/>
    </xf>
    <xf numFmtId="0" fontId="3" fillId="12" borderId="60" xfId="0" applyFont="1" applyFill="1" applyBorder="1">
      <alignment horizontal="center" vertical="center" wrapText="1"/>
    </xf>
    <xf numFmtId="0" fontId="3" fillId="12" borderId="61" xfId="0" applyFont="1" applyFill="1" applyBorder="1">
      <alignment horizontal="center" vertical="center" wrapText="1"/>
    </xf>
    <xf numFmtId="0" fontId="11" fillId="12" borderId="0" xfId="0" applyFont="1" applyFill="1" applyBorder="1" applyAlignment="1">
      <alignment horizontal="center" vertical="center" wrapText="1"/>
    </xf>
    <xf numFmtId="0" fontId="40" fillId="12" borderId="0" xfId="0" applyFont="1" applyFill="1" applyBorder="1" applyAlignment="1">
      <alignment horizontal="center" vertical="center" wrapText="1"/>
    </xf>
    <xf numFmtId="0" fontId="3" fillId="12" borderId="76" xfId="0" applyFont="1" applyFill="1" applyBorder="1">
      <alignment horizontal="center" vertical="center" wrapText="1"/>
    </xf>
    <xf numFmtId="0" fontId="3" fillId="12" borderId="77" xfId="0" applyFont="1" applyFill="1" applyBorder="1">
      <alignment horizontal="center" vertical="center" wrapText="1"/>
    </xf>
    <xf numFmtId="0" fontId="46" fillId="0" borderId="70" xfId="0" applyFont="1" applyFill="1" applyBorder="1" applyAlignment="1">
      <alignment horizontal="left" vertical="center" wrapText="1"/>
    </xf>
    <xf numFmtId="0" fontId="15" fillId="0" borderId="28" xfId="0" applyFont="1" applyFill="1" applyBorder="1" applyAlignment="1">
      <alignment horizontal="center" vertical="top"/>
    </xf>
    <xf numFmtId="0" fontId="15" fillId="0" borderId="0" xfId="0" applyFont="1" applyFill="1" applyBorder="1" applyAlignment="1">
      <alignment horizontal="center" vertical="top"/>
    </xf>
    <xf numFmtId="0" fontId="15" fillId="0" borderId="29" xfId="0" applyFont="1" applyFill="1" applyBorder="1" applyAlignment="1">
      <alignment horizontal="center" vertical="top"/>
    </xf>
    <xf numFmtId="0" fontId="24" fillId="11" borderId="21" xfId="0" applyFont="1" applyFill="1" applyBorder="1" applyAlignment="1">
      <alignment horizontal="center" vertical="center" wrapText="1"/>
    </xf>
    <xf numFmtId="0" fontId="16" fillId="11" borderId="126" xfId="0" applyFont="1" applyFill="1" applyBorder="1" applyAlignment="1">
      <alignment horizontal="center" vertical="center" wrapText="1"/>
    </xf>
    <xf numFmtId="0" fontId="14" fillId="12" borderId="0" xfId="0" applyFont="1" applyFill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21" fillId="12" borderId="0" xfId="0" applyFont="1" applyFill="1" applyAlignment="1">
      <alignment horizontal="center" vertical="center" wrapText="1"/>
    </xf>
    <xf numFmtId="0" fontId="66" fillId="12" borderId="0" xfId="0" applyFont="1" applyFill="1" applyBorder="1" applyAlignment="1">
      <alignment horizontal="left" vertical="center"/>
    </xf>
    <xf numFmtId="0" fontId="3" fillId="12" borderId="0" xfId="0" applyNumberFormat="1" applyFont="1" applyFill="1">
      <alignment horizontal="center" vertical="center" wrapText="1"/>
    </xf>
    <xf numFmtId="0" fontId="5" fillId="0" borderId="108" xfId="0" applyNumberFormat="1" applyFont="1" applyBorder="1" applyAlignment="1">
      <alignment horizontal="center" vertical="center" wrapText="1"/>
    </xf>
    <xf numFmtId="0" fontId="68" fillId="0" borderId="0" xfId="49" applyFont="1">
      <alignment horizontal="center" vertical="center" wrapText="1"/>
    </xf>
    <xf numFmtId="0" fontId="27" fillId="7" borderId="0" xfId="0" applyFont="1" applyFill="1" applyBorder="1" applyAlignment="1" applyProtection="1">
      <alignment horizontal="center" vertical="center" wrapText="1"/>
      <protection locked="0"/>
    </xf>
    <xf numFmtId="0" fontId="17" fillId="8" borderId="32" xfId="0" applyFont="1" applyFill="1" applyBorder="1" applyAlignment="1" applyProtection="1">
      <alignment horizontal="center" vertical="top" wrapText="1"/>
      <protection locked="0"/>
    </xf>
    <xf numFmtId="0" fontId="15" fillId="3" borderId="31" xfId="0" applyFont="1" applyFill="1" applyBorder="1" applyAlignment="1" applyProtection="1">
      <alignment horizontal="center" vertical="top" wrapText="1"/>
      <protection locked="0"/>
    </xf>
    <xf numFmtId="0" fontId="15" fillId="0" borderId="31" xfId="0" applyFont="1" applyBorder="1" applyAlignment="1" applyProtection="1">
      <alignment horizontal="center" vertical="top" wrapText="1"/>
      <protection locked="0"/>
    </xf>
    <xf numFmtId="0" fontId="17" fillId="7" borderId="0" xfId="0" applyFont="1" applyFill="1" applyBorder="1" applyAlignment="1" applyProtection="1">
      <alignment horizontal="center" textRotation="90" wrapText="1"/>
      <protection locked="0"/>
    </xf>
    <xf numFmtId="0" fontId="58" fillId="0" borderId="52" xfId="49" applyFont="1" applyBorder="1" applyAlignment="1" applyProtection="1">
      <alignment horizontal="left" vertical="center" wrapText="1"/>
      <protection locked="0"/>
    </xf>
    <xf numFmtId="0" fontId="57" fillId="0" borderId="52" xfId="49" applyFont="1" applyBorder="1" applyAlignment="1" applyProtection="1">
      <alignment horizontal="left" vertical="center" wrapText="1"/>
      <protection locked="0"/>
    </xf>
    <xf numFmtId="0" fontId="57" fillId="0" borderId="53" xfId="49" applyFont="1" applyFill="1" applyBorder="1" applyAlignment="1" applyProtection="1">
      <alignment horizontal="left" vertical="center" wrapText="1"/>
      <protection locked="0"/>
    </xf>
    <xf numFmtId="0" fontId="44" fillId="0" borderId="52" xfId="49" applyFont="1" applyBorder="1" applyAlignment="1" applyProtection="1">
      <alignment horizontal="left" vertical="center" wrapText="1"/>
      <protection locked="0"/>
    </xf>
    <xf numFmtId="14" fontId="57" fillId="7" borderId="52" xfId="49" applyNumberFormat="1" applyFont="1" applyFill="1" applyBorder="1" applyAlignment="1" applyProtection="1">
      <alignment horizontal="left" vertical="center" wrapText="1"/>
      <protection locked="0"/>
    </xf>
    <xf numFmtId="0" fontId="57" fillId="7" borderId="52" xfId="49" applyFont="1" applyFill="1" applyBorder="1" applyAlignment="1" applyProtection="1">
      <alignment horizontal="left" vertical="center" wrapText="1"/>
      <protection locked="0"/>
    </xf>
    <xf numFmtId="0" fontId="14" fillId="12" borderId="127" xfId="0" applyFont="1" applyFill="1" applyBorder="1" applyAlignment="1">
      <alignment horizontal="center" vertical="center" wrapText="1"/>
    </xf>
    <xf numFmtId="0" fontId="14" fillId="12" borderId="127" xfId="0" applyFont="1" applyFill="1" applyBorder="1">
      <alignment horizontal="center" vertical="center" wrapText="1"/>
    </xf>
    <xf numFmtId="0" fontId="13" fillId="12" borderId="127" xfId="0" applyFont="1" applyFill="1" applyBorder="1" applyAlignment="1">
      <alignment vertical="center" textRotation="90" wrapText="1"/>
    </xf>
    <xf numFmtId="0" fontId="23" fillId="12" borderId="127" xfId="0" applyFont="1" applyFill="1" applyBorder="1">
      <alignment horizontal="center" vertical="center" wrapText="1"/>
    </xf>
    <xf numFmtId="0" fontId="13" fillId="10" borderId="4" xfId="0" applyFont="1" applyFill="1" applyBorder="1" applyAlignment="1" applyProtection="1">
      <alignment horizontal="center" wrapText="1"/>
      <protection locked="0"/>
    </xf>
    <xf numFmtId="0" fontId="17" fillId="7" borderId="5" xfId="0" applyFont="1" applyFill="1" applyBorder="1" applyAlignment="1">
      <alignment horizontal="center" wrapText="1"/>
    </xf>
    <xf numFmtId="0" fontId="17" fillId="7" borderId="46" xfId="0" applyFont="1" applyFill="1" applyBorder="1" applyAlignment="1">
      <alignment horizontal="center" textRotation="90" wrapText="1"/>
    </xf>
    <xf numFmtId="0" fontId="30" fillId="7" borderId="129" xfId="0" applyFont="1" applyFill="1" applyBorder="1">
      <alignment horizontal="center" vertical="center" wrapText="1"/>
    </xf>
    <xf numFmtId="0" fontId="72" fillId="7" borderId="51" xfId="0" applyFont="1" applyFill="1" applyBorder="1" applyProtection="1">
      <alignment horizontal="center" vertical="center" wrapText="1"/>
      <protection locked="0"/>
    </xf>
    <xf numFmtId="0" fontId="73" fillId="10" borderId="0" xfId="49" applyFont="1" applyFill="1" applyAlignment="1">
      <alignment horizontal="center" textRotation="90" wrapText="1"/>
    </xf>
    <xf numFmtId="0" fontId="9" fillId="0" borderId="0" xfId="49" applyFont="1">
      <alignment horizontal="center" vertical="center" wrapText="1"/>
    </xf>
    <xf numFmtId="0" fontId="68" fillId="10" borderId="111" xfId="49" applyFont="1" applyFill="1" applyBorder="1">
      <alignment horizontal="center" vertical="center" wrapText="1"/>
    </xf>
    <xf numFmtId="0" fontId="60" fillId="24" borderId="111" xfId="49" applyFont="1" applyFill="1" applyBorder="1" applyAlignment="1">
      <alignment horizontal="center" vertical="center" wrapText="1"/>
    </xf>
    <xf numFmtId="0" fontId="18" fillId="7" borderId="96" xfId="0" applyFont="1" applyFill="1" applyBorder="1" applyAlignment="1" applyProtection="1">
      <alignment horizontal="center" vertical="center" wrapText="1"/>
      <protection locked="0"/>
    </xf>
    <xf numFmtId="0" fontId="69" fillId="7" borderId="96" xfId="0" applyFont="1" applyFill="1" applyBorder="1" applyAlignment="1" applyProtection="1">
      <alignment horizontal="center" vertical="center" wrapText="1"/>
      <protection locked="0"/>
    </xf>
    <xf numFmtId="0" fontId="75" fillId="7" borderId="96" xfId="0" applyFont="1" applyFill="1" applyBorder="1" applyAlignment="1" applyProtection="1">
      <alignment vertical="center" wrapText="1"/>
      <protection locked="0"/>
    </xf>
    <xf numFmtId="0" fontId="70" fillId="7" borderId="96" xfId="0" applyFont="1" applyFill="1" applyBorder="1" applyAlignment="1" applyProtection="1">
      <alignment vertical="center" wrapText="1"/>
      <protection locked="0"/>
    </xf>
    <xf numFmtId="0" fontId="76" fillId="7" borderId="128" xfId="0" applyFont="1" applyFill="1" applyBorder="1" applyAlignment="1" applyProtection="1">
      <alignment horizontal="center" vertical="center" wrapText="1"/>
      <protection locked="0"/>
    </xf>
    <xf numFmtId="0" fontId="77" fillId="7" borderId="8" xfId="0" applyFont="1" applyFill="1" applyBorder="1" applyAlignment="1" applyProtection="1">
      <alignment horizontal="center" vertical="center" wrapText="1"/>
      <protection locked="0"/>
    </xf>
    <xf numFmtId="0" fontId="71" fillId="7" borderId="96" xfId="0" applyFont="1" applyFill="1" applyBorder="1" applyAlignment="1" applyProtection="1">
      <alignment vertical="center" wrapText="1"/>
      <protection locked="0"/>
    </xf>
    <xf numFmtId="0" fontId="17" fillId="10" borderId="4" xfId="0" applyFont="1" applyFill="1" applyBorder="1" applyAlignment="1" applyProtection="1">
      <alignment horizontal="center" wrapText="1"/>
      <protection locked="0"/>
    </xf>
    <xf numFmtId="0" fontId="17" fillId="10" borderId="5" xfId="0" applyFont="1" applyFill="1" applyBorder="1" applyAlignment="1" applyProtection="1">
      <alignment horizontal="center" wrapText="1"/>
      <protection locked="0"/>
    </xf>
    <xf numFmtId="0" fontId="72" fillId="7" borderId="93" xfId="0" applyFont="1" applyFill="1" applyBorder="1" applyProtection="1">
      <alignment horizontal="center" vertical="center" wrapText="1"/>
      <protection locked="0"/>
    </xf>
    <xf numFmtId="0" fontId="72" fillId="7" borderId="95" xfId="0" applyFont="1" applyFill="1" applyBorder="1" applyProtection="1">
      <alignment horizontal="center" vertical="center" wrapText="1"/>
      <protection locked="0"/>
    </xf>
    <xf numFmtId="0" fontId="72" fillId="7" borderId="94" xfId="0" applyFont="1" applyFill="1" applyBorder="1" applyProtection="1">
      <alignment horizontal="center" vertical="center" wrapText="1"/>
      <protection locked="0"/>
    </xf>
    <xf numFmtId="0" fontId="66" fillId="12" borderId="0" xfId="0" applyFont="1" applyFill="1" applyBorder="1" applyAlignment="1">
      <alignment horizontal="right" vertical="center"/>
    </xf>
    <xf numFmtId="0" fontId="22" fillId="6" borderId="5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 applyProtection="1">
      <alignment horizontal="center" vertical="center" wrapText="1"/>
    </xf>
    <xf numFmtId="0" fontId="19" fillId="7" borderId="0" xfId="0" applyFont="1" applyFill="1" applyBorder="1" applyAlignment="1" applyProtection="1">
      <alignment horizontal="center" vertical="center" wrapText="1"/>
    </xf>
    <xf numFmtId="0" fontId="12" fillId="7" borderId="0" xfId="0" applyFont="1" applyFill="1" applyProtection="1">
      <alignment horizontal="center" vertical="center" wrapText="1"/>
    </xf>
    <xf numFmtId="0" fontId="31" fillId="7" borderId="0" xfId="0" applyFont="1" applyFill="1" applyBorder="1" applyAlignment="1" applyProtection="1">
      <alignment vertical="center" textRotation="90" wrapText="1"/>
    </xf>
    <xf numFmtId="0" fontId="61" fillId="7" borderId="27" xfId="0" applyFont="1" applyFill="1" applyBorder="1" applyAlignment="1" applyProtection="1">
      <alignment horizontal="center" vertical="center" wrapText="1"/>
    </xf>
    <xf numFmtId="0" fontId="61" fillId="7" borderId="16" xfId="0" applyFont="1" applyFill="1" applyBorder="1" applyAlignment="1" applyProtection="1">
      <alignment horizontal="center" vertical="center" wrapText="1"/>
    </xf>
    <xf numFmtId="0" fontId="19" fillId="0" borderId="25" xfId="0" applyFont="1" applyBorder="1" applyAlignment="1" applyProtection="1">
      <alignment horizontal="center" vertical="center" wrapText="1"/>
    </xf>
    <xf numFmtId="0" fontId="30" fillId="7" borderId="129" xfId="0" applyFont="1" applyFill="1" applyBorder="1" applyProtection="1">
      <alignment horizontal="center" vertical="center" wrapText="1"/>
    </xf>
    <xf numFmtId="0" fontId="64" fillId="0" borderId="24" xfId="0" applyFont="1" applyFill="1" applyBorder="1" applyAlignment="1" applyProtection="1">
      <alignment horizontal="left" vertical="center" wrapText="1"/>
    </xf>
    <xf numFmtId="0" fontId="75" fillId="7" borderId="96" xfId="0" applyFont="1" applyFill="1" applyBorder="1" applyAlignment="1" applyProtection="1">
      <alignment horizontal="left" vertical="center" wrapText="1"/>
    </xf>
    <xf numFmtId="0" fontId="70" fillId="7" borderId="96" xfId="0" applyFont="1" applyFill="1" applyBorder="1" applyAlignment="1" applyProtection="1">
      <alignment horizontal="left" vertical="center" wrapText="1"/>
    </xf>
    <xf numFmtId="0" fontId="18" fillId="7" borderId="96" xfId="0" applyFont="1" applyFill="1" applyBorder="1" applyAlignment="1" applyProtection="1">
      <alignment horizontal="center" vertical="center" wrapText="1"/>
    </xf>
    <xf numFmtId="0" fontId="18" fillId="7" borderId="96" xfId="0" applyFont="1" applyFill="1" applyBorder="1" applyAlignment="1" applyProtection="1">
      <alignment vertical="center" wrapText="1"/>
    </xf>
    <xf numFmtId="0" fontId="60" fillId="10" borderId="111" xfId="49" applyFont="1" applyFill="1" applyBorder="1" applyAlignment="1" applyProtection="1">
      <alignment horizontal="center" vertical="center" wrapText="1"/>
      <protection locked="0"/>
    </xf>
    <xf numFmtId="0" fontId="74" fillId="10" borderId="111" xfId="49" applyFont="1" applyFill="1" applyBorder="1" applyAlignment="1" applyProtection="1">
      <alignment horizontal="center" vertical="center" wrapText="1"/>
      <protection locked="0"/>
    </xf>
    <xf numFmtId="0" fontId="32" fillId="0" borderId="0" xfId="0" applyFont="1">
      <alignment horizontal="center" vertical="center" wrapText="1"/>
    </xf>
    <xf numFmtId="0" fontId="44" fillId="3" borderId="52" xfId="49" applyFont="1" applyFill="1" applyBorder="1" applyAlignment="1" applyProtection="1">
      <alignment horizontal="left" vertical="center" wrapText="1"/>
    </xf>
    <xf numFmtId="0" fontId="59" fillId="10" borderId="110" xfId="49" applyFont="1" applyFill="1" applyBorder="1" applyAlignment="1" applyProtection="1">
      <alignment horizontal="left" vertical="center" wrapText="1"/>
    </xf>
    <xf numFmtId="0" fontId="78" fillId="0" borderId="0" xfId="0" applyFont="1" applyBorder="1">
      <alignment horizontal="center" vertical="center" wrapText="1"/>
    </xf>
    <xf numFmtId="0" fontId="79" fillId="0" borderId="0" xfId="0" applyFont="1">
      <alignment horizontal="center" vertical="center" wrapText="1"/>
    </xf>
    <xf numFmtId="0" fontId="79" fillId="0" borderId="0" xfId="0" applyFont="1" applyAlignment="1">
      <alignment horizontal="center" vertical="center" wrapText="1"/>
    </xf>
    <xf numFmtId="0" fontId="80" fillId="0" borderId="0" xfId="0" applyFont="1" applyAlignment="1">
      <alignment horizontal="center" vertical="center" wrapText="1"/>
    </xf>
    <xf numFmtId="0" fontId="79" fillId="7" borderId="0" xfId="0" applyFont="1" applyFill="1" applyAlignment="1">
      <alignment horizontal="center" vertical="center" wrapText="1"/>
    </xf>
    <xf numFmtId="0" fontId="82" fillId="0" borderId="0" xfId="0" applyFont="1" applyBorder="1" applyAlignment="1">
      <alignment textRotation="90" wrapText="1"/>
    </xf>
    <xf numFmtId="0" fontId="79" fillId="7" borderId="0" xfId="0" applyFont="1" applyFill="1">
      <alignment horizontal="center" vertical="center" wrapText="1"/>
    </xf>
    <xf numFmtId="0" fontId="83" fillId="7" borderId="0" xfId="0" applyFont="1" applyFill="1">
      <alignment horizontal="center" vertical="center" wrapText="1"/>
    </xf>
    <xf numFmtId="0" fontId="76" fillId="3" borderId="16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61" fillId="3" borderId="27" xfId="0" applyFont="1" applyFill="1" applyBorder="1" applyAlignment="1">
      <alignment horizontal="center" vertical="center" wrapText="1"/>
    </xf>
    <xf numFmtId="0" fontId="61" fillId="3" borderId="16" xfId="0" applyFont="1" applyFill="1" applyBorder="1" applyAlignment="1">
      <alignment horizontal="center" vertical="center" wrapText="1"/>
    </xf>
    <xf numFmtId="0" fontId="19" fillId="3" borderId="25" xfId="0" applyFont="1" applyFill="1" applyBorder="1" applyAlignment="1">
      <alignment horizontal="center" vertical="center" wrapText="1"/>
    </xf>
    <xf numFmtId="0" fontId="84" fillId="7" borderId="0" xfId="0" applyFont="1" applyFill="1" applyBorder="1" applyAlignment="1" applyProtection="1">
      <alignment horizontal="center" wrapText="1"/>
      <protection locked="0"/>
    </xf>
    <xf numFmtId="0" fontId="63" fillId="23" borderId="5" xfId="49" applyFont="1" applyFill="1" applyBorder="1" applyAlignment="1">
      <alignment horizontal="center" vertical="center" wrapText="1"/>
    </xf>
    <xf numFmtId="0" fontId="63" fillId="8" borderId="5" xfId="49" applyFont="1" applyFill="1" applyBorder="1" applyAlignment="1">
      <alignment horizontal="center" vertical="center" wrapText="1"/>
    </xf>
    <xf numFmtId="0" fontId="63" fillId="23" borderId="5" xfId="49" applyFont="1" applyFill="1" applyBorder="1" applyAlignment="1">
      <alignment horizontal="center" vertical="top" textRotation="90" wrapText="1"/>
    </xf>
    <xf numFmtId="0" fontId="63" fillId="23" borderId="6" xfId="49" applyFont="1" applyFill="1" applyBorder="1" applyAlignment="1">
      <alignment horizontal="center" vertical="top" textRotation="90" wrapText="1"/>
    </xf>
    <xf numFmtId="0" fontId="59" fillId="10" borderId="131" xfId="49" applyFont="1" applyFill="1" applyBorder="1" applyAlignment="1" applyProtection="1">
      <alignment horizontal="left" vertical="center" wrapText="1"/>
    </xf>
    <xf numFmtId="0" fontId="60" fillId="10" borderId="132" xfId="49" applyFont="1" applyFill="1" applyBorder="1" applyAlignment="1">
      <alignment horizontal="left" vertical="center" wrapText="1"/>
    </xf>
    <xf numFmtId="0" fontId="60" fillId="10" borderId="132" xfId="49" applyFont="1" applyFill="1" applyBorder="1" applyAlignment="1">
      <alignment horizontal="center" vertical="center" wrapText="1"/>
    </xf>
    <xf numFmtId="0" fontId="60" fillId="10" borderId="132" xfId="49" applyFont="1" applyFill="1" applyBorder="1" applyAlignment="1" applyProtection="1">
      <alignment horizontal="center" vertical="center" wrapText="1"/>
      <protection locked="0"/>
    </xf>
    <xf numFmtId="0" fontId="60" fillId="24" borderId="132" xfId="49" applyFont="1" applyFill="1" applyBorder="1" applyAlignment="1">
      <alignment horizontal="center" vertical="center" wrapText="1"/>
    </xf>
    <xf numFmtId="0" fontId="60" fillId="4" borderId="111" xfId="49" applyFont="1" applyFill="1" applyBorder="1" applyAlignment="1">
      <alignment horizontal="center" vertical="center" wrapText="1"/>
    </xf>
    <xf numFmtId="0" fontId="60" fillId="4" borderId="132" xfId="49" applyFont="1" applyFill="1" applyBorder="1" applyAlignment="1">
      <alignment horizontal="center" vertical="center" wrapText="1"/>
    </xf>
    <xf numFmtId="0" fontId="43" fillId="17" borderId="5" xfId="49" applyFont="1" applyFill="1" applyBorder="1" applyAlignment="1">
      <alignment horizontal="center" vertical="center" wrapText="1"/>
    </xf>
    <xf numFmtId="0" fontId="43" fillId="17" borderId="6" xfId="49" applyFont="1" applyFill="1" applyBorder="1" applyAlignment="1">
      <alignment horizontal="center" vertical="center" wrapText="1"/>
    </xf>
    <xf numFmtId="0" fontId="65" fillId="18" borderId="0" xfId="49" applyFont="1" applyFill="1" applyAlignment="1">
      <alignment horizontal="center" textRotation="90" wrapText="1"/>
    </xf>
    <xf numFmtId="0" fontId="85" fillId="0" borderId="0" xfId="0" applyFont="1" applyBorder="1">
      <alignment horizontal="center" vertical="center" wrapText="1"/>
    </xf>
    <xf numFmtId="0" fontId="17" fillId="18" borderId="32" xfId="0" applyFont="1" applyFill="1" applyBorder="1" applyAlignment="1" applyProtection="1">
      <alignment horizontal="center" vertical="top" wrapText="1"/>
      <protection locked="0"/>
    </xf>
    <xf numFmtId="0" fontId="88" fillId="18" borderId="5" xfId="0" applyFont="1" applyFill="1" applyBorder="1" applyAlignment="1" applyProtection="1">
      <alignment horizontal="center" wrapText="1"/>
      <protection locked="0"/>
    </xf>
    <xf numFmtId="0" fontId="88" fillId="18" borderId="4" xfId="0" applyFont="1" applyFill="1" applyBorder="1" applyAlignment="1" applyProtection="1">
      <alignment horizontal="center" wrapText="1"/>
      <protection locked="0"/>
    </xf>
    <xf numFmtId="0" fontId="89" fillId="0" borderId="28" xfId="0" applyFont="1" applyFill="1" applyBorder="1" applyAlignment="1">
      <alignment horizontal="right" vertical="top"/>
    </xf>
    <xf numFmtId="0" fontId="89" fillId="0" borderId="0" xfId="0" applyFont="1" applyFill="1" applyBorder="1" applyAlignment="1">
      <alignment horizontal="right" vertical="center"/>
    </xf>
    <xf numFmtId="0" fontId="89" fillId="0" borderId="29" xfId="0" applyFont="1" applyFill="1" applyBorder="1" applyAlignment="1">
      <alignment horizontal="right" vertical="center"/>
    </xf>
    <xf numFmtId="0" fontId="87" fillId="0" borderId="0" xfId="0" applyFont="1" applyFill="1" applyAlignment="1">
      <alignment horizontal="right" vertical="center"/>
    </xf>
    <xf numFmtId="0" fontId="15" fillId="7" borderId="31" xfId="0" applyFont="1" applyFill="1" applyBorder="1" applyProtection="1">
      <alignment horizontal="center" vertical="center" wrapText="1"/>
      <protection locked="0"/>
    </xf>
    <xf numFmtId="0" fontId="15" fillId="0" borderId="39" xfId="0" applyFont="1" applyBorder="1" applyAlignment="1" applyProtection="1">
      <alignment horizontal="center" vertical="top" wrapText="1"/>
      <protection locked="0"/>
    </xf>
    <xf numFmtId="0" fontId="15" fillId="7" borderId="134" xfId="0" applyFont="1" applyFill="1" applyBorder="1" applyProtection="1">
      <alignment horizontal="center" vertical="center" wrapText="1"/>
      <protection locked="0"/>
    </xf>
    <xf numFmtId="0" fontId="17" fillId="0" borderId="0" xfId="0" applyFont="1" applyFill="1" applyAlignment="1">
      <alignment horizontal="right" vertical="center"/>
    </xf>
    <xf numFmtId="0" fontId="17" fillId="0" borderId="0" xfId="0" applyFont="1" applyFill="1" applyAlignment="1">
      <alignment horizontal="right" vertical="top"/>
    </xf>
    <xf numFmtId="0" fontId="23" fillId="17" borderId="133" xfId="0" applyFont="1" applyFill="1" applyBorder="1" applyProtection="1">
      <alignment horizontal="center" vertical="center" wrapText="1"/>
      <protection locked="0"/>
    </xf>
    <xf numFmtId="0" fontId="23" fillId="17" borderId="31" xfId="0" applyFont="1" applyFill="1" applyBorder="1" applyProtection="1">
      <alignment horizontal="center" vertical="center" wrapText="1"/>
      <protection locked="0"/>
    </xf>
    <xf numFmtId="0" fontId="9" fillId="12" borderId="55" xfId="0" applyFont="1" applyFill="1" applyBorder="1" applyAlignment="1">
      <alignment horizontal="left" vertical="center"/>
    </xf>
    <xf numFmtId="0" fontId="90" fillId="7" borderId="0" xfId="0" applyFont="1" applyFill="1" applyProtection="1">
      <alignment horizontal="center" vertical="center" wrapText="1"/>
    </xf>
    <xf numFmtId="0" fontId="0" fillId="0" borderId="0" xfId="0" applyFill="1" applyAlignment="1">
      <alignment horizontal="left" vertical="center"/>
    </xf>
    <xf numFmtId="0" fontId="3" fillId="0" borderId="0" xfId="49" applyFont="1" applyFill="1" applyBorder="1">
      <alignment horizontal="center" vertical="center" wrapText="1"/>
    </xf>
    <xf numFmtId="0" fontId="93" fillId="0" borderId="0" xfId="50" applyFont="1" applyFill="1" applyBorder="1" applyAlignment="1">
      <alignment horizontal="center"/>
    </xf>
    <xf numFmtId="0" fontId="94" fillId="0" borderId="0" xfId="50" applyFont="1" applyFill="1" applyBorder="1" applyAlignment="1">
      <alignment horizontal="center"/>
    </xf>
    <xf numFmtId="0" fontId="96" fillId="0" borderId="0" xfId="0" applyFont="1">
      <alignment horizontal="center" vertical="center" wrapText="1"/>
    </xf>
    <xf numFmtId="0" fontId="96" fillId="0" borderId="0" xfId="0" applyFont="1" applyAlignment="1">
      <alignment horizontal="left" vertical="center" wrapText="1"/>
    </xf>
    <xf numFmtId="0" fontId="96" fillId="0" borderId="0" xfId="0" quotePrefix="1" applyFont="1" applyAlignment="1">
      <alignment horizontal="left" vertical="center"/>
    </xf>
    <xf numFmtId="0" fontId="96" fillId="0" borderId="0" xfId="0" quotePrefix="1" applyFont="1" applyAlignment="1">
      <alignment horizontal="left" vertical="center" wrapText="1"/>
    </xf>
    <xf numFmtId="0" fontId="96" fillId="0" borderId="0" xfId="0" applyFont="1" applyFill="1" applyBorder="1">
      <alignment horizontal="center" vertical="center" wrapText="1"/>
    </xf>
    <xf numFmtId="0" fontId="96" fillId="12" borderId="0" xfId="0" applyFont="1" applyFill="1">
      <alignment horizontal="center" vertical="center" wrapText="1"/>
    </xf>
    <xf numFmtId="0" fontId="96" fillId="12" borderId="0" xfId="0" applyFont="1" applyFill="1" applyAlignment="1">
      <alignment horizontal="left" vertical="center" wrapText="1"/>
    </xf>
    <xf numFmtId="0" fontId="96" fillId="0" borderId="135" xfId="0" applyFont="1" applyBorder="1">
      <alignment horizontal="center" vertical="center" wrapText="1"/>
    </xf>
    <xf numFmtId="0" fontId="96" fillId="0" borderId="136" xfId="0" quotePrefix="1" applyFont="1" applyBorder="1" applyAlignment="1">
      <alignment horizontal="left" vertical="center"/>
    </xf>
    <xf numFmtId="0" fontId="97" fillId="7" borderId="0" xfId="50" applyFont="1" applyFill="1" applyBorder="1" applyAlignment="1">
      <alignment horizontal="left"/>
    </xf>
    <xf numFmtId="0" fontId="96" fillId="7" borderId="0" xfId="0" applyFont="1" applyFill="1">
      <alignment horizontal="center" vertical="center" wrapText="1"/>
    </xf>
    <xf numFmtId="0" fontId="99" fillId="7" borderId="0" xfId="0" applyFont="1" applyFill="1">
      <alignment horizontal="center" vertical="center" wrapText="1"/>
    </xf>
    <xf numFmtId="0" fontId="99" fillId="7" borderId="0" xfId="0" applyFont="1" applyFill="1" applyAlignment="1">
      <alignment horizontal="left" vertical="center" wrapText="1"/>
    </xf>
    <xf numFmtId="0" fontId="96" fillId="7" borderId="0" xfId="0" applyFont="1" applyFill="1" applyBorder="1">
      <alignment horizontal="center" vertical="center" wrapText="1"/>
    </xf>
    <xf numFmtId="0" fontId="96" fillId="7" borderId="17" xfId="0" applyFont="1" applyFill="1" applyBorder="1">
      <alignment horizontal="center" vertical="center" wrapText="1"/>
    </xf>
    <xf numFmtId="0" fontId="96" fillId="7" borderId="18" xfId="0" applyFont="1" applyFill="1" applyBorder="1">
      <alignment horizontal="center" vertical="center" wrapText="1"/>
    </xf>
    <xf numFmtId="0" fontId="99" fillId="7" borderId="19" xfId="0" applyFont="1" applyFill="1" applyBorder="1">
      <alignment horizontal="center" vertical="center" wrapText="1"/>
    </xf>
    <xf numFmtId="0" fontId="96" fillId="7" borderId="24" xfId="0" applyFont="1" applyFill="1" applyBorder="1">
      <alignment horizontal="center" vertical="center" wrapText="1"/>
    </xf>
    <xf numFmtId="0" fontId="96" fillId="7" borderId="46" xfId="0" applyFont="1" applyFill="1" applyBorder="1">
      <alignment horizontal="center" vertical="center" wrapText="1"/>
    </xf>
    <xf numFmtId="0" fontId="96" fillId="7" borderId="47" xfId="0" applyFont="1" applyFill="1" applyBorder="1">
      <alignment horizontal="center" vertical="center" wrapText="1"/>
    </xf>
    <xf numFmtId="0" fontId="96" fillId="7" borderId="48" xfId="0" applyFont="1" applyFill="1" applyBorder="1">
      <alignment horizontal="center" vertical="center" wrapText="1"/>
    </xf>
    <xf numFmtId="0" fontId="96" fillId="7" borderId="48" xfId="0" applyFont="1" applyFill="1" applyBorder="1" applyAlignment="1">
      <alignment horizontal="left" vertical="center" wrapText="1"/>
    </xf>
    <xf numFmtId="0" fontId="96" fillId="7" borderId="49" xfId="0" applyFont="1" applyFill="1" applyBorder="1">
      <alignment horizontal="center" vertical="center" wrapText="1"/>
    </xf>
    <xf numFmtId="0" fontId="96" fillId="2" borderId="0" xfId="0" applyFont="1" applyFill="1" applyBorder="1">
      <alignment horizontal="center" vertical="center" wrapText="1"/>
    </xf>
    <xf numFmtId="0" fontId="103" fillId="2" borderId="0" xfId="0" applyFont="1" applyFill="1" applyBorder="1" applyAlignment="1">
      <alignment horizontal="center" vertical="center" wrapText="1"/>
    </xf>
    <xf numFmtId="0" fontId="96" fillId="29" borderId="0" xfId="0" applyFont="1" applyFill="1" applyBorder="1">
      <alignment horizontal="center" vertical="center" wrapText="1"/>
    </xf>
    <xf numFmtId="0" fontId="103" fillId="29" borderId="0" xfId="0" applyFont="1" applyFill="1" applyBorder="1" applyAlignment="1">
      <alignment horizontal="center" vertical="center" wrapText="1"/>
    </xf>
    <xf numFmtId="0" fontId="104" fillId="5" borderId="141" xfId="0" applyFont="1" applyFill="1" applyBorder="1">
      <alignment horizontal="center" vertical="center" wrapText="1"/>
    </xf>
    <xf numFmtId="0" fontId="104" fillId="28" borderId="139" xfId="0" applyFont="1" applyFill="1" applyBorder="1">
      <alignment horizontal="center" vertical="center" wrapText="1"/>
    </xf>
    <xf numFmtId="0" fontId="104" fillId="21" borderId="139" xfId="0" applyFont="1" applyFill="1" applyBorder="1">
      <alignment horizontal="center" vertical="center" wrapText="1"/>
    </xf>
    <xf numFmtId="0" fontId="104" fillId="19" borderId="141" xfId="0" applyFont="1" applyFill="1" applyBorder="1">
      <alignment horizontal="center" vertical="center" wrapText="1"/>
    </xf>
    <xf numFmtId="0" fontId="104" fillId="5" borderId="139" xfId="0" applyFont="1" applyFill="1" applyBorder="1">
      <alignment horizontal="center" vertical="center" wrapText="1"/>
    </xf>
    <xf numFmtId="0" fontId="104" fillId="27" borderId="141" xfId="0" applyFont="1" applyFill="1" applyBorder="1">
      <alignment horizontal="center" vertical="center" wrapText="1"/>
    </xf>
    <xf numFmtId="0" fontId="104" fillId="19" borderId="139" xfId="0" applyFont="1" applyFill="1" applyBorder="1">
      <alignment horizontal="center" vertical="center" wrapText="1"/>
    </xf>
    <xf numFmtId="0" fontId="104" fillId="27" borderId="140" xfId="0" applyFont="1" applyFill="1" applyBorder="1">
      <alignment horizontal="center" vertical="center" wrapText="1"/>
    </xf>
    <xf numFmtId="0" fontId="104" fillId="27" borderId="142" xfId="0" applyFont="1" applyFill="1" applyBorder="1">
      <alignment horizontal="center" vertical="center" wrapText="1"/>
    </xf>
    <xf numFmtId="0" fontId="104" fillId="19" borderId="142" xfId="0" applyFont="1" applyFill="1" applyBorder="1">
      <alignment horizontal="center" vertical="center" wrapText="1"/>
    </xf>
    <xf numFmtId="0" fontId="104" fillId="5" borderId="142" xfId="0" applyFont="1" applyFill="1" applyBorder="1">
      <alignment horizontal="center" vertical="center" wrapText="1"/>
    </xf>
    <xf numFmtId="0" fontId="100" fillId="2" borderId="46" xfId="0" applyFont="1" applyFill="1" applyBorder="1">
      <alignment horizontal="center" vertical="center" wrapText="1"/>
    </xf>
    <xf numFmtId="0" fontId="96" fillId="0" borderId="0" xfId="0" applyFont="1" applyAlignment="1">
      <alignment horizontal="right" wrapText="1"/>
    </xf>
    <xf numFmtId="0" fontId="96" fillId="7" borderId="24" xfId="0" applyFont="1" applyFill="1" applyBorder="1" applyAlignment="1">
      <alignment horizontal="right" wrapText="1"/>
    </xf>
    <xf numFmtId="0" fontId="96" fillId="7" borderId="0" xfId="0" applyFont="1" applyFill="1" applyBorder="1" applyAlignment="1">
      <alignment horizontal="right" wrapText="1"/>
    </xf>
    <xf numFmtId="0" fontId="96" fillId="7" borderId="46" xfId="0" applyFont="1" applyFill="1" applyBorder="1" applyAlignment="1">
      <alignment horizontal="right" wrapText="1"/>
    </xf>
    <xf numFmtId="0" fontId="96" fillId="7" borderId="0" xfId="0" applyFont="1" applyFill="1" applyAlignment="1">
      <alignment horizontal="right" wrapText="1"/>
    </xf>
    <xf numFmtId="0" fontId="91" fillId="7" borderId="5" xfId="0" applyFont="1" applyFill="1" applyBorder="1">
      <alignment horizontal="center" vertical="center" wrapText="1"/>
    </xf>
    <xf numFmtId="0" fontId="91" fillId="7" borderId="0" xfId="0" applyFont="1" applyFill="1" applyBorder="1">
      <alignment horizontal="center" vertical="center" wrapText="1"/>
    </xf>
    <xf numFmtId="0" fontId="96" fillId="0" borderId="136" xfId="0" quotePrefix="1" applyFont="1" applyBorder="1" applyAlignment="1">
      <alignment horizontal="left" vertical="center" wrapText="1"/>
    </xf>
    <xf numFmtId="0" fontId="32" fillId="2" borderId="0" xfId="0" applyFont="1" applyFill="1" applyBorder="1">
      <alignment horizontal="center" vertical="center" wrapText="1"/>
    </xf>
    <xf numFmtId="0" fontId="106" fillId="2" borderId="0" xfId="0" applyFont="1" applyFill="1" applyBorder="1" applyAlignment="1">
      <alignment horizontal="right" vertical="center" wrapText="1"/>
    </xf>
    <xf numFmtId="0" fontId="106" fillId="2" borderId="0" xfId="0" applyFont="1" applyFill="1" applyBorder="1">
      <alignment horizontal="center" vertical="center" wrapText="1"/>
    </xf>
    <xf numFmtId="0" fontId="106" fillId="29" borderId="0" xfId="0" applyFont="1" applyFill="1" applyBorder="1">
      <alignment horizontal="center" vertical="center" wrapText="1"/>
    </xf>
    <xf numFmtId="0" fontId="106" fillId="29" borderId="0" xfId="0" applyFont="1" applyFill="1" applyBorder="1" applyAlignment="1">
      <alignment horizontal="right" vertical="center" wrapText="1"/>
    </xf>
    <xf numFmtId="0" fontId="110" fillId="7" borderId="0" xfId="0" applyFont="1" applyFill="1" applyBorder="1" applyAlignment="1">
      <alignment vertical="center" wrapText="1"/>
    </xf>
    <xf numFmtId="14" fontId="111" fillId="7" borderId="0" xfId="0" applyNumberFormat="1" applyFont="1" applyFill="1" applyBorder="1">
      <alignment horizontal="center" vertical="center" wrapText="1"/>
    </xf>
    <xf numFmtId="0" fontId="115" fillId="7" borderId="0" xfId="0" applyFont="1" applyFill="1" applyBorder="1" applyAlignment="1">
      <alignment vertical="center" wrapText="1"/>
    </xf>
    <xf numFmtId="0" fontId="107" fillId="7" borderId="0" xfId="0" applyFont="1" applyFill="1" applyBorder="1" applyAlignment="1">
      <alignment vertical="center"/>
    </xf>
    <xf numFmtId="0" fontId="107" fillId="7" borderId="0" xfId="0" applyFont="1" applyFill="1" applyBorder="1" applyAlignment="1">
      <alignment horizontal="right" vertical="center"/>
    </xf>
    <xf numFmtId="0" fontId="112" fillId="2" borderId="146" xfId="0" applyFont="1" applyFill="1" applyBorder="1" applyAlignment="1">
      <alignment horizontal="left" vertical="center" wrapText="1"/>
    </xf>
    <xf numFmtId="0" fontId="117" fillId="4" borderId="137" xfId="0" applyFont="1" applyFill="1" applyBorder="1">
      <alignment horizontal="center" vertical="center" wrapText="1"/>
    </xf>
    <xf numFmtId="0" fontId="113" fillId="4" borderId="137" xfId="0" applyFont="1" applyFill="1" applyBorder="1">
      <alignment horizontal="center" vertical="center" wrapText="1"/>
    </xf>
    <xf numFmtId="0" fontId="118" fillId="7" borderId="138" xfId="0" applyFont="1" applyFill="1" applyBorder="1">
      <alignment horizontal="center" vertical="center" wrapText="1"/>
    </xf>
    <xf numFmtId="0" fontId="32" fillId="29" borderId="0" xfId="0" applyFont="1" applyFill="1" applyBorder="1">
      <alignment horizontal="center" vertical="center" wrapText="1"/>
    </xf>
    <xf numFmtId="14" fontId="44" fillId="0" borderId="52" xfId="49" applyNumberFormat="1" applyFont="1" applyBorder="1" applyAlignment="1" applyProtection="1">
      <alignment horizontal="left" vertical="center" wrapText="1"/>
      <protection locked="0"/>
    </xf>
    <xf numFmtId="0" fontId="44" fillId="7" borderId="54" xfId="49" applyFont="1" applyFill="1" applyBorder="1" applyAlignment="1" applyProtection="1">
      <alignment horizontal="left" vertical="center" wrapText="1"/>
      <protection locked="0"/>
    </xf>
    <xf numFmtId="0" fontId="44" fillId="7" borderId="52" xfId="49" applyFont="1" applyFill="1" applyBorder="1" applyAlignment="1" applyProtection="1">
      <alignment horizontal="left" vertical="center" wrapText="1"/>
      <protection locked="0"/>
    </xf>
    <xf numFmtId="0" fontId="3" fillId="0" borderId="0" xfId="49" applyFont="1" applyAlignment="1">
      <alignment horizontal="left" vertical="center" wrapText="1"/>
    </xf>
    <xf numFmtId="0" fontId="67" fillId="18" borderId="130" xfId="49" applyFont="1" applyFill="1" applyBorder="1" applyAlignment="1">
      <alignment horizontal="left" vertical="center" wrapText="1"/>
    </xf>
    <xf numFmtId="0" fontId="27" fillId="3" borderId="125" xfId="49" applyFont="1" applyFill="1" applyBorder="1" applyAlignment="1">
      <alignment horizontal="left" vertical="center" wrapText="1"/>
    </xf>
    <xf numFmtId="0" fontId="95" fillId="0" borderId="0" xfId="49" quotePrefix="1" applyFont="1" applyFill="1" applyAlignment="1">
      <alignment horizontal="left" vertical="center"/>
    </xf>
    <xf numFmtId="0" fontId="3" fillId="0" borderId="0" xfId="49" applyFont="1" applyFill="1" applyBorder="1" applyAlignment="1">
      <alignment horizontal="left" vertical="center" wrapText="1"/>
    </xf>
    <xf numFmtId="0" fontId="93" fillId="0" borderId="0" xfId="50" applyFont="1" applyFill="1" applyBorder="1" applyAlignment="1">
      <alignment horizontal="left"/>
    </xf>
    <xf numFmtId="0" fontId="94" fillId="0" borderId="0" xfId="50" applyFont="1" applyFill="1" applyBorder="1" applyAlignment="1">
      <alignment horizontal="left"/>
    </xf>
    <xf numFmtId="0" fontId="101" fillId="12" borderId="0" xfId="0" applyFont="1" applyFill="1" applyAlignment="1" applyProtection="1">
      <alignment horizontal="left" vertical="center"/>
      <protection locked="0"/>
    </xf>
    <xf numFmtId="0" fontId="66" fillId="12" borderId="0" xfId="0" applyFont="1" applyFill="1" applyBorder="1" applyAlignment="1" applyProtection="1">
      <alignment horizontal="left" vertical="center"/>
      <protection locked="0"/>
    </xf>
    <xf numFmtId="0" fontId="64" fillId="3" borderId="24" xfId="0" applyFont="1" applyFill="1" applyBorder="1" applyAlignment="1" applyProtection="1">
      <alignment horizontal="left" vertical="center" wrapText="1"/>
    </xf>
    <xf numFmtId="0" fontId="81" fillId="23" borderId="0" xfId="0" applyFont="1" applyFill="1" applyBorder="1" applyAlignment="1" applyProtection="1">
      <alignment horizontal="center" vertical="center" textRotation="90"/>
    </xf>
    <xf numFmtId="0" fontId="86" fillId="23" borderId="0" xfId="0" applyFont="1" applyFill="1" applyBorder="1" applyProtection="1">
      <alignment horizontal="center" vertical="center" wrapText="1"/>
    </xf>
    <xf numFmtId="0" fontId="81" fillId="15" borderId="0" xfId="0" applyFont="1" applyFill="1" applyAlignment="1" applyProtection="1">
      <alignment horizontal="center" vertical="center" textRotation="90"/>
    </xf>
    <xf numFmtId="0" fontId="86" fillId="26" borderId="0" xfId="0" applyFont="1" applyFill="1" applyBorder="1" applyProtection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9" fillId="17" borderId="67" xfId="0" applyFont="1" applyFill="1" applyBorder="1" applyAlignment="1">
      <alignment horizontal="center" vertical="center" wrapText="1"/>
    </xf>
    <xf numFmtId="0" fontId="9" fillId="17" borderId="68" xfId="0" applyFont="1" applyFill="1" applyBorder="1" applyAlignment="1">
      <alignment horizontal="center" vertical="center" wrapText="1"/>
    </xf>
    <xf numFmtId="0" fontId="9" fillId="17" borderId="69" xfId="0" applyFont="1" applyFill="1" applyBorder="1" applyAlignment="1">
      <alignment horizontal="center" vertical="center" wrapText="1"/>
    </xf>
    <xf numFmtId="0" fontId="38" fillId="9" borderId="33" xfId="0" applyFont="1" applyFill="1" applyBorder="1" applyAlignment="1">
      <alignment horizontal="left" vertical="center" wrapText="1"/>
    </xf>
    <xf numFmtId="0" fontId="38" fillId="9" borderId="34" xfId="0" applyFont="1" applyFill="1" applyBorder="1" applyAlignment="1">
      <alignment horizontal="left" vertical="center" wrapText="1"/>
    </xf>
    <xf numFmtId="0" fontId="38" fillId="9" borderId="35" xfId="0" applyFont="1" applyFill="1" applyBorder="1" applyAlignment="1">
      <alignment horizontal="left" vertical="center" wrapText="1"/>
    </xf>
    <xf numFmtId="0" fontId="62" fillId="13" borderId="36" xfId="0" applyFont="1" applyFill="1" applyBorder="1" applyAlignment="1">
      <alignment horizontal="left" vertical="center" wrapText="1"/>
    </xf>
    <xf numFmtId="0" fontId="62" fillId="13" borderId="37" xfId="0" applyFont="1" applyFill="1" applyBorder="1" applyAlignment="1">
      <alignment horizontal="left" vertical="center" wrapText="1"/>
    </xf>
    <xf numFmtId="0" fontId="62" fillId="13" borderId="38" xfId="0" applyFont="1" applyFill="1" applyBorder="1" applyAlignment="1">
      <alignment horizontal="left" vertical="center" wrapText="1"/>
    </xf>
    <xf numFmtId="0" fontId="9" fillId="8" borderId="55" xfId="0" applyFont="1" applyFill="1" applyBorder="1" applyAlignment="1">
      <alignment horizontal="center" vertical="center" wrapText="1"/>
    </xf>
    <xf numFmtId="0" fontId="11" fillId="8" borderId="39" xfId="0" applyFont="1" applyFill="1" applyBorder="1" applyAlignment="1">
      <alignment horizontal="center" vertical="center" wrapText="1"/>
    </xf>
    <xf numFmtId="0" fontId="11" fillId="8" borderId="56" xfId="0" applyFont="1" applyFill="1" applyBorder="1" applyAlignment="1">
      <alignment horizontal="center" vertical="center" wrapText="1"/>
    </xf>
    <xf numFmtId="0" fontId="65" fillId="10" borderId="57" xfId="0" applyFont="1" applyFill="1" applyBorder="1" applyAlignment="1">
      <alignment horizontal="left" vertical="center" wrapText="1"/>
    </xf>
    <xf numFmtId="0" fontId="65" fillId="10" borderId="32" xfId="0" applyFont="1" applyFill="1" applyBorder="1" applyAlignment="1">
      <alignment horizontal="left" vertical="center" wrapText="1"/>
    </xf>
    <xf numFmtId="0" fontId="65" fillId="10" borderId="40" xfId="0" applyFont="1" applyFill="1" applyBorder="1" applyAlignment="1">
      <alignment horizontal="left" vertical="center" wrapText="1"/>
    </xf>
    <xf numFmtId="0" fontId="10" fillId="2" borderId="37" xfId="0" applyFont="1" applyFill="1" applyBorder="1" applyAlignment="1">
      <alignment horizontal="center" vertical="center" wrapText="1"/>
    </xf>
    <xf numFmtId="0" fontId="10" fillId="16" borderId="0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0" fillId="23" borderId="64" xfId="0" applyFont="1" applyFill="1" applyBorder="1" applyAlignment="1">
      <alignment horizontal="center" vertical="center" wrapText="1"/>
    </xf>
    <xf numFmtId="0" fontId="10" fillId="23" borderId="65" xfId="0" applyFont="1" applyFill="1" applyBorder="1" applyAlignment="1">
      <alignment horizontal="center" vertical="center" wrapText="1"/>
    </xf>
    <xf numFmtId="0" fontId="10" fillId="23" borderId="66" xfId="0" applyFont="1" applyFill="1" applyBorder="1" applyAlignment="1">
      <alignment horizontal="center" vertical="center" wrapText="1"/>
    </xf>
    <xf numFmtId="0" fontId="65" fillId="18" borderId="70" xfId="0" applyFont="1" applyFill="1" applyBorder="1" applyAlignment="1">
      <alignment horizontal="left" vertical="center" wrapText="1"/>
    </xf>
    <xf numFmtId="0" fontId="65" fillId="18" borderId="71" xfId="0" applyFont="1" applyFill="1" applyBorder="1" applyAlignment="1">
      <alignment horizontal="left" vertical="center" wrapText="1"/>
    </xf>
    <xf numFmtId="0" fontId="65" fillId="18" borderId="72" xfId="0" applyFont="1" applyFill="1" applyBorder="1" applyAlignment="1">
      <alignment horizontal="left" vertical="center" wrapText="1"/>
    </xf>
    <xf numFmtId="0" fontId="10" fillId="16" borderId="73" xfId="0" applyFont="1" applyFill="1" applyBorder="1" applyAlignment="1">
      <alignment horizontal="center" vertical="center" wrapText="1"/>
    </xf>
    <xf numFmtId="0" fontId="10" fillId="16" borderId="74" xfId="0" applyFont="1" applyFill="1" applyBorder="1" applyAlignment="1">
      <alignment horizontal="center" vertical="center" wrapText="1"/>
    </xf>
    <xf numFmtId="0" fontId="10" fillId="16" borderId="75" xfId="0" applyFont="1" applyFill="1" applyBorder="1" applyAlignment="1">
      <alignment horizontal="center" vertical="center" wrapText="1"/>
    </xf>
    <xf numFmtId="0" fontId="10" fillId="23" borderId="0" xfId="0" applyFont="1" applyFill="1" applyBorder="1" applyAlignment="1">
      <alignment horizontal="center" vertical="center" wrapText="1"/>
    </xf>
    <xf numFmtId="0" fontId="24" fillId="11" borderId="15" xfId="0" applyFont="1" applyFill="1" applyBorder="1" applyAlignment="1">
      <alignment horizontal="center" vertical="center" wrapText="1"/>
    </xf>
    <xf numFmtId="0" fontId="24" fillId="11" borderId="1" xfId="0" applyFont="1" applyFill="1" applyBorder="1" applyAlignment="1">
      <alignment horizontal="center" vertical="center" wrapText="1"/>
    </xf>
    <xf numFmtId="0" fontId="24" fillId="11" borderId="2" xfId="0" applyFont="1" applyFill="1" applyBorder="1" applyAlignment="1">
      <alignment horizontal="center" vertical="center" wrapText="1"/>
    </xf>
    <xf numFmtId="0" fontId="24" fillId="11" borderId="11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22" fillId="6" borderId="20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0" fontId="22" fillId="6" borderId="21" xfId="0" applyFont="1" applyFill="1" applyBorder="1" applyAlignment="1">
      <alignment horizontal="center" vertical="center" wrapText="1"/>
    </xf>
    <xf numFmtId="0" fontId="110" fillId="7" borderId="0" xfId="0" applyFont="1" applyFill="1" applyBorder="1" applyAlignment="1">
      <alignment horizontal="left" vertical="center" wrapText="1"/>
    </xf>
    <xf numFmtId="0" fontId="102" fillId="7" borderId="144" xfId="0" applyFont="1" applyFill="1" applyBorder="1" applyAlignment="1">
      <alignment horizontal="right" vertical="center" wrapText="1"/>
    </xf>
    <xf numFmtId="0" fontId="114" fillId="7" borderId="145" xfId="0" applyFont="1" applyFill="1" applyBorder="1" applyAlignment="1">
      <alignment horizontal="left" vertical="top" wrapText="1"/>
    </xf>
    <xf numFmtId="0" fontId="114" fillId="7" borderId="146" xfId="0" applyFont="1" applyFill="1" applyBorder="1" applyAlignment="1">
      <alignment horizontal="left" vertical="top" wrapText="1"/>
    </xf>
    <xf numFmtId="0" fontId="114" fillId="7" borderId="147" xfId="0" applyFont="1" applyFill="1" applyBorder="1" applyAlignment="1">
      <alignment horizontal="left" vertical="top" wrapText="1"/>
    </xf>
    <xf numFmtId="0" fontId="114" fillId="7" borderId="148" xfId="0" applyFont="1" applyFill="1" applyBorder="1" applyAlignment="1">
      <alignment horizontal="left" vertical="top" wrapText="1"/>
    </xf>
    <xf numFmtId="0" fontId="114" fillId="7" borderId="149" xfId="0" applyFont="1" applyFill="1" applyBorder="1" applyAlignment="1">
      <alignment horizontal="left" vertical="top" wrapText="1"/>
    </xf>
    <xf numFmtId="0" fontId="114" fillId="7" borderId="150" xfId="0" applyFont="1" applyFill="1" applyBorder="1" applyAlignment="1">
      <alignment horizontal="left" vertical="top" wrapText="1"/>
    </xf>
    <xf numFmtId="0" fontId="112" fillId="2" borderId="146" xfId="0" applyFont="1" applyFill="1" applyBorder="1" applyAlignment="1">
      <alignment horizontal="left" vertical="center" wrapText="1"/>
    </xf>
    <xf numFmtId="0" fontId="113" fillId="7" borderId="0" xfId="0" applyFont="1" applyFill="1" applyBorder="1" applyAlignment="1">
      <alignment horizontal="right" vertical="top" wrapText="1"/>
    </xf>
    <xf numFmtId="0" fontId="113" fillId="7" borderId="151" xfId="0" applyFont="1" applyFill="1" applyBorder="1" applyAlignment="1">
      <alignment horizontal="right" vertical="top" wrapText="1"/>
    </xf>
    <xf numFmtId="0" fontId="109" fillId="2" borderId="24" xfId="0" applyFont="1" applyFill="1" applyBorder="1" applyAlignment="1">
      <alignment horizontal="center" vertical="center" wrapText="1"/>
    </xf>
    <xf numFmtId="0" fontId="109" fillId="2" borderId="0" xfId="0" applyFont="1" applyFill="1" applyBorder="1" applyAlignment="1">
      <alignment horizontal="center" vertical="center" wrapText="1"/>
    </xf>
    <xf numFmtId="0" fontId="105" fillId="2" borderId="0" xfId="50" applyFont="1" applyFill="1" applyBorder="1" applyAlignment="1">
      <alignment horizontal="left" vertical="center" wrapText="1"/>
    </xf>
    <xf numFmtId="0" fontId="102" fillId="7" borderId="143" xfId="0" applyFont="1" applyFill="1" applyBorder="1" applyAlignment="1">
      <alignment horizontal="right" vertical="top" textRotation="90" wrapText="1"/>
    </xf>
    <xf numFmtId="0" fontId="108" fillId="30" borderId="152" xfId="0" applyFont="1" applyFill="1" applyBorder="1" applyAlignment="1">
      <alignment horizontal="right" vertical="center"/>
    </xf>
    <xf numFmtId="0" fontId="108" fillId="30" borderId="127" xfId="0" applyFont="1" applyFill="1" applyBorder="1" applyAlignment="1">
      <alignment horizontal="right" vertical="center"/>
    </xf>
    <xf numFmtId="0" fontId="108" fillId="30" borderId="153" xfId="0" applyFont="1" applyFill="1" applyBorder="1" applyAlignment="1">
      <alignment horizontal="right" vertical="center"/>
    </xf>
    <xf numFmtId="0" fontId="116" fillId="7" borderId="152" xfId="0" applyFont="1" applyFill="1" applyBorder="1" applyAlignment="1">
      <alignment horizontal="right" vertical="center"/>
    </xf>
    <xf numFmtId="0" fontId="116" fillId="7" borderId="127" xfId="0" applyFont="1" applyFill="1" applyBorder="1" applyAlignment="1">
      <alignment horizontal="right" vertical="center"/>
    </xf>
    <xf numFmtId="0" fontId="116" fillId="7" borderId="153" xfId="0" applyFont="1" applyFill="1" applyBorder="1" applyAlignment="1">
      <alignment horizontal="right" vertical="center"/>
    </xf>
    <xf numFmtId="0" fontId="98" fillId="28" borderId="0" xfId="0" applyFont="1" applyFill="1" applyAlignment="1">
      <alignment horizontal="center" vertical="center" wrapText="1"/>
    </xf>
    <xf numFmtId="0" fontId="98" fillId="7" borderId="0" xfId="0" applyFont="1" applyFill="1" applyAlignment="1">
      <alignment horizontal="center" vertical="center" wrapText="1"/>
    </xf>
    <xf numFmtId="0" fontId="55" fillId="14" borderId="0" xfId="49" applyFont="1" applyFill="1" applyAlignment="1">
      <alignment horizontal="center" vertical="center" wrapText="1"/>
    </xf>
    <xf numFmtId="0" fontId="10" fillId="2" borderId="17" xfId="49" applyFont="1" applyFill="1" applyBorder="1" applyAlignment="1">
      <alignment horizontal="center" vertical="center" wrapText="1"/>
    </xf>
    <xf numFmtId="0" fontId="10" fillId="2" borderId="18" xfId="49" applyFont="1" applyFill="1" applyBorder="1" applyAlignment="1">
      <alignment horizontal="center" vertical="center" wrapText="1"/>
    </xf>
    <xf numFmtId="0" fontId="10" fillId="2" borderId="19" xfId="49" applyFont="1" applyFill="1" applyBorder="1" applyAlignment="1">
      <alignment horizontal="center" vertical="center" wrapText="1"/>
    </xf>
    <xf numFmtId="0" fontId="9" fillId="7" borderId="0" xfId="49" applyFont="1" applyFill="1" applyBorder="1" applyAlignment="1">
      <alignment horizontal="center" vertical="center" wrapText="1"/>
    </xf>
    <xf numFmtId="0" fontId="3" fillId="7" borderId="0" xfId="49" applyFont="1" applyFill="1" applyBorder="1" applyAlignment="1">
      <alignment horizontal="center" vertical="center" wrapText="1"/>
    </xf>
    <xf numFmtId="0" fontId="36" fillId="0" borderId="46" xfId="49" applyFont="1" applyBorder="1" applyAlignment="1">
      <alignment horizontal="center" textRotation="90"/>
    </xf>
    <xf numFmtId="0" fontId="36" fillId="0" borderId="49" xfId="49" applyFont="1" applyBorder="1" applyAlignment="1">
      <alignment horizontal="center" textRotation="90"/>
    </xf>
  </cellXfs>
  <cellStyles count="5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Normal" xfId="0" builtinId="0" customBuiltin="1"/>
    <cellStyle name="Normal 2" xfId="47"/>
    <cellStyle name="Normal 3" xfId="49"/>
    <cellStyle name="Normal_Données_Validation_exemples" xfId="50"/>
    <cellStyle name="Pourcentage" xfId="48" builtinId="5"/>
  </cellStyles>
  <dxfs count="406">
    <dxf>
      <font>
        <b/>
        <i val="0"/>
        <color theme="9" tint="0.39994506668294322"/>
      </font>
    </dxf>
    <dxf>
      <font>
        <b/>
        <i val="0"/>
        <color theme="9" tint="-0.24994659260841701"/>
      </font>
    </dxf>
    <dxf>
      <font>
        <b/>
        <i val="0"/>
        <color theme="2" tint="-0.24994659260841701"/>
      </font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ill>
        <patternFill>
          <bgColor theme="0" tint="-0.24994659260841701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9" tint="-0.24994659260841701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ill>
        <patternFill>
          <bgColor theme="0" tint="-0.24994659260841701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9" tint="-0.24994659260841701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color rgb="FF92D050"/>
      </font>
    </dxf>
    <dxf>
      <fill>
        <patternFill>
          <bgColor theme="0" tint="-0.1499679555650502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ill>
        <patternFill>
          <bgColor theme="0" tint="-0.24994659260841701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9" tint="-0.24994659260841701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color rgb="FF92D050"/>
      </font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color rgb="FF92D050"/>
      </font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2" tint="-0.499984740745262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D8810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/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/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0.3999755851924192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249977111117893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/>
        <top/>
        <bottom style="thin">
          <color theme="4" tint="0.3998840296639912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 outline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</border>
      <protection locked="1" hidden="0"/>
    </dxf>
    <dxf>
      <border outline="0">
        <top style="thin">
          <color theme="0"/>
        </top>
      </border>
    </dxf>
    <dxf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00B050"/>
      </font>
    </dxf>
    <dxf>
      <font>
        <color rgb="FFC00000"/>
      </font>
      <fill>
        <patternFill>
          <bgColor theme="5" tint="0.79998168889431442"/>
        </patternFill>
      </fill>
    </dxf>
    <dxf>
      <font>
        <color theme="3" tint="0.39994506668294322"/>
      </font>
      <fill>
        <patternFill>
          <bgColor theme="4" tint="0.79998168889431442"/>
        </patternFill>
      </fill>
    </dxf>
    <dxf>
      <font>
        <color theme="6" tint="-0.24994659260841701"/>
      </font>
      <fill>
        <patternFill>
          <bgColor theme="6" tint="0.59996337778862885"/>
        </patternFill>
      </fill>
    </dxf>
    <dxf>
      <font>
        <color theme="0" tint="-0.34998626667073579"/>
      </font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fgColor theme="0" tint="-0.14990691854609822"/>
          <bgColor theme="0"/>
        </patternFill>
      </fill>
    </dxf>
    <dxf>
      <font>
        <b/>
        <i val="0"/>
        <color theme="4" tint="-0.24994659260841701"/>
      </font>
      <fill>
        <patternFill>
          <bgColor theme="3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9" tint="-0.24994659260841701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4" tint="-0.24994659260841701"/>
      </font>
      <fill>
        <patternFill>
          <bgColor theme="3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9" tint="-0.24994659260841701"/>
      </font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left" vertical="center" textRotation="0" wrapText="1" indent="0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  <protection locked="1" hidden="0"/>
    </dxf>
    <dxf>
      <border outline="0">
        <top style="thin">
          <color theme="0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6" tint="-0.249977111117893"/>
        </patternFill>
      </fill>
      <alignment horizontal="center" vertical="top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00B05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fgColor theme="0" tint="-0.14990691854609822"/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bottom style="thin">
          <color theme="0" tint="-0.34998626667073579"/>
        </bottom>
        <vertical/>
        <horizontal/>
      </border>
    </dxf>
    <dxf>
      <font>
        <b/>
        <i val="0"/>
        <color theme="9" tint="0.39994506668294322"/>
      </font>
    </dxf>
    <dxf>
      <font>
        <b/>
        <i val="0"/>
        <color theme="9" tint="-0.24994659260841701"/>
      </font>
    </dxf>
    <dxf>
      <font>
        <b/>
        <i val="0"/>
        <color theme="2" tint="-0.24994659260841701"/>
      </font>
    </dxf>
    <dxf>
      <font>
        <color rgb="FF92D050"/>
      </font>
    </dxf>
    <dxf>
      <font>
        <b/>
        <i val="0"/>
        <color rgb="FF00B050"/>
      </font>
    </dxf>
    <dxf>
      <font>
        <color rgb="FF92D050"/>
      </font>
    </dxf>
    <dxf>
      <font>
        <color rgb="FF92D05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2" tint="-0.499984740745262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D8810E"/>
        </patternFill>
      </fill>
    </dxf>
  </dxfs>
  <tableStyles count="0" defaultTableStyle="TableStyleMedium9" defaultPivotStyle="PivotStyleMedium4"/>
  <colors>
    <mruColors>
      <color rgb="FFDF7D1B"/>
      <color rgb="FF00863D"/>
      <color rgb="FFAAC56D"/>
      <color rgb="FFECA762"/>
      <color rgb="FFF0B880"/>
      <color rgb="FFF7D7B7"/>
      <color rgb="FF9ABA52"/>
      <color rgb="FFF58427"/>
      <color rgb="FFFFD347"/>
      <color rgb="FFFFE6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863D"/>
              </a:solidFill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2"/>
            <c:bubble3D val="0"/>
            <c:spPr>
              <a:solidFill>
                <a:srgbClr val="FFFF00"/>
              </a:solidFill>
            </c:spPr>
          </c:dPt>
          <c:dPt>
            <c:idx val="3"/>
            <c:bubble3D val="0"/>
            <c:spPr>
              <a:solidFill>
                <a:srgbClr val="DF7D1B"/>
              </a:solidFill>
            </c:spPr>
          </c:dPt>
          <c:dPt>
            <c:idx val="4"/>
            <c:bubble3D val="0"/>
            <c:spPr>
              <a:solidFill>
                <a:srgbClr val="C00000"/>
              </a:solidFill>
            </c:spPr>
          </c:dPt>
          <c:cat>
            <c:strRef>
              <c:f>'Tableau de bord'!$C$11:$C$15</c:f>
              <c:strCache>
                <c:ptCount val="5"/>
                <c:pt idx="0">
                  <c:v>Très faible</c:v>
                </c:pt>
                <c:pt idx="1">
                  <c:v>Faible</c:v>
                </c:pt>
                <c:pt idx="2">
                  <c:v>Moyenne</c:v>
                </c:pt>
                <c:pt idx="3">
                  <c:v>Forte</c:v>
                </c:pt>
                <c:pt idx="4">
                  <c:v>Majeure</c:v>
                </c:pt>
              </c:strCache>
            </c:strRef>
          </c:cat>
          <c:val>
            <c:numRef>
              <c:f>'Tableau de bord'!$D$11:$D$15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863D"/>
              </a:solidFill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2"/>
            <c:bubble3D val="0"/>
            <c:spPr>
              <a:solidFill>
                <a:srgbClr val="FFFF00"/>
              </a:solidFill>
            </c:spPr>
          </c:dPt>
          <c:dPt>
            <c:idx val="3"/>
            <c:bubble3D val="0"/>
            <c:spPr>
              <a:solidFill>
                <a:srgbClr val="DF7D1B"/>
              </a:solidFill>
            </c:spPr>
          </c:dPt>
          <c:dPt>
            <c:idx val="4"/>
            <c:bubble3D val="0"/>
            <c:spPr>
              <a:solidFill>
                <a:srgbClr val="C00000"/>
              </a:solidFill>
            </c:spPr>
          </c:dPt>
          <c:cat>
            <c:strRef>
              <c:f>'Tableau de bord'!$I$11:$I$15</c:f>
              <c:strCache>
                <c:ptCount val="5"/>
                <c:pt idx="0">
                  <c:v>Très faible</c:v>
                </c:pt>
                <c:pt idx="1">
                  <c:v>Faible</c:v>
                </c:pt>
                <c:pt idx="2">
                  <c:v>Moyenne</c:v>
                </c:pt>
                <c:pt idx="3">
                  <c:v>Forte</c:v>
                </c:pt>
                <c:pt idx="4">
                  <c:v>Majeure</c:v>
                </c:pt>
              </c:strCache>
            </c:strRef>
          </c:cat>
          <c:val>
            <c:numRef>
              <c:f>'Tableau de bord'!$J$11:$J$15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863D"/>
              </a:solidFill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2"/>
            <c:bubble3D val="0"/>
            <c:spPr>
              <a:solidFill>
                <a:srgbClr val="FFFF00"/>
              </a:solidFill>
            </c:spPr>
          </c:dPt>
          <c:dPt>
            <c:idx val="3"/>
            <c:bubble3D val="0"/>
            <c:spPr>
              <a:solidFill>
                <a:srgbClr val="DF7D1B"/>
              </a:solidFill>
            </c:spPr>
          </c:dPt>
          <c:dPt>
            <c:idx val="4"/>
            <c:bubble3D val="0"/>
            <c:spPr>
              <a:solidFill>
                <a:srgbClr val="C00000"/>
              </a:solidFill>
            </c:spPr>
          </c:dPt>
          <c:cat>
            <c:strRef>
              <c:f>'Tableau de bord'!$P$11:$P$15</c:f>
              <c:strCache>
                <c:ptCount val="5"/>
                <c:pt idx="0">
                  <c:v>Très faible</c:v>
                </c:pt>
                <c:pt idx="1">
                  <c:v>Faible</c:v>
                </c:pt>
                <c:pt idx="2">
                  <c:v>Moyenne</c:v>
                </c:pt>
                <c:pt idx="3">
                  <c:v>Forte</c:v>
                </c:pt>
                <c:pt idx="4">
                  <c:v>Majeure</c:v>
                </c:pt>
              </c:strCache>
            </c:strRef>
          </c:cat>
          <c:val>
            <c:numRef>
              <c:f>'Tableau de bord'!$Q$11:$Q$15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DF7D1B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cat>
            <c:strRef>
              <c:f>'Tableau de bord'!$C$20:$C$22</c:f>
              <c:strCache>
                <c:ptCount val="3"/>
                <c:pt idx="0">
                  <c:v>Stratégique</c:v>
                </c:pt>
                <c:pt idx="1">
                  <c:v>Opérationnel</c:v>
                </c:pt>
                <c:pt idx="2">
                  <c:v>Technique</c:v>
                </c:pt>
              </c:strCache>
            </c:strRef>
          </c:cat>
          <c:val>
            <c:numRef>
              <c:f>'Tableau de bord'!$D$20:$D$22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9047680"/>
        <c:axId val="79057664"/>
      </c:barChart>
      <c:catAx>
        <c:axId val="7904768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>
                    <a:lumMod val="50000"/>
                  </a:schemeClr>
                </a:solidFill>
              </a:defRPr>
            </a:pPr>
            <a:endParaRPr lang="fr-FR"/>
          </a:p>
        </c:txPr>
        <c:crossAx val="79057664"/>
        <c:crosses val="autoZero"/>
        <c:auto val="1"/>
        <c:lblAlgn val="ctr"/>
        <c:lblOffset val="100"/>
        <c:noMultiLvlLbl val="0"/>
      </c:catAx>
      <c:valAx>
        <c:axId val="79057664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>
                    <a:lumMod val="50000"/>
                  </a:schemeClr>
                </a:solidFill>
              </a:defRPr>
            </a:pPr>
            <a:endParaRPr lang="fr-FR"/>
          </a:p>
        </c:txPr>
        <c:crossAx val="79047680"/>
        <c:crosses val="autoZero"/>
        <c:crossBetween val="between"/>
      </c:valAx>
      <c:spPr>
        <a:ln>
          <a:solidFill>
            <a:schemeClr val="bg1"/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L1C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128869</xdr:colOff>
      <xdr:row>8</xdr:row>
      <xdr:rowOff>174251</xdr:rowOff>
    </xdr:from>
    <xdr:to>
      <xdr:col>5</xdr:col>
      <xdr:colOff>1109944</xdr:colOff>
      <xdr:row>15</xdr:row>
      <xdr:rowOff>114018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9525</xdr:colOff>
      <xdr:row>9</xdr:row>
      <xdr:rowOff>66675</xdr:rowOff>
    </xdr:from>
    <xdr:to>
      <xdr:col>12</xdr:col>
      <xdr:colOff>1219200</xdr:colOff>
      <xdr:row>15</xdr:row>
      <xdr:rowOff>119060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9525</xdr:colOff>
      <xdr:row>11</xdr:row>
      <xdr:rowOff>72837</xdr:rowOff>
    </xdr:from>
    <xdr:to>
      <xdr:col>5</xdr:col>
      <xdr:colOff>114300</xdr:colOff>
      <xdr:row>13</xdr:row>
      <xdr:rowOff>44263</xdr:rowOff>
    </xdr:to>
    <xdr:sp macro="" textlink="">
      <xdr:nvSpPr>
        <xdr:cNvPr id="4" name="Triangle isocèle 3"/>
        <xdr:cNvSpPr/>
      </xdr:nvSpPr>
      <xdr:spPr>
        <a:xfrm rot="5400000">
          <a:off x="2530288" y="2684368"/>
          <a:ext cx="307602" cy="104775"/>
        </a:xfrm>
        <a:prstGeom prst="triangle">
          <a:avLst/>
        </a:prstGeom>
        <a:solidFill>
          <a:schemeClr val="bg1">
            <a:lumMod val="7500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9525</xdr:colOff>
      <xdr:row>11</xdr:row>
      <xdr:rowOff>104774</xdr:rowOff>
    </xdr:from>
    <xdr:to>
      <xdr:col>12</xdr:col>
      <xdr:colOff>9525</xdr:colOff>
      <xdr:row>13</xdr:row>
      <xdr:rowOff>95249</xdr:rowOff>
    </xdr:to>
    <xdr:sp macro="" textlink="">
      <xdr:nvSpPr>
        <xdr:cNvPr id="5" name="Triangle isocèle 4"/>
        <xdr:cNvSpPr/>
      </xdr:nvSpPr>
      <xdr:spPr>
        <a:xfrm rot="5400000">
          <a:off x="6867525" y="6800849"/>
          <a:ext cx="314325" cy="104775"/>
        </a:xfrm>
        <a:prstGeom prst="triangle">
          <a:avLst/>
        </a:prstGeom>
        <a:solidFill>
          <a:schemeClr val="bg1">
            <a:lumMod val="7500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0</xdr:colOff>
      <xdr:row>11</xdr:row>
      <xdr:rowOff>56029</xdr:rowOff>
    </xdr:from>
    <xdr:to>
      <xdr:col>18</xdr:col>
      <xdr:colOff>100853</xdr:colOff>
      <xdr:row>13</xdr:row>
      <xdr:rowOff>46504</xdr:rowOff>
    </xdr:to>
    <xdr:sp macro="" textlink="">
      <xdr:nvSpPr>
        <xdr:cNvPr id="7" name="Triangle isocèle 6"/>
        <xdr:cNvSpPr/>
      </xdr:nvSpPr>
      <xdr:spPr>
        <a:xfrm rot="5400000">
          <a:off x="11877395" y="2679046"/>
          <a:ext cx="326651" cy="100853"/>
        </a:xfrm>
        <a:prstGeom prst="triangle">
          <a:avLst/>
        </a:prstGeom>
        <a:solidFill>
          <a:schemeClr val="bg1">
            <a:lumMod val="7500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112059</xdr:colOff>
      <xdr:row>9</xdr:row>
      <xdr:rowOff>0</xdr:rowOff>
    </xdr:from>
    <xdr:to>
      <xdr:col>18</xdr:col>
      <xdr:colOff>1321734</xdr:colOff>
      <xdr:row>15</xdr:row>
      <xdr:rowOff>52385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5601</xdr:colOff>
      <xdr:row>22</xdr:row>
      <xdr:rowOff>152399</xdr:rowOff>
    </xdr:from>
    <xdr:to>
      <xdr:col>5</xdr:col>
      <xdr:colOff>134469</xdr:colOff>
      <xdr:row>34</xdr:row>
      <xdr:rowOff>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87404</xdr:colOff>
      <xdr:row>21</xdr:row>
      <xdr:rowOff>151839</xdr:rowOff>
    </xdr:from>
    <xdr:to>
      <xdr:col>3</xdr:col>
      <xdr:colOff>395007</xdr:colOff>
      <xdr:row>22</xdr:row>
      <xdr:rowOff>99732</xdr:rowOff>
    </xdr:to>
    <xdr:sp macro="" textlink="">
      <xdr:nvSpPr>
        <xdr:cNvPr id="10" name="Triangle isocèle 9"/>
        <xdr:cNvSpPr/>
      </xdr:nvSpPr>
      <xdr:spPr>
        <a:xfrm rot="10800000">
          <a:off x="1734669" y="3984251"/>
          <a:ext cx="307603" cy="104775"/>
        </a:xfrm>
        <a:prstGeom prst="triangle">
          <a:avLst/>
        </a:prstGeom>
        <a:solidFill>
          <a:schemeClr val="bg1">
            <a:lumMod val="7500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8905</xdr:colOff>
      <xdr:row>28</xdr:row>
      <xdr:rowOff>28908</xdr:rowOff>
    </xdr:from>
    <xdr:to>
      <xdr:col>13</xdr:col>
      <xdr:colOff>339250</xdr:colOff>
      <xdr:row>29</xdr:row>
      <xdr:rowOff>300904</xdr:rowOff>
    </xdr:to>
    <xdr:sp macro="" textlink="">
      <xdr:nvSpPr>
        <xdr:cNvPr id="2" name="Triangle isocèle 1"/>
        <xdr:cNvSpPr/>
      </xdr:nvSpPr>
      <xdr:spPr>
        <a:xfrm rot="5400000">
          <a:off x="15080776" y="4973144"/>
          <a:ext cx="612175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64</xdr:row>
      <xdr:rowOff>28908</xdr:rowOff>
    </xdr:from>
    <xdr:to>
      <xdr:col>13</xdr:col>
      <xdr:colOff>352857</xdr:colOff>
      <xdr:row>65</xdr:row>
      <xdr:rowOff>300904</xdr:rowOff>
    </xdr:to>
    <xdr:sp macro="" textlink="">
      <xdr:nvSpPr>
        <xdr:cNvPr id="3" name="Triangle isocèle 2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99</xdr:row>
      <xdr:rowOff>28908</xdr:rowOff>
    </xdr:from>
    <xdr:to>
      <xdr:col>13</xdr:col>
      <xdr:colOff>352857</xdr:colOff>
      <xdr:row>100</xdr:row>
      <xdr:rowOff>300904</xdr:rowOff>
    </xdr:to>
    <xdr:sp macro="" textlink="">
      <xdr:nvSpPr>
        <xdr:cNvPr id="4" name="Triangle isocèle 3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134</xdr:row>
      <xdr:rowOff>28908</xdr:rowOff>
    </xdr:from>
    <xdr:to>
      <xdr:col>13</xdr:col>
      <xdr:colOff>352857</xdr:colOff>
      <xdr:row>135</xdr:row>
      <xdr:rowOff>300904</xdr:rowOff>
    </xdr:to>
    <xdr:sp macro="" textlink="">
      <xdr:nvSpPr>
        <xdr:cNvPr id="5" name="Triangle isocèle 4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169</xdr:row>
      <xdr:rowOff>28908</xdr:rowOff>
    </xdr:from>
    <xdr:to>
      <xdr:col>13</xdr:col>
      <xdr:colOff>352857</xdr:colOff>
      <xdr:row>170</xdr:row>
      <xdr:rowOff>300904</xdr:rowOff>
    </xdr:to>
    <xdr:sp macro="" textlink="">
      <xdr:nvSpPr>
        <xdr:cNvPr id="6" name="Triangle isocèle 5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204</xdr:row>
      <xdr:rowOff>28908</xdr:rowOff>
    </xdr:from>
    <xdr:to>
      <xdr:col>13</xdr:col>
      <xdr:colOff>352857</xdr:colOff>
      <xdr:row>205</xdr:row>
      <xdr:rowOff>300904</xdr:rowOff>
    </xdr:to>
    <xdr:sp macro="" textlink="">
      <xdr:nvSpPr>
        <xdr:cNvPr id="7" name="Triangle isocèle 6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239</xdr:row>
      <xdr:rowOff>28908</xdr:rowOff>
    </xdr:from>
    <xdr:to>
      <xdr:col>13</xdr:col>
      <xdr:colOff>352857</xdr:colOff>
      <xdr:row>240</xdr:row>
      <xdr:rowOff>300904</xdr:rowOff>
    </xdr:to>
    <xdr:sp macro="" textlink="">
      <xdr:nvSpPr>
        <xdr:cNvPr id="8" name="Triangle isocèle 7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274</xdr:row>
      <xdr:rowOff>28908</xdr:rowOff>
    </xdr:from>
    <xdr:to>
      <xdr:col>13</xdr:col>
      <xdr:colOff>352857</xdr:colOff>
      <xdr:row>275</xdr:row>
      <xdr:rowOff>300904</xdr:rowOff>
    </xdr:to>
    <xdr:sp macro="" textlink="">
      <xdr:nvSpPr>
        <xdr:cNvPr id="9" name="Triangle isocèle 8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309</xdr:row>
      <xdr:rowOff>28908</xdr:rowOff>
    </xdr:from>
    <xdr:to>
      <xdr:col>13</xdr:col>
      <xdr:colOff>352857</xdr:colOff>
      <xdr:row>310</xdr:row>
      <xdr:rowOff>300904</xdr:rowOff>
    </xdr:to>
    <xdr:sp macro="" textlink="">
      <xdr:nvSpPr>
        <xdr:cNvPr id="10" name="Triangle isocèle 9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344</xdr:row>
      <xdr:rowOff>28908</xdr:rowOff>
    </xdr:from>
    <xdr:to>
      <xdr:col>13</xdr:col>
      <xdr:colOff>352857</xdr:colOff>
      <xdr:row>345</xdr:row>
      <xdr:rowOff>300904</xdr:rowOff>
    </xdr:to>
    <xdr:sp macro="" textlink="">
      <xdr:nvSpPr>
        <xdr:cNvPr id="11" name="Triangle isocèle 10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379</xdr:row>
      <xdr:rowOff>28908</xdr:rowOff>
    </xdr:from>
    <xdr:to>
      <xdr:col>13</xdr:col>
      <xdr:colOff>352857</xdr:colOff>
      <xdr:row>380</xdr:row>
      <xdr:rowOff>300904</xdr:rowOff>
    </xdr:to>
    <xdr:sp macro="" textlink="">
      <xdr:nvSpPr>
        <xdr:cNvPr id="12" name="Triangle isocèle 11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414</xdr:row>
      <xdr:rowOff>28908</xdr:rowOff>
    </xdr:from>
    <xdr:to>
      <xdr:col>13</xdr:col>
      <xdr:colOff>352857</xdr:colOff>
      <xdr:row>415</xdr:row>
      <xdr:rowOff>300904</xdr:rowOff>
    </xdr:to>
    <xdr:sp macro="" textlink="">
      <xdr:nvSpPr>
        <xdr:cNvPr id="13" name="Triangle isocèle 12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449</xdr:row>
      <xdr:rowOff>28908</xdr:rowOff>
    </xdr:from>
    <xdr:to>
      <xdr:col>13</xdr:col>
      <xdr:colOff>352857</xdr:colOff>
      <xdr:row>450</xdr:row>
      <xdr:rowOff>300904</xdr:rowOff>
    </xdr:to>
    <xdr:sp macro="" textlink="">
      <xdr:nvSpPr>
        <xdr:cNvPr id="14" name="Triangle isocèle 13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484</xdr:row>
      <xdr:rowOff>28908</xdr:rowOff>
    </xdr:from>
    <xdr:to>
      <xdr:col>13</xdr:col>
      <xdr:colOff>352857</xdr:colOff>
      <xdr:row>485</xdr:row>
      <xdr:rowOff>300904</xdr:rowOff>
    </xdr:to>
    <xdr:sp macro="" textlink="">
      <xdr:nvSpPr>
        <xdr:cNvPr id="15" name="Triangle isocèle 14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519</xdr:row>
      <xdr:rowOff>28908</xdr:rowOff>
    </xdr:from>
    <xdr:to>
      <xdr:col>13</xdr:col>
      <xdr:colOff>352857</xdr:colOff>
      <xdr:row>520</xdr:row>
      <xdr:rowOff>300904</xdr:rowOff>
    </xdr:to>
    <xdr:sp macro="" textlink="">
      <xdr:nvSpPr>
        <xdr:cNvPr id="16" name="Triangle isocèle 15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64</xdr:row>
      <xdr:rowOff>28908</xdr:rowOff>
    </xdr:from>
    <xdr:to>
      <xdr:col>13</xdr:col>
      <xdr:colOff>352857</xdr:colOff>
      <xdr:row>65</xdr:row>
      <xdr:rowOff>300904</xdr:rowOff>
    </xdr:to>
    <xdr:sp macro="" textlink="">
      <xdr:nvSpPr>
        <xdr:cNvPr id="17" name="Triangle isocèle 16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64</xdr:row>
      <xdr:rowOff>28908</xdr:rowOff>
    </xdr:from>
    <xdr:to>
      <xdr:col>13</xdr:col>
      <xdr:colOff>352857</xdr:colOff>
      <xdr:row>65</xdr:row>
      <xdr:rowOff>300904</xdr:rowOff>
    </xdr:to>
    <xdr:sp macro="" textlink="">
      <xdr:nvSpPr>
        <xdr:cNvPr id="18" name="Triangle isocèle 17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99</xdr:row>
      <xdr:rowOff>28908</xdr:rowOff>
    </xdr:from>
    <xdr:to>
      <xdr:col>13</xdr:col>
      <xdr:colOff>352857</xdr:colOff>
      <xdr:row>100</xdr:row>
      <xdr:rowOff>300904</xdr:rowOff>
    </xdr:to>
    <xdr:sp macro="" textlink="">
      <xdr:nvSpPr>
        <xdr:cNvPr id="19" name="Triangle isocèle 18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99</xdr:row>
      <xdr:rowOff>28908</xdr:rowOff>
    </xdr:from>
    <xdr:to>
      <xdr:col>13</xdr:col>
      <xdr:colOff>352857</xdr:colOff>
      <xdr:row>100</xdr:row>
      <xdr:rowOff>300904</xdr:rowOff>
    </xdr:to>
    <xdr:sp macro="" textlink="">
      <xdr:nvSpPr>
        <xdr:cNvPr id="20" name="Triangle isocèle 19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134</xdr:row>
      <xdr:rowOff>28908</xdr:rowOff>
    </xdr:from>
    <xdr:to>
      <xdr:col>13</xdr:col>
      <xdr:colOff>352857</xdr:colOff>
      <xdr:row>135</xdr:row>
      <xdr:rowOff>300904</xdr:rowOff>
    </xdr:to>
    <xdr:sp macro="" textlink="">
      <xdr:nvSpPr>
        <xdr:cNvPr id="21" name="Triangle isocèle 20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8905</xdr:colOff>
      <xdr:row>134</xdr:row>
      <xdr:rowOff>28908</xdr:rowOff>
    </xdr:from>
    <xdr:to>
      <xdr:col>13</xdr:col>
      <xdr:colOff>339250</xdr:colOff>
      <xdr:row>135</xdr:row>
      <xdr:rowOff>291379</xdr:rowOff>
    </xdr:to>
    <xdr:sp macro="" textlink="">
      <xdr:nvSpPr>
        <xdr:cNvPr id="23" name="Triangle isocèle 22"/>
        <xdr:cNvSpPr/>
      </xdr:nvSpPr>
      <xdr:spPr>
        <a:xfrm rot="5400000">
          <a:off x="15105950" y="34040042"/>
          <a:ext cx="561828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169</xdr:row>
      <xdr:rowOff>28908</xdr:rowOff>
    </xdr:from>
    <xdr:to>
      <xdr:col>13</xdr:col>
      <xdr:colOff>352857</xdr:colOff>
      <xdr:row>170</xdr:row>
      <xdr:rowOff>300904</xdr:rowOff>
    </xdr:to>
    <xdr:sp macro="" textlink="">
      <xdr:nvSpPr>
        <xdr:cNvPr id="24" name="Triangle isocèle 23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8905</xdr:colOff>
      <xdr:row>169</xdr:row>
      <xdr:rowOff>28908</xdr:rowOff>
    </xdr:from>
    <xdr:to>
      <xdr:col>13</xdr:col>
      <xdr:colOff>339250</xdr:colOff>
      <xdr:row>170</xdr:row>
      <xdr:rowOff>291379</xdr:rowOff>
    </xdr:to>
    <xdr:sp macro="" textlink="">
      <xdr:nvSpPr>
        <xdr:cNvPr id="25" name="Triangle isocèle 24"/>
        <xdr:cNvSpPr/>
      </xdr:nvSpPr>
      <xdr:spPr>
        <a:xfrm rot="5400000">
          <a:off x="15105950" y="40068006"/>
          <a:ext cx="561828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204</xdr:row>
      <xdr:rowOff>28908</xdr:rowOff>
    </xdr:from>
    <xdr:to>
      <xdr:col>13</xdr:col>
      <xdr:colOff>352857</xdr:colOff>
      <xdr:row>205</xdr:row>
      <xdr:rowOff>300904</xdr:rowOff>
    </xdr:to>
    <xdr:sp macro="" textlink="">
      <xdr:nvSpPr>
        <xdr:cNvPr id="26" name="Triangle isocèle 25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8905</xdr:colOff>
      <xdr:row>204</xdr:row>
      <xdr:rowOff>28908</xdr:rowOff>
    </xdr:from>
    <xdr:to>
      <xdr:col>13</xdr:col>
      <xdr:colOff>339250</xdr:colOff>
      <xdr:row>205</xdr:row>
      <xdr:rowOff>291379</xdr:rowOff>
    </xdr:to>
    <xdr:sp macro="" textlink="">
      <xdr:nvSpPr>
        <xdr:cNvPr id="27" name="Triangle isocèle 26"/>
        <xdr:cNvSpPr/>
      </xdr:nvSpPr>
      <xdr:spPr>
        <a:xfrm rot="5400000">
          <a:off x="15105950" y="46300078"/>
          <a:ext cx="561828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239</xdr:row>
      <xdr:rowOff>28908</xdr:rowOff>
    </xdr:from>
    <xdr:to>
      <xdr:col>13</xdr:col>
      <xdr:colOff>352857</xdr:colOff>
      <xdr:row>240</xdr:row>
      <xdr:rowOff>300904</xdr:rowOff>
    </xdr:to>
    <xdr:sp macro="" textlink="">
      <xdr:nvSpPr>
        <xdr:cNvPr id="28" name="Triangle isocèle 27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239</xdr:row>
      <xdr:rowOff>28908</xdr:rowOff>
    </xdr:from>
    <xdr:to>
      <xdr:col>13</xdr:col>
      <xdr:colOff>352857</xdr:colOff>
      <xdr:row>240</xdr:row>
      <xdr:rowOff>300904</xdr:rowOff>
    </xdr:to>
    <xdr:sp macro="" textlink="">
      <xdr:nvSpPr>
        <xdr:cNvPr id="29" name="Triangle isocèle 28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274</xdr:row>
      <xdr:rowOff>28908</xdr:rowOff>
    </xdr:from>
    <xdr:to>
      <xdr:col>13</xdr:col>
      <xdr:colOff>352857</xdr:colOff>
      <xdr:row>275</xdr:row>
      <xdr:rowOff>300904</xdr:rowOff>
    </xdr:to>
    <xdr:sp macro="" textlink="">
      <xdr:nvSpPr>
        <xdr:cNvPr id="30" name="Triangle isocèle 29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274</xdr:row>
      <xdr:rowOff>28908</xdr:rowOff>
    </xdr:from>
    <xdr:to>
      <xdr:col>13</xdr:col>
      <xdr:colOff>352857</xdr:colOff>
      <xdr:row>275</xdr:row>
      <xdr:rowOff>300904</xdr:rowOff>
    </xdr:to>
    <xdr:sp macro="" textlink="">
      <xdr:nvSpPr>
        <xdr:cNvPr id="31" name="Triangle isocèle 30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309</xdr:row>
      <xdr:rowOff>28908</xdr:rowOff>
    </xdr:from>
    <xdr:to>
      <xdr:col>13</xdr:col>
      <xdr:colOff>352857</xdr:colOff>
      <xdr:row>310</xdr:row>
      <xdr:rowOff>300904</xdr:rowOff>
    </xdr:to>
    <xdr:sp macro="" textlink="">
      <xdr:nvSpPr>
        <xdr:cNvPr id="32" name="Triangle isocèle 31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309</xdr:row>
      <xdr:rowOff>28908</xdr:rowOff>
    </xdr:from>
    <xdr:to>
      <xdr:col>13</xdr:col>
      <xdr:colOff>352857</xdr:colOff>
      <xdr:row>310</xdr:row>
      <xdr:rowOff>300904</xdr:rowOff>
    </xdr:to>
    <xdr:sp macro="" textlink="">
      <xdr:nvSpPr>
        <xdr:cNvPr id="33" name="Triangle isocèle 32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344</xdr:row>
      <xdr:rowOff>28908</xdr:rowOff>
    </xdr:from>
    <xdr:to>
      <xdr:col>13</xdr:col>
      <xdr:colOff>352857</xdr:colOff>
      <xdr:row>345</xdr:row>
      <xdr:rowOff>300904</xdr:rowOff>
    </xdr:to>
    <xdr:sp macro="" textlink="">
      <xdr:nvSpPr>
        <xdr:cNvPr id="34" name="Triangle isocèle 33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344</xdr:row>
      <xdr:rowOff>28908</xdr:rowOff>
    </xdr:from>
    <xdr:to>
      <xdr:col>13</xdr:col>
      <xdr:colOff>352857</xdr:colOff>
      <xdr:row>345</xdr:row>
      <xdr:rowOff>300904</xdr:rowOff>
    </xdr:to>
    <xdr:sp macro="" textlink="">
      <xdr:nvSpPr>
        <xdr:cNvPr id="35" name="Triangle isocèle 34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379</xdr:row>
      <xdr:rowOff>28908</xdr:rowOff>
    </xdr:from>
    <xdr:to>
      <xdr:col>13</xdr:col>
      <xdr:colOff>352857</xdr:colOff>
      <xdr:row>380</xdr:row>
      <xdr:rowOff>300904</xdr:rowOff>
    </xdr:to>
    <xdr:sp macro="" textlink="">
      <xdr:nvSpPr>
        <xdr:cNvPr id="36" name="Triangle isocèle 35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379</xdr:row>
      <xdr:rowOff>28908</xdr:rowOff>
    </xdr:from>
    <xdr:to>
      <xdr:col>13</xdr:col>
      <xdr:colOff>352857</xdr:colOff>
      <xdr:row>380</xdr:row>
      <xdr:rowOff>300904</xdr:rowOff>
    </xdr:to>
    <xdr:sp macro="" textlink="">
      <xdr:nvSpPr>
        <xdr:cNvPr id="38" name="Triangle isocèle 37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414</xdr:row>
      <xdr:rowOff>28908</xdr:rowOff>
    </xdr:from>
    <xdr:to>
      <xdr:col>13</xdr:col>
      <xdr:colOff>352857</xdr:colOff>
      <xdr:row>415</xdr:row>
      <xdr:rowOff>300904</xdr:rowOff>
    </xdr:to>
    <xdr:sp macro="" textlink="">
      <xdr:nvSpPr>
        <xdr:cNvPr id="39" name="Triangle isocèle 38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414</xdr:row>
      <xdr:rowOff>28908</xdr:rowOff>
    </xdr:from>
    <xdr:to>
      <xdr:col>13</xdr:col>
      <xdr:colOff>352857</xdr:colOff>
      <xdr:row>415</xdr:row>
      <xdr:rowOff>300904</xdr:rowOff>
    </xdr:to>
    <xdr:sp macro="" textlink="">
      <xdr:nvSpPr>
        <xdr:cNvPr id="41" name="Triangle isocèle 40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449</xdr:row>
      <xdr:rowOff>28908</xdr:rowOff>
    </xdr:from>
    <xdr:to>
      <xdr:col>13</xdr:col>
      <xdr:colOff>352857</xdr:colOff>
      <xdr:row>450</xdr:row>
      <xdr:rowOff>300904</xdr:rowOff>
    </xdr:to>
    <xdr:sp macro="" textlink="">
      <xdr:nvSpPr>
        <xdr:cNvPr id="42" name="Triangle isocèle 41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449</xdr:row>
      <xdr:rowOff>28908</xdr:rowOff>
    </xdr:from>
    <xdr:to>
      <xdr:col>13</xdr:col>
      <xdr:colOff>352857</xdr:colOff>
      <xdr:row>450</xdr:row>
      <xdr:rowOff>300904</xdr:rowOff>
    </xdr:to>
    <xdr:sp macro="" textlink="">
      <xdr:nvSpPr>
        <xdr:cNvPr id="43" name="Triangle isocèle 42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484</xdr:row>
      <xdr:rowOff>28908</xdr:rowOff>
    </xdr:from>
    <xdr:to>
      <xdr:col>13</xdr:col>
      <xdr:colOff>352857</xdr:colOff>
      <xdr:row>485</xdr:row>
      <xdr:rowOff>300904</xdr:rowOff>
    </xdr:to>
    <xdr:sp macro="" textlink="">
      <xdr:nvSpPr>
        <xdr:cNvPr id="44" name="Triangle isocèle 43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484</xdr:row>
      <xdr:rowOff>28908</xdr:rowOff>
    </xdr:from>
    <xdr:to>
      <xdr:col>13</xdr:col>
      <xdr:colOff>352857</xdr:colOff>
      <xdr:row>485</xdr:row>
      <xdr:rowOff>300904</xdr:rowOff>
    </xdr:to>
    <xdr:sp macro="" textlink="">
      <xdr:nvSpPr>
        <xdr:cNvPr id="46" name="Triangle isocèle 45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519</xdr:row>
      <xdr:rowOff>28908</xdr:rowOff>
    </xdr:from>
    <xdr:to>
      <xdr:col>13</xdr:col>
      <xdr:colOff>352857</xdr:colOff>
      <xdr:row>520</xdr:row>
      <xdr:rowOff>300904</xdr:rowOff>
    </xdr:to>
    <xdr:sp macro="" textlink="">
      <xdr:nvSpPr>
        <xdr:cNvPr id="47" name="Triangle isocèle 46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22512</xdr:colOff>
      <xdr:row>519</xdr:row>
      <xdr:rowOff>28908</xdr:rowOff>
    </xdr:from>
    <xdr:to>
      <xdr:col>13</xdr:col>
      <xdr:colOff>352857</xdr:colOff>
      <xdr:row>520</xdr:row>
      <xdr:rowOff>300904</xdr:rowOff>
    </xdr:to>
    <xdr:sp macro="" textlink="">
      <xdr:nvSpPr>
        <xdr:cNvPr id="48" name="Triangle isocèle 47"/>
        <xdr:cNvSpPr/>
      </xdr:nvSpPr>
      <xdr:spPr>
        <a:xfrm rot="5400000">
          <a:off x="15220249" y="4786046"/>
          <a:ext cx="605371" cy="330345"/>
        </a:xfrm>
        <a:prstGeom prst="triangl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121227</xdr:rowOff>
    </xdr:from>
    <xdr:to>
      <xdr:col>14</xdr:col>
      <xdr:colOff>0</xdr:colOff>
      <xdr:row>0</xdr:row>
      <xdr:rowOff>311727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20494336" y="121227"/>
          <a:ext cx="0" cy="190500"/>
        </a:xfrm>
        <a:prstGeom prst="curvedLeftArrow">
          <a:avLst/>
        </a:prstGeom>
        <a:solidFill>
          <a:srgbClr val="C00000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1368136</xdr:colOff>
      <xdr:row>0</xdr:row>
      <xdr:rowOff>121227</xdr:rowOff>
    </xdr:from>
    <xdr:to>
      <xdr:col>18</xdr:col>
      <xdr:colOff>1549111</xdr:colOff>
      <xdr:row>0</xdr:row>
      <xdr:rowOff>311727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20160961" y="121227"/>
          <a:ext cx="0" cy="190500"/>
        </a:xfrm>
        <a:prstGeom prst="curvedLeftArrow">
          <a:avLst/>
        </a:prstGeom>
        <a:solidFill>
          <a:srgbClr val="C00000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iasante/QUALITE%20ET%20CONTROLE%20INTERNE/Confidentiel/_SMI%20Q&amp;CI/3%20-%20Chantier%20R&#233;f&#233;rentiel/3%20-%20RC%20-%20G&#233;rer%20la%20relation%20client/RC3%20-%20R&#233;aliser%20l'&#233;coute%20client/SMI%20-%20MR-RC3-%20201604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iasante/QUALITE%20ET%20CONTROLE%20INTERNE/Confidentiel/_SMI%20Q&amp;CI/3%20-%20Chantier%20R&#233;f&#233;rentiel/Supports%20d'ateliers/SMI-MR-20160530%20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asante.cloud\Profils\Citrix\Viasante\UserDataDFS\DARC\Documents\Copie%20de%20MatCondDa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sques et maîtrise des risques"/>
      <sheetName val="Plan d'actions"/>
      <sheetName val="Statistiques"/>
      <sheetName val="Matrices Risques"/>
      <sheetName val="Plan d'actions détaillé"/>
      <sheetName val="Listes"/>
      <sheetName val="Feuil1 (2)"/>
      <sheetName val="Feuil1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C2" t="str">
            <v>Nom</v>
          </cell>
        </row>
        <row r="3">
          <cell r="B3" t="e">
            <v>#REF!</v>
          </cell>
          <cell r="C3" t="e">
            <v>#REF!</v>
          </cell>
        </row>
        <row r="4">
          <cell r="C4" t="e">
            <v>#REF!</v>
          </cell>
        </row>
        <row r="5">
          <cell r="C5" t="e">
            <v>#REF!</v>
          </cell>
        </row>
        <row r="6">
          <cell r="C6" t="e">
            <v>#REF!</v>
          </cell>
        </row>
        <row r="7">
          <cell r="C7" t="e">
            <v>#REF!</v>
          </cell>
        </row>
        <row r="8">
          <cell r="C8" t="e">
            <v>#REF!</v>
          </cell>
        </row>
        <row r="9">
          <cell r="C9" t="e">
            <v>#REF!</v>
          </cell>
        </row>
        <row r="10">
          <cell r="C10" t="e">
            <v>#REF!</v>
          </cell>
        </row>
        <row r="11">
          <cell r="C11" t="e">
            <v>#REF!</v>
          </cell>
        </row>
        <row r="12">
          <cell r="C12" t="e">
            <v>#REF!</v>
          </cell>
        </row>
        <row r="13">
          <cell r="C13" t="e">
            <v>#REF!</v>
          </cell>
        </row>
        <row r="14">
          <cell r="C14" t="e">
            <v>#REF!</v>
          </cell>
        </row>
        <row r="15">
          <cell r="C15" t="e">
            <v>#REF!</v>
          </cell>
        </row>
        <row r="16">
          <cell r="C16" t="e">
            <v>#REF!</v>
          </cell>
        </row>
        <row r="17">
          <cell r="C17" t="e">
            <v>#REF!</v>
          </cell>
        </row>
        <row r="18">
          <cell r="C18" t="e">
            <v>#REF!</v>
          </cell>
        </row>
        <row r="19">
          <cell r="C19" t="e">
            <v>#REF!</v>
          </cell>
        </row>
        <row r="20">
          <cell r="C20" t="e">
            <v>#REF!</v>
          </cell>
        </row>
        <row r="21">
          <cell r="C21" t="e">
            <v>#REF!</v>
          </cell>
        </row>
        <row r="22">
          <cell r="C22" t="e">
            <v>#REF!</v>
          </cell>
        </row>
        <row r="23">
          <cell r="C23" t="e">
            <v>#REF!</v>
          </cell>
        </row>
        <row r="24">
          <cell r="C24" t="e">
            <v>#REF!</v>
          </cell>
        </row>
        <row r="25">
          <cell r="C25" t="e">
            <v>#REF!</v>
          </cell>
        </row>
        <row r="26">
          <cell r="C26" t="e">
            <v>#REF!</v>
          </cell>
        </row>
        <row r="27">
          <cell r="C27" t="e">
            <v>#REF!</v>
          </cell>
        </row>
        <row r="28">
          <cell r="C28" t="e">
            <v>#REF!</v>
          </cell>
        </row>
        <row r="29">
          <cell r="C29" t="e">
            <v>#REF!</v>
          </cell>
        </row>
        <row r="30">
          <cell r="C30" t="e">
            <v>#REF!</v>
          </cell>
        </row>
        <row r="31">
          <cell r="C31" t="e">
            <v>#REF!</v>
          </cell>
        </row>
        <row r="32">
          <cell r="C32" t="e">
            <v>#REF!</v>
          </cell>
        </row>
        <row r="33">
          <cell r="C33" t="e">
            <v>#REF!</v>
          </cell>
        </row>
        <row r="34">
          <cell r="C34" t="e">
            <v>#REF!</v>
          </cell>
        </row>
        <row r="35">
          <cell r="C35" t="e">
            <v>#REF!</v>
          </cell>
        </row>
        <row r="36">
          <cell r="C36" t="e">
            <v>#REF!</v>
          </cell>
        </row>
        <row r="37">
          <cell r="C37" t="e">
            <v>#REF!</v>
          </cell>
        </row>
        <row r="38">
          <cell r="C38" t="e">
            <v>#REF!</v>
          </cell>
        </row>
        <row r="39">
          <cell r="C39" t="e">
            <v>#REF!</v>
          </cell>
        </row>
        <row r="40">
          <cell r="C40" t="e">
            <v>#REF!</v>
          </cell>
        </row>
        <row r="41">
          <cell r="C41" t="e">
            <v>#REF!</v>
          </cell>
        </row>
        <row r="42">
          <cell r="C42" t="str">
            <v>23</v>
          </cell>
        </row>
        <row r="43">
          <cell r="C43" t="str">
            <v>23</v>
          </cell>
        </row>
        <row r="44">
          <cell r="C44" t="str">
            <v>44</v>
          </cell>
        </row>
        <row r="45">
          <cell r="C45" t="str">
            <v>53</v>
          </cell>
        </row>
        <row r="46">
          <cell r="C46" t="str">
            <v>33</v>
          </cell>
        </row>
        <row r="47">
          <cell r="C47" t="str">
            <v>0</v>
          </cell>
        </row>
        <row r="48">
          <cell r="C48" t="str">
            <v>0</v>
          </cell>
        </row>
        <row r="49">
          <cell r="C49" t="str">
            <v/>
          </cell>
        </row>
        <row r="50">
          <cell r="C50" t="str">
            <v/>
          </cell>
        </row>
        <row r="51">
          <cell r="C51" t="str">
            <v/>
          </cell>
        </row>
        <row r="52">
          <cell r="C52" t="str">
            <v/>
          </cell>
        </row>
        <row r="53">
          <cell r="C53" t="str">
            <v/>
          </cell>
        </row>
        <row r="54">
          <cell r="C54" t="str">
            <v/>
          </cell>
        </row>
        <row r="55">
          <cell r="C55" t="str">
            <v/>
          </cell>
        </row>
        <row r="56">
          <cell r="C56" t="str">
            <v/>
          </cell>
        </row>
        <row r="57">
          <cell r="C57" t="str">
            <v/>
          </cell>
        </row>
        <row r="58">
          <cell r="C58" t="str">
            <v/>
          </cell>
        </row>
        <row r="59">
          <cell r="C59" t="str">
            <v/>
          </cell>
        </row>
        <row r="60">
          <cell r="C60" t="str">
            <v/>
          </cell>
        </row>
        <row r="61">
          <cell r="C61" t="str">
            <v/>
          </cell>
        </row>
        <row r="62">
          <cell r="C62" t="str">
            <v/>
          </cell>
        </row>
        <row r="63">
          <cell r="C63" t="str">
            <v/>
          </cell>
        </row>
        <row r="64">
          <cell r="C64" t="str">
            <v/>
          </cell>
        </row>
        <row r="65">
          <cell r="C65" t="str">
            <v/>
          </cell>
        </row>
        <row r="66">
          <cell r="C66" t="str">
            <v/>
          </cell>
        </row>
        <row r="67">
          <cell r="C67" t="str">
            <v/>
          </cell>
        </row>
        <row r="68">
          <cell r="C68" t="str">
            <v/>
          </cell>
        </row>
        <row r="69">
          <cell r="C69" t="str">
            <v/>
          </cell>
        </row>
        <row r="70">
          <cell r="C70" t="str">
            <v/>
          </cell>
        </row>
        <row r="71">
          <cell r="C71" t="str">
            <v/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Risques"/>
      <sheetName val="Actions de maîtrise"/>
      <sheetName val="Plan d'actions détaillé"/>
      <sheetName val="Matrice"/>
      <sheetName val="Listes"/>
      <sheetName val="Matrices Risques"/>
      <sheetName val="Feuil1 (2)"/>
      <sheetName val="Feuil1 (3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C2" t="str">
            <v>Nom</v>
          </cell>
        </row>
        <row r="3">
          <cell r="B3" t="e">
            <v>#REF!</v>
          </cell>
          <cell r="C3" t="e">
            <v>#REF!</v>
          </cell>
        </row>
        <row r="4">
          <cell r="C4" t="e">
            <v>#REF!</v>
          </cell>
        </row>
        <row r="5">
          <cell r="C5" t="e">
            <v>#REF!</v>
          </cell>
        </row>
        <row r="6">
          <cell r="C6" t="e">
            <v>#REF!</v>
          </cell>
        </row>
        <row r="7">
          <cell r="C7" t="e">
            <v>#REF!</v>
          </cell>
        </row>
        <row r="8">
          <cell r="C8" t="e">
            <v>#REF!</v>
          </cell>
        </row>
        <row r="9">
          <cell r="C9" t="e">
            <v>#REF!</v>
          </cell>
        </row>
        <row r="10">
          <cell r="C10" t="e">
            <v>#REF!</v>
          </cell>
        </row>
        <row r="11">
          <cell r="C11" t="e">
            <v>#REF!</v>
          </cell>
        </row>
        <row r="12">
          <cell r="C12" t="e">
            <v>#REF!</v>
          </cell>
        </row>
        <row r="13">
          <cell r="C13" t="e">
            <v>#REF!</v>
          </cell>
        </row>
        <row r="14">
          <cell r="C14" t="str">
            <v/>
          </cell>
        </row>
        <row r="15">
          <cell r="C15" t="str">
            <v/>
          </cell>
        </row>
        <row r="16">
          <cell r="C16" t="e">
            <v>#REF!</v>
          </cell>
        </row>
        <row r="17">
          <cell r="C17" t="e">
            <v>#REF!</v>
          </cell>
        </row>
        <row r="18">
          <cell r="C18" t="e">
            <v>#REF!</v>
          </cell>
        </row>
        <row r="19">
          <cell r="C19" t="e">
            <v>#REF!</v>
          </cell>
        </row>
        <row r="20">
          <cell r="C20" t="e">
            <v>#REF!</v>
          </cell>
        </row>
        <row r="21">
          <cell r="C21" t="e">
            <v>#REF!</v>
          </cell>
        </row>
        <row r="22">
          <cell r="C22" t="e">
            <v>#REF!</v>
          </cell>
        </row>
        <row r="23">
          <cell r="C23" t="e">
            <v>#REF!</v>
          </cell>
        </row>
        <row r="24">
          <cell r="C24" t="str">
            <v/>
          </cell>
        </row>
        <row r="25">
          <cell r="C25" t="str">
            <v/>
          </cell>
        </row>
        <row r="26">
          <cell r="C26" t="e">
            <v>#REF!</v>
          </cell>
        </row>
        <row r="27">
          <cell r="C27" t="str">
            <v/>
          </cell>
        </row>
        <row r="28">
          <cell r="C28" t="str">
            <v/>
          </cell>
        </row>
        <row r="29">
          <cell r="C29" t="str">
            <v/>
          </cell>
        </row>
        <row r="30">
          <cell r="C30" t="str">
            <v/>
          </cell>
        </row>
        <row r="31">
          <cell r="C31" t="str">
            <v/>
          </cell>
        </row>
        <row r="32">
          <cell r="C32" t="str">
            <v/>
          </cell>
        </row>
        <row r="33">
          <cell r="C33" t="str">
            <v/>
          </cell>
        </row>
        <row r="34">
          <cell r="C34" t="str">
            <v/>
          </cell>
        </row>
        <row r="35">
          <cell r="C35" t="str">
            <v/>
          </cell>
        </row>
        <row r="36">
          <cell r="C36" t="str">
            <v/>
          </cell>
        </row>
        <row r="37">
          <cell r="C37" t="str">
            <v/>
          </cell>
        </row>
        <row r="38">
          <cell r="C38" t="str">
            <v/>
          </cell>
        </row>
        <row r="39">
          <cell r="C39" t="str">
            <v/>
          </cell>
        </row>
        <row r="40">
          <cell r="C40" t="str">
            <v/>
          </cell>
        </row>
        <row r="41">
          <cell r="C41" t="str">
            <v/>
          </cell>
        </row>
        <row r="42">
          <cell r="C42" t="str">
            <v/>
          </cell>
        </row>
        <row r="43">
          <cell r="C43" t="str">
            <v/>
          </cell>
        </row>
        <row r="44">
          <cell r="C44" t="e">
            <v>#REF!</v>
          </cell>
        </row>
        <row r="45">
          <cell r="C45" t="str">
            <v/>
          </cell>
        </row>
        <row r="46">
          <cell r="C46" t="str">
            <v/>
          </cell>
        </row>
        <row r="47">
          <cell r="C47" t="str">
            <v/>
          </cell>
        </row>
        <row r="48">
          <cell r="C48" t="str">
            <v/>
          </cell>
        </row>
        <row r="49">
          <cell r="C49" t="str">
            <v/>
          </cell>
        </row>
        <row r="50">
          <cell r="C50" t="str">
            <v/>
          </cell>
        </row>
        <row r="51">
          <cell r="C51" t="str">
            <v/>
          </cell>
        </row>
        <row r="52">
          <cell r="C52" t="str">
            <v/>
          </cell>
        </row>
        <row r="53">
          <cell r="C53" t="str">
            <v/>
          </cell>
        </row>
        <row r="54">
          <cell r="C54" t="str">
            <v/>
          </cell>
        </row>
        <row r="55">
          <cell r="C55" t="str">
            <v/>
          </cell>
        </row>
        <row r="56">
          <cell r="C56" t="str">
            <v/>
          </cell>
        </row>
        <row r="57">
          <cell r="C57" t="str">
            <v/>
          </cell>
        </row>
        <row r="58">
          <cell r="C58" t="str">
            <v/>
          </cell>
        </row>
        <row r="59">
          <cell r="C59" t="str">
            <v/>
          </cell>
        </row>
        <row r="60">
          <cell r="C60" t="str">
            <v/>
          </cell>
        </row>
        <row r="61">
          <cell r="C61" t="str">
            <v/>
          </cell>
        </row>
        <row r="62">
          <cell r="C62" t="str">
            <v/>
          </cell>
        </row>
        <row r="63">
          <cell r="C63" t="str">
            <v/>
          </cell>
        </row>
        <row r="64">
          <cell r="C64" t="str">
            <v/>
          </cell>
        </row>
        <row r="65">
          <cell r="C65" t="str">
            <v/>
          </cell>
        </row>
        <row r="66">
          <cell r="C66" t="str">
            <v/>
          </cell>
        </row>
        <row r="67">
          <cell r="C67" t="str">
            <v/>
          </cell>
        </row>
        <row r="68">
          <cell r="C68" t="str">
            <v/>
          </cell>
        </row>
        <row r="69">
          <cell r="C69" t="str">
            <v/>
          </cell>
        </row>
        <row r="70">
          <cell r="C70" t="str">
            <v/>
          </cell>
        </row>
        <row r="71">
          <cell r="C71" t="str">
            <v/>
          </cell>
        </row>
      </sheetData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ion"/>
      <sheetName val="Interro"/>
    </sheetNames>
    <sheetDataSet>
      <sheetData sheetId="0">
        <row r="1">
          <cell r="C1" t="str">
            <v>R1</v>
          </cell>
          <cell r="D1" t="str">
            <v>R2</v>
          </cell>
          <cell r="E1" t="str">
            <v>R3</v>
          </cell>
          <cell r="F1" t="str">
            <v>R4</v>
          </cell>
          <cell r="G1" t="str">
            <v>R5</v>
          </cell>
          <cell r="H1" t="str">
            <v>R6</v>
          </cell>
          <cell r="I1" t="str">
            <v>R7</v>
          </cell>
          <cell r="J1" t="str">
            <v>R8</v>
          </cell>
          <cell r="K1" t="str">
            <v>R9</v>
          </cell>
        </row>
        <row r="3">
          <cell r="A3" t="str">
            <v>PA1</v>
          </cell>
          <cell r="C3" t="str">
            <v>X</v>
          </cell>
          <cell r="J3" t="str">
            <v>X</v>
          </cell>
        </row>
        <row r="4">
          <cell r="A4" t="str">
            <v>PA2</v>
          </cell>
          <cell r="C4" t="str">
            <v>X</v>
          </cell>
          <cell r="D4" t="str">
            <v>X</v>
          </cell>
          <cell r="I4" t="str">
            <v>X</v>
          </cell>
        </row>
        <row r="5">
          <cell r="A5" t="str">
            <v>PA3</v>
          </cell>
          <cell r="C5" t="str">
            <v>X</v>
          </cell>
          <cell r="F5" t="str">
            <v>X</v>
          </cell>
          <cell r="H5" t="str">
            <v>X</v>
          </cell>
          <cell r="I5" t="str">
            <v>X</v>
          </cell>
        </row>
        <row r="6">
          <cell r="A6" t="str">
            <v>PA4</v>
          </cell>
          <cell r="C6" t="str">
            <v>X</v>
          </cell>
          <cell r="H6" t="str">
            <v>X</v>
          </cell>
        </row>
        <row r="7">
          <cell r="A7" t="str">
            <v>PA5</v>
          </cell>
          <cell r="C7" t="str">
            <v>X</v>
          </cell>
          <cell r="D7" t="str">
            <v>X</v>
          </cell>
          <cell r="K7" t="str">
            <v>X</v>
          </cell>
        </row>
        <row r="9">
          <cell r="A9" t="str">
            <v>.</v>
          </cell>
        </row>
        <row r="10">
          <cell r="A10" t="str">
            <v>.</v>
          </cell>
        </row>
        <row r="11">
          <cell r="A11" t="str">
            <v>..</v>
          </cell>
        </row>
        <row r="12">
          <cell r="A12" t="str">
            <v>.</v>
          </cell>
        </row>
        <row r="14">
          <cell r="A14" t="str">
            <v>.</v>
          </cell>
        </row>
        <row r="15">
          <cell r="A15" t="str">
            <v>..</v>
          </cell>
        </row>
        <row r="17">
          <cell r="A17" t="str">
            <v>..</v>
          </cell>
        </row>
        <row r="19">
          <cell r="A19" t="str">
            <v>.</v>
          </cell>
        </row>
        <row r="20">
          <cell r="A20" t="str">
            <v>.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5:N60" totalsRowShown="0" headerRowDxfId="353" dataDxfId="352" tableBorderDxfId="351">
  <autoFilter ref="B5:N60"/>
  <tableColumns count="13">
    <tableColumn id="1" name="N°de l'action" dataDxfId="350">
      <calculatedColumnFormula>IF((COUNTIF(Matrice!$2:$2,Matrice!$G$1&amp;"-AM"&amp;Listes!A2)=1)=TRUE,Matrice!$G$1&amp;"-AM"&amp;Listes!A2,"")</calculatedColumnFormula>
    </tableColumn>
    <tableColumn id="2" name="Action à mettre en place" dataDxfId="349">
      <calculatedColumnFormula>IF(IF(ISERROR(HLOOKUP(B6,Matrice!$A$2:$DP$100,20,FALSE)),"",HLOOKUP(B6,Matrice!$A$2:$DP$100,20,FALSE))="","",IF(ISERROR(HLOOKUP(B6,Matrice!$A$2:$DP$100,20,FALSE)),"-",HLOOKUP(B6,Matrice!$A$2:$DP$100,20,FALSE)))</calculatedColumnFormula>
    </tableColumn>
    <tableColumn id="3" name="ICOD" dataDxfId="348">
      <calculatedColumnFormula>IF(IF(ISERROR(HLOOKUP(B6,Matrice!$A$2:$DP$100,3,FALSE)),"",HLOOKUP(B6,Matrice!$A$2:$DP$100,3,FALSE))="","",IF(ISERROR(HLOOKUP(B6,Matrice!$A$2:$DP$100,3,FALSE)),"-",HLOOKUP(B6,Matrice!$A$2:$DP$100,3,FALSE)))</calculatedColumnFormula>
    </tableColumn>
    <tableColumn id="4" name="Si D, récupéré?" dataDxfId="347"/>
    <tableColumn id="5" name="Si C, auto ou manuel?" dataDxfId="346">
      <calculatedColumnFormula>IF(ISERROR(HLOOKUP($B6,Matrice!$A$2:$DP$100,4,FALSE)),"",IF(HLOOKUP($B6,Matrice!$A$2:$DP$100,4,FALSE)="","",HLOOKUP($B6,Matrice!$A$2:$DP$100,4,FALSE)))</calculatedColumnFormula>
    </tableColumn>
    <tableColumn id="6" name="Si C, niveau ?" dataDxfId="345">
      <calculatedColumnFormula>IF(ISERROR(HLOOKUP($B6,Matrice!$A$2:$DP$100,5,FALSE)),"",IF(HLOOKUP($B6,Matrice!$A$2:$DP$100,5,FALSE)="","",HLOOKUP($B6,Matrice!$A$2:$DP$100,5,FALSE)))</calculatedColumnFormula>
    </tableColumn>
    <tableColumn id="7" name="Résultat du contrôle?" dataDxfId="344">
      <calculatedColumnFormula>IF(ISERROR(HLOOKUP($B6,Matrice!$A$2:$DP$100,6,FALSE)),"",IF(HLOOKUP($B6,Matrice!$A$2:$DP$100,6,FALSE)="","",HLOOKUP($B6,Matrice!$A$2:$DP$100,6,FALSE)))</calculatedColumnFormula>
    </tableColumn>
    <tableColumn id="8" name="Contrôle exploité ?" dataDxfId="343">
      <calculatedColumnFormula>IF(ISERROR(HLOOKUP($B7,Matrice!$A$2:$DP$100,7,FALSE)),"",IF(HLOOKUP($B7,Matrice!$A$2:$DP$100,7,FALSE)="","",HLOOKUP($B7,Matrice!$A$2:$DP$100,7,FALSE)))</calculatedColumnFormula>
    </tableColumn>
    <tableColumn id="9" name="Action préventive" dataDxfId="342">
      <calculatedColumnFormula>IF(ISERROR(HLOOKUP($B6,Matrice!$A$2:$DP$100,12,FALSE)),"",IF(HLOOKUP($B6,Matrice!$A$2:$DP$100,12,FALSE)="","",HLOOKUP($B6,Matrice!$A$2:$DP$100,12,FALSE)))</calculatedColumnFormula>
    </tableColumn>
    <tableColumn id="10" name="Action protective" dataDxfId="341">
      <calculatedColumnFormula>IF(ISERROR(HLOOKUP($B6,Matrice!$A$2:$DP$100,13,FALSE)),"",IF(HLOOKUP($B6,Matrice!$A$2:$DP$100,13,FALSE)="","",HLOOKUP($B6,Matrice!$A$2:$DP$100,13,FALSE)))</calculatedColumnFormula>
    </tableColumn>
    <tableColumn id="11" name="Diffusion" dataDxfId="340">
      <calculatedColumnFormula>IF(ISERROR(HLOOKUP($B6,Matrice!$A$2:$DP$100,9,FALSE)),"",IF(HLOOKUP($B6,Matrice!$A$2:$DP$100,9,FALSE)="","",HLOOKUP($B6,Matrice!$A$2:$DP$100,9,FALSE)))</calculatedColumnFormula>
    </tableColumn>
    <tableColumn id="12" name="Formalisation" dataDxfId="339">
      <calculatedColumnFormula>IF(ISERROR(HLOOKUP($B6,Matrice!$A$2:$DP$100,10,FALSE)),"",IF(HLOOKUP($B6,Matrice!$A$2:$DP$100,10,FALSE)="","",HLOOKUP($B6,Matrice!$A$2:$DP$100,10,FALSE)))</calculatedColumnFormula>
    </tableColumn>
    <tableColumn id="13" name="Mise en place" dataDxfId="338">
      <calculatedColumnFormula>IF(ISERROR(HLOOKUP($B6,Matrice!$A$2:$DP$100,11,FALSE)),"",IF(HLOOKUP($B6,Matrice!$A$2:$DP$100,11,FALSE)="","",HLOOKUP($B6,Matrice!$A$2:$DP$100,11,FALSE)))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5:S30" totalsRowShown="0" headerRowDxfId="313" dataDxfId="312" tableBorderDxfId="311">
  <autoFilter ref="A5:S30"/>
  <tableColumns count="19">
    <tableColumn id="1" name="N°de l'action" dataDxfId="310">
      <calculatedColumnFormula>IF((COUNTIF(Matrice!$2:$2,Matrice!$G$1&amp;"-PA"&amp;Listes!A2)=1)=TRUE,Matrice!$G$1&amp;"-PA"&amp;Listes!A2,"")</calculatedColumnFormula>
    </tableColumn>
    <tableColumn id="2" name="PR" dataDxfId="309">
      <calculatedColumnFormula>MID(A6,1,3)</calculatedColumnFormula>
    </tableColumn>
    <tableColumn id="3" name="Processus porteur de l'action" dataDxfId="308">
      <calculatedColumnFormula>IF(ISERROR(HLOOKUP($A6,Matrice!$A$2:$DP$100,21,FALSE)),"",(IF(HLOOKUP($A6,Matrice!$A$2:$DP$100,21,FALSE)=0,"",HLOOKUP($A6,Matrice!$A$2:$DP$100,21,FALSE))))</calculatedColumnFormula>
    </tableColumn>
    <tableColumn id="4" name="Action à mettre en place" dataDxfId="307">
      <calculatedColumnFormula>IF(ISERROR(HLOOKUP($A6,Matrice!$A$2:$DP$100,20,FALSE)),"",(IF(HLOOKUP($A6,Matrice!$A$2:$DP$100,20,FALSE)=0,"",HLOOKUP($A6,Matrice!$A$2:$DP$100,20,FALSE))))</calculatedColumnFormula>
    </tableColumn>
    <tableColumn id="5" name="ICOD" dataDxfId="306">
      <calculatedColumnFormula>IF(ISERROR(HLOOKUP($A6,Matrice!$A$2:$DP$100,3,FALSE)),"",(IF(HLOOKUP($A6,Matrice!$A$2:$DP$100,3,FALSE)=0,"",HLOOKUP($A6,Matrice!$A$2:$DP$100,3,FALSE))))</calculatedColumnFormula>
    </tableColumn>
    <tableColumn id="6" name="Statut" dataDxfId="305">
      <calculatedColumnFormula>IF(ISERROR(HLOOKUP($A6,Matrice!$A$2:$DP$100,2,FALSE)),"",(IF(HLOOKUP($A6,Matrice!$A$2:$DP$100,3,FALSE)=0,"",HLOOKUP($A6,Matrice!$A$2:$DP$100,2,FALSE))))</calculatedColumnFormula>
    </tableColumn>
    <tableColumn id="7" name="Origine" dataDxfId="304"/>
    <tableColumn id="8" name="Date d'ouverture" dataDxfId="303"/>
    <tableColumn id="9" name="Description /, étapes de mise en place…" dataDxfId="302"/>
    <tableColumn id="10" name="Objectif à atteindre" dataDxfId="301"/>
    <tableColumn id="11" name="Responsable de la réalisation " dataDxfId="300"/>
    <tableColumn id="12" name="Contributeurs" dataDxfId="299"/>
    <tableColumn id="13" name="Priorité de 1 _x000a_(faible) à 4 _x000a_(forte)" dataDxfId="298"/>
    <tableColumn id="14" name="Type d'action" dataDxfId="297"/>
    <tableColumn id="15" name="Date de réalisation cible" dataDxfId="296"/>
    <tableColumn id="16" name="Charge estimée_x000a_(en JH ou en durée pour un Contrôle)" dataDxfId="295"/>
    <tableColumn id="17" name="Suivi" dataDxfId="294"/>
    <tableColumn id="18" name="Efficacité" dataDxfId="293"/>
    <tableColumn id="19" name="Date de clôture" dataDxfId="29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  <pageSetUpPr fitToPage="1"/>
  </sheetPr>
  <dimension ref="B1:AM49"/>
  <sheetViews>
    <sheetView showGridLines="0" zoomScale="85" zoomScaleNormal="85" zoomScaleSheetLayoutView="85" zoomScalePageLayoutView="55" workbookViewId="0">
      <selection activeCell="C7" sqref="C7:E7"/>
    </sheetView>
  </sheetViews>
  <sheetFormatPr baseColWidth="10" defaultRowHeight="12.75" x14ac:dyDescent="0.2"/>
  <cols>
    <col min="1" max="1" width="1.6640625" style="1" customWidth="1"/>
    <col min="2" max="2" width="3.1640625" style="1" customWidth="1"/>
    <col min="3" max="3" width="23.83203125" style="1" customWidth="1"/>
    <col min="4" max="4" width="8.6640625" style="1" customWidth="1"/>
    <col min="5" max="5" width="8.33203125" style="1" customWidth="1"/>
    <col min="6" max="6" width="20.5" style="1" customWidth="1"/>
    <col min="7" max="7" width="2.1640625" style="1" customWidth="1"/>
    <col min="8" max="8" width="1.6640625" style="1" customWidth="1"/>
    <col min="9" max="9" width="29.5" style="1" customWidth="1"/>
    <col min="10" max="10" width="10.5" style="1" customWidth="1"/>
    <col min="11" max="11" width="12.83203125" style="1" customWidth="1"/>
    <col min="12" max="12" width="1.83203125" style="1" customWidth="1"/>
    <col min="13" max="13" width="23.5" style="1" customWidth="1"/>
    <col min="14" max="15" width="2" style="1" customWidth="1"/>
    <col min="16" max="16" width="30.6640625" style="1" customWidth="1"/>
    <col min="17" max="18" width="12" style="1"/>
    <col min="19" max="19" width="23.33203125" style="1" customWidth="1"/>
    <col min="20" max="20" width="2.5" style="1" customWidth="1"/>
    <col min="21" max="21" width="12" style="1"/>
    <col min="22" max="22" width="57.33203125" style="1" customWidth="1"/>
    <col min="23" max="16384" width="12" style="1"/>
  </cols>
  <sheetData>
    <row r="1" spans="2:38" ht="9" customHeight="1" x14ac:dyDescent="0.2"/>
    <row r="2" spans="2:38" ht="30" customHeight="1" x14ac:dyDescent="0.2">
      <c r="B2" s="441" t="str">
        <f>"TABLEAU DE BORD - PROCESSUS "&amp;Matrice!G1</f>
        <v>TABLEAU DE BORD - PROCESSUS DI2</v>
      </c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</row>
    <row r="3" spans="2:38" s="2" customFormat="1" ht="21" customHeight="1" thickBot="1" x14ac:dyDescent="0.25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2:38" ht="15.75" customHeight="1" thickBot="1" x14ac:dyDescent="0.25">
      <c r="B4" s="438" t="s">
        <v>81</v>
      </c>
      <c r="C4" s="439"/>
      <c r="D4" s="439"/>
      <c r="E4" s="439"/>
      <c r="F4" s="440"/>
      <c r="H4" s="462" t="s">
        <v>46</v>
      </c>
      <c r="I4" s="463"/>
      <c r="J4" s="463"/>
      <c r="K4" s="463"/>
      <c r="L4" s="463"/>
      <c r="M4" s="464"/>
      <c r="O4" s="468" t="s">
        <v>48</v>
      </c>
      <c r="P4" s="469"/>
      <c r="Q4" s="469"/>
      <c r="R4" s="469"/>
      <c r="S4" s="470"/>
      <c r="V4" s="52"/>
      <c r="W4" s="52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</row>
    <row r="5" spans="2:38" x14ac:dyDescent="0.2">
      <c r="B5" s="231"/>
      <c r="C5" s="232"/>
      <c r="D5" s="232"/>
      <c r="E5" s="232"/>
      <c r="F5" s="233"/>
      <c r="H5" s="235"/>
      <c r="I5" s="232"/>
      <c r="J5" s="232"/>
      <c r="K5" s="232"/>
      <c r="L5" s="232"/>
      <c r="M5" s="236"/>
      <c r="N5" s="3"/>
      <c r="O5" s="239"/>
      <c r="P5" s="232"/>
      <c r="Q5" s="232"/>
      <c r="R5" s="232"/>
      <c r="S5" s="240"/>
    </row>
    <row r="6" spans="2:38" ht="15.75" customHeight="1" x14ac:dyDescent="0.2">
      <c r="B6" s="231"/>
      <c r="C6" s="445" t="s">
        <v>3</v>
      </c>
      <c r="D6" s="446"/>
      <c r="E6" s="447"/>
      <c r="F6" s="233"/>
      <c r="H6" s="235"/>
      <c r="I6" s="451" t="s">
        <v>8</v>
      </c>
      <c r="J6" s="452"/>
      <c r="K6" s="453"/>
      <c r="L6" s="237"/>
      <c r="M6" s="236"/>
      <c r="N6" s="3"/>
      <c r="O6" s="239"/>
      <c r="P6" s="442" t="s">
        <v>5</v>
      </c>
      <c r="Q6" s="443"/>
      <c r="R6" s="444"/>
      <c r="S6" s="240"/>
      <c r="X6" s="459"/>
      <c r="Y6" s="459"/>
      <c r="Z6" s="459"/>
      <c r="AA6" s="5"/>
      <c r="AB6" s="5"/>
      <c r="AC6" s="5"/>
      <c r="AD6" s="459"/>
      <c r="AE6" s="460"/>
      <c r="AF6" s="460"/>
      <c r="AG6" s="50"/>
      <c r="AH6" s="5"/>
      <c r="AI6" s="5"/>
      <c r="AJ6" s="5"/>
      <c r="AK6" s="459"/>
      <c r="AL6" s="459"/>
    </row>
    <row r="7" spans="2:38" ht="27" customHeight="1" x14ac:dyDescent="0.2">
      <c r="B7" s="231"/>
      <c r="C7" s="448">
        <f>COUNTA(Matrice!D23:D98)</f>
        <v>3</v>
      </c>
      <c r="D7" s="449"/>
      <c r="E7" s="450"/>
      <c r="F7" s="233"/>
      <c r="H7" s="235"/>
      <c r="I7" s="454">
        <f>COUNTIF(Matrice!3:3,"En place")</f>
        <v>0</v>
      </c>
      <c r="J7" s="455"/>
      <c r="K7" s="456"/>
      <c r="L7" s="238"/>
      <c r="M7" s="236"/>
      <c r="N7" s="3"/>
      <c r="O7" s="239"/>
      <c r="P7" s="465" t="str">
        <f>COUNTIF(Matrice!3:3,"En cours")+COUNTIF(Matrice!3:3,"A initier")&amp;" dont "&amp;COUNTIF(Matrice!3:3,"En attente")&amp;" en attente de réalisation au sein d'un autre processus"</f>
        <v>0 dont 0 en attente de réalisation au sein d'un autre processus</v>
      </c>
      <c r="Q7" s="466"/>
      <c r="R7" s="467"/>
      <c r="S7" s="240"/>
      <c r="X7" s="460"/>
      <c r="Y7" s="460"/>
      <c r="Z7" s="460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2:38" ht="13.5" customHeight="1" x14ac:dyDescent="0.2">
      <c r="B8" s="231"/>
      <c r="C8" s="232"/>
      <c r="D8" s="232"/>
      <c r="E8" s="232"/>
      <c r="F8" s="233"/>
      <c r="H8" s="235"/>
      <c r="I8" s="234"/>
      <c r="J8" s="234"/>
      <c r="K8" s="234"/>
      <c r="L8" s="234"/>
      <c r="M8" s="236"/>
      <c r="N8" s="3"/>
      <c r="O8" s="239"/>
      <c r="P8" s="232"/>
      <c r="Q8" s="232"/>
      <c r="R8" s="232"/>
      <c r="S8" s="240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spans="2:38" ht="16.5" customHeight="1" x14ac:dyDescent="0.2">
      <c r="B9" s="231"/>
      <c r="C9" s="457" t="s">
        <v>67</v>
      </c>
      <c r="D9" s="457"/>
      <c r="E9" s="457"/>
      <c r="F9" s="233"/>
      <c r="H9" s="235"/>
      <c r="I9" s="471" t="s">
        <v>18</v>
      </c>
      <c r="J9" s="471"/>
      <c r="K9" s="471"/>
      <c r="L9" s="232"/>
      <c r="M9" s="236"/>
      <c r="N9" s="3"/>
      <c r="O9" s="239"/>
      <c r="P9" s="458" t="s">
        <v>66</v>
      </c>
      <c r="Q9" s="458"/>
      <c r="R9" s="458"/>
      <c r="S9" s="240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2:38" ht="13.5" customHeight="1" x14ac:dyDescent="0.2">
      <c r="B10" s="231"/>
      <c r="C10" s="445" t="s">
        <v>17</v>
      </c>
      <c r="D10" s="446"/>
      <c r="E10" s="447"/>
      <c r="F10" s="233"/>
      <c r="H10" s="235"/>
      <c r="I10" s="158" t="s">
        <v>17</v>
      </c>
      <c r="J10" s="159"/>
      <c r="K10" s="160"/>
      <c r="L10" s="232"/>
      <c r="M10" s="236"/>
      <c r="N10" s="3"/>
      <c r="O10" s="239"/>
      <c r="P10" s="167" t="s">
        <v>17</v>
      </c>
      <c r="Q10" s="168"/>
      <c r="R10" s="169"/>
      <c r="S10" s="240"/>
      <c r="X10" s="459"/>
      <c r="Y10" s="459"/>
      <c r="Z10" s="459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spans="2:38" ht="13.5" customHeight="1" x14ac:dyDescent="0.2">
      <c r="B11" s="231"/>
      <c r="C11" s="40" t="s">
        <v>197</v>
      </c>
      <c r="D11" s="41">
        <f>COUNTIF(Matrice!$P$23:$P$100,'Tableau de bord'!C11)</f>
        <v>0</v>
      </c>
      <c r="E11" s="42" t="str">
        <f>IF(D11&lt;&gt;0,D11/SUM($D$11:$D$15),"")</f>
        <v/>
      </c>
      <c r="F11" s="233"/>
      <c r="H11" s="235"/>
      <c r="I11" s="161" t="s">
        <v>197</v>
      </c>
      <c r="J11" s="41">
        <f>COUNTIF(Matrice!$BZ$23:$BZ$100,'Tableau de bord'!I11)</f>
        <v>0</v>
      </c>
      <c r="K11" s="162" t="str">
        <f>IF(J11&lt;&gt;0,J11/SUM($J$11:$J$15),"")</f>
        <v/>
      </c>
      <c r="L11" s="232"/>
      <c r="M11" s="236"/>
      <c r="N11" s="3"/>
      <c r="O11" s="239"/>
      <c r="P11" s="170" t="s">
        <v>197</v>
      </c>
      <c r="Q11" s="41">
        <f>COUNTIF(Matrice!$DE$23:$DE$100,'Tableau de bord'!I11)</f>
        <v>0</v>
      </c>
      <c r="R11" s="171" t="str">
        <f>IF(Q11&lt;&gt;0,Q11/SUM($J$11:$J$15),"")</f>
        <v/>
      </c>
      <c r="S11" s="240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2:38" ht="13.5" customHeight="1" x14ac:dyDescent="0.2">
      <c r="B12" s="231"/>
      <c r="C12" s="37" t="s">
        <v>198</v>
      </c>
      <c r="D12" s="36">
        <f>COUNTIF(Matrice!$P$23:$P$100,'Tableau de bord'!C12)</f>
        <v>0</v>
      </c>
      <c r="E12" s="42" t="str">
        <f>IF(D12&lt;&gt;0,D12/SUM($D$11:$D$15),"")</f>
        <v/>
      </c>
      <c r="F12" s="233"/>
      <c r="H12" s="235"/>
      <c r="I12" s="163" t="s">
        <v>198</v>
      </c>
      <c r="J12" s="41">
        <f>COUNTIF(Matrice!$BZ$23:$BZ$100,'Tableau de bord'!I12)</f>
        <v>0</v>
      </c>
      <c r="K12" s="162" t="str">
        <f>IF(J12&lt;&gt;0,J12/SUM($J$11:$J$15),"")</f>
        <v/>
      </c>
      <c r="L12" s="232"/>
      <c r="M12" s="236"/>
      <c r="N12" s="3"/>
      <c r="O12" s="239"/>
      <c r="P12" s="172" t="s">
        <v>198</v>
      </c>
      <c r="Q12" s="41">
        <f>COUNTIF(Matrice!$DE$23:$DE$100,'Tableau de bord'!I12)</f>
        <v>0</v>
      </c>
      <c r="R12" s="171" t="str">
        <f>IF(Q12&lt;&gt;0,Q12/SUM($J$11:$J$15),"")</f>
        <v/>
      </c>
      <c r="S12" s="240"/>
      <c r="X12" s="5"/>
      <c r="Y12" s="5"/>
      <c r="Z12" s="5"/>
      <c r="AA12" s="5"/>
      <c r="AB12" s="5"/>
      <c r="AC12" s="5"/>
      <c r="AD12" s="459"/>
      <c r="AE12" s="459"/>
      <c r="AF12" s="459"/>
      <c r="AG12" s="51"/>
      <c r="AH12" s="5"/>
      <c r="AI12" s="5"/>
      <c r="AJ12" s="5"/>
      <c r="AK12" s="5"/>
      <c r="AL12" s="5"/>
    </row>
    <row r="13" spans="2:38" ht="13.5" customHeight="1" x14ac:dyDescent="0.2">
      <c r="B13" s="231"/>
      <c r="C13" s="38" t="s">
        <v>199</v>
      </c>
      <c r="D13" s="36">
        <f>COUNTIF(Matrice!$P$23:$P$100,'Tableau de bord'!C13)</f>
        <v>0</v>
      </c>
      <c r="E13" s="42" t="str">
        <f>IF(D13&lt;&gt;0,D13/SUM($D$11:$D$15),"")</f>
        <v/>
      </c>
      <c r="F13" s="233"/>
      <c r="H13" s="235"/>
      <c r="I13" s="164" t="s">
        <v>199</v>
      </c>
      <c r="J13" s="41">
        <f>COUNTIF(Matrice!$BZ$23:$BZ$100,'Tableau de bord'!I13)</f>
        <v>0</v>
      </c>
      <c r="K13" s="162" t="str">
        <f>IF(J13&lt;&gt;0,J13/SUM($J$11:$J$15),"")</f>
        <v/>
      </c>
      <c r="L13" s="232"/>
      <c r="M13" s="236"/>
      <c r="N13" s="3"/>
      <c r="O13" s="239"/>
      <c r="P13" s="173" t="s">
        <v>199</v>
      </c>
      <c r="Q13" s="41">
        <f>COUNTIF(Matrice!$DE$23:$DE$100,'Tableau de bord'!I13)</f>
        <v>0</v>
      </c>
      <c r="R13" s="171" t="str">
        <f>IF(Q13&lt;&gt;0,Q13/SUM($J$11:$J$15),"")</f>
        <v/>
      </c>
      <c r="S13" s="240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2:38" ht="13.5" customHeight="1" x14ac:dyDescent="0.2">
      <c r="B14" s="231"/>
      <c r="C14" s="39" t="s">
        <v>200</v>
      </c>
      <c r="D14" s="36">
        <f>COUNTIF(Matrice!$P$23:$P$100,'Tableau de bord'!C14)</f>
        <v>0</v>
      </c>
      <c r="E14" s="42" t="str">
        <f>IF(D14&lt;&gt;0,D14/SUM($D$11:$D$15),"")</f>
        <v/>
      </c>
      <c r="F14" s="233"/>
      <c r="H14" s="235"/>
      <c r="I14" s="165" t="s">
        <v>200</v>
      </c>
      <c r="J14" s="41">
        <f>COUNTIF(Matrice!$BZ$23:$BZ$100,'Tableau de bord'!I14)</f>
        <v>0</v>
      </c>
      <c r="K14" s="162" t="str">
        <f>IF(J14&lt;&gt;0,J14/SUM($J$11:$J$15),"")</f>
        <v/>
      </c>
      <c r="L14" s="232"/>
      <c r="M14" s="236"/>
      <c r="O14" s="239"/>
      <c r="P14" s="174" t="s">
        <v>200</v>
      </c>
      <c r="Q14" s="41">
        <f>COUNTIF(Matrice!$DE$23:$DE$100,'Tableau de bord'!I14)</f>
        <v>0</v>
      </c>
      <c r="R14" s="171" t="str">
        <f>IF(Q14&lt;&gt;0,Q14/SUM($J$11:$J$15),"")</f>
        <v/>
      </c>
      <c r="S14" s="240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2:38" ht="14.25" customHeight="1" x14ac:dyDescent="0.2">
      <c r="B15" s="231"/>
      <c r="C15" s="183" t="s">
        <v>201</v>
      </c>
      <c r="D15" s="184">
        <f>COUNTIF(Matrice!$P$23:$P$100,'Tableau de bord'!C15)</f>
        <v>0</v>
      </c>
      <c r="E15" s="185" t="str">
        <f>IF(D15&lt;&gt;0,D15/SUM($D$11:$D$15),"")</f>
        <v/>
      </c>
      <c r="F15" s="233"/>
      <c r="H15" s="235"/>
      <c r="I15" s="166" t="s">
        <v>201</v>
      </c>
      <c r="J15" s="219">
        <f>COUNTIF(Matrice!$BZ$23:$BZ$100,'Tableau de bord'!I15)</f>
        <v>0</v>
      </c>
      <c r="K15" s="220" t="str">
        <f>IF(J15&lt;&gt;0,J15/SUM($J$11:$J$15),"")</f>
        <v/>
      </c>
      <c r="L15" s="232"/>
      <c r="M15" s="236"/>
      <c r="O15" s="239"/>
      <c r="P15" s="175" t="s">
        <v>201</v>
      </c>
      <c r="Q15" s="252">
        <f>COUNTIF(Matrice!$DE$23:$DE$100,'Tableau de bord'!I15)</f>
        <v>0</v>
      </c>
      <c r="R15" s="176" t="str">
        <f>IF(Q15&lt;&gt;0,Q15/SUM($J$11:$J$15),"")</f>
        <v/>
      </c>
      <c r="S15" s="240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2:38" ht="11.25" customHeight="1" x14ac:dyDescent="0.2">
      <c r="B16" s="231"/>
      <c r="C16" s="234"/>
      <c r="D16" s="234"/>
      <c r="E16" s="234"/>
      <c r="F16" s="233"/>
      <c r="H16" s="235"/>
      <c r="I16" s="232"/>
      <c r="J16" s="232"/>
      <c r="K16" s="232"/>
      <c r="L16" s="232"/>
      <c r="M16" s="236"/>
      <c r="O16" s="239"/>
      <c r="P16" s="234"/>
      <c r="Q16" s="251"/>
      <c r="R16" s="234"/>
      <c r="S16" s="240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2:39" ht="10.5" customHeight="1" x14ac:dyDescent="0.2">
      <c r="B17" s="228"/>
      <c r="C17" s="229"/>
      <c r="D17" s="229"/>
      <c r="E17" s="229"/>
      <c r="F17" s="230"/>
      <c r="H17" s="225"/>
      <c r="I17" s="226"/>
      <c r="J17" s="226"/>
      <c r="K17" s="226"/>
      <c r="L17" s="226"/>
      <c r="M17" s="227"/>
      <c r="O17" s="222"/>
      <c r="P17" s="223"/>
      <c r="Q17" s="223"/>
      <c r="R17" s="223"/>
      <c r="S17" s="224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2:39" ht="12" customHeight="1" x14ac:dyDescent="0.2">
      <c r="B18" s="43"/>
      <c r="F18" s="44"/>
      <c r="H18" s="62"/>
      <c r="I18" s="3"/>
      <c r="J18" s="3"/>
      <c r="K18" s="3"/>
      <c r="L18" s="3"/>
      <c r="M18" s="63"/>
      <c r="O18" s="67"/>
      <c r="S18" s="68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2:39" ht="12" customHeight="1" x14ac:dyDescent="0.2">
      <c r="B19" s="43"/>
      <c r="C19" s="32" t="s">
        <v>4</v>
      </c>
      <c r="D19" s="33"/>
      <c r="E19" s="34"/>
      <c r="F19" s="44"/>
      <c r="H19" s="62"/>
      <c r="I19" s="353" t="s">
        <v>47</v>
      </c>
      <c r="J19" s="144"/>
      <c r="K19" s="145"/>
      <c r="L19" s="150"/>
      <c r="M19" s="63"/>
      <c r="O19" s="67"/>
      <c r="P19" s="442" t="s">
        <v>6</v>
      </c>
      <c r="Q19" s="443"/>
      <c r="R19" s="444"/>
      <c r="S19" s="68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2:39" x14ac:dyDescent="0.2">
      <c r="B20" s="43"/>
      <c r="C20" s="216" t="s">
        <v>194</v>
      </c>
      <c r="D20" s="217">
        <f>COUNTIF(Matrice!$I$23:$I$100,Listes!AA4)</f>
        <v>0</v>
      </c>
      <c r="E20" s="218" t="str">
        <f>IF(D20&lt;&gt;0,D20/(($D$20+$D$21+$D$22)),"")</f>
        <v/>
      </c>
      <c r="F20" s="44"/>
      <c r="H20" s="62"/>
      <c r="I20" s="59" t="s">
        <v>9</v>
      </c>
      <c r="J20" s="55">
        <f>COUNTIFS(Matrice!$T$3:$DP$3,"En place",Matrice!$T$4:$DP$4,"I")</f>
        <v>0</v>
      </c>
      <c r="K20" s="49" t="str">
        <f>IF(J20&lt;&gt;0,J20/(SUM($J$20:$J$23)),"")</f>
        <v/>
      </c>
      <c r="L20" s="56"/>
      <c r="M20" s="63"/>
      <c r="O20" s="67"/>
      <c r="P20" s="73">
        <v>1</v>
      </c>
      <c r="Q20" s="55">
        <f>COUNTIF('Plan d''actions détaillé'!$M$6:$M$611,'Tableau de bord'!P20)</f>
        <v>0</v>
      </c>
      <c r="R20" s="74" t="str">
        <f>IF(Q20&lt;&gt;0,Q20/(COUNTIF(Matrice!$3:$3,"En cours")+COUNTIF(Matrice!$3:$3,"A initier")),"")</f>
        <v/>
      </c>
      <c r="S20" s="68"/>
    </row>
    <row r="21" spans="2:39" ht="12" customHeight="1" x14ac:dyDescent="0.2">
      <c r="B21" s="43"/>
      <c r="C21" s="212" t="s">
        <v>195</v>
      </c>
      <c r="D21" s="210">
        <f>COUNTIF(Matrice!$I$23:$I$100,Listes!AA5)</f>
        <v>0</v>
      </c>
      <c r="E21" s="211" t="str">
        <f>IF(D21&lt;&gt;0,D21/(($D$20+$D$21+$D$22)),"")</f>
        <v/>
      </c>
      <c r="F21" s="44"/>
      <c r="H21" s="62"/>
      <c r="I21" s="59" t="s">
        <v>10</v>
      </c>
      <c r="J21" s="55">
        <f>COUNTIFS(Matrice!$T$3:$DP$3,"En place",Matrice!$T$4:$DP$4,"C")</f>
        <v>0</v>
      </c>
      <c r="K21" s="49" t="str">
        <f>IF(J21&lt;&gt;0,J21/(SUM($J$20:$J$23)),"")</f>
        <v/>
      </c>
      <c r="L21" s="56"/>
      <c r="M21" s="63"/>
      <c r="O21" s="67"/>
      <c r="P21" s="73">
        <v>2</v>
      </c>
      <c r="Q21" s="55">
        <f>COUNTIF('Plan d''actions détaillé'!$M$6:$M$611,'Tableau de bord'!P21)</f>
        <v>0</v>
      </c>
      <c r="R21" s="74" t="str">
        <f>IF(Q21&lt;&gt;0,Q21/(COUNTIF(Matrice!$3:$3,"En cours")+COUNTIF(Matrice!$3:$3,"A initier")),"")</f>
        <v/>
      </c>
      <c r="S21" s="68"/>
    </row>
    <row r="22" spans="2:39" x14ac:dyDescent="0.2">
      <c r="B22" s="43"/>
      <c r="C22" s="213" t="s">
        <v>196</v>
      </c>
      <c r="D22" s="214">
        <f>COUNTIF(Matrice!$I$23:$I$100,Listes!AA6)</f>
        <v>0</v>
      </c>
      <c r="E22" s="215" t="str">
        <f>IF(D22&lt;&gt;0,D22/(($D$20+$D$21+$D$22)),"")</f>
        <v/>
      </c>
      <c r="F22" s="44"/>
      <c r="H22" s="62"/>
      <c r="I22" s="60" t="s">
        <v>11</v>
      </c>
      <c r="J22" s="55">
        <f>COUNTIFS(Matrice!$T$3:$DP$3,"En place",Matrice!$T$4:$DP$4,"O")</f>
        <v>0</v>
      </c>
      <c r="K22" s="49" t="str">
        <f>IF(J22&lt;&gt;0,J22/(SUM($J$20:$J$23)),"")</f>
        <v/>
      </c>
      <c r="L22" s="56"/>
      <c r="M22" s="63"/>
      <c r="O22" s="67"/>
      <c r="P22" s="75">
        <v>3</v>
      </c>
      <c r="Q22" s="55">
        <f>COUNTIF('Plan d''actions détaillé'!$M$6:$M$611,'Tableau de bord'!P22)</f>
        <v>0</v>
      </c>
      <c r="R22" s="74" t="str">
        <f>IF(Q22&lt;&gt;0,Q22/(COUNTIF(Matrice!$3:$3,"En cours")+COUNTIF(Matrice!$3:$3,"A initier")),"")</f>
        <v/>
      </c>
      <c r="S22" s="68"/>
    </row>
    <row r="23" spans="2:39" x14ac:dyDescent="0.2">
      <c r="B23" s="43"/>
      <c r="C23" s="3"/>
      <c r="D23" s="3"/>
      <c r="E23" s="3"/>
      <c r="F23" s="44"/>
      <c r="H23" s="62"/>
      <c r="I23" s="61" t="s">
        <v>12</v>
      </c>
      <c r="J23" s="58">
        <f>COUNTIFS(Matrice!$T$3:$DP$3,"En place",Matrice!$T$4:$DP$4,"D")</f>
        <v>0</v>
      </c>
      <c r="K23" s="48" t="str">
        <f>IF(J23&lt;&gt;0,J23/(SUM($J$20:$J$23)),"")</f>
        <v/>
      </c>
      <c r="L23" s="56"/>
      <c r="M23" s="63"/>
      <c r="O23" s="67"/>
      <c r="P23" s="76">
        <v>4</v>
      </c>
      <c r="Q23" s="77">
        <f>COUNTIF('Plan d''actions détaillé'!$M$6:$M$611,'Tableau de bord'!P23)</f>
        <v>0</v>
      </c>
      <c r="R23" s="78" t="str">
        <f>IF(Q23&lt;&gt;0,Q23/(COUNTIF(Matrice!$3:$3,"En cours")+COUNTIF(Matrice!$3:$3,"A initier")),"")</f>
        <v/>
      </c>
      <c r="S23" s="68"/>
    </row>
    <row r="24" spans="2:39" ht="14.25" customHeight="1" x14ac:dyDescent="0.2">
      <c r="B24" s="43"/>
      <c r="C24" s="3"/>
      <c r="D24" s="3"/>
      <c r="E24" s="3"/>
      <c r="F24" s="44"/>
      <c r="H24" s="62"/>
      <c r="I24" s="206"/>
      <c r="J24" s="55"/>
      <c r="K24" s="207"/>
      <c r="L24" s="5"/>
      <c r="M24" s="63"/>
      <c r="O24" s="67"/>
      <c r="P24" s="3"/>
      <c r="Q24" s="3"/>
      <c r="R24" s="3"/>
      <c r="S24" s="68"/>
      <c r="V24" s="461"/>
      <c r="W24" s="461"/>
      <c r="X24" s="461"/>
      <c r="Y24" s="461"/>
      <c r="Z24" s="461"/>
      <c r="AA24" s="461"/>
      <c r="AB24" s="461"/>
      <c r="AC24" s="461"/>
      <c r="AD24" s="461"/>
      <c r="AE24" s="461"/>
      <c r="AF24" s="461"/>
      <c r="AG24" s="461"/>
      <c r="AH24" s="461"/>
      <c r="AI24" s="461"/>
      <c r="AJ24" s="461"/>
      <c r="AK24" s="461"/>
      <c r="AL24" s="461"/>
      <c r="AM24" s="5"/>
    </row>
    <row r="25" spans="2:39" ht="12.75" customHeight="1" x14ac:dyDescent="0.2">
      <c r="B25" s="43"/>
      <c r="F25" s="44"/>
      <c r="H25" s="62"/>
      <c r="I25" s="205" t="s">
        <v>202</v>
      </c>
      <c r="J25" s="144"/>
      <c r="K25" s="145"/>
      <c r="L25" s="150"/>
      <c r="M25" s="63"/>
      <c r="O25" s="67"/>
      <c r="P25" s="442" t="s">
        <v>7</v>
      </c>
      <c r="Q25" s="443"/>
      <c r="R25" s="444"/>
      <c r="S25" s="68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</row>
    <row r="26" spans="2:39" x14ac:dyDescent="0.2">
      <c r="B26" s="43"/>
      <c r="F26" s="44"/>
      <c r="H26" s="62"/>
      <c r="I26" s="59" t="s">
        <v>34</v>
      </c>
      <c r="J26" s="55">
        <f>COUNTIF('Actions de maîtrise'!L:L,"X")</f>
        <v>0</v>
      </c>
      <c r="K26" s="49" t="str">
        <f>IF($I$7&lt;&gt;0,J26/$I$7,"")</f>
        <v/>
      </c>
      <c r="L26" s="56"/>
      <c r="M26" s="63"/>
      <c r="O26" s="67"/>
      <c r="P26" s="73" t="s">
        <v>225</v>
      </c>
      <c r="Q26" s="55">
        <f>COUNTIF('Plan d''actions détaillé'!$Q$6:$Q$611,'Tableau de bord'!P26)</f>
        <v>0</v>
      </c>
      <c r="R26" s="74" t="str">
        <f>IF(Q26&lt;&gt;0,Q26/(COUNTIF(Matrice!$3:$3,"En cours")+COUNTIF(Matrice!$3:$3,"A initier")),"")</f>
        <v/>
      </c>
      <c r="S26" s="68"/>
      <c r="V26" s="5"/>
      <c r="W26" s="5"/>
      <c r="X26" s="459"/>
      <c r="Y26" s="459"/>
      <c r="Z26" s="459"/>
      <c r="AA26" s="5"/>
      <c r="AB26" s="5"/>
      <c r="AC26" s="5"/>
      <c r="AD26" s="459"/>
      <c r="AE26" s="459"/>
      <c r="AF26" s="459"/>
      <c r="AG26" s="51"/>
      <c r="AH26" s="5"/>
      <c r="AI26" s="5"/>
      <c r="AJ26" s="5"/>
      <c r="AK26" s="459"/>
      <c r="AL26" s="459"/>
      <c r="AM26" s="5"/>
    </row>
    <row r="27" spans="2:39" x14ac:dyDescent="0.2">
      <c r="B27" s="43"/>
      <c r="F27" s="44"/>
      <c r="H27" s="62"/>
      <c r="I27" s="60" t="s">
        <v>39</v>
      </c>
      <c r="J27" s="55">
        <f>COUNTIF('Actions de maîtrise'!M:M,"X")</f>
        <v>0</v>
      </c>
      <c r="K27" s="49" t="str">
        <f t="shared" ref="K27:K28" si="0">IF($I$7&lt;&gt;0,J27/$I$7,"")</f>
        <v/>
      </c>
      <c r="L27" s="56"/>
      <c r="M27" s="63"/>
      <c r="O27" s="67"/>
      <c r="P27" s="75" t="s">
        <v>226</v>
      </c>
      <c r="Q27" s="55">
        <f>COUNTIF('Plan d''actions détaillé'!$Q$6:$Q$611,'Tableau de bord'!P27)</f>
        <v>0</v>
      </c>
      <c r="R27" s="74" t="str">
        <f>IF(Q27&lt;&gt;0,Q27/(COUNTIF(Matrice!$3:$3,"En cours")+COUNTIF(Matrice!$3:$3,"A initier")),"")</f>
        <v/>
      </c>
      <c r="S27" s="68"/>
      <c r="V27" s="5"/>
      <c r="W27" s="5"/>
      <c r="X27" s="460"/>
      <c r="Y27" s="460"/>
      <c r="Z27" s="460"/>
      <c r="AA27" s="5"/>
      <c r="AB27" s="5"/>
      <c r="AC27" s="5"/>
      <c r="AD27" s="54"/>
      <c r="AE27" s="54"/>
      <c r="AF27" s="54"/>
      <c r="AG27" s="54"/>
      <c r="AH27" s="5"/>
      <c r="AI27" s="5"/>
      <c r="AJ27" s="5"/>
      <c r="AK27" s="5"/>
      <c r="AL27" s="5"/>
      <c r="AM27" s="5"/>
    </row>
    <row r="28" spans="2:39" ht="12.75" customHeight="1" x14ac:dyDescent="0.2">
      <c r="B28" s="43"/>
      <c r="F28" s="44"/>
      <c r="H28" s="62"/>
      <c r="I28" s="61" t="s">
        <v>35</v>
      </c>
      <c r="J28" s="58">
        <f>COUNTIF('Actions de maîtrise'!N:N,"X")</f>
        <v>0</v>
      </c>
      <c r="K28" s="48" t="str">
        <f t="shared" si="0"/>
        <v/>
      </c>
      <c r="L28" s="56"/>
      <c r="M28" s="63"/>
      <c r="O28" s="67"/>
      <c r="P28" s="75" t="s">
        <v>227</v>
      </c>
      <c r="Q28" s="55">
        <f>COUNTIF('Plan d''actions détaillé'!$Q$6:$Q$611,'Tableau de bord'!P28)</f>
        <v>0</v>
      </c>
      <c r="R28" s="74" t="str">
        <f>IF(Q28&lt;&gt;0,Q28/(COUNTIF(Matrice!$3:$3,"En cours")+COUNTIF(Matrice!$3:$3,"A initier")),"")</f>
        <v/>
      </c>
      <c r="S28" s="68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2:39" x14ac:dyDescent="0.2">
      <c r="B29" s="43"/>
      <c r="C29" s="3"/>
      <c r="D29" s="3"/>
      <c r="E29" s="3"/>
      <c r="F29" s="44"/>
      <c r="H29" s="62"/>
      <c r="I29" s="5"/>
      <c r="J29" s="5"/>
      <c r="K29" s="5"/>
      <c r="L29" s="56"/>
      <c r="M29" s="63"/>
      <c r="O29" s="67"/>
      <c r="P29" s="75" t="s">
        <v>224</v>
      </c>
      <c r="Q29" s="55">
        <f>COUNTIF('Plan d''actions détaillé'!$Q$6:$Q$611,'Tableau de bord'!P29)</f>
        <v>0</v>
      </c>
      <c r="R29" s="74" t="str">
        <f>IF(Q29&lt;&gt;0,Q29/(COUNTIF(Matrice!$3:$3,"En cours")+COUNTIF(Matrice!$3:$3,"A initier")),"")</f>
        <v/>
      </c>
      <c r="S29" s="68"/>
      <c r="V29" s="5"/>
      <c r="W29" s="5"/>
      <c r="X29" s="459"/>
      <c r="Y29" s="460"/>
      <c r="Z29" s="460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</row>
    <row r="30" spans="2:39" x14ac:dyDescent="0.2">
      <c r="B30" s="43"/>
      <c r="C30" s="3"/>
      <c r="D30" s="3"/>
      <c r="E30" s="3"/>
      <c r="F30" s="44"/>
      <c r="H30" s="62"/>
      <c r="I30" s="221"/>
      <c r="J30" s="55"/>
      <c r="K30" s="207"/>
      <c r="L30" s="57"/>
      <c r="M30" s="63"/>
      <c r="O30" s="67"/>
      <c r="P30" s="241" t="s">
        <v>228</v>
      </c>
      <c r="Q30" s="77">
        <f>COUNTIF('Plan d''actions détaillé'!$Q$6:$Q$611,'Tableau de bord'!P30)</f>
        <v>0</v>
      </c>
      <c r="R30" s="78" t="str">
        <f>IF(Q30&lt;&gt;0,Q30/(COUNTIF(Matrice!$3:$3,"En cours")+COUNTIF(Matrice!$3:$3,"A initier")),"")</f>
        <v/>
      </c>
      <c r="S30" s="68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2:39" x14ac:dyDescent="0.2">
      <c r="B31" s="43"/>
      <c r="C31" s="3"/>
      <c r="D31" s="3"/>
      <c r="E31" s="3"/>
      <c r="F31" s="44"/>
      <c r="H31" s="62"/>
      <c r="L31" s="5"/>
      <c r="M31" s="63"/>
      <c r="O31" s="67"/>
      <c r="P31" s="3"/>
      <c r="Q31" s="3"/>
      <c r="R31" s="3"/>
      <c r="S31" s="68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2:39" x14ac:dyDescent="0.2">
      <c r="B32" s="43"/>
      <c r="C32" s="3"/>
      <c r="D32" s="3"/>
      <c r="E32" s="3"/>
      <c r="F32" s="44"/>
      <c r="H32" s="62"/>
      <c r="L32" s="146"/>
      <c r="M32" s="63"/>
      <c r="O32" s="67"/>
      <c r="P32" s="3"/>
      <c r="Q32" s="3"/>
      <c r="R32" s="3"/>
      <c r="S32" s="68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2:39" x14ac:dyDescent="0.2">
      <c r="B33" s="43"/>
      <c r="C33" s="3"/>
      <c r="D33" s="3"/>
      <c r="E33" s="3"/>
      <c r="F33" s="44"/>
      <c r="H33" s="62"/>
      <c r="L33" s="56"/>
      <c r="M33" s="63"/>
      <c r="O33" s="67"/>
      <c r="P33" s="3"/>
      <c r="Q33" s="3"/>
      <c r="R33" s="3"/>
      <c r="S33" s="68"/>
      <c r="V33" s="5"/>
      <c r="W33" s="5"/>
      <c r="X33" s="5"/>
      <c r="Y33" s="5"/>
      <c r="Z33" s="5"/>
      <c r="AA33" s="5"/>
      <c r="AB33" s="5"/>
      <c r="AC33" s="5"/>
      <c r="AD33" s="459"/>
      <c r="AE33" s="460"/>
      <c r="AF33" s="460"/>
      <c r="AG33" s="50"/>
      <c r="AH33" s="5"/>
      <c r="AI33" s="5"/>
      <c r="AJ33" s="5"/>
      <c r="AK33" s="5"/>
      <c r="AL33" s="5"/>
      <c r="AM33" s="5"/>
    </row>
    <row r="34" spans="2:39" x14ac:dyDescent="0.2">
      <c r="B34" s="43"/>
      <c r="C34" s="3"/>
      <c r="D34" s="3"/>
      <c r="E34" s="3"/>
      <c r="F34" s="44"/>
      <c r="H34" s="62"/>
      <c r="L34" s="56"/>
      <c r="M34" s="63"/>
      <c r="O34" s="67"/>
      <c r="P34" s="3"/>
      <c r="Q34" s="3"/>
      <c r="R34" s="3"/>
      <c r="S34" s="68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</row>
    <row r="35" spans="2:39" ht="13.5" thickBot="1" x14ac:dyDescent="0.25">
      <c r="B35" s="45"/>
      <c r="C35" s="46"/>
      <c r="D35" s="46"/>
      <c r="E35" s="46"/>
      <c r="F35" s="47"/>
      <c r="H35" s="62"/>
      <c r="I35" s="64"/>
      <c r="J35" s="64"/>
      <c r="K35" s="64"/>
      <c r="L35" s="64"/>
      <c r="M35" s="65"/>
      <c r="O35" s="69"/>
      <c r="P35" s="70"/>
      <c r="Q35" s="70"/>
      <c r="R35" s="70"/>
      <c r="S35" s="71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2:39" x14ac:dyDescent="0.2">
      <c r="H36" s="66"/>
    </row>
    <row r="49" ht="12" customHeight="1" x14ac:dyDescent="0.2"/>
  </sheetData>
  <sheetProtection formatColumns="0" formatRows="0" selectLockedCells="1"/>
  <mergeCells count="29">
    <mergeCell ref="P25:R25"/>
    <mergeCell ref="H4:M4"/>
    <mergeCell ref="X6:Z6"/>
    <mergeCell ref="X7:Z7"/>
    <mergeCell ref="P6:R6"/>
    <mergeCell ref="P7:R7"/>
    <mergeCell ref="O4:S4"/>
    <mergeCell ref="I9:K9"/>
    <mergeCell ref="X29:Z29"/>
    <mergeCell ref="AD26:AF26"/>
    <mergeCell ref="AD33:AF33"/>
    <mergeCell ref="AK26:AL26"/>
    <mergeCell ref="AD6:AF6"/>
    <mergeCell ref="AD12:AF12"/>
    <mergeCell ref="AK6:AL6"/>
    <mergeCell ref="V24:AL24"/>
    <mergeCell ref="X26:Z26"/>
    <mergeCell ref="X27:Z27"/>
    <mergeCell ref="X10:Z10"/>
    <mergeCell ref="B4:F4"/>
    <mergeCell ref="B2:S2"/>
    <mergeCell ref="P19:R19"/>
    <mergeCell ref="C6:E6"/>
    <mergeCell ref="C7:E7"/>
    <mergeCell ref="C10:E10"/>
    <mergeCell ref="I6:K6"/>
    <mergeCell ref="I7:K7"/>
    <mergeCell ref="C9:E9"/>
    <mergeCell ref="P9:R9"/>
  </mergeCells>
  <pageMargins left="0.23622047244094491" right="0.23622047244094491" top="0.74803149606299213" bottom="0.74803149606299213" header="0.31496062992125984" footer="0.31496062992125984"/>
  <pageSetup paperSize="9" scale="74" fitToHeight="0" orientation="landscape" r:id="rId1"/>
  <headerFooter>
    <oddHeader>&amp;L Document imprimé le &amp;D à &amp;T&amp;CProjet SMI&amp;RVIASANTE Mutuelle</oddHeader>
    <oddFooter>&amp;L&amp;F&amp;C&amp;A&amp;R&amp;P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DF7D1B"/>
    <pageSetUpPr fitToPage="1"/>
  </sheetPr>
  <dimension ref="A1:BG40"/>
  <sheetViews>
    <sheetView showGridLines="0" view="pageBreakPreview" topLeftCell="A15" zoomScale="55" zoomScaleNormal="70" zoomScaleSheetLayoutView="55" workbookViewId="0">
      <pane xSplit="4" topLeftCell="E1" activePane="topRight" state="frozen"/>
      <selection pane="topRight" activeCell="AE17" sqref="AE17"/>
    </sheetView>
  </sheetViews>
  <sheetFormatPr baseColWidth="10" defaultRowHeight="12" outlineLevelRow="1" x14ac:dyDescent="0.2"/>
  <cols>
    <col min="1" max="2" width="1.1640625" style="11" customWidth="1"/>
    <col min="3" max="3" width="15.1640625" style="10" customWidth="1"/>
    <col min="4" max="4" width="49.5" style="11" customWidth="1"/>
    <col min="5" max="5" width="5.33203125" style="12" customWidth="1"/>
    <col min="6" max="6" width="83.1640625" style="11" customWidth="1"/>
    <col min="7" max="7" width="25.83203125" style="11" customWidth="1"/>
    <col min="8" max="9" width="25.83203125" style="11" hidden="1" customWidth="1"/>
    <col min="10" max="10" width="6.5" style="12" customWidth="1"/>
    <col min="11" max="11" width="4.6640625" style="13" customWidth="1"/>
    <col min="12" max="12" width="4.83203125" style="13" customWidth="1"/>
    <col min="13" max="14" width="4.33203125" style="13" customWidth="1"/>
    <col min="15" max="15" width="5.33203125" style="12" customWidth="1"/>
    <col min="16" max="16" width="13.1640625" style="12" customWidth="1"/>
    <col min="17" max="17" width="2.1640625" style="189" customWidth="1"/>
    <col min="18" max="18" width="4.5" style="11" customWidth="1"/>
    <col min="19" max="19" width="1.6640625" style="11" customWidth="1"/>
    <col min="20" max="21" width="7" style="12" customWidth="1"/>
    <col min="22" max="22" width="14.5" style="12" customWidth="1"/>
    <col min="23" max="24" width="3.83203125" style="15" customWidth="1"/>
    <col min="25" max="25" width="1.5" style="15" customWidth="1"/>
    <col min="26" max="27" width="7.6640625" style="12" customWidth="1"/>
    <col min="28" max="28" width="14.5" style="12" customWidth="1"/>
    <col min="29" max="29" width="1.1640625" style="15" customWidth="1"/>
    <col min="30" max="59" width="12" style="15"/>
    <col min="60" max="16384" width="12" style="11"/>
  </cols>
  <sheetData>
    <row r="1" spans="3:28" ht="50.25" customHeight="1" x14ac:dyDescent="0.2">
      <c r="C1" s="250" t="str">
        <f>"EVALUATION DES RISQUES PROCESSUS "&amp;Matrice!G1</f>
        <v>EVALUATION DES RISQUES PROCESSUS DI2</v>
      </c>
      <c r="D1" s="247"/>
      <c r="E1" s="248"/>
      <c r="F1" s="290"/>
      <c r="G1" s="250"/>
      <c r="H1" s="247"/>
      <c r="I1" s="247"/>
      <c r="J1" s="248"/>
      <c r="K1" s="249"/>
      <c r="L1" s="249"/>
      <c r="M1" s="249"/>
      <c r="N1" s="249"/>
      <c r="O1" s="248"/>
      <c r="P1" s="265"/>
      <c r="Q1" s="265"/>
      <c r="R1" s="266"/>
      <c r="S1" s="267"/>
      <c r="T1" s="265"/>
      <c r="U1" s="265"/>
      <c r="V1" s="265"/>
      <c r="W1" s="266"/>
      <c r="X1" s="266"/>
      <c r="Y1" s="268"/>
      <c r="Z1" s="265"/>
      <c r="AA1" s="265"/>
      <c r="AB1" s="248"/>
    </row>
    <row r="2" spans="3:28" ht="24" hidden="1" customHeight="1" outlineLevel="1" x14ac:dyDescent="0.2">
      <c r="S2" s="157"/>
      <c r="Y2" s="24"/>
    </row>
    <row r="3" spans="3:28" ht="25.5" hidden="1" customHeight="1" outlineLevel="1" x14ac:dyDescent="0.2">
      <c r="S3" s="157"/>
      <c r="Y3" s="24"/>
    </row>
    <row r="4" spans="3:28" ht="14.25" hidden="1" customHeight="1" outlineLevel="1" x14ac:dyDescent="0.2">
      <c r="O4" s="11"/>
      <c r="P4" s="72"/>
      <c r="Q4" s="190"/>
      <c r="R4" s="22"/>
      <c r="S4" s="157"/>
      <c r="U4" s="11"/>
      <c r="V4" s="7"/>
      <c r="W4" s="25"/>
      <c r="Y4" s="24"/>
      <c r="AA4" s="11"/>
      <c r="AB4" s="7"/>
    </row>
    <row r="5" spans="3:28" ht="11.25" hidden="1" customHeight="1" outlineLevel="1" x14ac:dyDescent="0.2">
      <c r="O5" s="11"/>
      <c r="P5" s="22"/>
      <c r="Q5" s="191"/>
      <c r="R5" s="22"/>
      <c r="S5" s="157"/>
      <c r="U5" s="11"/>
      <c r="V5" s="7"/>
      <c r="W5" s="26"/>
      <c r="Y5" s="24"/>
      <c r="AA5" s="11"/>
      <c r="AB5" s="7"/>
    </row>
    <row r="6" spans="3:28" ht="11.25" hidden="1" customHeight="1" outlineLevel="1" x14ac:dyDescent="0.2">
      <c r="O6" s="11"/>
      <c r="P6" s="22"/>
      <c r="Q6" s="191"/>
      <c r="R6" s="22"/>
      <c r="S6" s="157"/>
      <c r="U6" s="11"/>
      <c r="V6" s="7"/>
      <c r="W6" s="26"/>
      <c r="Y6" s="24"/>
      <c r="AA6" s="11"/>
      <c r="AB6" s="7"/>
    </row>
    <row r="7" spans="3:28" ht="11.25" hidden="1" customHeight="1" outlineLevel="1" x14ac:dyDescent="0.2">
      <c r="O7" s="11"/>
      <c r="P7" s="22"/>
      <c r="Q7" s="191"/>
      <c r="R7" s="22"/>
      <c r="S7" s="157"/>
      <c r="U7" s="11"/>
      <c r="V7" s="7"/>
      <c r="W7" s="26"/>
      <c r="Y7" s="24"/>
      <c r="AA7" s="11"/>
      <c r="AB7" s="7"/>
    </row>
    <row r="8" spans="3:28" ht="11.25" hidden="1" customHeight="1" outlineLevel="1" x14ac:dyDescent="0.2">
      <c r="O8" s="11"/>
      <c r="P8" s="22"/>
      <c r="Q8" s="191"/>
      <c r="R8" s="22"/>
      <c r="S8" s="157"/>
      <c r="U8" s="11"/>
      <c r="V8" s="7"/>
      <c r="W8" s="26"/>
      <c r="Y8" s="24"/>
      <c r="AA8" s="11"/>
      <c r="AB8" s="7"/>
    </row>
    <row r="9" spans="3:28" ht="11.25" hidden="1" customHeight="1" outlineLevel="1" x14ac:dyDescent="0.2">
      <c r="O9" s="11"/>
      <c r="P9" s="72"/>
      <c r="Q9" s="190"/>
      <c r="R9" s="22"/>
      <c r="S9" s="157"/>
      <c r="U9" s="11"/>
      <c r="V9" s="7"/>
      <c r="W9" s="25"/>
      <c r="Y9" s="24"/>
      <c r="AA9" s="11"/>
      <c r="AB9" s="7"/>
    </row>
    <row r="10" spans="3:28" ht="11.25" hidden="1" customHeight="1" outlineLevel="1" x14ac:dyDescent="0.2">
      <c r="O10" s="11"/>
      <c r="P10" s="22"/>
      <c r="Q10" s="191"/>
      <c r="R10" s="22"/>
      <c r="S10" s="157"/>
      <c r="T10" s="90"/>
      <c r="U10" s="11"/>
      <c r="V10" s="7"/>
      <c r="W10" s="26"/>
      <c r="Y10" s="24"/>
      <c r="Z10" s="90"/>
      <c r="AA10" s="11"/>
      <c r="AB10" s="7"/>
    </row>
    <row r="11" spans="3:28" ht="11.25" hidden="1" customHeight="1" outlineLevel="1" x14ac:dyDescent="0.2">
      <c r="O11" s="11"/>
      <c r="P11" s="22"/>
      <c r="Q11" s="191"/>
      <c r="R11" s="22"/>
      <c r="S11" s="157"/>
      <c r="U11" s="11"/>
      <c r="V11" s="8"/>
      <c r="W11" s="27"/>
      <c r="Y11" s="24"/>
      <c r="AA11" s="11"/>
      <c r="AB11" s="8"/>
    </row>
    <row r="12" spans="3:28" ht="11.25" hidden="1" customHeight="1" outlineLevel="1" x14ac:dyDescent="0.2">
      <c r="G12" s="15"/>
      <c r="H12" s="15"/>
      <c r="I12" s="15"/>
      <c r="O12" s="11"/>
      <c r="P12" s="22"/>
      <c r="Q12" s="191"/>
      <c r="R12" s="22"/>
      <c r="S12" s="157"/>
      <c r="U12" s="11"/>
      <c r="V12" s="8"/>
      <c r="W12" s="27"/>
      <c r="Y12" s="24"/>
      <c r="AA12" s="11"/>
      <c r="AB12" s="8"/>
    </row>
    <row r="13" spans="3:28" ht="11.25" hidden="1" customHeight="1" outlineLevel="1" x14ac:dyDescent="0.2">
      <c r="G13" s="15"/>
      <c r="H13" s="15"/>
      <c r="I13" s="15"/>
      <c r="O13" s="11"/>
      <c r="P13" s="18"/>
      <c r="Q13" s="192"/>
      <c r="R13" s="22"/>
      <c r="S13" s="157"/>
      <c r="U13" s="11"/>
      <c r="V13" s="8"/>
      <c r="W13" s="28"/>
      <c r="Y13" s="24"/>
      <c r="AA13" s="11"/>
      <c r="AB13" s="8"/>
    </row>
    <row r="14" spans="3:28" ht="11.25" hidden="1" customHeight="1" outlineLevel="1" x14ac:dyDescent="0.2">
      <c r="G14" s="15"/>
      <c r="H14" s="15"/>
      <c r="I14" s="15"/>
      <c r="O14" s="11"/>
      <c r="P14" s="18"/>
      <c r="Q14" s="192"/>
      <c r="R14" s="18"/>
      <c r="S14" s="157"/>
      <c r="U14" s="11"/>
      <c r="V14" s="8"/>
      <c r="W14" s="28"/>
      <c r="Y14" s="24"/>
      <c r="AA14" s="11"/>
      <c r="AB14" s="8"/>
    </row>
    <row r="15" spans="3:28" ht="13.5" customHeight="1" collapsed="1" thickBot="1" x14ac:dyDescent="0.25">
      <c r="S15" s="157"/>
      <c r="Y15" s="24"/>
    </row>
    <row r="16" spans="3:28" ht="22.5" customHeight="1" x14ac:dyDescent="0.2">
      <c r="C16" s="476" t="s">
        <v>22</v>
      </c>
      <c r="D16" s="477"/>
      <c r="E16" s="477"/>
      <c r="F16" s="477"/>
      <c r="G16" s="477"/>
      <c r="H16" s="477"/>
      <c r="I16" s="477"/>
      <c r="J16" s="477"/>
      <c r="K16" s="477"/>
      <c r="L16" s="477"/>
      <c r="M16" s="477"/>
      <c r="N16" s="477"/>
      <c r="O16" s="477"/>
      <c r="P16" s="478"/>
      <c r="Q16" s="193"/>
      <c r="S16" s="157"/>
      <c r="T16" s="476" t="s">
        <v>18</v>
      </c>
      <c r="U16" s="477"/>
      <c r="V16" s="478"/>
      <c r="Z16" s="476" t="s">
        <v>66</v>
      </c>
      <c r="AA16" s="477"/>
      <c r="AB16" s="478"/>
    </row>
    <row r="17" spans="1:59" s="15" customFormat="1" ht="17.25" customHeight="1" x14ac:dyDescent="0.2">
      <c r="C17" s="479" t="s">
        <v>25</v>
      </c>
      <c r="D17" s="480"/>
      <c r="E17" s="291"/>
      <c r="F17" s="291"/>
      <c r="G17" s="291"/>
      <c r="H17" s="291"/>
      <c r="I17" s="291"/>
      <c r="J17" s="480" t="s">
        <v>24</v>
      </c>
      <c r="K17" s="480"/>
      <c r="L17" s="480"/>
      <c r="M17" s="480"/>
      <c r="N17" s="481"/>
      <c r="O17" s="481"/>
      <c r="P17" s="482"/>
      <c r="Q17" s="193"/>
      <c r="S17" s="157"/>
      <c r="T17" s="479" t="s">
        <v>41</v>
      </c>
      <c r="U17" s="481"/>
      <c r="V17" s="482"/>
      <c r="Z17" s="479" t="s">
        <v>41</v>
      </c>
      <c r="AA17" s="481"/>
      <c r="AB17" s="482"/>
    </row>
    <row r="18" spans="1:59" ht="18.75" customHeight="1" x14ac:dyDescent="0.2">
      <c r="C18" s="199"/>
      <c r="D18" s="156"/>
      <c r="E18" s="155"/>
      <c r="F18" s="156"/>
      <c r="G18" s="149"/>
      <c r="H18" s="209"/>
      <c r="I18" s="209"/>
      <c r="J18" s="198"/>
      <c r="K18" s="472" t="s">
        <v>217</v>
      </c>
      <c r="L18" s="473"/>
      <c r="M18" s="473"/>
      <c r="N18" s="474"/>
      <c r="O18" s="475"/>
      <c r="P18" s="16"/>
      <c r="Q18" s="100"/>
      <c r="S18" s="157"/>
      <c r="T18" s="195"/>
      <c r="U18" s="198"/>
      <c r="V18" s="16"/>
      <c r="Z18" s="195"/>
      <c r="AA18" s="198"/>
      <c r="AB18" s="16"/>
    </row>
    <row r="19" spans="1:59" ht="158.25" customHeight="1" x14ac:dyDescent="0.2">
      <c r="A19" s="15"/>
      <c r="B19" s="15"/>
      <c r="C19" s="199" t="s">
        <v>26</v>
      </c>
      <c r="D19" s="200" t="s">
        <v>0</v>
      </c>
      <c r="E19" s="197" t="s">
        <v>223</v>
      </c>
      <c r="F19" s="200" t="s">
        <v>79</v>
      </c>
      <c r="G19" s="187" t="s">
        <v>27</v>
      </c>
      <c r="H19" s="187"/>
      <c r="I19" s="187"/>
      <c r="J19" s="201" t="s">
        <v>216</v>
      </c>
      <c r="K19" s="80" t="s">
        <v>13</v>
      </c>
      <c r="L19" s="81" t="s">
        <v>14</v>
      </c>
      <c r="M19" s="82" t="s">
        <v>15</v>
      </c>
      <c r="N19" s="82" t="s">
        <v>56</v>
      </c>
      <c r="O19" s="246"/>
      <c r="P19" s="245" t="s">
        <v>218</v>
      </c>
      <c r="Q19" s="188"/>
      <c r="R19" s="186" t="s">
        <v>59</v>
      </c>
      <c r="S19" s="157"/>
      <c r="T19" s="196" t="s">
        <v>212</v>
      </c>
      <c r="U19" s="197" t="s">
        <v>213</v>
      </c>
      <c r="V19" s="245" t="s">
        <v>233</v>
      </c>
      <c r="X19" s="97" t="s">
        <v>48</v>
      </c>
      <c r="Y19" s="270"/>
      <c r="Z19" s="196" t="s">
        <v>214</v>
      </c>
      <c r="AA19" s="197" t="s">
        <v>215</v>
      </c>
      <c r="AB19" s="245" t="s">
        <v>219</v>
      </c>
    </row>
    <row r="20" spans="1:59" ht="18.75" customHeight="1" x14ac:dyDescent="0.2">
      <c r="A20" s="15"/>
      <c r="B20" s="15"/>
      <c r="C20" s="99"/>
      <c r="D20" s="100"/>
      <c r="E20" s="100"/>
      <c r="F20" s="100"/>
      <c r="G20" s="102"/>
      <c r="H20" s="102"/>
      <c r="I20" s="102"/>
      <c r="J20" s="100"/>
      <c r="K20" s="102"/>
      <c r="L20" s="102"/>
      <c r="M20" s="102"/>
      <c r="N20" s="102"/>
      <c r="O20" s="103"/>
      <c r="P20" s="101"/>
      <c r="Q20" s="188"/>
      <c r="S20" s="98"/>
      <c r="T20" s="99"/>
      <c r="U20" s="100"/>
      <c r="V20" s="101"/>
      <c r="X20" s="97"/>
      <c r="Y20" s="271"/>
      <c r="Z20" s="99"/>
      <c r="AA20" s="100"/>
      <c r="AB20" s="101"/>
    </row>
    <row r="21" spans="1:59" s="6" customFormat="1" ht="85.5" customHeight="1" x14ac:dyDescent="0.2">
      <c r="A21" s="9"/>
      <c r="B21" s="9"/>
      <c r="C21" s="300" t="str">
        <f>Matrice!C23</f>
        <v>DI2-R1</v>
      </c>
      <c r="D21" s="301" t="str">
        <f>IF(Matrice!D23="","",Matrice!D23)</f>
        <v>AAA</v>
      </c>
      <c r="E21" s="302" t="str">
        <f>IF(Matrice!E23="","",Matrice!E23)</f>
        <v/>
      </c>
      <c r="F21" s="302" t="str">
        <f>IF(Matrice!F23="","",Matrice!F23)</f>
        <v/>
      </c>
      <c r="G21" s="303" t="str">
        <f>IF(Matrice!G23="","",Matrice!G23)</f>
        <v/>
      </c>
      <c r="H21" s="303" t="str">
        <f>IF(Matrice!H23="","",Matrice!H23)</f>
        <v/>
      </c>
      <c r="I21" s="303" t="str">
        <f>IF(Matrice!I23="","",Matrice!I23)</f>
        <v/>
      </c>
      <c r="J21" s="303" t="str">
        <f>IF(Matrice!J23="","",Matrice!J23)</f>
        <v/>
      </c>
      <c r="K21" s="303" t="str">
        <f>IF(Matrice!K23="","",Matrice!K23)</f>
        <v/>
      </c>
      <c r="L21" s="303" t="str">
        <f>IF(Matrice!L23="","",Matrice!L23)</f>
        <v/>
      </c>
      <c r="M21" s="303" t="str">
        <f>IF(Matrice!M23="","",Matrice!M23)</f>
        <v/>
      </c>
      <c r="N21" s="303" t="str">
        <f>IF(Matrice!N23="","",Matrice!N23)</f>
        <v/>
      </c>
      <c r="O21" s="303" t="str">
        <f>IF(Matrice!O23="","",Matrice!O23)</f>
        <v/>
      </c>
      <c r="P21" s="292" t="str">
        <f t="shared" ref="P21:P40" si="0">IF(OR(J21="",O21=""),"",IF((O21+J21)&lt;4,"Très faible",IF((J21+O21)=4,"Faible",IF((O21+J21)=6,"Moyenne",IF((J21+O21)=7,"Forte",IF((O21+J21)&gt;=8,"Majeure",IF(OR(AND(J21=4,O21=1),AND(J21=1,O21=4)),"Faible",IF(OR(AND(J21=3,O21=2),AND(J21=2,O21=3)),"Moyenne",""))))))))</f>
        <v/>
      </c>
      <c r="Q21" s="293"/>
      <c r="R21" s="294"/>
      <c r="S21" s="295"/>
      <c r="T21" s="296" t="str">
        <f>Matrice!BX23</f>
        <v/>
      </c>
      <c r="U21" s="297" t="str">
        <f>Matrice!BY23</f>
        <v/>
      </c>
      <c r="V21" s="298" t="str">
        <f t="shared" ref="V21:V40" si="1">IF(OR(T21=0,U21=0),"",IF(OR(T21="",U21=""),"",IF((U21+T21)&lt;4,"Très faible",IF((T21+U21)=4,"Faible",IF((U21+T21)=6,"Moyenne",IF((T21+U21)=7,"Forte",IF((U21+T21)&gt;=8,"Majeure",IF(OR(AND(T21=4,U21=1),AND(T21=1,U21=4)),"Faible",IF(OR(AND(T21=3,U21=2),AND(T21=2,U21=3)),"Moyenne","")))))))))</f>
        <v/>
      </c>
      <c r="W21" s="354">
        <f>IF(V21="Majeure",2,IF(V21="Forte",1,0))</f>
        <v>0</v>
      </c>
      <c r="X21" s="294"/>
      <c r="Y21" s="299"/>
      <c r="Z21" s="296" t="str">
        <f>Matrice!DC23</f>
        <v/>
      </c>
      <c r="AA21" s="297" t="str">
        <f>Matrice!DD23</f>
        <v/>
      </c>
      <c r="AB21" s="298" t="str">
        <f t="shared" ref="AB21:AB40" si="2">IF(OR(Z21=0,AA21=0),"",IF(OR(Z21="",AA21=""),"",IF((AA21+Z21)&lt;4,"Très faible",IF((Z21+AA21)=4,"Faible",IF((AA21+Z21)=6,"Moyenne",IF((Z21+AA21)=7,"Forte",IF((AA21+Z21)&gt;=8,"Majeure",IF(OR(AND(Z21=4,AA21=1),AND(Z21=1,AA21=4)),"Faible",IF(OR(AND(Z21=3,AA21=2),AND(Z21=2,AA21=3)),"Moyenne","")))))))))</f>
        <v/>
      </c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</row>
    <row r="22" spans="1:59" s="6" customFormat="1" ht="77.25" customHeight="1" x14ac:dyDescent="0.2">
      <c r="A22" s="9"/>
      <c r="B22" s="9"/>
      <c r="C22" s="300" t="str">
        <f>Matrice!C24</f>
        <v>DI2-R2</v>
      </c>
      <c r="D22" s="301" t="str">
        <f>IF(Matrice!D24="","",Matrice!D24)</f>
        <v>BBB</v>
      </c>
      <c r="E22" s="302" t="str">
        <f>IF(Matrice!E24="","",Matrice!E24)</f>
        <v/>
      </c>
      <c r="F22" s="302" t="str">
        <f>IF(Matrice!F24="","",Matrice!F24)</f>
        <v/>
      </c>
      <c r="G22" s="303" t="str">
        <f>IF(Matrice!G24="","",Matrice!G24)</f>
        <v/>
      </c>
      <c r="H22" s="304" t="e">
        <f>VLOOKUP(G22,Listes!W5:Y52,2,FALSE)</f>
        <v>#N/A</v>
      </c>
      <c r="I22" s="304" t="e">
        <f>VLOOKUP(G22,Listes!W5:Y52,3,FALSE)</f>
        <v>#N/A</v>
      </c>
      <c r="J22" s="303" t="str">
        <f>IF(Matrice!J24="","",Matrice!J24)</f>
        <v/>
      </c>
      <c r="K22" s="303" t="str">
        <f>IF(Matrice!K24="","",Matrice!K24)</f>
        <v/>
      </c>
      <c r="L22" s="303" t="str">
        <f>IF(Matrice!L24="","",Matrice!L24)</f>
        <v/>
      </c>
      <c r="M22" s="303" t="str">
        <f>IF(Matrice!M24="","",Matrice!M24)</f>
        <v/>
      </c>
      <c r="N22" s="303" t="str">
        <f>IF(Matrice!N24="","",Matrice!N24)</f>
        <v/>
      </c>
      <c r="O22" s="303" t="str">
        <f>IF(Matrice!O24="","",Matrice!O24)</f>
        <v/>
      </c>
      <c r="P22" s="292" t="str">
        <f t="shared" si="0"/>
        <v/>
      </c>
      <c r="Q22" s="293"/>
      <c r="R22" s="294"/>
      <c r="S22" s="295"/>
      <c r="T22" s="296" t="str">
        <f>Matrice!BX24</f>
        <v/>
      </c>
      <c r="U22" s="297" t="str">
        <f>Matrice!BY24</f>
        <v/>
      </c>
      <c r="V22" s="298" t="str">
        <f t="shared" si="1"/>
        <v/>
      </c>
      <c r="W22" s="354">
        <f t="shared" ref="W22:W40" si="3">IF(V22="Majeure",2,IF(V22="Forte",1,0))</f>
        <v>0</v>
      </c>
      <c r="X22" s="294"/>
      <c r="Y22" s="299"/>
      <c r="Z22" s="296" t="str">
        <f>Matrice!DC24</f>
        <v/>
      </c>
      <c r="AA22" s="297" t="str">
        <f>Matrice!DD24</f>
        <v/>
      </c>
      <c r="AB22" s="298" t="str">
        <f t="shared" si="2"/>
        <v/>
      </c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</row>
    <row r="23" spans="1:59" s="6" customFormat="1" ht="77.25" customHeight="1" x14ac:dyDescent="0.2">
      <c r="A23" s="9"/>
      <c r="B23" s="9"/>
      <c r="C23" s="300" t="str">
        <f>Matrice!C25</f>
        <v>DI2-R3</v>
      </c>
      <c r="D23" s="301" t="str">
        <f>IF(Matrice!D25="","",Matrice!D25)</f>
        <v>CCC</v>
      </c>
      <c r="E23" s="302" t="str">
        <f>IF(Matrice!E25="","",Matrice!E25)</f>
        <v/>
      </c>
      <c r="F23" s="302" t="str">
        <f>IF(Matrice!F25="","",Matrice!F25)</f>
        <v/>
      </c>
      <c r="G23" s="303" t="str">
        <f>IF(Matrice!G25="","",Matrice!G25)</f>
        <v/>
      </c>
      <c r="H23" s="304" t="e">
        <f>VLOOKUP(G23,Listes!W6:Y53,2,FALSE)</f>
        <v>#N/A</v>
      </c>
      <c r="I23" s="304" t="e">
        <f>VLOOKUP(G23,Listes!W6:Y53,3,FALSE)</f>
        <v>#N/A</v>
      </c>
      <c r="J23" s="303" t="str">
        <f>IF(Matrice!J25="","",Matrice!J25)</f>
        <v/>
      </c>
      <c r="K23" s="303" t="str">
        <f>IF(Matrice!K25="","",Matrice!K25)</f>
        <v/>
      </c>
      <c r="L23" s="303" t="str">
        <f>IF(Matrice!L25="","",Matrice!L25)</f>
        <v/>
      </c>
      <c r="M23" s="303" t="str">
        <f>IF(Matrice!M25="","",Matrice!M25)</f>
        <v/>
      </c>
      <c r="N23" s="303" t="str">
        <f>IF(Matrice!N25="","",Matrice!N25)</f>
        <v/>
      </c>
      <c r="O23" s="303" t="str">
        <f>IF(Matrice!O25="","",Matrice!O25)</f>
        <v/>
      </c>
      <c r="P23" s="292" t="str">
        <f t="shared" si="0"/>
        <v/>
      </c>
      <c r="Q23" s="293"/>
      <c r="R23" s="294"/>
      <c r="S23" s="295"/>
      <c r="T23" s="296" t="str">
        <f>Matrice!BX25</f>
        <v/>
      </c>
      <c r="U23" s="297" t="str">
        <f>Matrice!BY25</f>
        <v/>
      </c>
      <c r="V23" s="298" t="str">
        <f t="shared" si="1"/>
        <v/>
      </c>
      <c r="W23" s="354">
        <f t="shared" si="3"/>
        <v>0</v>
      </c>
      <c r="X23" s="294"/>
      <c r="Y23" s="299"/>
      <c r="Z23" s="296" t="str">
        <f>Matrice!DC25</f>
        <v/>
      </c>
      <c r="AA23" s="297" t="str">
        <f>Matrice!DD25</f>
        <v/>
      </c>
      <c r="AB23" s="298" t="str">
        <f t="shared" si="2"/>
        <v/>
      </c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</row>
    <row r="24" spans="1:59" s="6" customFormat="1" ht="114" customHeight="1" x14ac:dyDescent="0.2">
      <c r="A24" s="9"/>
      <c r="B24" s="9"/>
      <c r="C24" s="300" t="str">
        <f>Matrice!C26</f>
        <v/>
      </c>
      <c r="D24" s="301" t="str">
        <f>IF(Matrice!D26="","",Matrice!D26)</f>
        <v/>
      </c>
      <c r="E24" s="302" t="str">
        <f>IF(Matrice!E26="","",Matrice!E26)</f>
        <v/>
      </c>
      <c r="F24" s="302" t="str">
        <f>IF(Matrice!F26="","",Matrice!F26)</f>
        <v/>
      </c>
      <c r="G24" s="303" t="str">
        <f>IF(Matrice!G26="","",Matrice!G26)</f>
        <v/>
      </c>
      <c r="H24" s="304" t="e">
        <f>VLOOKUP(G24,Listes!W7:Y54,2,FALSE)</f>
        <v>#N/A</v>
      </c>
      <c r="I24" s="304" t="e">
        <f>VLOOKUP(G24,Listes!W7:Y54,3,FALSE)</f>
        <v>#N/A</v>
      </c>
      <c r="J24" s="303" t="str">
        <f>IF(Matrice!J26="","",Matrice!J26)</f>
        <v/>
      </c>
      <c r="K24" s="303" t="str">
        <f>IF(Matrice!K26="","",Matrice!K26)</f>
        <v/>
      </c>
      <c r="L24" s="303" t="str">
        <f>IF(Matrice!L26="","",Matrice!L26)</f>
        <v/>
      </c>
      <c r="M24" s="303" t="str">
        <f>IF(Matrice!M26="","",Matrice!M26)</f>
        <v/>
      </c>
      <c r="N24" s="303" t="str">
        <f>IF(Matrice!N26="","",Matrice!N26)</f>
        <v/>
      </c>
      <c r="O24" s="303" t="str">
        <f>IF(Matrice!O26="","",Matrice!O26)</f>
        <v/>
      </c>
      <c r="P24" s="292" t="str">
        <f t="shared" si="0"/>
        <v/>
      </c>
      <c r="Q24" s="293"/>
      <c r="R24" s="294"/>
      <c r="S24" s="295"/>
      <c r="T24" s="296" t="str">
        <f>Matrice!BX26</f>
        <v/>
      </c>
      <c r="U24" s="297" t="str">
        <f>Matrice!BY26</f>
        <v/>
      </c>
      <c r="V24" s="298" t="str">
        <f t="shared" si="1"/>
        <v/>
      </c>
      <c r="W24" s="354">
        <f t="shared" si="3"/>
        <v>0</v>
      </c>
      <c r="X24" s="294"/>
      <c r="Y24" s="299"/>
      <c r="Z24" s="296" t="str">
        <f>Matrice!DC26</f>
        <v/>
      </c>
      <c r="AA24" s="297" t="str">
        <f>Matrice!DD26</f>
        <v/>
      </c>
      <c r="AB24" s="298" t="str">
        <f t="shared" si="2"/>
        <v/>
      </c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</row>
    <row r="25" spans="1:59" s="6" customFormat="1" ht="180" customHeight="1" x14ac:dyDescent="0.2">
      <c r="A25" s="9"/>
      <c r="B25" s="9"/>
      <c r="C25" s="300" t="str">
        <f>Matrice!C27</f>
        <v/>
      </c>
      <c r="D25" s="301" t="str">
        <f>IF(Matrice!D27="","",Matrice!D27)</f>
        <v/>
      </c>
      <c r="E25" s="302" t="str">
        <f>IF(Matrice!E27="","",Matrice!E27)</f>
        <v/>
      </c>
      <c r="F25" s="302" t="str">
        <f>IF(Matrice!F27="","",Matrice!F27)</f>
        <v/>
      </c>
      <c r="G25" s="303" t="str">
        <f>IF(Matrice!G27="","",Matrice!G27)</f>
        <v/>
      </c>
      <c r="H25" s="304" t="e">
        <f>VLOOKUP(G25,Listes!W8:Y55,2,FALSE)</f>
        <v>#N/A</v>
      </c>
      <c r="I25" s="304" t="e">
        <f>VLOOKUP(G25,Listes!W8:Y55,3,FALSE)</f>
        <v>#N/A</v>
      </c>
      <c r="J25" s="303" t="str">
        <f>IF(Matrice!J27="","",Matrice!J27)</f>
        <v/>
      </c>
      <c r="K25" s="303" t="str">
        <f>IF(Matrice!K27="","",Matrice!K27)</f>
        <v/>
      </c>
      <c r="L25" s="303" t="str">
        <f>IF(Matrice!L27="","",Matrice!L27)</f>
        <v/>
      </c>
      <c r="M25" s="303" t="str">
        <f>IF(Matrice!M27="","",Matrice!M27)</f>
        <v/>
      </c>
      <c r="N25" s="303" t="str">
        <f>IF(Matrice!N27="","",Matrice!N27)</f>
        <v/>
      </c>
      <c r="O25" s="303" t="str">
        <f>IF(Matrice!O27="","",Matrice!O27)</f>
        <v/>
      </c>
      <c r="P25" s="292" t="str">
        <f t="shared" si="0"/>
        <v/>
      </c>
      <c r="Q25" s="293"/>
      <c r="R25" s="294"/>
      <c r="S25" s="295"/>
      <c r="T25" s="296" t="str">
        <f>Matrice!BX27</f>
        <v/>
      </c>
      <c r="U25" s="297" t="str">
        <f>Matrice!BY27</f>
        <v/>
      </c>
      <c r="V25" s="298" t="str">
        <f t="shared" si="1"/>
        <v/>
      </c>
      <c r="W25" s="354">
        <f t="shared" si="3"/>
        <v>0</v>
      </c>
      <c r="X25" s="294"/>
      <c r="Y25" s="299"/>
      <c r="Z25" s="296" t="str">
        <f>Matrice!DC27</f>
        <v/>
      </c>
      <c r="AA25" s="297" t="str">
        <f>Matrice!DD27</f>
        <v/>
      </c>
      <c r="AB25" s="298" t="str">
        <f t="shared" si="2"/>
        <v/>
      </c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</row>
    <row r="26" spans="1:59" s="6" customFormat="1" ht="18.75" customHeight="1" x14ac:dyDescent="0.2">
      <c r="A26" s="9"/>
      <c r="B26" s="9"/>
      <c r="C26" s="300" t="str">
        <f>Matrice!C28</f>
        <v/>
      </c>
      <c r="D26" s="301" t="str">
        <f>IF(Matrice!D28="","",Matrice!D28)</f>
        <v/>
      </c>
      <c r="E26" s="302" t="str">
        <f>IF(Matrice!E28="","",Matrice!E28)</f>
        <v/>
      </c>
      <c r="F26" s="302" t="str">
        <f>IF(Matrice!F28="","",Matrice!F28)</f>
        <v/>
      </c>
      <c r="G26" s="303" t="str">
        <f>IF(Matrice!G28="","",Matrice!G28)</f>
        <v/>
      </c>
      <c r="H26" s="304" t="e">
        <f>VLOOKUP(G26,Listes!W9:Y56,2,FALSE)</f>
        <v>#N/A</v>
      </c>
      <c r="I26" s="304" t="e">
        <f>VLOOKUP(G26,Listes!W9:Y56,3,FALSE)</f>
        <v>#N/A</v>
      </c>
      <c r="J26" s="303" t="str">
        <f>IF(Matrice!J28="","",Matrice!J28)</f>
        <v/>
      </c>
      <c r="K26" s="303" t="str">
        <f>IF(Matrice!K28="","",Matrice!K28)</f>
        <v/>
      </c>
      <c r="L26" s="303" t="str">
        <f>IF(Matrice!L28="","",Matrice!L28)</f>
        <v/>
      </c>
      <c r="M26" s="303" t="str">
        <f>IF(Matrice!M28="","",Matrice!M28)</f>
        <v/>
      </c>
      <c r="N26" s="303" t="str">
        <f>IF(Matrice!N28="","",Matrice!N28)</f>
        <v/>
      </c>
      <c r="O26" s="303" t="str">
        <f>IF(Matrice!O28="","",Matrice!O28)</f>
        <v/>
      </c>
      <c r="P26" s="292" t="str">
        <f t="shared" si="0"/>
        <v/>
      </c>
      <c r="Q26" s="293"/>
      <c r="R26" s="294"/>
      <c r="S26" s="295"/>
      <c r="T26" s="296" t="str">
        <f>Matrice!BX28</f>
        <v/>
      </c>
      <c r="U26" s="297" t="str">
        <f>Matrice!BY28</f>
        <v/>
      </c>
      <c r="V26" s="298" t="str">
        <f t="shared" si="1"/>
        <v/>
      </c>
      <c r="W26" s="354">
        <f t="shared" si="3"/>
        <v>0</v>
      </c>
      <c r="X26" s="294"/>
      <c r="Y26" s="299"/>
      <c r="Z26" s="296" t="str">
        <f>Matrice!DC28</f>
        <v/>
      </c>
      <c r="AA26" s="297" t="str">
        <f>Matrice!DD28</f>
        <v/>
      </c>
      <c r="AB26" s="298" t="str">
        <f t="shared" si="2"/>
        <v/>
      </c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</row>
    <row r="27" spans="1:59" s="6" customFormat="1" ht="18.75" customHeight="1" x14ac:dyDescent="0.2">
      <c r="A27" s="9"/>
      <c r="B27" s="9"/>
      <c r="C27" s="300" t="str">
        <f>Matrice!C29</f>
        <v/>
      </c>
      <c r="D27" s="301" t="str">
        <f>IF(Matrice!D29="","",Matrice!D29)</f>
        <v/>
      </c>
      <c r="E27" s="302" t="str">
        <f>IF(Matrice!E29="","",Matrice!E29)</f>
        <v/>
      </c>
      <c r="F27" s="302" t="str">
        <f>IF(Matrice!F29="","",Matrice!F29)</f>
        <v/>
      </c>
      <c r="G27" s="303" t="str">
        <f>IF(Matrice!G29="","",Matrice!G29)</f>
        <v/>
      </c>
      <c r="H27" s="304" t="e">
        <f>VLOOKUP(G27,Listes!W10:Y57,2,FALSE)</f>
        <v>#N/A</v>
      </c>
      <c r="I27" s="304" t="e">
        <f>VLOOKUP(G27,Listes!W10:Y57,3,FALSE)</f>
        <v>#N/A</v>
      </c>
      <c r="J27" s="303" t="str">
        <f>IF(Matrice!J29="","",Matrice!J29)</f>
        <v/>
      </c>
      <c r="K27" s="303" t="str">
        <f>IF(Matrice!K29="","",Matrice!K29)</f>
        <v/>
      </c>
      <c r="L27" s="303" t="str">
        <f>IF(Matrice!L29="","",Matrice!L29)</f>
        <v/>
      </c>
      <c r="M27" s="303" t="str">
        <f>IF(Matrice!M29="","",Matrice!M29)</f>
        <v/>
      </c>
      <c r="N27" s="303" t="str">
        <f>IF(Matrice!N29="","",Matrice!N29)</f>
        <v/>
      </c>
      <c r="O27" s="303" t="str">
        <f>IF(Matrice!O29="","",Matrice!O29)</f>
        <v/>
      </c>
      <c r="P27" s="292" t="str">
        <f t="shared" si="0"/>
        <v/>
      </c>
      <c r="Q27" s="293"/>
      <c r="R27" s="294"/>
      <c r="S27" s="295"/>
      <c r="T27" s="296" t="str">
        <f>Matrice!BX29</f>
        <v/>
      </c>
      <c r="U27" s="297" t="str">
        <f>Matrice!BY29</f>
        <v/>
      </c>
      <c r="V27" s="298" t="str">
        <f t="shared" si="1"/>
        <v/>
      </c>
      <c r="W27" s="354">
        <f t="shared" si="3"/>
        <v>0</v>
      </c>
      <c r="X27" s="294"/>
      <c r="Y27" s="299"/>
      <c r="Z27" s="296" t="str">
        <f>Matrice!DC29</f>
        <v/>
      </c>
      <c r="AA27" s="297" t="str">
        <f>Matrice!DD29</f>
        <v/>
      </c>
      <c r="AB27" s="298" t="str">
        <f t="shared" si="2"/>
        <v/>
      </c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</row>
    <row r="28" spans="1:59" s="30" customFormat="1" ht="18.75" customHeight="1" x14ac:dyDescent="0.2">
      <c r="A28" s="9"/>
      <c r="B28" s="9"/>
      <c r="C28" s="300" t="str">
        <f>Matrice!C30</f>
        <v/>
      </c>
      <c r="D28" s="301" t="str">
        <f>IF(Matrice!D30="","",Matrice!D30)</f>
        <v/>
      </c>
      <c r="E28" s="302" t="str">
        <f>IF(Matrice!E30="","",Matrice!E30)</f>
        <v/>
      </c>
      <c r="F28" s="302" t="str">
        <f>IF(Matrice!F30="","",Matrice!F30)</f>
        <v/>
      </c>
      <c r="G28" s="303" t="str">
        <f>IF(Matrice!G30="","",Matrice!G30)</f>
        <v/>
      </c>
      <c r="H28" s="304" t="e">
        <f>VLOOKUP(G28,Listes!W11:Y58,2,FALSE)</f>
        <v>#N/A</v>
      </c>
      <c r="I28" s="304" t="e">
        <f>VLOOKUP(G28,Listes!W11:Y58,3,FALSE)</f>
        <v>#N/A</v>
      </c>
      <c r="J28" s="303" t="str">
        <f>IF(Matrice!J30="","",Matrice!J30)</f>
        <v/>
      </c>
      <c r="K28" s="303" t="str">
        <f>IF(Matrice!K30="","",Matrice!K30)</f>
        <v/>
      </c>
      <c r="L28" s="303" t="str">
        <f>IF(Matrice!L30="","",Matrice!L30)</f>
        <v/>
      </c>
      <c r="M28" s="303" t="str">
        <f>IF(Matrice!M30="","",Matrice!M30)</f>
        <v/>
      </c>
      <c r="N28" s="303" t="str">
        <f>IF(Matrice!N30="","",Matrice!N30)</f>
        <v/>
      </c>
      <c r="O28" s="303" t="str">
        <f>IF(Matrice!O30="","",Matrice!O30)</f>
        <v/>
      </c>
      <c r="P28" s="292" t="str">
        <f t="shared" si="0"/>
        <v/>
      </c>
      <c r="Q28" s="293"/>
      <c r="R28" s="294"/>
      <c r="S28" s="295"/>
      <c r="T28" s="296" t="str">
        <f>Matrice!BX30</f>
        <v/>
      </c>
      <c r="U28" s="297" t="str">
        <f>Matrice!BY30</f>
        <v/>
      </c>
      <c r="V28" s="298" t="str">
        <f t="shared" si="1"/>
        <v/>
      </c>
      <c r="W28" s="354">
        <f t="shared" si="3"/>
        <v>0</v>
      </c>
      <c r="X28" s="294"/>
      <c r="Y28" s="299"/>
      <c r="Z28" s="296" t="str">
        <f>Matrice!DC30</f>
        <v/>
      </c>
      <c r="AA28" s="297" t="str">
        <f>Matrice!DD30</f>
        <v/>
      </c>
      <c r="AB28" s="298" t="str">
        <f t="shared" si="2"/>
        <v/>
      </c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</row>
    <row r="29" spans="1:59" s="30" customFormat="1" ht="18.75" customHeight="1" x14ac:dyDescent="0.2">
      <c r="A29" s="9"/>
      <c r="B29" s="9"/>
      <c r="C29" s="300" t="str">
        <f>Matrice!C31</f>
        <v/>
      </c>
      <c r="D29" s="301" t="str">
        <f>IF(Matrice!D31="","",Matrice!D31)</f>
        <v/>
      </c>
      <c r="E29" s="302" t="str">
        <f>IF(Matrice!E31="","",Matrice!E31)</f>
        <v/>
      </c>
      <c r="F29" s="302" t="str">
        <f>IF(Matrice!F31="","",Matrice!F31)</f>
        <v/>
      </c>
      <c r="G29" s="303" t="str">
        <f>IF(Matrice!G31="","",Matrice!G31)</f>
        <v/>
      </c>
      <c r="H29" s="304" t="e">
        <f>VLOOKUP(G29,Listes!W12:Y59,2,FALSE)</f>
        <v>#N/A</v>
      </c>
      <c r="I29" s="304" t="e">
        <f>VLOOKUP(G29,Listes!W12:Y59,3,FALSE)</f>
        <v>#N/A</v>
      </c>
      <c r="J29" s="303" t="str">
        <f>IF(Matrice!J31="","",Matrice!J31)</f>
        <v/>
      </c>
      <c r="K29" s="303" t="str">
        <f>IF(Matrice!K31="","",Matrice!K31)</f>
        <v/>
      </c>
      <c r="L29" s="303" t="str">
        <f>IF(Matrice!L31="","",Matrice!L31)</f>
        <v/>
      </c>
      <c r="M29" s="303" t="str">
        <f>IF(Matrice!M31="","",Matrice!M31)</f>
        <v/>
      </c>
      <c r="N29" s="303" t="str">
        <f>IF(Matrice!N31="","",Matrice!N31)</f>
        <v/>
      </c>
      <c r="O29" s="303" t="str">
        <f>IF(Matrice!O31="","",Matrice!O31)</f>
        <v/>
      </c>
      <c r="P29" s="292" t="str">
        <f t="shared" si="0"/>
        <v/>
      </c>
      <c r="Q29" s="293"/>
      <c r="R29" s="294"/>
      <c r="S29" s="295"/>
      <c r="T29" s="296" t="str">
        <f>Matrice!BX31</f>
        <v/>
      </c>
      <c r="U29" s="297" t="str">
        <f>Matrice!BY31</f>
        <v/>
      </c>
      <c r="V29" s="298" t="str">
        <f t="shared" si="1"/>
        <v/>
      </c>
      <c r="W29" s="354">
        <f t="shared" si="3"/>
        <v>0</v>
      </c>
      <c r="X29" s="294"/>
      <c r="Y29" s="299"/>
      <c r="Z29" s="296" t="str">
        <f>Matrice!DC31</f>
        <v/>
      </c>
      <c r="AA29" s="297" t="str">
        <f>Matrice!DD31</f>
        <v/>
      </c>
      <c r="AB29" s="298" t="str">
        <f t="shared" si="2"/>
        <v/>
      </c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</row>
    <row r="30" spans="1:59" s="30" customFormat="1" ht="18.75" customHeight="1" x14ac:dyDescent="0.2">
      <c r="A30" s="9"/>
      <c r="B30" s="9"/>
      <c r="C30" s="300" t="str">
        <f>Matrice!C32</f>
        <v/>
      </c>
      <c r="D30" s="301" t="str">
        <f>IF(Matrice!D32="","",Matrice!D32)</f>
        <v/>
      </c>
      <c r="E30" s="302" t="str">
        <f>IF(Matrice!E32="","",Matrice!E32)</f>
        <v/>
      </c>
      <c r="F30" s="302" t="str">
        <f>IF(Matrice!F32="","",Matrice!F32)</f>
        <v/>
      </c>
      <c r="G30" s="303" t="str">
        <f>IF(Matrice!G32="","",Matrice!G32)</f>
        <v/>
      </c>
      <c r="H30" s="304" t="e">
        <f>VLOOKUP(G30,Listes!W13:Y60,2,FALSE)</f>
        <v>#N/A</v>
      </c>
      <c r="I30" s="304" t="e">
        <f>VLOOKUP(G30,Listes!W13:Y60,3,FALSE)</f>
        <v>#N/A</v>
      </c>
      <c r="J30" s="303" t="str">
        <f>IF(Matrice!J32="","",Matrice!J32)</f>
        <v/>
      </c>
      <c r="K30" s="303" t="str">
        <f>IF(Matrice!K32="","",Matrice!K32)</f>
        <v/>
      </c>
      <c r="L30" s="303" t="str">
        <f>IF(Matrice!L32="","",Matrice!L32)</f>
        <v/>
      </c>
      <c r="M30" s="303" t="str">
        <f>IF(Matrice!M32="","",Matrice!M32)</f>
        <v/>
      </c>
      <c r="N30" s="303" t="str">
        <f>IF(Matrice!N32="","",Matrice!N32)</f>
        <v/>
      </c>
      <c r="O30" s="303" t="str">
        <f>IF(Matrice!O32="","",Matrice!O32)</f>
        <v/>
      </c>
      <c r="P30" s="292" t="str">
        <f t="shared" si="0"/>
        <v/>
      </c>
      <c r="Q30" s="293"/>
      <c r="R30" s="294"/>
      <c r="S30" s="295"/>
      <c r="T30" s="296" t="str">
        <f>Matrice!BX32</f>
        <v/>
      </c>
      <c r="U30" s="297" t="str">
        <f>Matrice!BY32</f>
        <v/>
      </c>
      <c r="V30" s="298" t="str">
        <f t="shared" si="1"/>
        <v/>
      </c>
      <c r="W30" s="354">
        <f t="shared" si="3"/>
        <v>0</v>
      </c>
      <c r="X30" s="294"/>
      <c r="Y30" s="299"/>
      <c r="Z30" s="296" t="str">
        <f>Matrice!DC32</f>
        <v/>
      </c>
      <c r="AA30" s="297" t="str">
        <f>Matrice!DD32</f>
        <v/>
      </c>
      <c r="AB30" s="298" t="str">
        <f t="shared" si="2"/>
        <v/>
      </c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</row>
    <row r="31" spans="1:59" s="30" customFormat="1" ht="18.75" customHeight="1" x14ac:dyDescent="0.2">
      <c r="A31" s="9"/>
      <c r="B31" s="9"/>
      <c r="C31" s="300" t="str">
        <f>Matrice!C33</f>
        <v/>
      </c>
      <c r="D31" s="301" t="str">
        <f>IF(Matrice!D33="","",Matrice!D33)</f>
        <v/>
      </c>
      <c r="E31" s="302" t="str">
        <f>IF(Matrice!E33="","",Matrice!E33)</f>
        <v/>
      </c>
      <c r="F31" s="302" t="str">
        <f>IF(Matrice!F33="","",Matrice!F33)</f>
        <v/>
      </c>
      <c r="G31" s="303" t="str">
        <f>IF(Matrice!G33="","",Matrice!G33)</f>
        <v/>
      </c>
      <c r="H31" s="304" t="e">
        <f>VLOOKUP(G31,Listes!W14:Y61,2,FALSE)</f>
        <v>#N/A</v>
      </c>
      <c r="I31" s="304" t="e">
        <f>VLOOKUP(G31,Listes!W14:Y61,3,FALSE)</f>
        <v>#N/A</v>
      </c>
      <c r="J31" s="303" t="str">
        <f>IF(Matrice!J33="","",Matrice!J33)</f>
        <v/>
      </c>
      <c r="K31" s="303" t="str">
        <f>IF(Matrice!K33="","",Matrice!K33)</f>
        <v/>
      </c>
      <c r="L31" s="303" t="str">
        <f>IF(Matrice!L33="","",Matrice!L33)</f>
        <v/>
      </c>
      <c r="M31" s="303" t="str">
        <f>IF(Matrice!M33="","",Matrice!M33)</f>
        <v/>
      </c>
      <c r="N31" s="303" t="str">
        <f>IF(Matrice!N33="","",Matrice!N33)</f>
        <v/>
      </c>
      <c r="O31" s="303" t="str">
        <f>IF(Matrice!O33="","",Matrice!O33)</f>
        <v/>
      </c>
      <c r="P31" s="292" t="str">
        <f t="shared" si="0"/>
        <v/>
      </c>
      <c r="Q31" s="293"/>
      <c r="R31" s="294"/>
      <c r="S31" s="295"/>
      <c r="T31" s="296" t="str">
        <f>Matrice!BX33</f>
        <v/>
      </c>
      <c r="U31" s="297" t="str">
        <f>Matrice!BY33</f>
        <v/>
      </c>
      <c r="V31" s="298" t="str">
        <f t="shared" si="1"/>
        <v/>
      </c>
      <c r="W31" s="354">
        <f t="shared" si="3"/>
        <v>0</v>
      </c>
      <c r="X31" s="294"/>
      <c r="Y31" s="299"/>
      <c r="Z31" s="296" t="str">
        <f>Matrice!DC33</f>
        <v/>
      </c>
      <c r="AA31" s="297" t="str">
        <f>Matrice!DD33</f>
        <v/>
      </c>
      <c r="AB31" s="298" t="str">
        <f t="shared" si="2"/>
        <v/>
      </c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</row>
    <row r="32" spans="1:59" s="30" customFormat="1" ht="18.75" customHeight="1" x14ac:dyDescent="0.2">
      <c r="A32" s="9"/>
      <c r="B32" s="9"/>
      <c r="C32" s="300" t="str">
        <f>Matrice!C34</f>
        <v/>
      </c>
      <c r="D32" s="301" t="str">
        <f>IF(Matrice!D34="","",Matrice!D34)</f>
        <v/>
      </c>
      <c r="E32" s="302" t="str">
        <f>IF(Matrice!E34="","",Matrice!E34)</f>
        <v/>
      </c>
      <c r="F32" s="302" t="str">
        <f>IF(Matrice!F34="","",Matrice!F34)</f>
        <v/>
      </c>
      <c r="G32" s="303" t="str">
        <f>IF(Matrice!G34="","",Matrice!G34)</f>
        <v/>
      </c>
      <c r="H32" s="304" t="e">
        <f>VLOOKUP(G32,Listes!W15:Y62,2,FALSE)</f>
        <v>#N/A</v>
      </c>
      <c r="I32" s="304" t="e">
        <f>VLOOKUP(G32,Listes!W15:Y62,3,FALSE)</f>
        <v>#N/A</v>
      </c>
      <c r="J32" s="303" t="str">
        <f>IF(Matrice!J34="","",Matrice!J34)</f>
        <v/>
      </c>
      <c r="K32" s="303" t="str">
        <f>IF(Matrice!K34="","",Matrice!K34)</f>
        <v/>
      </c>
      <c r="L32" s="303" t="str">
        <f>IF(Matrice!L34="","",Matrice!L34)</f>
        <v/>
      </c>
      <c r="M32" s="303" t="str">
        <f>IF(Matrice!M34="","",Matrice!M34)</f>
        <v/>
      </c>
      <c r="N32" s="303" t="str">
        <f>IF(Matrice!N34="","",Matrice!N34)</f>
        <v/>
      </c>
      <c r="O32" s="303" t="str">
        <f>IF(Matrice!O34="","",Matrice!O34)</f>
        <v/>
      </c>
      <c r="P32" s="292" t="str">
        <f t="shared" si="0"/>
        <v/>
      </c>
      <c r="Q32" s="293"/>
      <c r="R32" s="294"/>
      <c r="S32" s="295"/>
      <c r="T32" s="296" t="str">
        <f>Matrice!BX34</f>
        <v/>
      </c>
      <c r="U32" s="297" t="str">
        <f>Matrice!BY34</f>
        <v/>
      </c>
      <c r="V32" s="298" t="str">
        <f t="shared" si="1"/>
        <v/>
      </c>
      <c r="W32" s="354">
        <f t="shared" si="3"/>
        <v>0</v>
      </c>
      <c r="X32" s="294"/>
      <c r="Y32" s="299"/>
      <c r="Z32" s="296" t="str">
        <f>Matrice!DC34</f>
        <v/>
      </c>
      <c r="AA32" s="297" t="str">
        <f>Matrice!DD34</f>
        <v/>
      </c>
      <c r="AB32" s="298" t="str">
        <f t="shared" si="2"/>
        <v/>
      </c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</row>
    <row r="33" spans="1:59" s="30" customFormat="1" ht="16.5" customHeight="1" x14ac:dyDescent="0.2">
      <c r="A33" s="9"/>
      <c r="B33" s="9"/>
      <c r="C33" s="300" t="str">
        <f>Matrice!C35</f>
        <v/>
      </c>
      <c r="D33" s="301" t="str">
        <f>IF(Matrice!D35="","",Matrice!D35)</f>
        <v/>
      </c>
      <c r="E33" s="302" t="str">
        <f>IF(Matrice!E35="","",Matrice!E35)</f>
        <v/>
      </c>
      <c r="F33" s="302" t="str">
        <f>IF(Matrice!F35="","",Matrice!F35)</f>
        <v/>
      </c>
      <c r="G33" s="303" t="str">
        <f>IF(Matrice!G35="","",Matrice!G35)</f>
        <v/>
      </c>
      <c r="H33" s="304" t="e">
        <f>VLOOKUP(G33,Listes!W16:Y63,2,FALSE)</f>
        <v>#N/A</v>
      </c>
      <c r="I33" s="304" t="e">
        <f>VLOOKUP(G33,Listes!W16:Y63,3,FALSE)</f>
        <v>#N/A</v>
      </c>
      <c r="J33" s="303" t="str">
        <f>IF(Matrice!J35="","",Matrice!J35)</f>
        <v/>
      </c>
      <c r="K33" s="303" t="str">
        <f>IF(Matrice!K35="","",Matrice!K35)</f>
        <v/>
      </c>
      <c r="L33" s="303" t="str">
        <f>IF(Matrice!L35="","",Matrice!L35)</f>
        <v/>
      </c>
      <c r="M33" s="303" t="str">
        <f>IF(Matrice!M35="","",Matrice!M35)</f>
        <v/>
      </c>
      <c r="N33" s="303" t="str">
        <f>IF(Matrice!N35="","",Matrice!N35)</f>
        <v/>
      </c>
      <c r="O33" s="303" t="str">
        <f>IF(Matrice!O35="","",Matrice!O35)</f>
        <v/>
      </c>
      <c r="P33" s="292" t="str">
        <f t="shared" si="0"/>
        <v/>
      </c>
      <c r="Q33" s="293"/>
      <c r="R33" s="294"/>
      <c r="S33" s="295"/>
      <c r="T33" s="296" t="str">
        <f>Matrice!BX35</f>
        <v/>
      </c>
      <c r="U33" s="297" t="str">
        <f>Matrice!BY35</f>
        <v/>
      </c>
      <c r="V33" s="298" t="str">
        <f t="shared" si="1"/>
        <v/>
      </c>
      <c r="W33" s="354">
        <f t="shared" si="3"/>
        <v>0</v>
      </c>
      <c r="X33" s="294"/>
      <c r="Y33" s="299"/>
      <c r="Z33" s="296" t="str">
        <f>Matrice!DC35</f>
        <v/>
      </c>
      <c r="AA33" s="297" t="str">
        <f>Matrice!DD35</f>
        <v/>
      </c>
      <c r="AB33" s="298" t="str">
        <f t="shared" si="2"/>
        <v/>
      </c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</row>
    <row r="34" spans="1:59" s="30" customFormat="1" ht="16.5" customHeight="1" x14ac:dyDescent="0.2">
      <c r="A34" s="9"/>
      <c r="B34" s="9"/>
      <c r="C34" s="300" t="str">
        <f>Matrice!C36</f>
        <v/>
      </c>
      <c r="D34" s="301" t="str">
        <f>IF(Matrice!D36="","",Matrice!D36)</f>
        <v/>
      </c>
      <c r="E34" s="302" t="str">
        <f>IF(Matrice!E36="","",Matrice!E36)</f>
        <v/>
      </c>
      <c r="F34" s="302" t="str">
        <f>IF(Matrice!F36="","",Matrice!F36)</f>
        <v/>
      </c>
      <c r="G34" s="303" t="str">
        <f>IF(Matrice!G36="","",Matrice!G36)</f>
        <v/>
      </c>
      <c r="H34" s="304" t="e">
        <f>VLOOKUP(G34,Listes!W17:Y64,2,FALSE)</f>
        <v>#N/A</v>
      </c>
      <c r="I34" s="304" t="e">
        <f>VLOOKUP(G34,Listes!W17:Y64,3,FALSE)</f>
        <v>#N/A</v>
      </c>
      <c r="J34" s="303" t="str">
        <f>IF(Matrice!J36="","",Matrice!J36)</f>
        <v/>
      </c>
      <c r="K34" s="303" t="str">
        <f>IF(Matrice!K36="","",Matrice!K36)</f>
        <v/>
      </c>
      <c r="L34" s="303" t="str">
        <f>IF(Matrice!L36="","",Matrice!L36)</f>
        <v/>
      </c>
      <c r="M34" s="303" t="str">
        <f>IF(Matrice!M36="","",Matrice!M36)</f>
        <v/>
      </c>
      <c r="N34" s="303" t="str">
        <f>IF(Matrice!N36="","",Matrice!N36)</f>
        <v/>
      </c>
      <c r="O34" s="303" t="str">
        <f>IF(Matrice!O36="","",Matrice!O36)</f>
        <v/>
      </c>
      <c r="P34" s="292" t="str">
        <f t="shared" si="0"/>
        <v/>
      </c>
      <c r="Q34" s="293"/>
      <c r="R34" s="294"/>
      <c r="S34" s="295"/>
      <c r="T34" s="296" t="str">
        <f>Matrice!BX36</f>
        <v/>
      </c>
      <c r="U34" s="297" t="str">
        <f>Matrice!BY36</f>
        <v/>
      </c>
      <c r="V34" s="298" t="str">
        <f t="shared" si="1"/>
        <v/>
      </c>
      <c r="W34" s="354">
        <f t="shared" si="3"/>
        <v>0</v>
      </c>
      <c r="X34" s="294"/>
      <c r="Y34" s="299"/>
      <c r="Z34" s="296" t="str">
        <f>Matrice!DC36</f>
        <v/>
      </c>
      <c r="AA34" s="297" t="str">
        <f>Matrice!DD36</f>
        <v/>
      </c>
      <c r="AB34" s="298" t="str">
        <f t="shared" si="2"/>
        <v/>
      </c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</row>
    <row r="35" spans="1:59" s="30" customFormat="1" ht="16.5" customHeight="1" x14ac:dyDescent="0.2">
      <c r="A35" s="9"/>
      <c r="B35" s="9"/>
      <c r="C35" s="300" t="str">
        <f>Matrice!C37</f>
        <v/>
      </c>
      <c r="D35" s="301" t="str">
        <f>IF(Matrice!D37="","",Matrice!D37)</f>
        <v/>
      </c>
      <c r="E35" s="302" t="str">
        <f>IF(Matrice!E37="","",Matrice!E37)</f>
        <v/>
      </c>
      <c r="F35" s="302" t="str">
        <f>IF(Matrice!F37="","",Matrice!F37)</f>
        <v/>
      </c>
      <c r="G35" s="303" t="str">
        <f>IF(Matrice!G37="","",Matrice!G37)</f>
        <v/>
      </c>
      <c r="H35" s="304" t="e">
        <f>VLOOKUP(G35,Listes!W18:Y65,2,FALSE)</f>
        <v>#N/A</v>
      </c>
      <c r="I35" s="304" t="e">
        <f>VLOOKUP(G35,Listes!W18:Y65,3,FALSE)</f>
        <v>#N/A</v>
      </c>
      <c r="J35" s="303" t="str">
        <f>IF(Matrice!J37="","",Matrice!J37)</f>
        <v/>
      </c>
      <c r="K35" s="303" t="str">
        <f>IF(Matrice!K37="","",Matrice!K37)</f>
        <v/>
      </c>
      <c r="L35" s="303" t="str">
        <f>IF(Matrice!L37="","",Matrice!L37)</f>
        <v/>
      </c>
      <c r="M35" s="303" t="str">
        <f>IF(Matrice!M37="","",Matrice!M37)</f>
        <v/>
      </c>
      <c r="N35" s="303" t="str">
        <f>IF(Matrice!N37="","",Matrice!N37)</f>
        <v/>
      </c>
      <c r="O35" s="303" t="str">
        <f>IF(Matrice!O37="","",Matrice!O37)</f>
        <v/>
      </c>
      <c r="P35" s="292" t="str">
        <f t="shared" si="0"/>
        <v/>
      </c>
      <c r="Q35" s="293"/>
      <c r="R35" s="294"/>
      <c r="S35" s="295"/>
      <c r="T35" s="296" t="str">
        <f>Matrice!BX37</f>
        <v/>
      </c>
      <c r="U35" s="297" t="str">
        <f>Matrice!BY37</f>
        <v/>
      </c>
      <c r="V35" s="298" t="str">
        <f t="shared" si="1"/>
        <v/>
      </c>
      <c r="W35" s="354">
        <f t="shared" si="3"/>
        <v>0</v>
      </c>
      <c r="X35" s="294"/>
      <c r="Y35" s="299"/>
      <c r="Z35" s="296" t="str">
        <f>Matrice!DC37</f>
        <v/>
      </c>
      <c r="AA35" s="297" t="str">
        <f>Matrice!DD37</f>
        <v/>
      </c>
      <c r="AB35" s="298" t="str">
        <f t="shared" si="2"/>
        <v/>
      </c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</row>
    <row r="36" spans="1:59" s="30" customFormat="1" ht="16.5" customHeight="1" x14ac:dyDescent="0.2">
      <c r="A36" s="9"/>
      <c r="B36" s="9"/>
      <c r="C36" s="300" t="str">
        <f>Matrice!C38</f>
        <v/>
      </c>
      <c r="D36" s="301" t="str">
        <f>IF(Matrice!D38="","",Matrice!D38)</f>
        <v/>
      </c>
      <c r="E36" s="302" t="str">
        <f>IF(Matrice!E38="","",Matrice!E38)</f>
        <v/>
      </c>
      <c r="F36" s="302" t="str">
        <f>IF(Matrice!F38="","",Matrice!F38)</f>
        <v/>
      </c>
      <c r="G36" s="303" t="str">
        <f>IF(Matrice!G38="","",Matrice!G38)</f>
        <v/>
      </c>
      <c r="H36" s="304" t="e">
        <f>VLOOKUP(G36,Listes!W19:Y66,2,FALSE)</f>
        <v>#N/A</v>
      </c>
      <c r="I36" s="304" t="e">
        <f>VLOOKUP(G36,Listes!W19:Y66,3,FALSE)</f>
        <v>#N/A</v>
      </c>
      <c r="J36" s="303" t="str">
        <f>IF(Matrice!J38="","",Matrice!J38)</f>
        <v/>
      </c>
      <c r="K36" s="303" t="str">
        <f>IF(Matrice!K38="","",Matrice!K38)</f>
        <v/>
      </c>
      <c r="L36" s="303" t="str">
        <f>IF(Matrice!L38="","",Matrice!L38)</f>
        <v/>
      </c>
      <c r="M36" s="303" t="str">
        <f>IF(Matrice!M38="","",Matrice!M38)</f>
        <v/>
      </c>
      <c r="N36" s="303" t="str">
        <f>IF(Matrice!N38="","",Matrice!N38)</f>
        <v/>
      </c>
      <c r="O36" s="303" t="str">
        <f>IF(Matrice!O38="","",Matrice!O38)</f>
        <v/>
      </c>
      <c r="P36" s="292" t="str">
        <f t="shared" si="0"/>
        <v/>
      </c>
      <c r="Q36" s="293"/>
      <c r="R36" s="294"/>
      <c r="S36" s="295"/>
      <c r="T36" s="296" t="str">
        <f>Matrice!BX38</f>
        <v/>
      </c>
      <c r="U36" s="297" t="str">
        <f>Matrice!BY38</f>
        <v/>
      </c>
      <c r="V36" s="298" t="str">
        <f t="shared" si="1"/>
        <v/>
      </c>
      <c r="W36" s="354">
        <f t="shared" si="3"/>
        <v>0</v>
      </c>
      <c r="X36" s="294"/>
      <c r="Y36" s="299"/>
      <c r="Z36" s="296" t="str">
        <f>Matrice!DC38</f>
        <v/>
      </c>
      <c r="AA36" s="297" t="str">
        <f>Matrice!DD38</f>
        <v/>
      </c>
      <c r="AB36" s="298" t="str">
        <f t="shared" si="2"/>
        <v/>
      </c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</row>
    <row r="37" spans="1:59" s="30" customFormat="1" ht="16.5" customHeight="1" x14ac:dyDescent="0.2">
      <c r="A37" s="9"/>
      <c r="B37" s="9"/>
      <c r="C37" s="300" t="str">
        <f>Matrice!C39</f>
        <v/>
      </c>
      <c r="D37" s="301" t="str">
        <f>IF(Matrice!D39="","",Matrice!D39)</f>
        <v/>
      </c>
      <c r="E37" s="302" t="str">
        <f>IF(Matrice!E39="","",Matrice!E39)</f>
        <v/>
      </c>
      <c r="F37" s="302" t="str">
        <f>IF(Matrice!F39="","",Matrice!F39)</f>
        <v/>
      </c>
      <c r="G37" s="303" t="str">
        <f>IF(Matrice!G39="","",Matrice!G39)</f>
        <v/>
      </c>
      <c r="H37" s="304" t="e">
        <f>VLOOKUP(G37,Listes!W20:Y67,2,FALSE)</f>
        <v>#N/A</v>
      </c>
      <c r="I37" s="304" t="e">
        <f>VLOOKUP(G37,Listes!W20:Y67,3,FALSE)</f>
        <v>#N/A</v>
      </c>
      <c r="J37" s="303" t="str">
        <f>IF(Matrice!J39="","",Matrice!J39)</f>
        <v/>
      </c>
      <c r="K37" s="303" t="str">
        <f>IF(Matrice!K39="","",Matrice!K39)</f>
        <v/>
      </c>
      <c r="L37" s="303" t="str">
        <f>IF(Matrice!L39="","",Matrice!L39)</f>
        <v/>
      </c>
      <c r="M37" s="303" t="str">
        <f>IF(Matrice!M39="","",Matrice!M39)</f>
        <v/>
      </c>
      <c r="N37" s="303" t="str">
        <f>IF(Matrice!N39="","",Matrice!N39)</f>
        <v/>
      </c>
      <c r="O37" s="303" t="str">
        <f>IF(Matrice!O39="","",Matrice!O39)</f>
        <v/>
      </c>
      <c r="P37" s="292" t="str">
        <f t="shared" si="0"/>
        <v/>
      </c>
      <c r="Q37" s="293"/>
      <c r="R37" s="294"/>
      <c r="S37" s="295"/>
      <c r="T37" s="296" t="str">
        <f>Matrice!BX39</f>
        <v/>
      </c>
      <c r="U37" s="297" t="str">
        <f>Matrice!BY39</f>
        <v/>
      </c>
      <c r="V37" s="298" t="str">
        <f t="shared" si="1"/>
        <v/>
      </c>
      <c r="W37" s="354">
        <f t="shared" si="3"/>
        <v>0</v>
      </c>
      <c r="X37" s="294"/>
      <c r="Y37" s="299"/>
      <c r="Z37" s="296" t="str">
        <f>Matrice!DC39</f>
        <v/>
      </c>
      <c r="AA37" s="297" t="str">
        <f>Matrice!DD39</f>
        <v/>
      </c>
      <c r="AB37" s="298" t="str">
        <f t="shared" si="2"/>
        <v/>
      </c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</row>
    <row r="38" spans="1:59" s="30" customFormat="1" ht="16.5" customHeight="1" x14ac:dyDescent="0.2">
      <c r="A38" s="9"/>
      <c r="B38" s="9"/>
      <c r="C38" s="300" t="str">
        <f>Matrice!C40</f>
        <v/>
      </c>
      <c r="D38" s="301" t="str">
        <f>IF(Matrice!D40="","",Matrice!D40)</f>
        <v/>
      </c>
      <c r="E38" s="302" t="str">
        <f>IF(Matrice!E40="","",Matrice!E40)</f>
        <v/>
      </c>
      <c r="F38" s="302" t="str">
        <f>IF(Matrice!F40="","",Matrice!F40)</f>
        <v/>
      </c>
      <c r="G38" s="303" t="str">
        <f>IF(Matrice!G40="","",Matrice!G40)</f>
        <v/>
      </c>
      <c r="H38" s="304" t="e">
        <f>VLOOKUP(G38,Listes!W21:Y68,2,FALSE)</f>
        <v>#N/A</v>
      </c>
      <c r="I38" s="304" t="e">
        <f>VLOOKUP(G38,Listes!W21:Y68,3,FALSE)</f>
        <v>#N/A</v>
      </c>
      <c r="J38" s="303" t="str">
        <f>IF(Matrice!J40="","",Matrice!J40)</f>
        <v/>
      </c>
      <c r="K38" s="303" t="str">
        <f>IF(Matrice!K40="","",Matrice!K40)</f>
        <v/>
      </c>
      <c r="L38" s="303" t="str">
        <f>IF(Matrice!L40="","",Matrice!L40)</f>
        <v/>
      </c>
      <c r="M38" s="303" t="str">
        <f>IF(Matrice!M40="","",Matrice!M40)</f>
        <v/>
      </c>
      <c r="N38" s="303" t="str">
        <f>IF(Matrice!N40="","",Matrice!N40)</f>
        <v/>
      </c>
      <c r="O38" s="303" t="str">
        <f>IF(Matrice!O40="","",Matrice!O40)</f>
        <v/>
      </c>
      <c r="P38" s="292" t="str">
        <f t="shared" si="0"/>
        <v/>
      </c>
      <c r="Q38" s="293"/>
      <c r="R38" s="294"/>
      <c r="S38" s="295"/>
      <c r="T38" s="296" t="str">
        <f>Matrice!BX40</f>
        <v/>
      </c>
      <c r="U38" s="297" t="str">
        <f>Matrice!BY40</f>
        <v/>
      </c>
      <c r="V38" s="298" t="str">
        <f t="shared" si="1"/>
        <v/>
      </c>
      <c r="W38" s="354">
        <f t="shared" si="3"/>
        <v>0</v>
      </c>
      <c r="X38" s="294"/>
      <c r="Y38" s="299"/>
      <c r="Z38" s="296" t="str">
        <f>Matrice!DC40</f>
        <v/>
      </c>
      <c r="AA38" s="297" t="str">
        <f>Matrice!DD40</f>
        <v/>
      </c>
      <c r="AB38" s="298" t="str">
        <f t="shared" si="2"/>
        <v/>
      </c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</row>
    <row r="39" spans="1:59" s="30" customFormat="1" ht="16.5" customHeight="1" x14ac:dyDescent="0.2">
      <c r="A39" s="9"/>
      <c r="B39" s="9"/>
      <c r="C39" s="300" t="str">
        <f>Matrice!C41</f>
        <v/>
      </c>
      <c r="D39" s="301" t="str">
        <f>IF(Matrice!D41="","",Matrice!D41)</f>
        <v/>
      </c>
      <c r="E39" s="302" t="str">
        <f>IF(Matrice!E41="","",Matrice!E41)</f>
        <v/>
      </c>
      <c r="F39" s="302" t="str">
        <f>IF(Matrice!F41="","",Matrice!F41)</f>
        <v/>
      </c>
      <c r="G39" s="303" t="str">
        <f>IF(Matrice!G41="","",Matrice!G41)</f>
        <v/>
      </c>
      <c r="H39" s="304" t="e">
        <f>VLOOKUP(G39,Listes!W22:Y69,2,FALSE)</f>
        <v>#N/A</v>
      </c>
      <c r="I39" s="304" t="e">
        <f>VLOOKUP(G39,Listes!W22:Y69,3,FALSE)</f>
        <v>#N/A</v>
      </c>
      <c r="J39" s="303" t="str">
        <f>IF(Matrice!J41="","",Matrice!J41)</f>
        <v/>
      </c>
      <c r="K39" s="303" t="str">
        <f>IF(Matrice!K41="","",Matrice!K41)</f>
        <v/>
      </c>
      <c r="L39" s="303" t="str">
        <f>IF(Matrice!L41="","",Matrice!L41)</f>
        <v/>
      </c>
      <c r="M39" s="303" t="str">
        <f>IF(Matrice!M41="","",Matrice!M41)</f>
        <v/>
      </c>
      <c r="N39" s="303" t="str">
        <f>IF(Matrice!N41="","",Matrice!N41)</f>
        <v/>
      </c>
      <c r="O39" s="303" t="str">
        <f>IF(Matrice!O41="","",Matrice!O41)</f>
        <v/>
      </c>
      <c r="P39" s="292" t="str">
        <f t="shared" si="0"/>
        <v/>
      </c>
      <c r="Q39" s="293"/>
      <c r="R39" s="294"/>
      <c r="S39" s="295"/>
      <c r="T39" s="296" t="str">
        <f>Matrice!BX41</f>
        <v/>
      </c>
      <c r="U39" s="297" t="str">
        <f>Matrice!BY41</f>
        <v/>
      </c>
      <c r="V39" s="298" t="str">
        <f t="shared" si="1"/>
        <v/>
      </c>
      <c r="W39" s="354">
        <f t="shared" si="3"/>
        <v>0</v>
      </c>
      <c r="X39" s="294"/>
      <c r="Y39" s="299"/>
      <c r="Z39" s="296" t="str">
        <f>Matrice!DC41</f>
        <v/>
      </c>
      <c r="AA39" s="297" t="str">
        <f>Matrice!DD41</f>
        <v/>
      </c>
      <c r="AB39" s="298" t="str">
        <f t="shared" si="2"/>
        <v/>
      </c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</row>
    <row r="40" spans="1:59" s="30" customFormat="1" ht="16.5" customHeight="1" x14ac:dyDescent="0.2">
      <c r="A40" s="9"/>
      <c r="B40" s="9"/>
      <c r="C40" s="300" t="str">
        <f>Matrice!C42</f>
        <v/>
      </c>
      <c r="D40" s="301" t="str">
        <f>IF(Matrice!D42="","",Matrice!D42)</f>
        <v/>
      </c>
      <c r="E40" s="302" t="str">
        <f>IF(Matrice!E42="","",Matrice!E42)</f>
        <v/>
      </c>
      <c r="F40" s="302" t="str">
        <f>IF(Matrice!F42="","",Matrice!F42)</f>
        <v/>
      </c>
      <c r="G40" s="303" t="str">
        <f>IF(Matrice!G42="","",Matrice!G42)</f>
        <v/>
      </c>
      <c r="H40" s="304" t="e">
        <f>VLOOKUP(G40,Listes!W23:Y70,2,FALSE)</f>
        <v>#N/A</v>
      </c>
      <c r="I40" s="304" t="e">
        <f>VLOOKUP(G40,Listes!W23:Y70,3,FALSE)</f>
        <v>#N/A</v>
      </c>
      <c r="J40" s="303" t="str">
        <f>IF(Matrice!J42="","",Matrice!J42)</f>
        <v/>
      </c>
      <c r="K40" s="303" t="str">
        <f>IF(Matrice!K42="","",Matrice!K42)</f>
        <v/>
      </c>
      <c r="L40" s="303" t="str">
        <f>IF(Matrice!L42="","",Matrice!L42)</f>
        <v/>
      </c>
      <c r="M40" s="303" t="str">
        <f>IF(Matrice!M42="","",Matrice!M42)</f>
        <v/>
      </c>
      <c r="N40" s="303" t="str">
        <f>IF(Matrice!N42="","",Matrice!N42)</f>
        <v/>
      </c>
      <c r="O40" s="303" t="str">
        <f>IF(Matrice!O42="","",Matrice!O42)</f>
        <v/>
      </c>
      <c r="P40" s="292" t="str">
        <f t="shared" si="0"/>
        <v/>
      </c>
      <c r="Q40" s="293"/>
      <c r="R40" s="294"/>
      <c r="S40" s="295"/>
      <c r="T40" s="296" t="str">
        <f>Matrice!BX42</f>
        <v/>
      </c>
      <c r="U40" s="297" t="str">
        <f>Matrice!BY42</f>
        <v/>
      </c>
      <c r="V40" s="298" t="str">
        <f t="shared" si="1"/>
        <v/>
      </c>
      <c r="W40" s="354">
        <f t="shared" si="3"/>
        <v>0</v>
      </c>
      <c r="X40" s="294"/>
      <c r="Y40" s="299"/>
      <c r="Z40" s="296" t="str">
        <f>Matrice!DC42</f>
        <v/>
      </c>
      <c r="AA40" s="297" t="str">
        <f>Matrice!DD42</f>
        <v/>
      </c>
      <c r="AB40" s="298" t="str">
        <f t="shared" si="2"/>
        <v/>
      </c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</row>
  </sheetData>
  <sheetProtection sheet="1" objects="1" scenarios="1" formatColumns="0" formatRows="0" selectLockedCells="1" sort="0" autoFilter="0"/>
  <autoFilter ref="C20:AB40"/>
  <mergeCells count="8">
    <mergeCell ref="K18:O18"/>
    <mergeCell ref="C16:P16"/>
    <mergeCell ref="T16:V16"/>
    <mergeCell ref="Z16:AB16"/>
    <mergeCell ref="C17:D17"/>
    <mergeCell ref="J17:P17"/>
    <mergeCell ref="T17:V17"/>
    <mergeCell ref="Z17:AB17"/>
  </mergeCells>
  <conditionalFormatting sqref="V21:V40 P21:Q40 AB21:AB40">
    <cfRule type="cellIs" dxfId="405" priority="94" operator="equal">
      <formula>"Majeure"</formula>
    </cfRule>
    <cfRule type="cellIs" dxfId="404" priority="95" operator="equal">
      <formula>"Forte"</formula>
    </cfRule>
    <cfRule type="cellIs" dxfId="403" priority="96" operator="equal">
      <formula>"Moyenne"</formula>
    </cfRule>
    <cfRule type="cellIs" dxfId="402" priority="97" operator="equal">
      <formula>"Très faible"</formula>
    </cfRule>
    <cfRule type="cellIs" dxfId="401" priority="98" operator="equal">
      <formula>"Faible"</formula>
    </cfRule>
  </conditionalFormatting>
  <conditionalFormatting sqref="T21:T40">
    <cfRule type="expression" dxfId="400" priority="87">
      <formula>T21&lt;J21</formula>
    </cfRule>
  </conditionalFormatting>
  <conditionalFormatting sqref="U21:U40">
    <cfRule type="expression" dxfId="399" priority="82">
      <formula>U21&lt;O21</formula>
    </cfRule>
  </conditionalFormatting>
  <conditionalFormatting sqref="Y21:Y40">
    <cfRule type="expression" dxfId="398" priority="24">
      <formula>#REF!="En place"</formula>
    </cfRule>
  </conditionalFormatting>
  <conditionalFormatting sqref="Z21:AA40">
    <cfRule type="expression" dxfId="397" priority="1689">
      <formula>AA21&lt;U21</formula>
    </cfRule>
  </conditionalFormatting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headerFooter>
    <oddHeader>&amp;L Document imprimé le &amp;D à &amp;T&amp;CProjet SMI&amp;RVIASANTE Mutuelle</oddHeader>
    <oddFooter>&amp;L&amp;F&amp;C&amp;A&amp;R&amp;P /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2" id="{47910E54-2123-4CF0-AD35-7EEC36A16D48}">
            <xm:f>$I21=Listes!$AA$6</xm:f>
            <x14:dxf>
              <font>
                <b/>
                <i val="0"/>
                <color theme="2" tint="-0.24994659260841701"/>
              </font>
            </x14:dxf>
          </x14:cfRule>
          <x14:cfRule type="expression" priority="43" id="{BCB4BC5C-EA1D-4C4C-9B89-C96B2D84113F}">
            <xm:f>$I21=Listes!$AA$4</xm:f>
            <x14:dxf>
              <font>
                <b/>
                <i val="0"/>
                <color theme="9" tint="-0.24994659260841701"/>
              </font>
            </x14:dxf>
          </x14:cfRule>
          <x14:cfRule type="expression" priority="44" id="{7AD102E7-2A54-4591-BD34-5ED2731EA374}">
            <xm:f>$I21=Listes!$AA$5</xm:f>
            <x14:dxf>
              <font>
                <b/>
                <i val="0"/>
                <color theme="9" tint="0.39994506668294322"/>
              </font>
            </x14:dxf>
          </x14:cfRule>
          <xm:sqref>G21:G40 H21:O21 J22:O40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DF7D1B"/>
    <pageSetUpPr fitToPage="1"/>
  </sheetPr>
  <dimension ref="A1:X549"/>
  <sheetViews>
    <sheetView showGridLines="0" view="pageBreakPreview" topLeftCell="B1" zoomScale="10" zoomScaleNormal="55" zoomScaleSheetLayoutView="10" workbookViewId="0">
      <selection activeCell="Y47" sqref="Y47"/>
    </sheetView>
  </sheetViews>
  <sheetFormatPr baseColWidth="10" defaultRowHeight="12.75" x14ac:dyDescent="0.2"/>
  <cols>
    <col min="1" max="1" width="11" style="359" hidden="1" customWidth="1"/>
    <col min="2" max="2" width="11.1640625" style="359" customWidth="1"/>
    <col min="3" max="3" width="8.83203125" style="359" customWidth="1"/>
    <col min="4" max="4" width="102.5" style="359" customWidth="1"/>
    <col min="5" max="5" width="1.5" style="359" customWidth="1"/>
    <col min="6" max="6" width="12" style="359" customWidth="1"/>
    <col min="7" max="7" width="5.5" style="359" customWidth="1"/>
    <col min="8" max="11" width="6.5" style="359" customWidth="1"/>
    <col min="12" max="12" width="5.6640625" style="359" customWidth="1"/>
    <col min="13" max="13" width="93.33203125" style="359" customWidth="1"/>
    <col min="14" max="14" width="22.33203125" style="359" customWidth="1"/>
    <col min="15" max="15" width="19.1640625" style="359" customWidth="1"/>
    <col min="16" max="16" width="19.5" style="359" customWidth="1"/>
    <col min="17" max="17" width="6.6640625" style="359" customWidth="1"/>
    <col min="18" max="18" width="3" style="359" customWidth="1"/>
    <col min="19" max="19" width="22.6640625" style="359" customWidth="1"/>
    <col min="20" max="20" width="17.5" style="359" customWidth="1"/>
    <col min="21" max="21" width="20.1640625" style="359" customWidth="1"/>
    <col min="22" max="22" width="16.6640625" style="359" customWidth="1"/>
    <col min="23" max="23" width="2.6640625" style="359" customWidth="1"/>
    <col min="24" max="16384" width="12" style="359"/>
  </cols>
  <sheetData>
    <row r="1" spans="1:23" ht="12" customHeight="1" x14ac:dyDescent="0.2">
      <c r="E1" s="360"/>
    </row>
    <row r="2" spans="1:23" ht="21" customHeight="1" x14ac:dyDescent="0.2">
      <c r="B2" s="504" t="s">
        <v>247</v>
      </c>
      <c r="C2" s="504"/>
      <c r="D2" s="504"/>
      <c r="E2" s="360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</row>
    <row r="3" spans="1:23" ht="11.25" customHeight="1" x14ac:dyDescent="0.2">
      <c r="B3" s="364" t="s">
        <v>245</v>
      </c>
      <c r="C3" s="364" t="s">
        <v>252</v>
      </c>
      <c r="D3" s="365" t="s">
        <v>244</v>
      </c>
      <c r="E3" s="360"/>
    </row>
    <row r="4" spans="1:23" ht="11.25" customHeight="1" x14ac:dyDescent="0.2">
      <c r="A4" s="359">
        <f>LARGE(Risques!$W$21:$W$40,1)</f>
        <v>0</v>
      </c>
      <c r="B4" s="366" t="str">
        <f>IF(OR(A4=1,A4=2),Matrice!$G$1,"")</f>
        <v/>
      </c>
      <c r="C4" s="405" t="str">
        <f t="array" ref="C4">IF(A4=0,"",INDEX(Risques!$C$1:$C$40,MIN(IF(Risques!$W$21:$W$40='Fiches risques'!A4,IF(COUNTIF(C$3:C3,Risques!$C$21:$C$40)=0,ROW(Risques!$C$21:$C$40)))))&amp;"")</f>
        <v/>
      </c>
      <c r="D4" s="405" t="str">
        <f t="array" ref="D4">IF(A4=0,"",INDEX(Risques!$D$1:$D$40,MIN(IF(Risques!$W$21:$W$40='Fiches risques'!A4,IF(COUNTIF(D$3:D3,Risques!$D$21:$D$40)=0,ROW(Risques!$D$21:$D$40)))))&amp;"")</f>
        <v/>
      </c>
      <c r="E4" s="362"/>
    </row>
    <row r="5" spans="1:23" ht="11.25" customHeight="1" x14ac:dyDescent="0.2">
      <c r="A5" s="359">
        <f>LARGE(Risques!$W$21:$W$40,2)</f>
        <v>0</v>
      </c>
      <c r="B5" s="366" t="str">
        <f>IF(OR(A5=1,A5=2),Matrice!$G$1,"")</f>
        <v/>
      </c>
      <c r="C5" s="405" t="str">
        <f t="array" ref="C5">IF(A5=0,"",INDEX(Risques!$C$1:$C$40,MIN(IF(Risques!$W$21:$W$40='Fiches risques'!A5,IF(COUNTIF(C$3:C4,Risques!$C$21:$C$40)=0,ROW(Risques!$C$21:$C$40)))))&amp;"")</f>
        <v/>
      </c>
      <c r="D5" s="405" t="str">
        <f t="array" ref="D5">IF(A5=0,"",INDEX(Risques!$D$1:$D$40,MIN(IF(Risques!$W$21:$W$40='Fiches risques'!A5,IF(COUNTIF(D$3:D4,Risques!$D$21:$D$40)=0,ROW(Risques!$D$21:$D$40)))))&amp;"")</f>
        <v/>
      </c>
      <c r="E5" s="362"/>
    </row>
    <row r="6" spans="1:23" ht="11.25" customHeight="1" x14ac:dyDescent="0.2">
      <c r="A6" s="359">
        <f>LARGE(Risques!$W$21:$W$40,3)</f>
        <v>0</v>
      </c>
      <c r="B6" s="366" t="str">
        <f>IF(OR(A6=1,A6=2),Matrice!$G$1,"")</f>
        <v/>
      </c>
      <c r="C6" s="405" t="str">
        <f t="array" ref="C6">IF(A6=0,"",INDEX(Risques!$C$1:$C$40,MIN(IF(Risques!$W$21:$W$40='Fiches risques'!A6,IF(COUNTIF(C$3:C5,Risques!$C$21:$C$40)=0,ROW(Risques!$C$21:$C$40)))))&amp;"")</f>
        <v/>
      </c>
      <c r="D6" s="405" t="str">
        <f t="array" ref="D6">IF(A6=0,"",INDEX(Risques!$D$1:$D$40,MIN(IF(Risques!$W$21:$W$40='Fiches risques'!A6,IF(COUNTIF(D$3:D5,Risques!$D$21:$D$40)=0,ROW(Risques!$D$21:$D$40)))))&amp;"")</f>
        <v/>
      </c>
      <c r="E6" s="362"/>
    </row>
    <row r="7" spans="1:23" ht="11.25" customHeight="1" x14ac:dyDescent="0.2">
      <c r="A7" s="359">
        <f>LARGE(Risques!$W$21:$W$40,4)</f>
        <v>0</v>
      </c>
      <c r="B7" s="366" t="str">
        <f>IF(OR(A7=1,A7=2),Matrice!$G$1,"")</f>
        <v/>
      </c>
      <c r="C7" s="405" t="str">
        <f t="array" ref="C7">IF(A7=0,"",INDEX(Risques!$C$1:$C$40,MIN(IF(Risques!$W$21:$W$40='Fiches risques'!A7,IF(COUNTIF(C$3:C6,Risques!$C$21:$C$40)=0,ROW(Risques!$C$21:$C$40)))))&amp;"")</f>
        <v/>
      </c>
      <c r="D7" s="367" t="str">
        <f t="array" ref="D7">IF(A7=0,"",INDEX(Risques!$D$1:$D$40,MIN(IF(Risques!$W$21:$W$40='Fiches risques'!A7,IF(COUNTIF(D$3:D6,Risques!$D$21:$D$40)=0,ROW(Risques!$D$21:$D$40)))))&amp;"")</f>
        <v/>
      </c>
      <c r="E7" s="362"/>
    </row>
    <row r="8" spans="1:23" ht="11.25" customHeight="1" x14ac:dyDescent="0.2">
      <c r="A8" s="359">
        <f>LARGE(Risques!$W$21:$W$40,5)</f>
        <v>0</v>
      </c>
      <c r="B8" s="366" t="str">
        <f>IF(OR(A8=1,A8=2),Matrice!$G$1,"")</f>
        <v/>
      </c>
      <c r="C8" s="405" t="str">
        <f t="array" ref="C8">IF(A8=0,"",INDEX(Risques!$C$1:$C$40,MIN(IF(Risques!$W$21:$W$40='Fiches risques'!A8,IF(COUNTIF(C$3:C7,Risques!$C$21:$C$40)=0,ROW(Risques!$C$21:$C$40)))))&amp;"")</f>
        <v/>
      </c>
      <c r="D8" s="367" t="str">
        <f t="array" ref="D8">IF(A8=0,"",INDEX(Risques!$D$1:$D$40,MIN(IF(Risques!$W$21:$W$40='Fiches risques'!A8,IF(COUNTIF(D$3:D7,Risques!$D$21:$D$40)=0,ROW(Risques!$D$21:$D$40)))))&amp;"")</f>
        <v/>
      </c>
      <c r="E8" s="362"/>
    </row>
    <row r="9" spans="1:23" ht="11.25" customHeight="1" x14ac:dyDescent="0.2">
      <c r="A9" s="359">
        <f>LARGE(Risques!$W$21:$W$40,6)</f>
        <v>0</v>
      </c>
      <c r="B9" s="366" t="str">
        <f>IF(OR(A9=1,A9=2),Matrice!$G$1,"")</f>
        <v/>
      </c>
      <c r="C9" s="405" t="str">
        <f t="array" ref="C9">IF(A9=0,"",INDEX(Risques!$C$1:$C$40,MIN(IF(Risques!$W$21:$W$40='Fiches risques'!A9,IF(COUNTIF(C$3:C8,Risques!$C$21:$C$40)=0,ROW(Risques!$C$21:$C$40)))))&amp;"")</f>
        <v/>
      </c>
      <c r="D9" s="367" t="str">
        <f t="array" ref="D9">IF(A9=0,"",INDEX(Risques!$D$1:$D$40,MIN(IF(Risques!$W$21:$W$40='Fiches risques'!A9,IF(COUNTIF(D$3:D8,Risques!$D$21:$D$40)=0,ROW(Risques!$D$21:$D$40)))))&amp;"")</f>
        <v/>
      </c>
      <c r="E9" s="362"/>
    </row>
    <row r="10" spans="1:23" ht="11.25" customHeight="1" x14ac:dyDescent="0.2">
      <c r="A10" s="359">
        <f>LARGE(Risques!$W$21:$W$40,7)</f>
        <v>0</v>
      </c>
      <c r="B10" s="366" t="str">
        <f>IF(OR(A10=1,A10=2),Matrice!$G$1,"")</f>
        <v/>
      </c>
      <c r="C10" s="405" t="str">
        <f t="array" ref="C10">IF(A10=0,"",INDEX(Risques!$C$1:$C$40,MIN(IF(Risques!$W$21:$W$40='Fiches risques'!A10,IF(COUNTIF(C$3:C9,Risques!$C$21:$C$40)=0,ROW(Risques!$C$21:$C$40)))))&amp;"")</f>
        <v/>
      </c>
      <c r="D10" s="367" t="str">
        <f t="array" ref="D10">IF(A10=0,"",INDEX(Risques!$D$1:$D$40,MIN(IF(Risques!$W$21:$W$40='Fiches risques'!A10,IF(COUNTIF(D$3:D9,Risques!$D$21:$D$40)=0,ROW(Risques!$D$21:$D$40)))))&amp;"")</f>
        <v/>
      </c>
      <c r="E10" s="362"/>
    </row>
    <row r="11" spans="1:23" ht="11.25" customHeight="1" x14ac:dyDescent="0.2">
      <c r="A11" s="359">
        <f>LARGE(Risques!$W$21:$W$40,8)</f>
        <v>0</v>
      </c>
      <c r="B11" s="366" t="str">
        <f>IF(OR(A11=1,A11=2),Matrice!$G$1,"")</f>
        <v/>
      </c>
      <c r="C11" s="405" t="str">
        <f t="array" ref="C11">IF(A11=0,"",INDEX(Risques!$C$1:$C$40,MIN(IF(Risques!$W$21:$W$40='Fiches risques'!A11,IF(COUNTIF(C$3:C10,Risques!$C$21:$C$40)=0,ROW(Risques!$C$21:$C$40)))))&amp;"")</f>
        <v/>
      </c>
      <c r="D11" s="367" t="str">
        <f t="array" ref="D11">IF(A11=0,"",INDEX(Risques!$D$1:$D$40,MIN(IF(Risques!$W$21:$W$40='Fiches risques'!A11,IF(COUNTIF(D$3:D10,Risques!$D$21:$D$40)=0,ROW(Risques!$D$21:$D$40)))))&amp;"")</f>
        <v/>
      </c>
      <c r="E11" s="362"/>
    </row>
    <row r="12" spans="1:23" ht="11.25" customHeight="1" x14ac:dyDescent="0.2">
      <c r="A12" s="359">
        <f>LARGE(Risques!$W$21:$W$40,9)</f>
        <v>0</v>
      </c>
      <c r="B12" s="366" t="str">
        <f>IF(OR(A12=1,A12=2),Matrice!$G$1,"")</f>
        <v/>
      </c>
      <c r="C12" s="405" t="str">
        <f t="array" ref="C12">IF(A12=0,"",INDEX(Risques!$C$1:$C$40,MIN(IF(Risques!$W$21:$W$40='Fiches risques'!A12,IF(COUNTIF(C$3:C11,Risques!$C$21:$C$40)=0,ROW(Risques!$C$21:$C$40)))))&amp;"")</f>
        <v/>
      </c>
      <c r="D12" s="367" t="str">
        <f t="array" ref="D12">IF(A12=0,"",INDEX(Risques!$D$1:$D$40,MIN(IF(Risques!$W$21:$W$40='Fiches risques'!A12,IF(COUNTIF(D$3:D11,Risques!$D$21:$D$40)=0,ROW(Risques!$D$21:$D$40)))))&amp;"")</f>
        <v/>
      </c>
      <c r="E12" s="362"/>
    </row>
    <row r="13" spans="1:23" ht="11.25" customHeight="1" x14ac:dyDescent="0.2">
      <c r="A13" s="359">
        <f>LARGE(Risques!$W$21:$W$40,10)</f>
        <v>0</v>
      </c>
      <c r="B13" s="366" t="str">
        <f>IF(OR(A13=1,A13=2),Matrice!$G$1,"")</f>
        <v/>
      </c>
      <c r="C13" s="405" t="str">
        <f t="array" ref="C13">IF(A13=0,"",INDEX(Risques!$C$1:$C$40,MIN(IF(Risques!$W$21:$W$40='Fiches risques'!A13,IF(COUNTIF(C$3:C12,Risques!$C$21:$C$40)=0,ROW(Risques!$C$21:$C$40)))))&amp;"")</f>
        <v/>
      </c>
      <c r="D13" s="367" t="str">
        <f t="array" ref="D13">IF(A13=0,"",INDEX(Risques!$D$1:$D$40,MIN(IF(Risques!$W$21:$W$40='Fiches risques'!A13,IF(COUNTIF(D$3:D12,Risques!$D$21:$D$40)=0,ROW(Risques!$D$21:$D$40)))))&amp;"")</f>
        <v/>
      </c>
      <c r="E13" s="362"/>
    </row>
    <row r="14" spans="1:23" ht="11.25" customHeight="1" x14ac:dyDescent="0.2">
      <c r="A14" s="359">
        <f>LARGE(Risques!$W$21:$W$40,11)</f>
        <v>0</v>
      </c>
      <c r="B14" s="366" t="str">
        <f>IF(OR(A14=1,A14=2),Matrice!$G$1,"")</f>
        <v/>
      </c>
      <c r="C14" s="405" t="str">
        <f t="array" ref="C14">IF(A14=0,"",INDEX(Risques!$C$1:$C$40,MIN(IF(Risques!$W$21:$W$40='Fiches risques'!A14,IF(COUNTIF(C$3:C13,Risques!$C$21:$C$40)=0,ROW(Risques!$C$21:$C$40)))))&amp;"")</f>
        <v/>
      </c>
      <c r="D14" s="367" t="str">
        <f t="array" ref="D14">IF(A14=0,"",INDEX(Risques!$D$1:$D$40,MIN(IF(Risques!$W$21:$W$40='Fiches risques'!A14,IF(COUNTIF(D$3:D13,Risques!$D$21:$D$40)=0,ROW(Risques!$D$21:$D$40)))))&amp;"")</f>
        <v/>
      </c>
    </row>
    <row r="15" spans="1:23" ht="11.25" customHeight="1" x14ac:dyDescent="0.2">
      <c r="A15" s="359">
        <f>LARGE(Risques!$W$21:$W$40,12)</f>
        <v>0</v>
      </c>
      <c r="B15" s="366" t="str">
        <f>IF(OR(A15=1,A15=2),Matrice!$G$1,"")</f>
        <v/>
      </c>
      <c r="C15" s="405" t="str">
        <f t="array" ref="C15">IF(A15=0,"",INDEX(Risques!$C$1:$C$40,MIN(IF(Risques!$W$21:$W$40='Fiches risques'!A15,IF(COUNTIF(C$3:C14,Risques!$C$21:$C$40)=0,ROW(Risques!$C$21:$C$40)))))&amp;"")</f>
        <v/>
      </c>
      <c r="D15" s="367" t="str">
        <f t="array" ref="D15">IF(A15=0,"",INDEX(Risques!$D$1:$D$40,MIN(IF(Risques!$W$21:$W$40='Fiches risques'!A15,IF(COUNTIF(D$3:D14,Risques!$D$21:$D$40)=0,ROW(Risques!$D$21:$D$40)))))&amp;"")</f>
        <v/>
      </c>
    </row>
    <row r="16" spans="1:23" ht="11.25" customHeight="1" x14ac:dyDescent="0.2">
      <c r="A16" s="359">
        <f>LARGE(Risques!$W$21:$W$40,13)</f>
        <v>0</v>
      </c>
      <c r="B16" s="366" t="str">
        <f>IF(OR(A16=1,A16=2),Matrice!$G$1,"")</f>
        <v/>
      </c>
      <c r="C16" s="405" t="str">
        <f t="array" ref="C16">IF(A16=0,"",INDEX(Risques!$C$1:$C$40,MIN(IF(Risques!$W$21:$W$40='Fiches risques'!A16,IF(COUNTIF(C$3:C15,Risques!$C$21:$C$40)=0,ROW(Risques!$C$21:$C$40)))))&amp;"")</f>
        <v/>
      </c>
      <c r="D16" s="367" t="str">
        <f t="array" ref="D16">IF(A16=0,"",INDEX(Risques!$D$1:$D$40,MIN(IF(Risques!$W$21:$W$40='Fiches risques'!A16,IF(COUNTIF(D$3:D15,Risques!$D$21:$D$40)=0,ROW(Risques!$D$21:$D$40)))))&amp;"")</f>
        <v/>
      </c>
    </row>
    <row r="17" spans="1:24" ht="11.25" customHeight="1" x14ac:dyDescent="0.2">
      <c r="A17" s="359">
        <f>LARGE(Risques!$W$21:$W$40,14)</f>
        <v>0</v>
      </c>
      <c r="B17" s="366" t="str">
        <f>IF(OR(A17=1,A17=2),Matrice!$G$1,"")</f>
        <v/>
      </c>
      <c r="C17" s="405" t="str">
        <f t="array" ref="C17">IF(A17=0,"",INDEX(Risques!$C$1:$C$40,MIN(IF(Risques!$W$21:$W$40='Fiches risques'!A17,IF(COUNTIF(C$3:C16,Risques!$C$21:$C$40)=0,ROW(Risques!$C$21:$C$40)))))&amp;"")</f>
        <v/>
      </c>
      <c r="D17" s="367" t="str">
        <f t="array" ref="D17">IF(A17=0,"",INDEX(Risques!$D$1:$D$40,MIN(IF(Risques!$W$21:$W$40='Fiches risques'!A17,IF(COUNTIF(D$3:D16,Risques!$D$21:$D$40)=0,ROW(Risques!$D$21:$D$40)))))&amp;"")</f>
        <v/>
      </c>
    </row>
    <row r="18" spans="1:24" ht="11.25" customHeight="1" x14ac:dyDescent="0.2">
      <c r="A18" s="359">
        <f>LARGE(Risques!$W$21:$W$40,15)</f>
        <v>0</v>
      </c>
      <c r="B18" s="366" t="str">
        <f>IF(OR(A18=1,A18=2),Matrice!$G$1,"")</f>
        <v/>
      </c>
      <c r="C18" s="405" t="str">
        <f t="array" ref="C18">IF(A18=0,"",INDEX(Risques!$C$1:$C$40,MIN(IF(Risques!$W$21:$W$40='Fiches risques'!A18,IF(COUNTIF(C$3:C17,Risques!$C$21:$C$40)=0,ROW(Risques!$C$21:$C$40)))))&amp;"")</f>
        <v/>
      </c>
      <c r="D18" s="367" t="str">
        <f t="array" ref="D18">IF(A18=0,"",INDEX(Risques!$D$1:$D$40,MIN(IF(Risques!$W$21:$W$40='Fiches risques'!A18,IF(COUNTIF(D$3:D17,Risques!$D$21:$D$40)=0,ROW(Risques!$D$21:$D$40)))))&amp;"")</f>
        <v/>
      </c>
    </row>
    <row r="19" spans="1:24" ht="11.25" customHeight="1" x14ac:dyDescent="0.2">
      <c r="A19" s="359">
        <f>LARGE(Risques!$W$21:$W$40,16)</f>
        <v>0</v>
      </c>
      <c r="B19" s="366" t="str">
        <f>IF(OR(A19=1,A19=2),Matrice!$G$1,"")</f>
        <v/>
      </c>
      <c r="C19" s="405" t="str">
        <f t="array" ref="C19">IF(A19=0,"",INDEX(Risques!$C$1:$C$40,MIN(IF(Risques!$W$21:$W$40='Fiches risques'!A19,IF(COUNTIF(C$3:C18,Risques!$C$21:$C$40)=0,ROW(Risques!$C$21:$C$40)))))&amp;"")</f>
        <v/>
      </c>
      <c r="D19" s="367" t="str">
        <f t="array" ref="D19">IF(A19=0,"",INDEX(Risques!$D$1:$D$40,MIN(IF(Risques!$W$21:$W$40='Fiches risques'!A19,IF(COUNTIF(D$3:D18,Risques!$D$21:$D$40)=0,ROW(Risques!$D$21:$D$40)))))&amp;"")</f>
        <v/>
      </c>
    </row>
    <row r="20" spans="1:24" ht="11.25" customHeight="1" x14ac:dyDescent="0.2">
      <c r="A20" s="359">
        <f>LARGE(Risques!$W$21:$W$40,17)</f>
        <v>0</v>
      </c>
      <c r="B20" s="366" t="str">
        <f>IF(OR(A20=1,A20=2),Matrice!$G$1,"")</f>
        <v/>
      </c>
      <c r="C20" s="405" t="str">
        <f t="array" ref="C20">IF(A20=0,"",INDEX(Risques!$C$1:$C$40,MIN(IF(Risques!$W$21:$W$40='Fiches risques'!A20,IF(COUNTIF(C$3:C19,Risques!$C$21:$C$40)=0,ROW(Risques!$C$21:$C$40)))))&amp;"")</f>
        <v/>
      </c>
      <c r="D20" s="367" t="str">
        <f t="array" ref="D20">IF(A20=0,"",INDEX(Risques!$D$1:$D$40,MIN(IF(Risques!$W$21:$W$40='Fiches risques'!A20,IF(COUNTIF(D$3:D19,Risques!$D$21:$D$40)=0,ROW(Risques!$D$21:$D$40)))))&amp;"")</f>
        <v/>
      </c>
    </row>
    <row r="21" spans="1:24" ht="11.25" customHeight="1" x14ac:dyDescent="0.2">
      <c r="A21" s="359">
        <f>LARGE(Risques!$W$21:$W$40,18)</f>
        <v>0</v>
      </c>
      <c r="B21" s="366" t="str">
        <f>IF(OR(A21=1,A21=2),Matrice!$G$1,"")</f>
        <v/>
      </c>
      <c r="C21" s="405" t="str">
        <f t="array" ref="C21">IF(A21=0,"",INDEX(Risques!$C$1:$C$40,MIN(IF(Risques!$W$21:$W$40='Fiches risques'!A21,IF(COUNTIF(C$3:C20,Risques!$C$21:$C$40)=0,ROW(Risques!$C$21:$C$40)))))&amp;"")</f>
        <v/>
      </c>
      <c r="D21" s="367" t="str">
        <f t="array" ref="D21">IF(A21=0,"",INDEX(Risques!$D$1:$D$40,MIN(IF(Risques!$W$21:$W$40='Fiches risques'!A21,IF(COUNTIF(D$3:D20,Risques!$D$21:$D$40)=0,ROW(Risques!$D$21:$D$40)))))&amp;"")</f>
        <v/>
      </c>
    </row>
    <row r="22" spans="1:24" ht="11.25" customHeight="1" x14ac:dyDescent="0.2">
      <c r="A22" s="359">
        <f>LARGE(Risques!$W$21:$W$40,19)</f>
        <v>0</v>
      </c>
      <c r="B22" s="366" t="str">
        <f>IF(OR(A22=1,A22=2),Matrice!$G$1,"")</f>
        <v/>
      </c>
      <c r="C22" s="405" t="str">
        <f t="array" ref="C22">IF(A22=0,"",INDEX(Risques!$C$1:$C$40,MIN(IF(Risques!$W$21:$W$40='Fiches risques'!A22,IF(COUNTIF(C$3:C21,Risques!$C$21:$C$40)=0,ROW(Risques!$C$21:$C$40)))))&amp;"")</f>
        <v/>
      </c>
      <c r="D22" s="367" t="str">
        <f t="array" ref="D22">IF(A22=0,"",INDEX(Risques!$D$1:$D$40,MIN(IF(Risques!$W$21:$W$40='Fiches risques'!A22,IF(COUNTIF(D$3:D21,Risques!$D$21:$D$40)=0,ROW(Risques!$D$21:$D$40)))))&amp;"")</f>
        <v/>
      </c>
    </row>
    <row r="23" spans="1:24" ht="11.25" customHeight="1" x14ac:dyDescent="0.2">
      <c r="A23" s="359">
        <f>LARGE(Risques!$W$21:$W$40,20)</f>
        <v>0</v>
      </c>
      <c r="B23" s="366" t="str">
        <f>IF(OR(A23=1,A23=2),Matrice!$G$1,"")</f>
        <v/>
      </c>
      <c r="C23" s="405" t="str">
        <f t="array" ref="C23">IF(A23=0,"",INDEX(Risques!$C$1:$C$40,MIN(IF(Risques!$W$21:$W$40='Fiches risques'!A23,IF(COUNTIF(C$3:C22,Risques!$C$21:$C$40)=0,ROW(Risques!$C$21:$C$40)))))&amp;"")</f>
        <v/>
      </c>
      <c r="D23" s="367" t="str">
        <f t="array" ref="D23">IF(A23=0,"",INDEX(Risques!$D$1:$D$40,MIN(IF(Risques!$W$21:$W$40='Fiches risques'!A23,IF(COUNTIF(D$3:D22,Risques!$D$21:$D$40)=0,ROW(Risques!$D$21:$D$40)))))&amp;"")</f>
        <v/>
      </c>
    </row>
    <row r="24" spans="1:24" ht="26.25" customHeight="1" thickBot="1" x14ac:dyDescent="0.25">
      <c r="D24" s="361"/>
    </row>
    <row r="25" spans="1:24" ht="7.5" customHeight="1" x14ac:dyDescent="0.2">
      <c r="G25" s="373"/>
      <c r="H25" s="374"/>
      <c r="I25" s="374"/>
      <c r="J25" s="374"/>
      <c r="K25" s="374"/>
      <c r="L25" s="374"/>
      <c r="M25" s="374"/>
      <c r="N25" s="374"/>
      <c r="O25" s="374"/>
      <c r="P25" s="374"/>
      <c r="Q25" s="374"/>
      <c r="R25" s="374"/>
      <c r="S25" s="374"/>
      <c r="T25" s="374"/>
      <c r="U25" s="374"/>
      <c r="V25" s="374"/>
      <c r="W25" s="375"/>
    </row>
    <row r="26" spans="1:24" ht="33.75" customHeight="1" x14ac:dyDescent="0.2">
      <c r="F26" s="363"/>
      <c r="G26" s="494" t="str">
        <f>C4</f>
        <v/>
      </c>
      <c r="H26" s="495"/>
      <c r="I26" s="495"/>
      <c r="J26" s="495"/>
      <c r="K26" s="496" t="str">
        <f>D4</f>
        <v/>
      </c>
      <c r="L26" s="496"/>
      <c r="M26" s="496"/>
      <c r="N26" s="496"/>
      <c r="O26" s="496"/>
      <c r="P26" s="496"/>
      <c r="Q26" s="496"/>
      <c r="R26" s="496"/>
      <c r="S26" s="496"/>
      <c r="T26" s="496"/>
      <c r="U26" s="496"/>
      <c r="V26" s="496"/>
      <c r="W26" s="397"/>
      <c r="X26" s="363"/>
    </row>
    <row r="27" spans="1:24" ht="19.5" customHeight="1" x14ac:dyDescent="0.2">
      <c r="F27" s="363"/>
      <c r="G27" s="494"/>
      <c r="H27" s="495"/>
      <c r="I27" s="495"/>
      <c r="J27" s="495"/>
      <c r="K27" s="496"/>
      <c r="L27" s="496"/>
      <c r="M27" s="496"/>
      <c r="N27" s="496"/>
      <c r="O27" s="496"/>
      <c r="P27" s="496"/>
      <c r="Q27" s="496"/>
      <c r="R27" s="496"/>
      <c r="S27" s="496"/>
      <c r="T27" s="496"/>
      <c r="U27" s="496"/>
      <c r="V27" s="496"/>
      <c r="W27" s="397"/>
      <c r="X27" s="363"/>
    </row>
    <row r="28" spans="1:24" ht="9.75" customHeight="1" x14ac:dyDescent="0.2">
      <c r="F28" s="363"/>
      <c r="G28" s="376"/>
      <c r="H28" s="372"/>
      <c r="I28" s="372"/>
      <c r="J28" s="372"/>
      <c r="K28" s="372"/>
      <c r="L28" s="372"/>
      <c r="M28" s="372"/>
      <c r="N28" s="372"/>
      <c r="O28" s="372"/>
      <c r="P28" s="372"/>
      <c r="Q28" s="372"/>
      <c r="R28" s="372"/>
      <c r="S28" s="372"/>
      <c r="T28" s="372"/>
      <c r="U28" s="372"/>
      <c r="V28" s="372"/>
      <c r="W28" s="377"/>
      <c r="X28" s="363"/>
    </row>
    <row r="29" spans="1:24" ht="26.25" customHeight="1" x14ac:dyDescent="0.2">
      <c r="F29" s="363"/>
      <c r="G29" s="497" t="s">
        <v>1</v>
      </c>
      <c r="H29" s="386" t="str">
        <f>IF(AND(O34=5,O35=1),"X","")</f>
        <v/>
      </c>
      <c r="I29" s="387" t="str">
        <f>IF(AND(O34=5,O35=2),"X","")</f>
        <v/>
      </c>
      <c r="J29" s="388" t="str">
        <f>IF(AND(O34=5,O35=3),"X","")</f>
        <v/>
      </c>
      <c r="K29" s="388" t="str">
        <f>IF(AND(O34=5,O35=4),"X","")</f>
        <v/>
      </c>
      <c r="L29" s="388" t="str">
        <f>IF(AND(O34=5,O35=5),"X","")</f>
        <v/>
      </c>
      <c r="N29" s="498" t="str">
        <f>"Processus de rattachement "</f>
        <v xml:space="preserve">Processus de rattachement </v>
      </c>
      <c r="O29" s="499"/>
      <c r="P29" s="499"/>
      <c r="Q29" s="499"/>
      <c r="R29" s="499"/>
      <c r="S29" s="499"/>
      <c r="T29" s="499"/>
      <c r="U29" s="499"/>
      <c r="V29" s="500"/>
      <c r="W29" s="377"/>
      <c r="X29" s="363"/>
    </row>
    <row r="30" spans="1:24" ht="26.25" customHeight="1" x14ac:dyDescent="0.2">
      <c r="F30" s="363"/>
      <c r="G30" s="497"/>
      <c r="H30" s="389" t="str">
        <f>IF(AND(O34=4,O35=1),"X","")</f>
        <v/>
      </c>
      <c r="I30" s="390" t="str">
        <f>IF(AND(O34=4,O35=2),"X","")</f>
        <v/>
      </c>
      <c r="J30" s="387" t="str">
        <f>IF(AND(O34=4,O35=3),"X","")</f>
        <v/>
      </c>
      <c r="K30" s="388" t="str">
        <f>IF(AND(O34=4,O35=4),"X","")</f>
        <v/>
      </c>
      <c r="L30" s="388" t="str">
        <f>IF(AND(O34=4,O35=5),"X","")</f>
        <v/>
      </c>
      <c r="N30" s="501" t="str">
        <f>Matrice!$G$1&amp;" - "&amp;Matrice!$J$1</f>
        <v>DI2 - YYY</v>
      </c>
      <c r="O30" s="502"/>
      <c r="P30" s="502"/>
      <c r="Q30" s="502"/>
      <c r="R30" s="502"/>
      <c r="S30" s="502"/>
      <c r="T30" s="502"/>
      <c r="U30" s="502"/>
      <c r="V30" s="503"/>
      <c r="W30" s="377"/>
      <c r="X30" s="363"/>
    </row>
    <row r="31" spans="1:24" ht="26.25" customHeight="1" x14ac:dyDescent="0.2">
      <c r="F31" s="363"/>
      <c r="G31" s="497"/>
      <c r="H31" s="389" t="str">
        <f>IF(AND(O34=3,O35=1),"X","")</f>
        <v/>
      </c>
      <c r="I31" s="390" t="str">
        <f>IF(AND(O34=3,O35=2),"X","")</f>
        <v/>
      </c>
      <c r="J31" s="390" t="str">
        <f>IF(AND(O34=3,O35=3),"X","")</f>
        <v/>
      </c>
      <c r="K31" s="387" t="str">
        <f>IF(AND(O34=3,O35=4),"X","")</f>
        <v/>
      </c>
      <c r="L31" s="388" t="str">
        <f>IF(AND(O34=3,O35=5),"X","")</f>
        <v/>
      </c>
      <c r="N31" s="372"/>
      <c r="O31" s="372"/>
      <c r="W31" s="377"/>
      <c r="X31" s="363"/>
    </row>
    <row r="32" spans="1:24" ht="26.25" customHeight="1" x14ac:dyDescent="0.2">
      <c r="F32" s="363"/>
      <c r="G32" s="497"/>
      <c r="H32" s="391" t="str">
        <f>IF(AND(O34=2,O35=1),"X","")</f>
        <v/>
      </c>
      <c r="I32" s="392" t="str">
        <f>IF(AND(O34=2,O35=2),"X","")</f>
        <v/>
      </c>
      <c r="J32" s="390" t="str">
        <f>IF(AND(O34=2,O35=3),"X","")</f>
        <v/>
      </c>
      <c r="K32" s="390" t="str">
        <f>IF(AND(O34=2,O35=4),"X","")</f>
        <v/>
      </c>
      <c r="L32" s="387" t="str">
        <f>IF(AND(O34=2,O35=5),"X","")</f>
        <v/>
      </c>
      <c r="M32" s="372"/>
      <c r="N32" s="383" t="s">
        <v>236</v>
      </c>
      <c r="O32" s="382"/>
      <c r="P32" s="382"/>
      <c r="Q32" s="382"/>
      <c r="S32" s="385" t="s">
        <v>250</v>
      </c>
      <c r="T32" s="384"/>
      <c r="U32" s="384"/>
      <c r="V32" s="384"/>
      <c r="W32" s="377"/>
      <c r="X32" s="363"/>
    </row>
    <row r="33" spans="6:24" ht="26.25" customHeight="1" thickBot="1" x14ac:dyDescent="0.25">
      <c r="F33" s="363"/>
      <c r="G33" s="376"/>
      <c r="H33" s="393" t="str">
        <f>IF(AND(O34=1,O35=1),"X","")</f>
        <v/>
      </c>
      <c r="I33" s="394" t="str">
        <f>IF(AND(O34=1,O35=2),"X","")</f>
        <v/>
      </c>
      <c r="J33" s="395" t="str">
        <f>IF(AND(O34=1,O35=3),"X","")</f>
        <v/>
      </c>
      <c r="K33" s="395" t="str">
        <f>IF(AND(O34=1,O35=4),"X","")</f>
        <v/>
      </c>
      <c r="L33" s="396" t="str">
        <f>IF(AND(O34=1,O35=5),"X","")</f>
        <v/>
      </c>
      <c r="M33" s="372"/>
      <c r="N33" s="406"/>
      <c r="O33" s="408" t="s">
        <v>237</v>
      </c>
      <c r="P33" s="408" t="s">
        <v>238</v>
      </c>
      <c r="Q33" s="406"/>
      <c r="R33" s="307"/>
      <c r="S33" s="420"/>
      <c r="T33" s="409" t="s">
        <v>237</v>
      </c>
      <c r="U33" s="409" t="s">
        <v>238</v>
      </c>
      <c r="V33" s="384"/>
      <c r="W33" s="377"/>
      <c r="X33" s="363"/>
    </row>
    <row r="34" spans="6:24" ht="27" customHeight="1" thickTop="1" thickBot="1" x14ac:dyDescent="0.25">
      <c r="F34" s="363"/>
      <c r="G34" s="376"/>
      <c r="H34" s="484" t="s">
        <v>16</v>
      </c>
      <c r="I34" s="484"/>
      <c r="J34" s="484"/>
      <c r="K34" s="484"/>
      <c r="L34" s="484"/>
      <c r="M34" s="372"/>
      <c r="N34" s="407" t="s">
        <v>248</v>
      </c>
      <c r="O34" s="417" t="str">
        <f>VLOOKUP($K26,Risques!$D$21:$AB$40,17,FALSE)</f>
        <v/>
      </c>
      <c r="P34" s="418" t="str">
        <f>VLOOKUP(K26,Risques!$D$21:$AB$40,23,FALSE)</f>
        <v/>
      </c>
      <c r="Q34" s="382"/>
      <c r="S34" s="410" t="s">
        <v>248</v>
      </c>
      <c r="T34" s="419"/>
      <c r="U34" s="419"/>
      <c r="V34" s="384"/>
      <c r="W34" s="377"/>
      <c r="X34" s="363"/>
    </row>
    <row r="35" spans="6:24" ht="19.5" thickTop="1" thickBot="1" x14ac:dyDescent="0.25">
      <c r="F35" s="363"/>
      <c r="G35" s="376"/>
      <c r="H35" s="372"/>
      <c r="I35" s="372"/>
      <c r="J35" s="372"/>
      <c r="K35" s="372"/>
      <c r="L35" s="372"/>
      <c r="M35" s="372"/>
      <c r="N35" s="407" t="s">
        <v>249</v>
      </c>
      <c r="O35" s="417" t="str">
        <f>VLOOKUP(K26,Risques!$D$21:$AB$40,18,FALSE)</f>
        <v/>
      </c>
      <c r="P35" s="418" t="str">
        <f>VLOOKUP(K26,Risques!$D$21:$AB$40,24,FALSE)</f>
        <v/>
      </c>
      <c r="Q35" s="382"/>
      <c r="S35" s="410" t="s">
        <v>249</v>
      </c>
      <c r="T35" s="419"/>
      <c r="U35" s="419"/>
      <c r="V35" s="384"/>
      <c r="W35" s="377"/>
      <c r="X35" s="363"/>
    </row>
    <row r="36" spans="6:24" ht="19.5" thickTop="1" thickBot="1" x14ac:dyDescent="0.25">
      <c r="F36" s="363"/>
      <c r="G36" s="376"/>
      <c r="H36" s="372"/>
      <c r="I36" s="372"/>
      <c r="J36" s="372"/>
      <c r="K36" s="372"/>
      <c r="L36" s="372"/>
      <c r="M36" s="372"/>
      <c r="N36" s="407" t="s">
        <v>251</v>
      </c>
      <c r="O36" s="417" t="str">
        <f>VLOOKUP(K26,Risques!$D$21:$AB$40,19,FALSE)</f>
        <v/>
      </c>
      <c r="P36" s="418" t="str">
        <f>VLOOKUP(K26,Risques!$D$21:$AB$40,25,FALSE)</f>
        <v/>
      </c>
      <c r="Q36" s="382"/>
      <c r="S36" s="410" t="s">
        <v>251</v>
      </c>
      <c r="T36" s="419"/>
      <c r="U36" s="419"/>
      <c r="V36" s="384"/>
      <c r="W36" s="377"/>
      <c r="X36" s="372"/>
    </row>
    <row r="37" spans="6:24" ht="7.5" customHeight="1" thickTop="1" x14ac:dyDescent="0.2">
      <c r="G37" s="376"/>
      <c r="H37" s="372"/>
      <c r="I37" s="372"/>
      <c r="J37" s="372"/>
      <c r="K37" s="372"/>
      <c r="L37" s="372"/>
      <c r="M37" s="372"/>
      <c r="N37" s="382"/>
      <c r="O37" s="382"/>
      <c r="P37" s="382"/>
      <c r="Q37" s="382"/>
      <c r="S37" s="384"/>
      <c r="T37" s="384"/>
      <c r="U37" s="384"/>
      <c r="V37" s="384"/>
      <c r="W37" s="377"/>
      <c r="X37" s="369"/>
    </row>
    <row r="38" spans="6:24" x14ac:dyDescent="0.2">
      <c r="G38" s="376"/>
      <c r="H38" s="372"/>
      <c r="I38" s="372"/>
      <c r="J38" s="372"/>
      <c r="K38" s="372"/>
      <c r="L38" s="372"/>
      <c r="M38" s="372"/>
      <c r="W38" s="377"/>
      <c r="X38" s="369"/>
    </row>
    <row r="39" spans="6:24" ht="21.75" customHeight="1" x14ac:dyDescent="0.2">
      <c r="G39" s="376"/>
      <c r="H39" s="372"/>
      <c r="I39" s="372"/>
      <c r="J39" s="492" t="s">
        <v>253</v>
      </c>
      <c r="K39" s="492"/>
      <c r="L39" s="493"/>
      <c r="M39" s="485" t="str">
        <f>VLOOKUP($K26,Risques!$D$21:$AB$40,3,FALSE)</f>
        <v/>
      </c>
      <c r="N39" s="486"/>
      <c r="O39" s="486"/>
      <c r="P39" s="486"/>
      <c r="Q39" s="486"/>
      <c r="R39" s="486"/>
      <c r="S39" s="486"/>
      <c r="T39" s="486"/>
      <c r="U39" s="486"/>
      <c r="V39" s="487"/>
      <c r="W39" s="377"/>
      <c r="X39" s="369"/>
    </row>
    <row r="40" spans="6:24" s="398" customFormat="1" ht="74.25" customHeight="1" x14ac:dyDescent="0.25">
      <c r="G40" s="399"/>
      <c r="H40" s="400"/>
      <c r="I40" s="400"/>
      <c r="J40" s="492"/>
      <c r="K40" s="492"/>
      <c r="L40" s="493"/>
      <c r="M40" s="488"/>
      <c r="N40" s="489"/>
      <c r="O40" s="489"/>
      <c r="P40" s="489"/>
      <c r="Q40" s="489"/>
      <c r="R40" s="489"/>
      <c r="S40" s="489"/>
      <c r="T40" s="489"/>
      <c r="U40" s="489"/>
      <c r="V40" s="490"/>
      <c r="W40" s="401"/>
      <c r="X40" s="402"/>
    </row>
    <row r="41" spans="6:24" ht="11.25" customHeight="1" x14ac:dyDescent="0.2">
      <c r="G41" s="376"/>
      <c r="H41" s="372"/>
      <c r="I41" s="372"/>
      <c r="J41" s="372"/>
      <c r="K41" s="372"/>
      <c r="L41" s="372"/>
      <c r="M41" s="372"/>
      <c r="N41" s="403"/>
      <c r="O41" s="403"/>
      <c r="P41" s="403"/>
      <c r="Q41" s="403"/>
      <c r="R41" s="403"/>
      <c r="S41" s="403"/>
      <c r="T41" s="403"/>
      <c r="U41" s="403"/>
      <c r="V41" s="404"/>
      <c r="W41" s="377"/>
      <c r="X41" s="369"/>
    </row>
    <row r="42" spans="6:24" ht="54" customHeight="1" x14ac:dyDescent="0.2">
      <c r="G42" s="376"/>
      <c r="H42" s="372"/>
      <c r="I42" s="372"/>
      <c r="J42" s="491" t="s">
        <v>239</v>
      </c>
      <c r="K42" s="491"/>
      <c r="L42" s="491"/>
      <c r="M42" s="416" t="s">
        <v>240</v>
      </c>
      <c r="N42" s="416" t="s">
        <v>241</v>
      </c>
      <c r="O42" s="491" t="s">
        <v>242</v>
      </c>
      <c r="P42" s="491"/>
      <c r="Q42" s="491"/>
      <c r="R42" s="491"/>
      <c r="S42" s="491"/>
      <c r="T42" s="491"/>
      <c r="U42" s="491"/>
      <c r="V42" s="416" t="s">
        <v>243</v>
      </c>
      <c r="W42" s="377"/>
      <c r="X42" s="369"/>
    </row>
    <row r="43" spans="6:24" ht="74.25" customHeight="1" x14ac:dyDescent="0.2">
      <c r="G43" s="376"/>
      <c r="H43" s="372"/>
      <c r="I43" s="372"/>
      <c r="J43" s="414" t="str">
        <f t="array" ref="J43">IF($K$26="","",IF(INDEX('Plan d''actions détaillé'!A:A,MIN(IF((COUNTIF(J$41:J42,'Plan d''actions détaillé'!$A$6:$A$30)=0)*(INDEX('Plan d''actions détaillé'!$U$6:$AL$30,,MATCH($K$26,'Plan d''actions détaillé'!$U$5:$AL$5,0))="X"),ROW('Plan d''actions détaillé'!$T$6:$T$30))))=0,"",INDEX('Plan d''actions détaillé'!A:A,MIN(IF((COUNTIF(J$41:J42,'Plan d''actions détaillé'!$A$6:$A$30)=0)*(INDEX('Plan d''actions détaillé'!$U$6:$AL$30,,MATCH($K$26,'Plan d''actions détaillé'!$U$5:$AL$5,0))="X"),ROW('Plan d''actions détaillé'!$T$6:$T$30))))))</f>
        <v/>
      </c>
      <c r="K43" s="414"/>
      <c r="L43" s="415"/>
      <c r="M43" s="413" t="str">
        <f t="array" ref="M43">IF($K$26="","",IF(INDEX('Plan d''actions détaillé'!D:D,MIN(IF((COUNTIF(M$41:M42,'Plan d''actions détaillé'!$D$6:$D$30)=0)*(INDEX('Plan d''actions détaillé'!$U$6:$AL$30,,MATCH($K$26,'Plan d''actions détaillé'!$U$5:$AL$5,0))="X"),ROW('Plan d''actions détaillé'!$T$6:$T$30))))=0,"",INDEX('Plan d''actions détaillé'!D:D,MIN(IF((COUNTIF(M$41:M42,'Plan d''actions détaillé'!$D$6:$D$30)=0)*(INDEX('Plan d''actions détaillé'!$U$6:$AL$30,,MATCH($K$26,'Plan d''actions détaillé'!$U$5:$AL$5,0))="X"),ROW('Plan d''actions détaillé'!$T$6:$T$30))))))</f>
        <v/>
      </c>
      <c r="N43" s="411" t="str">
        <f>IF($M43&lt;&gt;"",IF(VLOOKUP($M43,'Plan d''actions détaillé'!$D$6:$P$30,8,FALSE)="","",VLOOKUP($M43,'Plan d''actions détaillé'!$D$6:$P$30,8,FALSE)),"")</f>
        <v/>
      </c>
      <c r="O43" s="483" t="str">
        <f>IF($M43&lt;&gt;"",IF(VLOOKUP($M43,'Plan d''actions détaillé'!$D$6:$P$30,6,FALSE)="","",VLOOKUP($M43,'Plan d''actions détaillé'!$D$6:$P$30,6,FALSE)),"")</f>
        <v/>
      </c>
      <c r="P43" s="483"/>
      <c r="Q43" s="483"/>
      <c r="R43" s="483"/>
      <c r="S43" s="483"/>
      <c r="T43" s="483"/>
      <c r="U43" s="483"/>
      <c r="V43" s="412" t="str">
        <f>IF($M43&lt;&gt;"",IF(VLOOKUP($M43,'Plan d''actions détaillé'!$D$6:$P$30,12,FALSE)="","",VLOOKUP($M43,'Plan d''actions détaillé'!$D$6:$P$30,12,FALSE)),"")</f>
        <v/>
      </c>
      <c r="W43" s="377"/>
      <c r="X43" s="369"/>
    </row>
    <row r="44" spans="6:24" ht="71.25" customHeight="1" x14ac:dyDescent="0.2">
      <c r="G44" s="376"/>
      <c r="H44" s="372"/>
      <c r="I44" s="372"/>
      <c r="J44" s="414" t="str">
        <f t="array" ref="J44">IF($K$26="","",IF(INDEX('Plan d''actions détaillé'!A:A,MIN(IF((COUNTIF(J$41:J43,'Plan d''actions détaillé'!$A$6:$A$30)=0)*(INDEX('Plan d''actions détaillé'!$U$6:$AL$30,,MATCH($K$26,'Plan d''actions détaillé'!$U$5:$AL$5,0))="X"),ROW('Plan d''actions détaillé'!$T$6:$T$30))))=0,"",INDEX('Plan d''actions détaillé'!A:A,MIN(IF((COUNTIF(J$41:J43,'Plan d''actions détaillé'!$A$6:$A$30)=0)*(INDEX('Plan d''actions détaillé'!$U$6:$AL$30,,MATCH($K$26,'Plan d''actions détaillé'!$U$5:$AL$5,0))="X"),ROW('Plan d''actions détaillé'!$T$6:$T$30))))))</f>
        <v/>
      </c>
      <c r="K44" s="414"/>
      <c r="L44" s="415"/>
      <c r="M44" s="413" t="str">
        <f t="array" ref="M44">IF($K$26="","",IF(INDEX('Plan d''actions détaillé'!D:D,MIN(IF((COUNTIF(M$41:M43,'Plan d''actions détaillé'!$D$6:$D$30)=0)*(INDEX('Plan d''actions détaillé'!$U$6:$AL$30,,MATCH($K$26,'Plan d''actions détaillé'!$U$5:$AL$5,0))="X"),ROW('Plan d''actions détaillé'!$T$6:$T$30))))=0,"",INDEX('Plan d''actions détaillé'!D:D,MIN(IF((COUNTIF(M$41:M43,'Plan d''actions détaillé'!$D$6:$D$30)=0)*(INDEX('Plan d''actions détaillé'!$U$6:$AL$30,,MATCH($K$26,'Plan d''actions détaillé'!$U$5:$AL$5,0))="X"),ROW('Plan d''actions détaillé'!$T$6:$T$30))))))</f>
        <v/>
      </c>
      <c r="N44" s="411" t="str">
        <f>IF($M44&lt;&gt;"",IF(VLOOKUP($M44,'Plan d''actions détaillé'!$D$6:$P$30,8,FALSE)="","",VLOOKUP($M44,'Plan d''actions détaillé'!$D$6:$P$30,8,FALSE)),"")</f>
        <v/>
      </c>
      <c r="O44" s="483" t="str">
        <f>IF($M44&lt;&gt;"",IF(VLOOKUP($M44,'Plan d''actions détaillé'!$D$6:$P$30,6,FALSE)="","",VLOOKUP($M44,'Plan d''actions détaillé'!$D$6:$P$30,6,FALSE)),"")</f>
        <v/>
      </c>
      <c r="P44" s="483"/>
      <c r="Q44" s="483"/>
      <c r="R44" s="483"/>
      <c r="S44" s="483"/>
      <c r="T44" s="483"/>
      <c r="U44" s="483"/>
      <c r="V44" s="412" t="str">
        <f>IF($M44&lt;&gt;"",IF(VLOOKUP($M44,'Plan d''actions détaillé'!$D$6:$P$30,12,FALSE)="","",VLOOKUP($M44,'Plan d''actions détaillé'!$D$6:$P$30,12,FALSE)),"")</f>
        <v/>
      </c>
      <c r="W44" s="377"/>
      <c r="X44" s="369"/>
    </row>
    <row r="45" spans="6:24" ht="74.25" customHeight="1" x14ac:dyDescent="0.2">
      <c r="G45" s="376"/>
      <c r="H45" s="372"/>
      <c r="I45" s="372"/>
      <c r="J45" s="414" t="str">
        <f t="array" ref="J45">IF($K$26="","",IF(INDEX('Plan d''actions détaillé'!A:A,MIN(IF((COUNTIF(J$41:J44,'Plan d''actions détaillé'!$A$6:$A$30)=0)*(INDEX('Plan d''actions détaillé'!$U$6:$AL$30,,MATCH($K$26,'Plan d''actions détaillé'!$U$5:$AL$5,0))="X"),ROW('Plan d''actions détaillé'!$T$6:$T$30))))=0,"",INDEX('Plan d''actions détaillé'!A:A,MIN(IF((COUNTIF(J$41:J44,'Plan d''actions détaillé'!$A$6:$A$30)=0)*(INDEX('Plan d''actions détaillé'!$U$6:$AL$30,,MATCH($K$26,'Plan d''actions détaillé'!$U$5:$AL$5,0))="X"),ROW('Plan d''actions détaillé'!$T$6:$T$30))))))</f>
        <v/>
      </c>
      <c r="K45" s="414"/>
      <c r="L45" s="415"/>
      <c r="M45" s="413" t="str">
        <f t="array" ref="M45">IF($K$26="","",IF(INDEX('Plan d''actions détaillé'!D:D,MIN(IF((COUNTIF(M$41:M44,'Plan d''actions détaillé'!$D$6:$D$30)=0)*(INDEX('Plan d''actions détaillé'!$U$6:$AL$30,,MATCH($K$26,'Plan d''actions détaillé'!$U$5:$AL$5,0))="X"),ROW('Plan d''actions détaillé'!$T$6:$T$30))))=0,"",INDEX('Plan d''actions détaillé'!D:D,MIN(IF((COUNTIF(M$41:M44,'Plan d''actions détaillé'!$D$6:$D$30)=0)*(INDEX('Plan d''actions détaillé'!$U$6:$AL$30,,MATCH($K$26,'Plan d''actions détaillé'!$U$5:$AL$5,0))="X"),ROW('Plan d''actions détaillé'!$T$6:$T$30))))))</f>
        <v/>
      </c>
      <c r="N45" s="411" t="str">
        <f>IF($M45&lt;&gt;"",IF(VLOOKUP($M45,'Plan d''actions détaillé'!$D$6:$P$30,8,FALSE)="","",VLOOKUP($M45,'Plan d''actions détaillé'!$D$6:$P$30,8,FALSE)),"")</f>
        <v/>
      </c>
      <c r="O45" s="483" t="str">
        <f>IF($M45&lt;&gt;"",IF(VLOOKUP($M45,'Plan d''actions détaillé'!$D$6:$P$30,6,FALSE)="","",VLOOKUP($M45,'Plan d''actions détaillé'!$D$6:$P$30,6,FALSE)),"")</f>
        <v/>
      </c>
      <c r="P45" s="483"/>
      <c r="Q45" s="483"/>
      <c r="R45" s="483"/>
      <c r="S45" s="483"/>
      <c r="T45" s="483"/>
      <c r="U45" s="483"/>
      <c r="V45" s="412" t="str">
        <f>IF($M45&lt;&gt;"",IF(VLOOKUP($M45,'Plan d''actions détaillé'!$D$6:$P$30,12,FALSE)="","",VLOOKUP($M45,'Plan d''actions détaillé'!$D$6:$P$30,12,FALSE)),"")</f>
        <v/>
      </c>
      <c r="W45" s="377"/>
      <c r="X45" s="369"/>
    </row>
    <row r="46" spans="6:24" ht="69.75" customHeight="1" x14ac:dyDescent="0.2">
      <c r="G46" s="376"/>
      <c r="H46" s="372"/>
      <c r="I46" s="372"/>
      <c r="J46" s="414" t="str">
        <f t="array" ref="J46">IF($K$26="","",IF(INDEX('Plan d''actions détaillé'!A:A,MIN(IF((COUNTIF(J$41:J45,'Plan d''actions détaillé'!$A$6:$A$30)=0)*(INDEX('Plan d''actions détaillé'!$U$6:$AL$30,,MATCH($K$26,'Plan d''actions détaillé'!$U$5:$AL$5,0))="X"),ROW('Plan d''actions détaillé'!$T$6:$T$30))))=0,"",INDEX('Plan d''actions détaillé'!A:A,MIN(IF((COUNTIF(J$41:J45,'Plan d''actions détaillé'!$A$6:$A$30)=0)*(INDEX('Plan d''actions détaillé'!$U$6:$AL$30,,MATCH($K$26,'Plan d''actions détaillé'!$U$5:$AL$5,0))="X"),ROW('Plan d''actions détaillé'!$T$6:$T$30))))))</f>
        <v/>
      </c>
      <c r="K46" s="414"/>
      <c r="L46" s="415"/>
      <c r="M46" s="413" t="str">
        <f t="array" ref="M46">IF($K$26="","",IF(INDEX('Plan d''actions détaillé'!D:D,MIN(IF((COUNTIF(M$41:M45,'Plan d''actions détaillé'!$D$6:$D$30)=0)*(INDEX('Plan d''actions détaillé'!$U$6:$AL$30,,MATCH($K$26,'Plan d''actions détaillé'!$U$5:$AL$5,0))="X"),ROW('Plan d''actions détaillé'!$T$6:$T$30))))=0,"",INDEX('Plan d''actions détaillé'!D:D,MIN(IF((COUNTIF(M$41:M45,'Plan d''actions détaillé'!$D$6:$D$30)=0)*(INDEX('Plan d''actions détaillé'!$U$6:$AL$30,,MATCH($K$26,'Plan d''actions détaillé'!$U$5:$AL$5,0))="X"),ROW('Plan d''actions détaillé'!$T$6:$T$30))))))</f>
        <v/>
      </c>
      <c r="N46" s="411" t="str">
        <f>IF($M46&lt;&gt;"",IF(VLOOKUP($M46,'Plan d''actions détaillé'!$D$6:$P$30,8,FALSE)="","",VLOOKUP($M46,'Plan d''actions détaillé'!$D$6:$P$30,8,FALSE)),"")</f>
        <v/>
      </c>
      <c r="O46" s="483" t="str">
        <f>IF($M46&lt;&gt;"",IF(VLOOKUP($M46,'Plan d''actions détaillé'!$D$6:$P$30,6,FALSE)="","",VLOOKUP($M46,'Plan d''actions détaillé'!$D$6:$P$30,6,FALSE)),"")</f>
        <v/>
      </c>
      <c r="P46" s="483"/>
      <c r="Q46" s="483"/>
      <c r="R46" s="483"/>
      <c r="S46" s="483"/>
      <c r="T46" s="483"/>
      <c r="U46" s="483"/>
      <c r="V46" s="412" t="str">
        <f>IF($M46&lt;&gt;"",IF(VLOOKUP($M46,'Plan d''actions détaillé'!$D$6:$P$30,12,FALSE)="","",VLOOKUP($M46,'Plan d''actions détaillé'!$D$6:$P$30,12,FALSE)),"")</f>
        <v/>
      </c>
      <c r="W46" s="377"/>
      <c r="X46" s="369"/>
    </row>
    <row r="47" spans="6:24" ht="66" customHeight="1" x14ac:dyDescent="0.2">
      <c r="G47" s="376"/>
      <c r="H47" s="372"/>
      <c r="I47" s="372"/>
      <c r="J47" s="414" t="str">
        <f t="array" ref="J47">IF($K$26="","",IF(INDEX('Plan d''actions détaillé'!A:A,MIN(IF((COUNTIF(J$41:J46,'Plan d''actions détaillé'!$A$6:$A$30)=0)*(INDEX('Plan d''actions détaillé'!$U$6:$AL$30,,MATCH($K$26,'Plan d''actions détaillé'!$U$5:$AL$5,0))="X"),ROW('Plan d''actions détaillé'!$T$6:$T$30))))=0,"",INDEX('Plan d''actions détaillé'!A:A,MIN(IF((COUNTIF(J$41:J46,'Plan d''actions détaillé'!$A$6:$A$30)=0)*(INDEX('Plan d''actions détaillé'!$U$6:$AL$30,,MATCH($K$26,'Plan d''actions détaillé'!$U$5:$AL$5,0))="X"),ROW('Plan d''actions détaillé'!$T$6:$T$30))))))</f>
        <v/>
      </c>
      <c r="K47" s="414"/>
      <c r="L47" s="415"/>
      <c r="M47" s="413" t="str">
        <f t="array" ref="M47">IF($K$26="","",IF(INDEX('Plan d''actions détaillé'!D:D,MIN(IF((COUNTIF(M$41:M46,'Plan d''actions détaillé'!$D$6:$D$30)=0)*(INDEX('Plan d''actions détaillé'!$U$6:$AL$30,,MATCH($K$26,'Plan d''actions détaillé'!$U$5:$AL$5,0))="X"),ROW('Plan d''actions détaillé'!$T$6:$T$30))))=0,"",INDEX('Plan d''actions détaillé'!D:D,MIN(IF((COUNTIF(M$41:M46,'Plan d''actions détaillé'!$D$6:$D$30)=0)*(INDEX('Plan d''actions détaillé'!$U$6:$AL$30,,MATCH($K$26,'Plan d''actions détaillé'!$U$5:$AL$5,0))="X"),ROW('Plan d''actions détaillé'!$T$6:$T$30))))))</f>
        <v/>
      </c>
      <c r="N47" s="411" t="str">
        <f>IF($M47&lt;&gt;"",IF(VLOOKUP($M47,'Plan d''actions détaillé'!$D$6:$P$30,8,FALSE)="","",VLOOKUP($M47,'Plan d''actions détaillé'!$D$6:$P$30,8,FALSE)),"")</f>
        <v/>
      </c>
      <c r="O47" s="483" t="str">
        <f>IF($M47&lt;&gt;"",IF(VLOOKUP($M47,'Plan d''actions détaillé'!$D$6:$P$30,6,FALSE)="","",VLOOKUP($M47,'Plan d''actions détaillé'!$D$6:$P$30,6,FALSE)),"")</f>
        <v/>
      </c>
      <c r="P47" s="483"/>
      <c r="Q47" s="483"/>
      <c r="R47" s="483"/>
      <c r="S47" s="483"/>
      <c r="T47" s="483"/>
      <c r="U47" s="483"/>
      <c r="V47" s="412" t="str">
        <f>IF($M47&lt;&gt;"",IF(VLOOKUP($M47,'Plan d''actions détaillé'!$D$6:$P$30,12,FALSE)="","",VLOOKUP($M47,'Plan d''actions détaillé'!$D$6:$P$30,12,FALSE)),"")</f>
        <v/>
      </c>
      <c r="W47" s="377"/>
      <c r="X47" s="369"/>
    </row>
    <row r="48" spans="6:24" ht="4.5" customHeight="1" x14ac:dyDescent="0.2">
      <c r="G48" s="376"/>
      <c r="H48" s="372"/>
      <c r="I48" s="372"/>
      <c r="J48" s="414" t="str">
        <f t="array" ref="J48">IF($K$26="","",IF(INDEX('Plan d''actions détaillé'!A:A,MIN(IF((COUNTIF(J$41:J47,'Plan d''actions détaillé'!$A$6:$A$30)=0)*(INDEX('Plan d''actions détaillé'!$U$6:$AL$30,,MATCH($K$26,'Plan d''actions détaillé'!$U$5:$AL$5,0))="X"),ROW('Plan d''actions détaillé'!$T$6:$T$30))))=0,"",INDEX('Plan d''actions détaillé'!A:A,MIN(IF((COUNTIF(J$41:J47,'Plan d''actions détaillé'!$A$6:$A$30)=0)*(INDEX('Plan d''actions détaillé'!$U$6:$AL$30,,MATCH($K$26,'Plan d''actions détaillé'!$U$5:$AL$5,0))="X"),ROW('Plan d''actions détaillé'!$T$6:$T$30))))))</f>
        <v/>
      </c>
      <c r="K48" s="414"/>
      <c r="L48" s="415"/>
      <c r="M48" s="413" t="str">
        <f t="array" ref="M48">IF($K$26="","",IF(INDEX('Plan d''actions détaillé'!D:D,MIN(IF((COUNTIF(M$41:M47,'Plan d''actions détaillé'!$D$6:$D$30)=0)*(INDEX('Plan d''actions détaillé'!$U$6:$AL$30,,MATCH($K$26,'Plan d''actions détaillé'!$U$5:$AL$5,0))="X"),ROW('Plan d''actions détaillé'!$T$6:$T$30))))=0,"",INDEX('Plan d''actions détaillé'!D:D,MIN(IF((COUNTIF(M$41:M47,'Plan d''actions détaillé'!$D$6:$D$30)=0)*(INDEX('Plan d''actions détaillé'!$U$6:$AL$30,,MATCH($K$26,'Plan d''actions détaillé'!$U$5:$AL$5,0))="X"),ROW('Plan d''actions détaillé'!$T$6:$T$30))))))</f>
        <v/>
      </c>
      <c r="N48" s="411" t="str">
        <f>IF($M48&lt;&gt;"",IF(VLOOKUP($M48,'Plan d''actions détaillé'!$D$6:$P$30,8,FALSE)="","",VLOOKUP($M48,'Plan d''actions détaillé'!$D$6:$P$30,8,FALSE)),"")</f>
        <v/>
      </c>
      <c r="O48" s="483" t="str">
        <f>IF($M48&lt;&gt;"",IF(VLOOKUP($M48,'Plan d''actions détaillé'!$D$6:$P$30,6,FALSE)="","",VLOOKUP($M48,'Plan d''actions détaillé'!$D$6:$P$30,6,FALSE)),"")</f>
        <v/>
      </c>
      <c r="P48" s="483"/>
      <c r="Q48" s="483"/>
      <c r="R48" s="483"/>
      <c r="S48" s="483"/>
      <c r="T48" s="483"/>
      <c r="U48" s="483"/>
      <c r="V48" s="412" t="str">
        <f>IF($M48&lt;&gt;"",IF(VLOOKUP($M48,'Plan d''actions détaillé'!$D$6:$P$30,12,FALSE)="","",VLOOKUP($M48,'Plan d''actions détaillé'!$D$6:$P$30,12,FALSE)),"")</f>
        <v/>
      </c>
      <c r="W48" s="377"/>
      <c r="X48" s="369"/>
    </row>
    <row r="49" spans="4:24" ht="4.5" customHeight="1" x14ac:dyDescent="0.2">
      <c r="G49" s="376"/>
      <c r="H49" s="372"/>
      <c r="I49" s="372"/>
      <c r="J49" s="414" t="str">
        <f t="array" ref="J49">IF($K$26="","",IF(INDEX('Plan d''actions détaillé'!A:A,MIN(IF((COUNTIF(J$41:J48,'Plan d''actions détaillé'!$A$6:$A$30)=0)*(INDEX('Plan d''actions détaillé'!$U$6:$AL$30,,MATCH($K$26,'Plan d''actions détaillé'!$U$5:$AL$5,0))="X"),ROW('Plan d''actions détaillé'!$T$6:$T$30))))=0,"",INDEX('Plan d''actions détaillé'!A:A,MIN(IF((COUNTIF(J$41:J48,'Plan d''actions détaillé'!$A$6:$A$30)=0)*(INDEX('Plan d''actions détaillé'!$U$6:$AL$30,,MATCH($K$26,'Plan d''actions détaillé'!$U$5:$AL$5,0))="X"),ROW('Plan d''actions détaillé'!$T$6:$T$30))))))</f>
        <v/>
      </c>
      <c r="K49" s="414"/>
      <c r="L49" s="415"/>
      <c r="M49" s="413" t="str">
        <f t="array" ref="M49">IF($K$26="","",IF(INDEX('Plan d''actions détaillé'!D:D,MIN(IF((COUNTIF(M$41:M48,'Plan d''actions détaillé'!$D$6:$D$30)=0)*(INDEX('Plan d''actions détaillé'!$U$6:$AL$30,,MATCH($K$26,'Plan d''actions détaillé'!$U$5:$AL$5,0))="X"),ROW('Plan d''actions détaillé'!$T$6:$T$30))))=0,"",INDEX('Plan d''actions détaillé'!D:D,MIN(IF((COUNTIF(M$41:M48,'Plan d''actions détaillé'!$D$6:$D$30)=0)*(INDEX('Plan d''actions détaillé'!$U$6:$AL$30,,MATCH($K$26,'Plan d''actions détaillé'!$U$5:$AL$5,0))="X"),ROW('Plan d''actions détaillé'!$T$6:$T$30))))))</f>
        <v/>
      </c>
      <c r="N49" s="411" t="str">
        <f>IF($M49&lt;&gt;"",IF(VLOOKUP($M49,'Plan d''actions détaillé'!$D$6:$P$30,8,FALSE)="","",VLOOKUP($M49,'Plan d''actions détaillé'!$D$6:$P$30,8,FALSE)),"")</f>
        <v/>
      </c>
      <c r="O49" s="483" t="str">
        <f>IF($M49&lt;&gt;"",IF(VLOOKUP($M49,'Plan d''actions détaillé'!$D$6:$P$30,6,FALSE)="","",VLOOKUP($M49,'Plan d''actions détaillé'!$D$6:$P$30,6,FALSE)),"")</f>
        <v/>
      </c>
      <c r="P49" s="483"/>
      <c r="Q49" s="483"/>
      <c r="R49" s="483"/>
      <c r="S49" s="483"/>
      <c r="T49" s="483"/>
      <c r="U49" s="483"/>
      <c r="V49" s="412" t="str">
        <f>IF($M49&lt;&gt;"",IF(VLOOKUP($M49,'Plan d''actions détaillé'!$D$6:$P$30,12,FALSE)="","",VLOOKUP($M49,'Plan d''actions détaillé'!$D$6:$P$30,12,FALSE)),"")</f>
        <v/>
      </c>
      <c r="W49" s="377"/>
      <c r="X49" s="369"/>
    </row>
    <row r="50" spans="4:24" ht="4.5" customHeight="1" x14ac:dyDescent="0.2">
      <c r="G50" s="376"/>
      <c r="H50" s="372"/>
      <c r="I50" s="372"/>
      <c r="J50" s="414" t="str">
        <f t="array" ref="J50">IF($K$26="","",IF(INDEX('Plan d''actions détaillé'!A:A,MIN(IF((COUNTIF(J$41:J49,'Plan d''actions détaillé'!$A$6:$A$30)=0)*(INDEX('Plan d''actions détaillé'!$U$6:$AL$30,,MATCH($K$26,'Plan d''actions détaillé'!$U$5:$AL$5,0))="X"),ROW('Plan d''actions détaillé'!$T$6:$T$30))))=0,"",INDEX('Plan d''actions détaillé'!A:A,MIN(IF((COUNTIF(J$41:J49,'Plan d''actions détaillé'!$A$6:$A$30)=0)*(INDEX('Plan d''actions détaillé'!$U$6:$AL$30,,MATCH($K$26,'Plan d''actions détaillé'!$U$5:$AL$5,0))="X"),ROW('Plan d''actions détaillé'!$T$6:$T$30))))))</f>
        <v/>
      </c>
      <c r="K50" s="414"/>
      <c r="L50" s="415"/>
      <c r="M50" s="413" t="str">
        <f t="array" ref="M50">IF($K$26="","",IF(INDEX('Plan d''actions détaillé'!D:D,MIN(IF((COUNTIF(M$41:M49,'Plan d''actions détaillé'!$D$6:$D$30)=0)*(INDEX('Plan d''actions détaillé'!$U$6:$AL$30,,MATCH($K$26,'Plan d''actions détaillé'!$U$5:$AL$5,0))="X"),ROW('Plan d''actions détaillé'!$T$6:$T$30))))=0,"",INDEX('Plan d''actions détaillé'!D:D,MIN(IF((COUNTIF(M$41:M49,'Plan d''actions détaillé'!$D$6:$D$30)=0)*(INDEX('Plan d''actions détaillé'!$U$6:$AL$30,,MATCH($K$26,'Plan d''actions détaillé'!$U$5:$AL$5,0))="X"),ROW('Plan d''actions détaillé'!$T$6:$T$30))))))</f>
        <v/>
      </c>
      <c r="N50" s="411" t="str">
        <f>IF($M50&lt;&gt;"",IF(VLOOKUP($M50,'Plan d''actions détaillé'!$D$6:$P$30,8,FALSE)="","",VLOOKUP($M50,'Plan d''actions détaillé'!$D$6:$P$30,8,FALSE)),"")</f>
        <v/>
      </c>
      <c r="O50" s="483" t="str">
        <f>IF($M50&lt;&gt;"",IF(VLOOKUP($M50,'Plan d''actions détaillé'!$D$6:$P$30,6,FALSE)="","",VLOOKUP($M50,'Plan d''actions détaillé'!$D$6:$P$30,6,FALSE)),"")</f>
        <v/>
      </c>
      <c r="P50" s="483"/>
      <c r="Q50" s="483"/>
      <c r="R50" s="483"/>
      <c r="S50" s="483"/>
      <c r="T50" s="483"/>
      <c r="U50" s="483"/>
      <c r="V50" s="412" t="str">
        <f>IF($M50&lt;&gt;"",IF(VLOOKUP($M50,'Plan d''actions détaillé'!$D$6:$P$30,12,FALSE)="","",VLOOKUP($M50,'Plan d''actions détaillé'!$D$6:$P$30,12,FALSE)),"")</f>
        <v/>
      </c>
      <c r="W50" s="377"/>
      <c r="X50" s="369"/>
    </row>
    <row r="51" spans="4:24" ht="4.5" customHeight="1" x14ac:dyDescent="0.2">
      <c r="G51" s="376"/>
      <c r="H51" s="372"/>
      <c r="I51" s="372"/>
      <c r="J51" s="414" t="str">
        <f t="array" ref="J51">IF($K$26="","",IF(INDEX('Plan d''actions détaillé'!A:A,MIN(IF((COUNTIF(J$41:J50,'Plan d''actions détaillé'!$A$6:$A$30)=0)*(INDEX('Plan d''actions détaillé'!$U$6:$AL$30,,MATCH($K$26,'Plan d''actions détaillé'!$U$5:$AL$5,0))="X"),ROW('Plan d''actions détaillé'!$T$6:$T$30))))=0,"",INDEX('Plan d''actions détaillé'!A:A,MIN(IF((COUNTIF(J$41:J50,'Plan d''actions détaillé'!$A$6:$A$30)=0)*(INDEX('Plan d''actions détaillé'!$U$6:$AL$30,,MATCH($K$26,'Plan d''actions détaillé'!$U$5:$AL$5,0))="X"),ROW('Plan d''actions détaillé'!$T$6:$T$30))))))</f>
        <v/>
      </c>
      <c r="K51" s="414"/>
      <c r="L51" s="415"/>
      <c r="M51" s="413" t="str">
        <f t="array" ref="M51">IF($K$26="","",IF(INDEX('Plan d''actions détaillé'!D:D,MIN(IF((COUNTIF(M$41:M50,'Plan d''actions détaillé'!$D$6:$D$30)=0)*(INDEX('Plan d''actions détaillé'!$U$6:$AL$30,,MATCH($K$26,'Plan d''actions détaillé'!$U$5:$AL$5,0))="X"),ROW('Plan d''actions détaillé'!$T$6:$T$30))))=0,"",INDEX('Plan d''actions détaillé'!D:D,MIN(IF((COUNTIF(M$41:M50,'Plan d''actions détaillé'!$D$6:$D$30)=0)*(INDEX('Plan d''actions détaillé'!$U$6:$AL$30,,MATCH($K$26,'Plan d''actions détaillé'!$U$5:$AL$5,0))="X"),ROW('Plan d''actions détaillé'!$T$6:$T$30))))))</f>
        <v/>
      </c>
      <c r="N51" s="411" t="str">
        <f>IF($M51&lt;&gt;"",IF(VLOOKUP($M51,'Plan d''actions détaillé'!$D$6:$P$30,8,FALSE)="","",VLOOKUP($M51,'Plan d''actions détaillé'!$D$6:$P$30,8,FALSE)),"")</f>
        <v/>
      </c>
      <c r="O51" s="483" t="str">
        <f>IF($M51&lt;&gt;"",IF(VLOOKUP($M51,'Plan d''actions détaillé'!$D$6:$P$30,6,FALSE)="","",VLOOKUP($M51,'Plan d''actions détaillé'!$D$6:$P$30,6,FALSE)),"")</f>
        <v/>
      </c>
      <c r="P51" s="483"/>
      <c r="Q51" s="483"/>
      <c r="R51" s="483"/>
      <c r="S51" s="483"/>
      <c r="T51" s="483"/>
      <c r="U51" s="483"/>
      <c r="V51" s="412" t="str">
        <f>IF($M51&lt;&gt;"",IF(VLOOKUP($M51,'Plan d''actions détaillé'!$D$6:$P$30,12,FALSE)="","",VLOOKUP($M51,'Plan d''actions détaillé'!$D$6:$P$30,12,FALSE)),"")</f>
        <v/>
      </c>
      <c r="W51" s="377"/>
      <c r="X51" s="369"/>
    </row>
    <row r="52" spans="4:24" ht="4.5" customHeight="1" x14ac:dyDescent="0.15">
      <c r="D52" s="357"/>
      <c r="G52" s="376"/>
      <c r="H52" s="372"/>
      <c r="I52" s="372"/>
      <c r="J52" s="414" t="str">
        <f t="array" ref="J52">IF($K$26="","",IF(INDEX('Plan d''actions détaillé'!A:A,MIN(IF((COUNTIF(J$41:J51,'Plan d''actions détaillé'!$A$6:$A$30)=0)*(INDEX('Plan d''actions détaillé'!$U$6:$AL$30,,MATCH($K$26,'Plan d''actions détaillé'!$U$5:$AL$5,0))="X"),ROW('Plan d''actions détaillé'!$T$6:$T$30))))=0,"",INDEX('Plan d''actions détaillé'!A:A,MIN(IF((COUNTIF(J$41:J51,'Plan d''actions détaillé'!$A$6:$A$30)=0)*(INDEX('Plan d''actions détaillé'!$U$6:$AL$30,,MATCH($K$26,'Plan d''actions détaillé'!$U$5:$AL$5,0))="X"),ROW('Plan d''actions détaillé'!$T$6:$T$30))))))</f>
        <v/>
      </c>
      <c r="K52" s="414"/>
      <c r="L52" s="415"/>
      <c r="M52" s="413" t="str">
        <f t="array" ref="M52">IF($K$26="","",IF(INDEX('Plan d''actions détaillé'!D:D,MIN(IF((COUNTIF(M$41:M51,'Plan d''actions détaillé'!$D$6:$D$30)=0)*(INDEX('Plan d''actions détaillé'!$U$6:$AL$30,,MATCH($K$26,'Plan d''actions détaillé'!$U$5:$AL$5,0))="X"),ROW('Plan d''actions détaillé'!$T$6:$T$30))))=0,"",INDEX('Plan d''actions détaillé'!D:D,MIN(IF((COUNTIF(M$41:M51,'Plan d''actions détaillé'!$D$6:$D$30)=0)*(INDEX('Plan d''actions détaillé'!$U$6:$AL$30,,MATCH($K$26,'Plan d''actions détaillé'!$U$5:$AL$5,0))="X"),ROW('Plan d''actions détaillé'!$T$6:$T$30))))))</f>
        <v/>
      </c>
      <c r="N52" s="411" t="str">
        <f>IF($M52&lt;&gt;"",IF(VLOOKUP($M52,'Plan d''actions détaillé'!$D$6:$P$30,8,FALSE)="","",VLOOKUP($M52,'Plan d''actions détaillé'!$D$6:$P$30,8,FALSE)),"")</f>
        <v/>
      </c>
      <c r="O52" s="483" t="str">
        <f>IF($M52&lt;&gt;"",IF(VLOOKUP($M52,'Plan d''actions détaillé'!$D$6:$P$30,6,FALSE)="","",VLOOKUP($M52,'Plan d''actions détaillé'!$D$6:$P$30,6,FALSE)),"")</f>
        <v/>
      </c>
      <c r="P52" s="483"/>
      <c r="Q52" s="483"/>
      <c r="R52" s="483"/>
      <c r="S52" s="483"/>
      <c r="T52" s="483"/>
      <c r="U52" s="483"/>
      <c r="V52" s="412" t="str">
        <f>IF($M52&lt;&gt;"",IF(VLOOKUP($M52,'Plan d''actions détaillé'!$D$6:$P$30,12,FALSE)="","",VLOOKUP($M52,'Plan d''actions détaillé'!$D$6:$P$30,12,FALSE)),"")</f>
        <v/>
      </c>
      <c r="W52" s="377"/>
      <c r="X52" s="369"/>
    </row>
    <row r="53" spans="4:24" ht="4.5" customHeight="1" x14ac:dyDescent="0.15">
      <c r="D53" s="357"/>
      <c r="G53" s="376"/>
      <c r="H53" s="372"/>
      <c r="I53" s="372"/>
      <c r="J53" s="414" t="str">
        <f t="array" ref="J53">IF($K$26="","",IF(INDEX('Plan d''actions détaillé'!A:A,MIN(IF((COUNTIF(J$41:J52,'Plan d''actions détaillé'!$A$6:$A$30)=0)*(INDEX('Plan d''actions détaillé'!$U$6:$AL$30,,MATCH($K$26,'Plan d''actions détaillé'!$U$5:$AL$5,0))="X"),ROW('Plan d''actions détaillé'!$T$6:$T$30))))=0,"",INDEX('Plan d''actions détaillé'!A:A,MIN(IF((COUNTIF(J$41:J52,'Plan d''actions détaillé'!$A$6:$A$30)=0)*(INDEX('Plan d''actions détaillé'!$U$6:$AL$30,,MATCH($K$26,'Plan d''actions détaillé'!$U$5:$AL$5,0))="X"),ROW('Plan d''actions détaillé'!$T$6:$T$30))))))</f>
        <v/>
      </c>
      <c r="K53" s="414"/>
      <c r="L53" s="415"/>
      <c r="M53" s="413" t="str">
        <f t="array" ref="M53">IF($K$26="","",IF(INDEX('Plan d''actions détaillé'!D:D,MIN(IF((COUNTIF(M$41:M52,'Plan d''actions détaillé'!$D$6:$D$30)=0)*(INDEX('Plan d''actions détaillé'!$U$6:$AL$30,,MATCH($K$26,'Plan d''actions détaillé'!$U$5:$AL$5,0))="X"),ROW('Plan d''actions détaillé'!$T$6:$T$30))))=0,"",INDEX('Plan d''actions détaillé'!D:D,MIN(IF((COUNTIF(M$41:M52,'Plan d''actions détaillé'!$D$6:$D$30)=0)*(INDEX('Plan d''actions détaillé'!$U$6:$AL$30,,MATCH($K$26,'Plan d''actions détaillé'!$U$5:$AL$5,0))="X"),ROW('Plan d''actions détaillé'!$T$6:$T$30))))))</f>
        <v/>
      </c>
      <c r="N53" s="411" t="str">
        <f>IF($M53&lt;&gt;"",IF(VLOOKUP($M53,'Plan d''actions détaillé'!$D$6:$P$30,8,FALSE)="","",VLOOKUP($M53,'Plan d''actions détaillé'!$D$6:$P$30,8,FALSE)),"")</f>
        <v/>
      </c>
      <c r="O53" s="483" t="str">
        <f>IF($M53&lt;&gt;"",IF(VLOOKUP($M53,'Plan d''actions détaillé'!$D$6:$P$30,6,FALSE)="","",VLOOKUP($M53,'Plan d''actions détaillé'!$D$6:$P$30,6,FALSE)),"")</f>
        <v/>
      </c>
      <c r="P53" s="483"/>
      <c r="Q53" s="483"/>
      <c r="R53" s="483"/>
      <c r="S53" s="483"/>
      <c r="T53" s="483"/>
      <c r="U53" s="483"/>
      <c r="V53" s="412" t="str">
        <f>IF($M53&lt;&gt;"",IF(VLOOKUP($M53,'Plan d''actions détaillé'!$D$6:$P$30,12,FALSE)="","",VLOOKUP($M53,'Plan d''actions détaillé'!$D$6:$P$30,12,FALSE)),"")</f>
        <v/>
      </c>
      <c r="W53" s="377"/>
      <c r="X53" s="369"/>
    </row>
    <row r="54" spans="4:24" ht="4.5" customHeight="1" x14ac:dyDescent="0.15">
      <c r="D54" s="357"/>
      <c r="G54" s="376"/>
      <c r="H54" s="372"/>
      <c r="I54" s="372"/>
      <c r="J54" s="414" t="str">
        <f t="array" ref="J54">IF($K$26="","",IF(INDEX('Plan d''actions détaillé'!A:A,MIN(IF((COUNTIF(J$41:J53,'Plan d''actions détaillé'!$A$6:$A$30)=0)*(INDEX('Plan d''actions détaillé'!$U$6:$AL$30,,MATCH($K$26,'Plan d''actions détaillé'!$U$5:$AL$5,0))="X"),ROW('Plan d''actions détaillé'!$T$6:$T$30))))=0,"",INDEX('Plan d''actions détaillé'!A:A,MIN(IF((COUNTIF(J$41:J53,'Plan d''actions détaillé'!$A$6:$A$30)=0)*(INDEX('Plan d''actions détaillé'!$U$6:$AL$30,,MATCH($K$26,'Plan d''actions détaillé'!$U$5:$AL$5,0))="X"),ROW('Plan d''actions détaillé'!$T$6:$T$30))))))</f>
        <v/>
      </c>
      <c r="K54" s="414"/>
      <c r="L54" s="415"/>
      <c r="M54" s="413" t="str">
        <f t="array" ref="M54">IF($K$26="","",IF(INDEX('Plan d''actions détaillé'!D:D,MIN(IF((COUNTIF(M$41:M53,'Plan d''actions détaillé'!$D$6:$D$30)=0)*(INDEX('Plan d''actions détaillé'!$U$6:$AL$30,,MATCH($K$26,'Plan d''actions détaillé'!$U$5:$AL$5,0))="X"),ROW('Plan d''actions détaillé'!$T$6:$T$30))))=0,"",INDEX('Plan d''actions détaillé'!D:D,MIN(IF((COUNTIF(M$41:M53,'Plan d''actions détaillé'!$D$6:$D$30)=0)*(INDEX('Plan d''actions détaillé'!$U$6:$AL$30,,MATCH($K$26,'Plan d''actions détaillé'!$U$5:$AL$5,0))="X"),ROW('Plan d''actions détaillé'!$T$6:$T$30))))))</f>
        <v/>
      </c>
      <c r="N54" s="411" t="str">
        <f>IF($M54&lt;&gt;"",IF(VLOOKUP($M54,'Plan d''actions détaillé'!$D$6:$P$30,8,FALSE)="","",VLOOKUP($M54,'Plan d''actions détaillé'!$D$6:$P$30,8,FALSE)),"")</f>
        <v/>
      </c>
      <c r="O54" s="483" t="str">
        <f>IF($M54&lt;&gt;"",IF(VLOOKUP($M54,'Plan d''actions détaillé'!$D$6:$P$30,6,FALSE)="","",VLOOKUP($M54,'Plan d''actions détaillé'!$D$6:$P$30,6,FALSE)),"")</f>
        <v/>
      </c>
      <c r="P54" s="483"/>
      <c r="Q54" s="483"/>
      <c r="R54" s="483"/>
      <c r="S54" s="483"/>
      <c r="T54" s="483"/>
      <c r="U54" s="483"/>
      <c r="V54" s="412" t="str">
        <f>IF($M54&lt;&gt;"",IF(VLOOKUP($M54,'Plan d''actions détaillé'!$D$6:$P$30,12,FALSE)="","",VLOOKUP($M54,'Plan d''actions détaillé'!$D$6:$P$30,12,FALSE)),"")</f>
        <v/>
      </c>
      <c r="W54" s="377"/>
      <c r="X54" s="369"/>
    </row>
    <row r="55" spans="4:24" ht="4.5" customHeight="1" x14ac:dyDescent="0.15">
      <c r="D55" s="357"/>
      <c r="G55" s="376"/>
      <c r="H55" s="372"/>
      <c r="I55" s="372"/>
      <c r="J55" s="414" t="str">
        <f t="array" ref="J55">IF($K$26="","",IF(INDEX('Plan d''actions détaillé'!A:A,MIN(IF((COUNTIF(J$41:J54,'Plan d''actions détaillé'!$A$6:$A$30)=0)*(INDEX('Plan d''actions détaillé'!$U$6:$AL$30,,MATCH($K$26,'Plan d''actions détaillé'!$U$5:$AL$5,0))="X"),ROW('Plan d''actions détaillé'!$T$6:$T$30))))=0,"",INDEX('Plan d''actions détaillé'!A:A,MIN(IF((COUNTIF(J$41:J54,'Plan d''actions détaillé'!$A$6:$A$30)=0)*(INDEX('Plan d''actions détaillé'!$U$6:$AL$30,,MATCH($K$26,'Plan d''actions détaillé'!$U$5:$AL$5,0))="X"),ROW('Plan d''actions détaillé'!$T$6:$T$30))))))</f>
        <v/>
      </c>
      <c r="K55" s="414"/>
      <c r="L55" s="415"/>
      <c r="M55" s="413" t="str">
        <f t="array" ref="M55">IF($K$26="","",IF(INDEX('Plan d''actions détaillé'!D:D,MIN(IF((COUNTIF(M$41:M54,'Plan d''actions détaillé'!$D$6:$D$30)=0)*(INDEX('Plan d''actions détaillé'!$U$6:$AL$30,,MATCH($K$26,'Plan d''actions détaillé'!$U$5:$AL$5,0))="X"),ROW('Plan d''actions détaillé'!$T$6:$T$30))))=0,"",INDEX('Plan d''actions détaillé'!D:D,MIN(IF((COUNTIF(M$41:M54,'Plan d''actions détaillé'!$D$6:$D$30)=0)*(INDEX('Plan d''actions détaillé'!$U$6:$AL$30,,MATCH($K$26,'Plan d''actions détaillé'!$U$5:$AL$5,0))="X"),ROW('Plan d''actions détaillé'!$T$6:$T$30))))))</f>
        <v/>
      </c>
      <c r="N55" s="411" t="str">
        <f>IF($M55&lt;&gt;"",IF(VLOOKUP($M55,'Plan d''actions détaillé'!$D$6:$P$30,8,FALSE)="","",VLOOKUP($M55,'Plan d''actions détaillé'!$D$6:$P$30,8,FALSE)),"")</f>
        <v/>
      </c>
      <c r="O55" s="483" t="str">
        <f>IF($M55&lt;&gt;"",IF(VLOOKUP($M55,'Plan d''actions détaillé'!$D$6:$P$30,6,FALSE)="","",VLOOKUP($M55,'Plan d''actions détaillé'!$D$6:$P$30,6,FALSE)),"")</f>
        <v/>
      </c>
      <c r="P55" s="483"/>
      <c r="Q55" s="483"/>
      <c r="R55" s="483"/>
      <c r="S55" s="483"/>
      <c r="T55" s="483"/>
      <c r="U55" s="483"/>
      <c r="V55" s="412" t="str">
        <f>IF($M55&lt;&gt;"",IF(VLOOKUP($M55,'Plan d''actions détaillé'!$D$6:$P$30,12,FALSE)="","",VLOOKUP($M55,'Plan d''actions détaillé'!$D$6:$P$30,12,FALSE)),"")</f>
        <v/>
      </c>
      <c r="W55" s="377"/>
      <c r="X55" s="369"/>
    </row>
    <row r="56" spans="4:24" ht="4.5" customHeight="1" x14ac:dyDescent="0.15">
      <c r="D56" s="357"/>
      <c r="G56" s="376"/>
      <c r="H56" s="372"/>
      <c r="I56" s="372"/>
      <c r="J56" s="414" t="str">
        <f t="array" ref="J56">IF($K$26="","",IF(INDEX('Plan d''actions détaillé'!A:A,MIN(IF((COUNTIF(J$41:J55,'Plan d''actions détaillé'!$A$6:$A$30)=0)*(INDEX('Plan d''actions détaillé'!$U$6:$AL$30,,MATCH($K$26,'Plan d''actions détaillé'!$U$5:$AL$5,0))="X"),ROW('Plan d''actions détaillé'!$T$6:$T$30))))=0,"",INDEX('Plan d''actions détaillé'!A:A,MIN(IF((COUNTIF(J$41:J55,'Plan d''actions détaillé'!$A$6:$A$30)=0)*(INDEX('Plan d''actions détaillé'!$U$6:$AL$30,,MATCH($K$26,'Plan d''actions détaillé'!$U$5:$AL$5,0))="X"),ROW('Plan d''actions détaillé'!$T$6:$T$30))))))</f>
        <v/>
      </c>
      <c r="K56" s="414"/>
      <c r="L56" s="415"/>
      <c r="M56" s="413" t="str">
        <f t="array" ref="M56">IF($K$26="","",IF(INDEX('Plan d''actions détaillé'!D:D,MIN(IF((COUNTIF(M$41:M55,'Plan d''actions détaillé'!$D$6:$D$30)=0)*(INDEX('Plan d''actions détaillé'!$U$6:$AL$30,,MATCH($K$26,'Plan d''actions détaillé'!$U$5:$AL$5,0))="X"),ROW('Plan d''actions détaillé'!$T$6:$T$30))))=0,"",INDEX('Plan d''actions détaillé'!D:D,MIN(IF((COUNTIF(M$41:M55,'Plan d''actions détaillé'!$D$6:$D$30)=0)*(INDEX('Plan d''actions détaillé'!$U$6:$AL$30,,MATCH($K$26,'Plan d''actions détaillé'!$U$5:$AL$5,0))="X"),ROW('Plan d''actions détaillé'!$T$6:$T$30))))))</f>
        <v/>
      </c>
      <c r="N56" s="411" t="str">
        <f>IF($M56&lt;&gt;"",IF(VLOOKUP($M56,'Plan d''actions détaillé'!$D$6:$P$30,8,FALSE)="","",VLOOKUP($M56,'Plan d''actions détaillé'!$D$6:$P$30,8,FALSE)),"")</f>
        <v/>
      </c>
      <c r="O56" s="483" t="str">
        <f>IF($M56&lt;&gt;"",IF(VLOOKUP($M56,'Plan d''actions détaillé'!$D$6:$P$30,6,FALSE)="","",VLOOKUP($M56,'Plan d''actions détaillé'!$D$6:$P$30,6,FALSE)),"")</f>
        <v/>
      </c>
      <c r="P56" s="483"/>
      <c r="Q56" s="483"/>
      <c r="R56" s="483"/>
      <c r="S56" s="483"/>
      <c r="T56" s="483"/>
      <c r="U56" s="483"/>
      <c r="V56" s="412" t="str">
        <f>IF($M56&lt;&gt;"",IF(VLOOKUP($M56,'Plan d''actions détaillé'!$D$6:$P$30,12,FALSE)="","",VLOOKUP($M56,'Plan d''actions détaillé'!$D$6:$P$30,12,FALSE)),"")</f>
        <v/>
      </c>
      <c r="W56" s="377"/>
      <c r="X56" s="369"/>
    </row>
    <row r="57" spans="4:24" ht="4.5" customHeight="1" x14ac:dyDescent="0.15">
      <c r="D57" s="357"/>
      <c r="G57" s="376"/>
      <c r="H57" s="372"/>
      <c r="I57" s="372"/>
      <c r="J57" s="414" t="str">
        <f t="array" ref="J57">IF($K$26="","",IF(INDEX('Plan d''actions détaillé'!A:A,MIN(IF((COUNTIF(J$41:J56,'Plan d''actions détaillé'!$A$6:$A$30)=0)*(INDEX('Plan d''actions détaillé'!$U$6:$AL$30,,MATCH($K$26,'Plan d''actions détaillé'!$U$5:$AL$5,0))="X"),ROW('Plan d''actions détaillé'!$T$6:$T$30))))=0,"",INDEX('Plan d''actions détaillé'!A:A,MIN(IF((COUNTIF(J$41:J56,'Plan d''actions détaillé'!$A$6:$A$30)=0)*(INDEX('Plan d''actions détaillé'!$U$6:$AL$30,,MATCH($K$26,'Plan d''actions détaillé'!$U$5:$AL$5,0))="X"),ROW('Plan d''actions détaillé'!$T$6:$T$30))))))</f>
        <v/>
      </c>
      <c r="K57" s="414"/>
      <c r="L57" s="415"/>
      <c r="M57" s="413" t="str">
        <f t="array" ref="M57">IF($K$26="","",IF(INDEX('Plan d''actions détaillé'!D:D,MIN(IF((COUNTIF(M$41:M56,'Plan d''actions détaillé'!$D$6:$D$30)=0)*(INDEX('Plan d''actions détaillé'!$U$6:$AL$30,,MATCH($K$26,'Plan d''actions détaillé'!$U$5:$AL$5,0))="X"),ROW('Plan d''actions détaillé'!$T$6:$T$30))))=0,"",INDEX('Plan d''actions détaillé'!D:D,MIN(IF((COUNTIF(M$41:M56,'Plan d''actions détaillé'!$D$6:$D$30)=0)*(INDEX('Plan d''actions détaillé'!$U$6:$AL$30,,MATCH($K$26,'Plan d''actions détaillé'!$U$5:$AL$5,0))="X"),ROW('Plan d''actions détaillé'!$T$6:$T$30))))))</f>
        <v/>
      </c>
      <c r="N57" s="411" t="str">
        <f>IF($M57&lt;&gt;"",IF(VLOOKUP($M57,'Plan d''actions détaillé'!$D$6:$P$30,8,FALSE)="","",VLOOKUP($M57,'Plan d''actions détaillé'!$D$6:$P$30,8,FALSE)),"")</f>
        <v/>
      </c>
      <c r="O57" s="483" t="str">
        <f>IF($M57&lt;&gt;"",IF(VLOOKUP($M57,'Plan d''actions détaillé'!$D$6:$P$30,6,FALSE)="","",VLOOKUP($M57,'Plan d''actions détaillé'!$D$6:$P$30,6,FALSE)),"")</f>
        <v/>
      </c>
      <c r="P57" s="483"/>
      <c r="Q57" s="483"/>
      <c r="R57" s="483"/>
      <c r="S57" s="483"/>
      <c r="T57" s="483"/>
      <c r="U57" s="483"/>
      <c r="V57" s="412" t="str">
        <f>IF($M57&lt;&gt;"",IF(VLOOKUP($M57,'Plan d''actions détaillé'!$D$6:$P$30,12,FALSE)="","",VLOOKUP($M57,'Plan d''actions détaillé'!$D$6:$P$30,12,FALSE)),"")</f>
        <v/>
      </c>
      <c r="W57" s="377"/>
      <c r="X57" s="369"/>
    </row>
    <row r="58" spans="4:24" ht="6.75" customHeight="1" thickBot="1" x14ac:dyDescent="0.2">
      <c r="D58" s="358"/>
      <c r="G58" s="378"/>
      <c r="H58" s="379"/>
      <c r="I58" s="379"/>
      <c r="J58" s="379"/>
      <c r="K58" s="379"/>
      <c r="L58" s="379"/>
      <c r="M58" s="379"/>
      <c r="N58" s="380"/>
      <c r="O58" s="379"/>
      <c r="P58" s="379"/>
      <c r="Q58" s="379"/>
      <c r="R58" s="379"/>
      <c r="S58" s="379"/>
      <c r="T58" s="379"/>
      <c r="U58" s="379"/>
      <c r="V58" s="379"/>
      <c r="W58" s="381"/>
      <c r="X58" s="369"/>
    </row>
    <row r="59" spans="4:24" x14ac:dyDescent="0.15">
      <c r="D59" s="358"/>
      <c r="G59" s="369"/>
      <c r="H59" s="369"/>
      <c r="I59" s="369"/>
      <c r="J59" s="369"/>
      <c r="K59" s="369"/>
      <c r="L59" s="369"/>
      <c r="M59" s="369"/>
      <c r="N59" s="371"/>
      <c r="O59" s="370"/>
      <c r="P59" s="370"/>
      <c r="Q59" s="370"/>
      <c r="R59" s="370"/>
      <c r="S59" s="370"/>
      <c r="T59" s="370"/>
      <c r="U59" s="370"/>
      <c r="V59" s="370"/>
      <c r="W59" s="369"/>
      <c r="X59" s="369"/>
    </row>
    <row r="60" spans="4:24" ht="13.5" thickBot="1" x14ac:dyDescent="0.25">
      <c r="G60" s="369"/>
      <c r="H60" s="369"/>
      <c r="I60" s="369"/>
      <c r="J60" s="369"/>
      <c r="K60" s="369"/>
      <c r="L60" s="369"/>
      <c r="M60" s="369"/>
      <c r="N60" s="371"/>
      <c r="O60" s="370"/>
      <c r="P60" s="370"/>
      <c r="Q60" s="370"/>
      <c r="R60" s="370"/>
      <c r="S60" s="370"/>
      <c r="T60" s="370"/>
      <c r="U60" s="370"/>
      <c r="V60" s="370"/>
      <c r="W60" s="369"/>
      <c r="X60" s="369"/>
    </row>
    <row r="61" spans="4:24" x14ac:dyDescent="0.2">
      <c r="G61" s="373"/>
      <c r="H61" s="374"/>
      <c r="I61" s="374"/>
      <c r="J61" s="374"/>
      <c r="K61" s="374"/>
      <c r="L61" s="374"/>
      <c r="M61" s="374"/>
      <c r="N61" s="374"/>
      <c r="O61" s="374"/>
      <c r="P61" s="374"/>
      <c r="Q61" s="374"/>
      <c r="R61" s="374"/>
      <c r="S61" s="374"/>
      <c r="T61" s="374"/>
      <c r="U61" s="374"/>
      <c r="V61" s="374"/>
      <c r="W61" s="375"/>
      <c r="X61" s="369"/>
    </row>
    <row r="62" spans="4:24" ht="12.75" customHeight="1" x14ac:dyDescent="0.2">
      <c r="G62" s="494" t="str">
        <f>C5</f>
        <v/>
      </c>
      <c r="H62" s="495"/>
      <c r="I62" s="495"/>
      <c r="J62" s="495"/>
      <c r="K62" s="496" t="str">
        <f>D5</f>
        <v/>
      </c>
      <c r="L62" s="496"/>
      <c r="M62" s="496"/>
      <c r="N62" s="496"/>
      <c r="O62" s="496"/>
      <c r="P62" s="496"/>
      <c r="Q62" s="496"/>
      <c r="R62" s="496"/>
      <c r="S62" s="496"/>
      <c r="T62" s="496"/>
      <c r="U62" s="496"/>
      <c r="V62" s="496"/>
      <c r="W62" s="397"/>
      <c r="X62" s="369"/>
    </row>
    <row r="63" spans="4:24" ht="36" customHeight="1" x14ac:dyDescent="0.2">
      <c r="G63" s="494"/>
      <c r="H63" s="495"/>
      <c r="I63" s="495"/>
      <c r="J63" s="495"/>
      <c r="K63" s="496"/>
      <c r="L63" s="496"/>
      <c r="M63" s="496"/>
      <c r="N63" s="496"/>
      <c r="O63" s="496"/>
      <c r="P63" s="496"/>
      <c r="Q63" s="496"/>
      <c r="R63" s="496"/>
      <c r="S63" s="496"/>
      <c r="T63" s="496"/>
      <c r="U63" s="496"/>
      <c r="V63" s="496"/>
      <c r="W63" s="397"/>
      <c r="X63" s="369"/>
    </row>
    <row r="64" spans="4:24" x14ac:dyDescent="0.2">
      <c r="G64" s="376"/>
      <c r="H64" s="372"/>
      <c r="I64" s="372"/>
      <c r="J64" s="372"/>
      <c r="K64" s="372"/>
      <c r="L64" s="372"/>
      <c r="M64" s="372"/>
      <c r="N64" s="372"/>
      <c r="O64" s="372"/>
      <c r="P64" s="372"/>
      <c r="Q64" s="372"/>
      <c r="R64" s="372"/>
      <c r="S64" s="372"/>
      <c r="T64" s="372"/>
      <c r="U64" s="372"/>
      <c r="V64" s="372"/>
      <c r="W64" s="377"/>
      <c r="X64" s="369"/>
    </row>
    <row r="65" spans="7:24" ht="23.25" customHeight="1" x14ac:dyDescent="0.2">
      <c r="G65" s="497" t="s">
        <v>1</v>
      </c>
      <c r="H65" s="386" t="str">
        <f>IF(AND(O70=5,O71=1),"X","")</f>
        <v/>
      </c>
      <c r="I65" s="387" t="str">
        <f>IF(AND(O70=5,O71=2),"X","")</f>
        <v/>
      </c>
      <c r="J65" s="388" t="str">
        <f>IF(AND(O70=5,O71=3),"X","")</f>
        <v/>
      </c>
      <c r="K65" s="388" t="str">
        <f>IF(AND(O70=5,O71=4),"X","")</f>
        <v/>
      </c>
      <c r="L65" s="388" t="str">
        <f>IF(AND(O70=5,O71=5),"X","")</f>
        <v/>
      </c>
      <c r="N65" s="498" t="str">
        <f>"Processus de rattachement "</f>
        <v xml:space="preserve">Processus de rattachement </v>
      </c>
      <c r="O65" s="499"/>
      <c r="P65" s="499"/>
      <c r="Q65" s="499"/>
      <c r="R65" s="499"/>
      <c r="S65" s="499"/>
      <c r="T65" s="499"/>
      <c r="U65" s="499"/>
      <c r="V65" s="500"/>
      <c r="W65" s="377"/>
      <c r="X65" s="369"/>
    </row>
    <row r="66" spans="7:24" ht="23.25" x14ac:dyDescent="0.2">
      <c r="G66" s="497"/>
      <c r="H66" s="389" t="str">
        <f>IF(AND(O70=4,O71=1),"X","")</f>
        <v/>
      </c>
      <c r="I66" s="390" t="str">
        <f>IF(AND(O70=4,O71=2),"X","")</f>
        <v/>
      </c>
      <c r="J66" s="387" t="str">
        <f>IF(AND(O70=4,O71=3),"X","")</f>
        <v/>
      </c>
      <c r="K66" s="388" t="str">
        <f>IF(AND(O70=4,O71=4),"X","")</f>
        <v/>
      </c>
      <c r="L66" s="388" t="str">
        <f>IF(AND(O70=4,O71=5),"X","")</f>
        <v/>
      </c>
      <c r="N66" s="501" t="str">
        <f>Matrice!$G$1&amp;" - "&amp;Matrice!$J$1</f>
        <v>DI2 - YYY</v>
      </c>
      <c r="O66" s="502"/>
      <c r="P66" s="502"/>
      <c r="Q66" s="502"/>
      <c r="R66" s="502"/>
      <c r="S66" s="502"/>
      <c r="T66" s="502"/>
      <c r="U66" s="502"/>
      <c r="V66" s="503"/>
      <c r="W66" s="377"/>
      <c r="X66" s="369"/>
    </row>
    <row r="67" spans="7:24" ht="23.25" x14ac:dyDescent="0.2">
      <c r="G67" s="497"/>
      <c r="H67" s="389" t="str">
        <f>IF(AND(O70=3,O71=1),"X","")</f>
        <v/>
      </c>
      <c r="I67" s="390" t="str">
        <f>IF(AND(O70=3,O71=2),"X","")</f>
        <v/>
      </c>
      <c r="J67" s="390" t="str">
        <f>IF(AND(O70=3,O71=3),"X","")</f>
        <v/>
      </c>
      <c r="K67" s="387" t="str">
        <f>IF(AND(O70=3,O71=4),"X","")</f>
        <v/>
      </c>
      <c r="L67" s="388" t="str">
        <f>IF(AND(O70=3,O71=5),"X","")</f>
        <v/>
      </c>
      <c r="N67" s="372"/>
      <c r="O67" s="372"/>
      <c r="W67" s="377"/>
      <c r="X67" s="369"/>
    </row>
    <row r="68" spans="7:24" ht="23.25" x14ac:dyDescent="0.2">
      <c r="G68" s="497"/>
      <c r="H68" s="391" t="str">
        <f>IF(AND(O70=2,O71=1),"X","")</f>
        <v/>
      </c>
      <c r="I68" s="392" t="str">
        <f>IF(AND(O70=2,O71=2),"X","")</f>
        <v/>
      </c>
      <c r="J68" s="390" t="str">
        <f>IF(AND(O70=2,O71=3),"X","")</f>
        <v/>
      </c>
      <c r="K68" s="390" t="str">
        <f>IF(AND(O70=2,O71=4),"X","")</f>
        <v/>
      </c>
      <c r="L68" s="387" t="str">
        <f>IF(AND(O70=2,O71=5),"X","")</f>
        <v/>
      </c>
      <c r="M68" s="372"/>
      <c r="N68" s="383" t="s">
        <v>236</v>
      </c>
      <c r="O68" s="382"/>
      <c r="P68" s="382"/>
      <c r="Q68" s="382"/>
      <c r="S68" s="385" t="s">
        <v>250</v>
      </c>
      <c r="T68" s="384"/>
      <c r="U68" s="384"/>
      <c r="V68" s="384"/>
      <c r="W68" s="377"/>
      <c r="X68" s="369"/>
    </row>
    <row r="69" spans="7:24" ht="24" thickBot="1" x14ac:dyDescent="0.25">
      <c r="G69" s="376"/>
      <c r="H69" s="393" t="str">
        <f>IF(AND(O70=1,O71=1),"X","")</f>
        <v/>
      </c>
      <c r="I69" s="394" t="str">
        <f>IF(AND(O70=1,O71=2),"X","")</f>
        <v/>
      </c>
      <c r="J69" s="395" t="str">
        <f>IF(AND(O70=1,O71=3),"X","")</f>
        <v/>
      </c>
      <c r="K69" s="395" t="str">
        <f>IF(AND(O70=1,O71=4),"X","")</f>
        <v/>
      </c>
      <c r="L69" s="396" t="str">
        <f>IF(AND(O70=1,O71=5),"X","")</f>
        <v/>
      </c>
      <c r="M69" s="372"/>
      <c r="N69" s="406"/>
      <c r="O69" s="408" t="s">
        <v>237</v>
      </c>
      <c r="P69" s="408" t="s">
        <v>238</v>
      </c>
      <c r="Q69" s="406"/>
      <c r="R69" s="307"/>
      <c r="S69" s="420"/>
      <c r="T69" s="409" t="s">
        <v>237</v>
      </c>
      <c r="U69" s="409" t="s">
        <v>238</v>
      </c>
      <c r="V69" s="384"/>
      <c r="W69" s="377"/>
      <c r="X69" s="369"/>
    </row>
    <row r="70" spans="7:24" ht="19.5" thickTop="1" thickBot="1" x14ac:dyDescent="0.25">
      <c r="G70" s="376"/>
      <c r="H70" s="484" t="s">
        <v>16</v>
      </c>
      <c r="I70" s="484"/>
      <c r="J70" s="484"/>
      <c r="K70" s="484"/>
      <c r="L70" s="484"/>
      <c r="M70" s="372"/>
      <c r="N70" s="407" t="s">
        <v>248</v>
      </c>
      <c r="O70" s="417" t="str">
        <f>VLOOKUP($K62,Risques!$D$21:$AB$40,17,FALSE)</f>
        <v/>
      </c>
      <c r="P70" s="418" t="str">
        <f>VLOOKUP(K62,Risques!$D$21:$AB$40,23,FALSE)</f>
        <v/>
      </c>
      <c r="Q70" s="382"/>
      <c r="S70" s="410" t="s">
        <v>248</v>
      </c>
      <c r="T70" s="419"/>
      <c r="U70" s="419"/>
      <c r="V70" s="384"/>
      <c r="W70" s="377"/>
      <c r="X70" s="369"/>
    </row>
    <row r="71" spans="7:24" ht="19.5" thickTop="1" thickBot="1" x14ac:dyDescent="0.25">
      <c r="G71" s="376"/>
      <c r="H71" s="372"/>
      <c r="I71" s="372"/>
      <c r="J71" s="372"/>
      <c r="K71" s="372"/>
      <c r="L71" s="372"/>
      <c r="M71" s="372"/>
      <c r="N71" s="407" t="s">
        <v>249</v>
      </c>
      <c r="O71" s="417" t="str">
        <f>VLOOKUP(K62,Risques!$D$21:$AB$40,18,FALSE)</f>
        <v/>
      </c>
      <c r="P71" s="418" t="str">
        <f>VLOOKUP(K62,Risques!$D$21:$AB$40,24,FALSE)</f>
        <v/>
      </c>
      <c r="Q71" s="382"/>
      <c r="S71" s="410" t="s">
        <v>249</v>
      </c>
      <c r="T71" s="419"/>
      <c r="U71" s="419"/>
      <c r="V71" s="384"/>
      <c r="W71" s="377"/>
      <c r="X71" s="369"/>
    </row>
    <row r="72" spans="7:24" ht="19.5" thickTop="1" thickBot="1" x14ac:dyDescent="0.25">
      <c r="G72" s="376"/>
      <c r="H72" s="372"/>
      <c r="I72" s="372"/>
      <c r="J72" s="372"/>
      <c r="K72" s="372"/>
      <c r="L72" s="372"/>
      <c r="M72" s="372"/>
      <c r="N72" s="407" t="s">
        <v>251</v>
      </c>
      <c r="O72" s="417" t="str">
        <f>VLOOKUP(K62,Risques!$D$21:$AB$40,19,FALSE)</f>
        <v/>
      </c>
      <c r="P72" s="418" t="str">
        <f>VLOOKUP(K62,Risques!$D$21:$AB$40,25,FALSE)</f>
        <v/>
      </c>
      <c r="Q72" s="382"/>
      <c r="S72" s="410" t="s">
        <v>251</v>
      </c>
      <c r="T72" s="419"/>
      <c r="U72" s="419"/>
      <c r="V72" s="384"/>
      <c r="W72" s="377"/>
      <c r="X72" s="369"/>
    </row>
    <row r="73" spans="7:24" ht="13.5" thickTop="1" x14ac:dyDescent="0.2">
      <c r="G73" s="376"/>
      <c r="H73" s="372"/>
      <c r="I73" s="372"/>
      <c r="J73" s="372"/>
      <c r="K73" s="372"/>
      <c r="L73" s="372"/>
      <c r="M73" s="372"/>
      <c r="N73" s="382"/>
      <c r="O73" s="382"/>
      <c r="P73" s="382"/>
      <c r="Q73" s="382"/>
      <c r="S73" s="384"/>
      <c r="T73" s="384"/>
      <c r="U73" s="384"/>
      <c r="V73" s="384"/>
      <c r="W73" s="377"/>
      <c r="X73" s="369"/>
    </row>
    <row r="74" spans="7:24" x14ac:dyDescent="0.2">
      <c r="G74" s="376"/>
      <c r="H74" s="372"/>
      <c r="I74" s="372"/>
      <c r="J74" s="372"/>
      <c r="K74" s="372"/>
      <c r="L74" s="372"/>
      <c r="M74" s="372"/>
      <c r="W74" s="377"/>
      <c r="X74" s="369"/>
    </row>
    <row r="75" spans="7:24" ht="18" customHeight="1" x14ac:dyDescent="0.2">
      <c r="G75" s="376"/>
      <c r="H75" s="372"/>
      <c r="I75" s="372"/>
      <c r="J75" s="492" t="s">
        <v>253</v>
      </c>
      <c r="K75" s="492"/>
      <c r="L75" s="493"/>
      <c r="M75" s="485" t="str">
        <f>VLOOKUP($K62,Risques!$D$21:$AB$40,3,FALSE)</f>
        <v/>
      </c>
      <c r="N75" s="486"/>
      <c r="O75" s="486"/>
      <c r="P75" s="486"/>
      <c r="Q75" s="486"/>
      <c r="R75" s="486"/>
      <c r="S75" s="486"/>
      <c r="T75" s="486"/>
      <c r="U75" s="486"/>
      <c r="V75" s="487"/>
      <c r="W75" s="377"/>
      <c r="X75" s="369"/>
    </row>
    <row r="76" spans="7:24" ht="45" customHeight="1" x14ac:dyDescent="0.25">
      <c r="G76" s="399"/>
      <c r="H76" s="400"/>
      <c r="I76" s="400"/>
      <c r="J76" s="492"/>
      <c r="K76" s="492"/>
      <c r="L76" s="493"/>
      <c r="M76" s="488"/>
      <c r="N76" s="489"/>
      <c r="O76" s="489"/>
      <c r="P76" s="489"/>
      <c r="Q76" s="489"/>
      <c r="R76" s="489"/>
      <c r="S76" s="489"/>
      <c r="T76" s="489"/>
      <c r="U76" s="489"/>
      <c r="V76" s="490"/>
      <c r="W76" s="401"/>
      <c r="X76" s="369"/>
    </row>
    <row r="77" spans="7:24" x14ac:dyDescent="0.2">
      <c r="G77" s="376"/>
      <c r="H77" s="372"/>
      <c r="I77" s="372"/>
      <c r="J77" s="372"/>
      <c r="K77" s="372"/>
      <c r="L77" s="372"/>
      <c r="M77" s="372"/>
      <c r="N77" s="403"/>
      <c r="O77" s="403"/>
      <c r="P77" s="403"/>
      <c r="Q77" s="403"/>
      <c r="R77" s="403"/>
      <c r="S77" s="403"/>
      <c r="T77" s="403"/>
      <c r="U77" s="403"/>
      <c r="V77" s="404"/>
      <c r="W77" s="377"/>
      <c r="X77" s="369"/>
    </row>
    <row r="78" spans="7:24" ht="31.5" customHeight="1" x14ac:dyDescent="0.2">
      <c r="G78" s="376"/>
      <c r="H78" s="372"/>
      <c r="I78" s="372"/>
      <c r="J78" s="491" t="s">
        <v>239</v>
      </c>
      <c r="K78" s="491"/>
      <c r="L78" s="491"/>
      <c r="M78" s="416" t="s">
        <v>240</v>
      </c>
      <c r="N78" s="416" t="s">
        <v>241</v>
      </c>
      <c r="O78" s="491" t="s">
        <v>242</v>
      </c>
      <c r="P78" s="491"/>
      <c r="Q78" s="491"/>
      <c r="R78" s="491"/>
      <c r="S78" s="491"/>
      <c r="T78" s="491"/>
      <c r="U78" s="491"/>
      <c r="V78" s="416" t="s">
        <v>243</v>
      </c>
      <c r="W78" s="377"/>
      <c r="X78" s="369"/>
    </row>
    <row r="79" spans="7:24" ht="96.75" customHeight="1" x14ac:dyDescent="0.2">
      <c r="G79" s="376"/>
      <c r="H79" s="372"/>
      <c r="I79" s="372"/>
      <c r="J79" s="414" t="str">
        <f t="array" ref="J79">IF($K$62="","",IF(INDEX('Plan d''actions détaillé'!A:A,MIN(IF((COUNTIF(J$77:J78,'Plan d''actions détaillé'!$A$6:$A$30)=0)*(INDEX('Plan d''actions détaillé'!$U$6:$AL$30,,MATCH($K$62,'Plan d''actions détaillé'!$U$5:$AL$5,0))="X"),ROW('Plan d''actions détaillé'!$T$6:$T$30))))=0,"",INDEX('Plan d''actions détaillé'!A:A,MIN(IF((COUNTIF(J$77:J78,'Plan d''actions détaillé'!$A$6:$A$30)=0)*(INDEX('Plan d''actions détaillé'!$U$6:$AL$30,,MATCH($K$62,'Plan d''actions détaillé'!$U$5:$AL$5,0))="X"),ROW('Plan d''actions détaillé'!$T$6:$T$30))))))</f>
        <v/>
      </c>
      <c r="K79" s="414"/>
      <c r="L79" s="415"/>
      <c r="M79" s="413" t="str">
        <f t="array" ref="M79">IF($K$62="","",IF(INDEX('Plan d''actions détaillé'!D:D,MIN(IF((COUNTIF(M$77:M78,'Plan d''actions détaillé'!$D$6:$D$30)=0)*(INDEX('Plan d''actions détaillé'!$U$6:$AL$30,,MATCH($K$62,'Plan d''actions détaillé'!$U$5:$AL$5,0))="X"),ROW('Plan d''actions détaillé'!$T$6:$T$30))))=0,"",INDEX('Plan d''actions détaillé'!D:D,MIN(IF((COUNTIF(M$77:M78,'Plan d''actions détaillé'!$D$6:$D$30)=0)*(INDEX('Plan d''actions détaillé'!$U$6:$AL$30,,MATCH($K$62,'Plan d''actions détaillé'!$U$5:$AL$5,0))="X"),ROW('Plan d''actions détaillé'!$T$6:$T$30))))))</f>
        <v/>
      </c>
      <c r="N79" s="411" t="str">
        <f>IF($M79&lt;&gt;"",IF(VLOOKUP($M79,'Plan d''actions détaillé'!$D$6:$P$30,8,FALSE)="","",VLOOKUP($M79,'Plan d''actions détaillé'!$D$6:$P$30,8,FALSE)),"")</f>
        <v/>
      </c>
      <c r="O79" s="483" t="str">
        <f>IF($M79&lt;&gt;"",IF(VLOOKUP($M79,'Plan d''actions détaillé'!$D$6:$P$30,6,FALSE)="","",VLOOKUP($M79,'Plan d''actions détaillé'!$D$6:$P$30,6,FALSE)),"")</f>
        <v/>
      </c>
      <c r="P79" s="483"/>
      <c r="Q79" s="483"/>
      <c r="R79" s="483"/>
      <c r="S79" s="483"/>
      <c r="T79" s="483"/>
      <c r="U79" s="483"/>
      <c r="V79" s="412" t="str">
        <f>IF($M79&lt;&gt;"",IF(VLOOKUP($M79,'Plan d''actions détaillé'!$D$6:$P$30,12,FALSE)="","",VLOOKUP($M79,'Plan d''actions détaillé'!$D$6:$P$30,12,FALSE)),"")</f>
        <v/>
      </c>
      <c r="W79" s="377"/>
      <c r="X79" s="369"/>
    </row>
    <row r="80" spans="7:24" ht="69.75" customHeight="1" x14ac:dyDescent="0.2">
      <c r="G80" s="376"/>
      <c r="H80" s="372"/>
      <c r="I80" s="372"/>
      <c r="J80" s="414" t="str">
        <f t="array" ref="J80">IF($K$62="","",IF(INDEX('Plan d''actions détaillé'!A:A,MIN(IF((COUNTIF(J$77:J79,'Plan d''actions détaillé'!$A$6:$A$30)=0)*(INDEX('Plan d''actions détaillé'!$U$6:$AL$30,,MATCH($K$62,'Plan d''actions détaillé'!$U$5:$AL$5,0))="X"),ROW('Plan d''actions détaillé'!$T$6:$T$30))))=0,"",INDEX('Plan d''actions détaillé'!A:A,MIN(IF((COUNTIF(J$77:J79,'Plan d''actions détaillé'!$A$6:$A$30)=0)*(INDEX('Plan d''actions détaillé'!$U$6:$AL$30,,MATCH($K$62,'Plan d''actions détaillé'!$U$5:$AL$5,0))="X"),ROW('Plan d''actions détaillé'!$T$6:$T$30))))))</f>
        <v/>
      </c>
      <c r="K80" s="414"/>
      <c r="L80" s="415"/>
      <c r="M80" s="413" t="str">
        <f t="array" ref="M80">IF($K$62="","",IF(INDEX('Plan d''actions détaillé'!D:D,MIN(IF((COUNTIF(M$77:M79,'Plan d''actions détaillé'!$D$6:$D$30)=0)*(INDEX('Plan d''actions détaillé'!$U$6:$AL$30,,MATCH($K$62,'Plan d''actions détaillé'!$U$5:$AL$5,0))="X"),ROW('Plan d''actions détaillé'!$T$6:$T$30))))=0,"",INDEX('Plan d''actions détaillé'!D:D,MIN(IF((COUNTIF(M$77:M79,'Plan d''actions détaillé'!$D$6:$D$30)=0)*(INDEX('Plan d''actions détaillé'!$U$6:$AL$30,,MATCH($K$62,'Plan d''actions détaillé'!$U$5:$AL$5,0))="X"),ROW('Plan d''actions détaillé'!$T$6:$T$30))))))</f>
        <v/>
      </c>
      <c r="N80" s="411" t="str">
        <f>IF($M80&lt;&gt;"",IF(VLOOKUP($M80,'Plan d''actions détaillé'!$D$6:$P$30,8,FALSE)="","",VLOOKUP($M80,'Plan d''actions détaillé'!$D$6:$P$30,8,FALSE)),"")</f>
        <v/>
      </c>
      <c r="O80" s="483" t="str">
        <f>IF($M80&lt;&gt;"",IF(VLOOKUP($M80,'Plan d''actions détaillé'!$D$6:$P$30,6,FALSE)="","",VLOOKUP($M80,'Plan d''actions détaillé'!$D$6:$P$30,6,FALSE)),"")</f>
        <v/>
      </c>
      <c r="P80" s="483"/>
      <c r="Q80" s="483"/>
      <c r="R80" s="483"/>
      <c r="S80" s="483"/>
      <c r="T80" s="483"/>
      <c r="U80" s="483"/>
      <c r="V80" s="412" t="str">
        <f>IF($M80&lt;&gt;"",IF(VLOOKUP($M80,'Plan d''actions détaillé'!$D$6:$P$30,12,FALSE)="","",VLOOKUP($M80,'Plan d''actions détaillé'!$D$6:$P$30,12,FALSE)),"")</f>
        <v/>
      </c>
      <c r="W80" s="377"/>
      <c r="X80" s="369"/>
    </row>
    <row r="81" spans="7:24" ht="75" customHeight="1" x14ac:dyDescent="0.2">
      <c r="G81" s="376"/>
      <c r="H81" s="372"/>
      <c r="I81" s="372"/>
      <c r="J81" s="414" t="str">
        <f t="array" ref="J81">IF($K$62="","",IF(INDEX('Plan d''actions détaillé'!A:A,MIN(IF((COUNTIF(J$77:J80,'Plan d''actions détaillé'!$A$6:$A$30)=0)*(INDEX('Plan d''actions détaillé'!$U$6:$AL$30,,MATCH($K$62,'Plan d''actions détaillé'!$U$5:$AL$5,0))="X"),ROW('Plan d''actions détaillé'!$T$6:$T$30))))=0,"",INDEX('Plan d''actions détaillé'!A:A,MIN(IF((COUNTIF(J$77:J80,'Plan d''actions détaillé'!$A$6:$A$30)=0)*(INDEX('Plan d''actions détaillé'!$U$6:$AL$30,,MATCH($K$62,'Plan d''actions détaillé'!$U$5:$AL$5,0))="X"),ROW('Plan d''actions détaillé'!$T$6:$T$30))))))</f>
        <v/>
      </c>
      <c r="K81" s="414"/>
      <c r="L81" s="415"/>
      <c r="M81" s="413" t="str">
        <f t="array" ref="M81">IF($K$62="","",IF(INDEX('Plan d''actions détaillé'!D:D,MIN(IF((COUNTIF(M$77:M80,'Plan d''actions détaillé'!$D$6:$D$30)=0)*(INDEX('Plan d''actions détaillé'!$U$6:$AL$30,,MATCH($K$62,'Plan d''actions détaillé'!$U$5:$AL$5,0))="X"),ROW('Plan d''actions détaillé'!$T$6:$T$30))))=0,"",INDEX('Plan d''actions détaillé'!D:D,MIN(IF((COUNTIF(M$77:M80,'Plan d''actions détaillé'!$D$6:$D$30)=0)*(INDEX('Plan d''actions détaillé'!$U$6:$AL$30,,MATCH($K$62,'Plan d''actions détaillé'!$U$5:$AL$5,0))="X"),ROW('Plan d''actions détaillé'!$T$6:$T$30))))))</f>
        <v/>
      </c>
      <c r="N81" s="411" t="str">
        <f>IF($M81&lt;&gt;"",IF(VLOOKUP($M81,'Plan d''actions détaillé'!$D$6:$P$30,8,FALSE)="","",VLOOKUP($M81,'Plan d''actions détaillé'!$D$6:$P$30,8,FALSE)),"")</f>
        <v/>
      </c>
      <c r="O81" s="483" t="str">
        <f>IF($M81&lt;&gt;"",IF(VLOOKUP($M81,'Plan d''actions détaillé'!$D$6:$P$30,6,FALSE)="","",VLOOKUP($M81,'Plan d''actions détaillé'!$D$6:$P$30,6,FALSE)),"")</f>
        <v/>
      </c>
      <c r="P81" s="483"/>
      <c r="Q81" s="483"/>
      <c r="R81" s="483"/>
      <c r="S81" s="483"/>
      <c r="T81" s="483"/>
      <c r="U81" s="483"/>
      <c r="V81" s="412" t="str">
        <f>IF($M81&lt;&gt;"",IF(VLOOKUP($M81,'Plan d''actions détaillé'!$D$6:$P$30,12,FALSE)="","",VLOOKUP($M81,'Plan d''actions détaillé'!$D$6:$P$30,12,FALSE)),"")</f>
        <v/>
      </c>
      <c r="W81" s="377"/>
      <c r="X81" s="369"/>
    </row>
    <row r="82" spans="7:24" ht="5.25" customHeight="1" x14ac:dyDescent="0.2">
      <c r="G82" s="376"/>
      <c r="H82" s="372"/>
      <c r="I82" s="372"/>
      <c r="J82" s="414" t="str">
        <f t="array" ref="J82">IF($K$62="","",IF(INDEX('Plan d''actions détaillé'!A:A,MIN(IF((COUNTIF(J$77:J81,'Plan d''actions détaillé'!$A$6:$A$30)=0)*(INDEX('Plan d''actions détaillé'!$U$6:$AL$30,,MATCH($K$62,'Plan d''actions détaillé'!$U$5:$AL$5,0))="X"),ROW('Plan d''actions détaillé'!$T$6:$T$30))))=0,"",INDEX('Plan d''actions détaillé'!A:A,MIN(IF((COUNTIF(J$77:J81,'Plan d''actions détaillé'!$A$6:$A$30)=0)*(INDEX('Plan d''actions détaillé'!$U$6:$AL$30,,MATCH($K$62,'Plan d''actions détaillé'!$U$5:$AL$5,0))="X"),ROW('Plan d''actions détaillé'!$T$6:$T$30))))))</f>
        <v/>
      </c>
      <c r="K82" s="414"/>
      <c r="L82" s="415"/>
      <c r="M82" s="413" t="str">
        <f t="array" ref="M82">IF($K$62="","",IF(INDEX('Plan d''actions détaillé'!D:D,MIN(IF((COUNTIF(M$77:M81,'Plan d''actions détaillé'!$D$6:$D$30)=0)*(INDEX('Plan d''actions détaillé'!$U$6:$AL$30,,MATCH($K$62,'Plan d''actions détaillé'!$U$5:$AL$5,0))="X"),ROW('Plan d''actions détaillé'!$T$6:$T$30))))=0,"",INDEX('Plan d''actions détaillé'!D:D,MIN(IF((COUNTIF(M$77:M81,'Plan d''actions détaillé'!$D$6:$D$30)=0)*(INDEX('Plan d''actions détaillé'!$U$6:$AL$30,,MATCH($K$62,'Plan d''actions détaillé'!$U$5:$AL$5,0))="X"),ROW('Plan d''actions détaillé'!$T$6:$T$30))))))</f>
        <v/>
      </c>
      <c r="N82" s="411" t="str">
        <f>IF($M82&lt;&gt;"",IF(VLOOKUP($M82,'Plan d''actions détaillé'!$D$6:$P$30,8,FALSE)="","",VLOOKUP($M82,'Plan d''actions détaillé'!$D$6:$P$30,8,FALSE)),"")</f>
        <v/>
      </c>
      <c r="O82" s="483" t="str">
        <f>IF($M82&lt;&gt;"",IF(VLOOKUP($M82,'Plan d''actions détaillé'!$D$6:$P$30,6,FALSE)="","",VLOOKUP($M82,'Plan d''actions détaillé'!$D$6:$P$30,6,FALSE)),"")</f>
        <v/>
      </c>
      <c r="P82" s="483"/>
      <c r="Q82" s="483"/>
      <c r="R82" s="483"/>
      <c r="S82" s="483"/>
      <c r="T82" s="483"/>
      <c r="U82" s="483"/>
      <c r="V82" s="412" t="str">
        <f>IF($M82&lt;&gt;"",IF(VLOOKUP($M82,'Plan d''actions détaillé'!$D$6:$P$30,12,FALSE)="","",VLOOKUP($M82,'Plan d''actions détaillé'!$D$6:$P$30,12,FALSE)),"")</f>
        <v/>
      </c>
      <c r="W82" s="377"/>
      <c r="X82" s="369"/>
    </row>
    <row r="83" spans="7:24" ht="5.25" customHeight="1" x14ac:dyDescent="0.2">
      <c r="G83" s="376"/>
      <c r="H83" s="372"/>
      <c r="I83" s="372"/>
      <c r="J83" s="414" t="str">
        <f t="array" ref="J83">IF($K$62="","",IF(INDEX('Plan d''actions détaillé'!A:A,MIN(IF((COUNTIF(J$77:J82,'Plan d''actions détaillé'!$A$6:$A$30)=0)*(INDEX('Plan d''actions détaillé'!$U$6:$AL$30,,MATCH($K$62,'Plan d''actions détaillé'!$U$5:$AL$5,0))="X"),ROW('Plan d''actions détaillé'!$T$6:$T$30))))=0,"",INDEX('Plan d''actions détaillé'!A:A,MIN(IF((COUNTIF(J$77:J82,'Plan d''actions détaillé'!$A$6:$A$30)=0)*(INDEX('Plan d''actions détaillé'!$U$6:$AL$30,,MATCH($K$62,'Plan d''actions détaillé'!$U$5:$AL$5,0))="X"),ROW('Plan d''actions détaillé'!$T$6:$T$30))))))</f>
        <v/>
      </c>
      <c r="K83" s="414"/>
      <c r="L83" s="415"/>
      <c r="M83" s="413" t="str">
        <f t="array" ref="M83">IF($K$62="","",IF(INDEX('Plan d''actions détaillé'!D:D,MIN(IF((COUNTIF(M$77:M82,'Plan d''actions détaillé'!$D$6:$D$30)=0)*(INDEX('Plan d''actions détaillé'!$U$6:$AL$30,,MATCH($K$62,'Plan d''actions détaillé'!$U$5:$AL$5,0))="X"),ROW('Plan d''actions détaillé'!$T$6:$T$30))))=0,"",INDEX('Plan d''actions détaillé'!D:D,MIN(IF((COUNTIF(M$77:M82,'Plan d''actions détaillé'!$D$6:$D$30)=0)*(INDEX('Plan d''actions détaillé'!$U$6:$AL$30,,MATCH($K$62,'Plan d''actions détaillé'!$U$5:$AL$5,0))="X"),ROW('Plan d''actions détaillé'!$T$6:$T$30))))))</f>
        <v/>
      </c>
      <c r="N83" s="411" t="str">
        <f>IF($M83&lt;&gt;"",IF(VLOOKUP($M83,'Plan d''actions détaillé'!$D$6:$P$30,8,FALSE)="","",VLOOKUP($M83,'Plan d''actions détaillé'!$D$6:$P$30,8,FALSE)),"")</f>
        <v/>
      </c>
      <c r="O83" s="483" t="str">
        <f>IF($M83&lt;&gt;"",IF(VLOOKUP($M83,'Plan d''actions détaillé'!$D$6:$P$30,6,FALSE)="","",VLOOKUP($M83,'Plan d''actions détaillé'!$D$6:$P$30,6,FALSE)),"")</f>
        <v/>
      </c>
      <c r="P83" s="483"/>
      <c r="Q83" s="483"/>
      <c r="R83" s="483"/>
      <c r="S83" s="483"/>
      <c r="T83" s="483"/>
      <c r="U83" s="483"/>
      <c r="V83" s="412" t="str">
        <f>IF($M83&lt;&gt;"",IF(VLOOKUP($M83,'Plan d''actions détaillé'!$D$6:$P$30,12,FALSE)="","",VLOOKUP($M83,'Plan d''actions détaillé'!$D$6:$P$30,12,FALSE)),"")</f>
        <v/>
      </c>
      <c r="W83" s="377"/>
      <c r="X83" s="369"/>
    </row>
    <row r="84" spans="7:24" ht="5.25" customHeight="1" x14ac:dyDescent="0.2">
      <c r="G84" s="376"/>
      <c r="H84" s="372"/>
      <c r="I84" s="372"/>
      <c r="J84" s="414" t="str">
        <f t="array" ref="J84">IF($K$62="","",IF(INDEX('Plan d''actions détaillé'!A:A,MIN(IF((COUNTIF(J$77:J83,'Plan d''actions détaillé'!$A$6:$A$30)=0)*(INDEX('Plan d''actions détaillé'!$U$6:$AL$30,,MATCH($K$62,'Plan d''actions détaillé'!$U$5:$AL$5,0))="X"),ROW('Plan d''actions détaillé'!$T$6:$T$30))))=0,"",INDEX('Plan d''actions détaillé'!A:A,MIN(IF((COUNTIF(J$77:J83,'Plan d''actions détaillé'!$A$6:$A$30)=0)*(INDEX('Plan d''actions détaillé'!$U$6:$AL$30,,MATCH($K$62,'Plan d''actions détaillé'!$U$5:$AL$5,0))="X"),ROW('Plan d''actions détaillé'!$T$6:$T$30))))))</f>
        <v/>
      </c>
      <c r="K84" s="414"/>
      <c r="L84" s="415"/>
      <c r="M84" s="413" t="str">
        <f t="array" ref="M84">IF($K$62="","",IF(INDEX('Plan d''actions détaillé'!D:D,MIN(IF((COUNTIF(M$77:M83,'Plan d''actions détaillé'!$D$6:$D$30)=0)*(INDEX('Plan d''actions détaillé'!$U$6:$AL$30,,MATCH($K$62,'Plan d''actions détaillé'!$U$5:$AL$5,0))="X"),ROW('Plan d''actions détaillé'!$T$6:$T$30))))=0,"",INDEX('Plan d''actions détaillé'!D:D,MIN(IF((COUNTIF(M$77:M83,'Plan d''actions détaillé'!$D$6:$D$30)=0)*(INDEX('Plan d''actions détaillé'!$U$6:$AL$30,,MATCH($K$62,'Plan d''actions détaillé'!$U$5:$AL$5,0))="X"),ROW('Plan d''actions détaillé'!$T$6:$T$30))))))</f>
        <v/>
      </c>
      <c r="N84" s="411" t="str">
        <f>IF($M84&lt;&gt;"",IF(VLOOKUP($M84,'Plan d''actions détaillé'!$D$6:$P$30,8,FALSE)="","",VLOOKUP($M84,'Plan d''actions détaillé'!$D$6:$P$30,8,FALSE)),"")</f>
        <v/>
      </c>
      <c r="O84" s="483" t="str">
        <f>IF($M84&lt;&gt;"",IF(VLOOKUP($M84,'Plan d''actions détaillé'!$D$6:$P$30,6,FALSE)="","",VLOOKUP($M84,'Plan d''actions détaillé'!$D$6:$P$30,6,FALSE)),"")</f>
        <v/>
      </c>
      <c r="P84" s="483"/>
      <c r="Q84" s="483"/>
      <c r="R84" s="483"/>
      <c r="S84" s="483"/>
      <c r="T84" s="483"/>
      <c r="U84" s="483"/>
      <c r="V84" s="412" t="str">
        <f>IF($M84&lt;&gt;"",IF(VLOOKUP($M84,'Plan d''actions détaillé'!$D$6:$P$30,12,FALSE)="","",VLOOKUP($M84,'Plan d''actions détaillé'!$D$6:$P$30,12,FALSE)),"")</f>
        <v/>
      </c>
      <c r="W84" s="377"/>
      <c r="X84" s="369"/>
    </row>
    <row r="85" spans="7:24" ht="5.25" customHeight="1" x14ac:dyDescent="0.2">
      <c r="G85" s="376"/>
      <c r="H85" s="372"/>
      <c r="I85" s="372"/>
      <c r="J85" s="414" t="str">
        <f t="array" ref="J85">IF($K$62="","",IF(INDEX('Plan d''actions détaillé'!A:A,MIN(IF((COUNTIF(J$77:J84,'Plan d''actions détaillé'!$A$6:$A$30)=0)*(INDEX('Plan d''actions détaillé'!$U$6:$AL$30,,MATCH($K$62,'Plan d''actions détaillé'!$U$5:$AL$5,0))="X"),ROW('Plan d''actions détaillé'!$T$6:$T$30))))=0,"",INDEX('Plan d''actions détaillé'!A:A,MIN(IF((COUNTIF(J$77:J84,'Plan d''actions détaillé'!$A$6:$A$30)=0)*(INDEX('Plan d''actions détaillé'!$U$6:$AL$30,,MATCH($K$62,'Plan d''actions détaillé'!$U$5:$AL$5,0))="X"),ROW('Plan d''actions détaillé'!$T$6:$T$30))))))</f>
        <v/>
      </c>
      <c r="K85" s="414"/>
      <c r="L85" s="415"/>
      <c r="M85" s="413" t="str">
        <f t="array" ref="M85">IF($K$62="","",IF(INDEX('Plan d''actions détaillé'!D:D,MIN(IF((COUNTIF(M$77:M84,'Plan d''actions détaillé'!$D$6:$D$30)=0)*(INDEX('Plan d''actions détaillé'!$U$6:$AL$30,,MATCH($K$62,'Plan d''actions détaillé'!$U$5:$AL$5,0))="X"),ROW('Plan d''actions détaillé'!$T$6:$T$30))))=0,"",INDEX('Plan d''actions détaillé'!D:D,MIN(IF((COUNTIF(M$77:M84,'Plan d''actions détaillé'!$D$6:$D$30)=0)*(INDEX('Plan d''actions détaillé'!$U$6:$AL$30,,MATCH($K$62,'Plan d''actions détaillé'!$U$5:$AL$5,0))="X"),ROW('Plan d''actions détaillé'!$T$6:$T$30))))))</f>
        <v/>
      </c>
      <c r="N85" s="411" t="str">
        <f>IF($M85&lt;&gt;"",IF(VLOOKUP($M85,'Plan d''actions détaillé'!$D$6:$P$30,8,FALSE)="","",VLOOKUP($M85,'Plan d''actions détaillé'!$D$6:$P$30,8,FALSE)),"")</f>
        <v/>
      </c>
      <c r="O85" s="483" t="str">
        <f>IF($M85&lt;&gt;"",IF(VLOOKUP($M85,'Plan d''actions détaillé'!$D$6:$P$30,6,FALSE)="","",VLOOKUP($M85,'Plan d''actions détaillé'!$D$6:$P$30,6,FALSE)),"")</f>
        <v/>
      </c>
      <c r="P85" s="483"/>
      <c r="Q85" s="483"/>
      <c r="R85" s="483"/>
      <c r="S85" s="483"/>
      <c r="T85" s="483"/>
      <c r="U85" s="483"/>
      <c r="V85" s="412" t="str">
        <f>IF($M85&lt;&gt;"",IF(VLOOKUP($M85,'Plan d''actions détaillé'!$D$6:$P$30,12,FALSE)="","",VLOOKUP($M85,'Plan d''actions détaillé'!$D$6:$P$30,12,FALSE)),"")</f>
        <v/>
      </c>
      <c r="W85" s="377"/>
      <c r="X85" s="369"/>
    </row>
    <row r="86" spans="7:24" ht="5.25" customHeight="1" x14ac:dyDescent="0.2">
      <c r="G86" s="376"/>
      <c r="H86" s="372"/>
      <c r="I86" s="372"/>
      <c r="J86" s="414" t="str">
        <f t="array" ref="J86">IF($K$62="","",IF(INDEX('Plan d''actions détaillé'!A:A,MIN(IF((COUNTIF(J$77:J85,'Plan d''actions détaillé'!$A$6:$A$30)=0)*(INDEX('Plan d''actions détaillé'!$U$6:$AL$30,,MATCH($K$62,'Plan d''actions détaillé'!$U$5:$AL$5,0))="X"),ROW('Plan d''actions détaillé'!$T$6:$T$30))))=0,"",INDEX('Plan d''actions détaillé'!A:A,MIN(IF((COUNTIF(J$77:J85,'Plan d''actions détaillé'!$A$6:$A$30)=0)*(INDEX('Plan d''actions détaillé'!$U$6:$AL$30,,MATCH($K$62,'Plan d''actions détaillé'!$U$5:$AL$5,0))="X"),ROW('Plan d''actions détaillé'!$T$6:$T$30))))))</f>
        <v/>
      </c>
      <c r="K86" s="414"/>
      <c r="L86" s="415"/>
      <c r="M86" s="413" t="str">
        <f t="array" ref="M86">IF($K$62="","",IF(INDEX('Plan d''actions détaillé'!D:D,MIN(IF((COUNTIF(M$77:M85,'Plan d''actions détaillé'!$D$6:$D$30)=0)*(INDEX('Plan d''actions détaillé'!$U$6:$AL$30,,MATCH($K$62,'Plan d''actions détaillé'!$U$5:$AL$5,0))="X"),ROW('Plan d''actions détaillé'!$T$6:$T$30))))=0,"",INDEX('Plan d''actions détaillé'!D:D,MIN(IF((COUNTIF(M$77:M85,'Plan d''actions détaillé'!$D$6:$D$30)=0)*(INDEX('Plan d''actions détaillé'!$U$6:$AL$30,,MATCH($K$62,'Plan d''actions détaillé'!$U$5:$AL$5,0))="X"),ROW('Plan d''actions détaillé'!$T$6:$T$30))))))</f>
        <v/>
      </c>
      <c r="N86" s="411" t="str">
        <f>IF($M86&lt;&gt;"",IF(VLOOKUP($M86,'Plan d''actions détaillé'!$D$6:$P$30,8,FALSE)="","",VLOOKUP($M86,'Plan d''actions détaillé'!$D$6:$P$30,8,FALSE)),"")</f>
        <v/>
      </c>
      <c r="O86" s="483" t="str">
        <f>IF($M86&lt;&gt;"",IF(VLOOKUP($M86,'Plan d''actions détaillé'!$D$6:$P$30,6,FALSE)="","",VLOOKUP($M86,'Plan d''actions détaillé'!$D$6:$P$30,6,FALSE)),"")</f>
        <v/>
      </c>
      <c r="P86" s="483"/>
      <c r="Q86" s="483"/>
      <c r="R86" s="483"/>
      <c r="S86" s="483"/>
      <c r="T86" s="483"/>
      <c r="U86" s="483"/>
      <c r="V86" s="412" t="str">
        <f>IF($M86&lt;&gt;"",IF(VLOOKUP($M86,'Plan d''actions détaillé'!$D$6:$P$30,12,FALSE)="","",VLOOKUP($M86,'Plan d''actions détaillé'!$D$6:$P$30,12,FALSE)),"")</f>
        <v/>
      </c>
      <c r="W86" s="377"/>
      <c r="X86" s="369"/>
    </row>
    <row r="87" spans="7:24" ht="5.25" customHeight="1" x14ac:dyDescent="0.2">
      <c r="G87" s="376"/>
      <c r="H87" s="372"/>
      <c r="I87" s="372"/>
      <c r="J87" s="414" t="str">
        <f t="array" ref="J87">IF($K$62="","",IF(INDEX('Plan d''actions détaillé'!A:A,MIN(IF((COUNTIF(J$77:J86,'Plan d''actions détaillé'!$A$6:$A$30)=0)*(INDEX('Plan d''actions détaillé'!$U$6:$AL$30,,MATCH($K$62,'Plan d''actions détaillé'!$U$5:$AL$5,0))="X"),ROW('Plan d''actions détaillé'!$T$6:$T$30))))=0,"",INDEX('Plan d''actions détaillé'!A:A,MIN(IF((COUNTIF(J$77:J86,'Plan d''actions détaillé'!$A$6:$A$30)=0)*(INDEX('Plan d''actions détaillé'!$U$6:$AL$30,,MATCH($K$62,'Plan d''actions détaillé'!$U$5:$AL$5,0))="X"),ROW('Plan d''actions détaillé'!$T$6:$T$30))))))</f>
        <v/>
      </c>
      <c r="K87" s="414"/>
      <c r="L87" s="415"/>
      <c r="M87" s="413" t="str">
        <f t="array" ref="M87">IF($K$62="","",IF(INDEX('Plan d''actions détaillé'!D:D,MIN(IF((COUNTIF(M$77:M86,'Plan d''actions détaillé'!$D$6:$D$30)=0)*(INDEX('Plan d''actions détaillé'!$U$6:$AL$30,,MATCH($K$62,'Plan d''actions détaillé'!$U$5:$AL$5,0))="X"),ROW('Plan d''actions détaillé'!$T$6:$T$30))))=0,"",INDEX('Plan d''actions détaillé'!D:D,MIN(IF((COUNTIF(M$77:M86,'Plan d''actions détaillé'!$D$6:$D$30)=0)*(INDEX('Plan d''actions détaillé'!$U$6:$AL$30,,MATCH($K$62,'Plan d''actions détaillé'!$U$5:$AL$5,0))="X"),ROW('Plan d''actions détaillé'!$T$6:$T$30))))))</f>
        <v/>
      </c>
      <c r="N87" s="411" t="str">
        <f>IF($M87&lt;&gt;"",IF(VLOOKUP($M87,'Plan d''actions détaillé'!$D$6:$P$30,8,FALSE)="","",VLOOKUP($M87,'Plan d''actions détaillé'!$D$6:$P$30,8,FALSE)),"")</f>
        <v/>
      </c>
      <c r="O87" s="483" t="str">
        <f>IF($M87&lt;&gt;"",IF(VLOOKUP($M87,'Plan d''actions détaillé'!$D$6:$P$30,6,FALSE)="","",VLOOKUP($M87,'Plan d''actions détaillé'!$D$6:$P$30,6,FALSE)),"")</f>
        <v/>
      </c>
      <c r="P87" s="483"/>
      <c r="Q87" s="483"/>
      <c r="R87" s="483"/>
      <c r="S87" s="483"/>
      <c r="T87" s="483"/>
      <c r="U87" s="483"/>
      <c r="V87" s="412" t="str">
        <f>IF($M87&lt;&gt;"",IF(VLOOKUP($M87,'Plan d''actions détaillé'!$D$6:$P$30,12,FALSE)="","",VLOOKUP($M87,'Plan d''actions détaillé'!$D$6:$P$30,12,FALSE)),"")</f>
        <v/>
      </c>
      <c r="W87" s="377"/>
      <c r="X87" s="369"/>
    </row>
    <row r="88" spans="7:24" ht="5.25" customHeight="1" x14ac:dyDescent="0.2">
      <c r="G88" s="376"/>
      <c r="H88" s="372"/>
      <c r="I88" s="372"/>
      <c r="J88" s="414" t="str">
        <f t="array" ref="J88">IF($K$62="","",IF(INDEX('Plan d''actions détaillé'!A:A,MIN(IF((COUNTIF(J$77:J87,'Plan d''actions détaillé'!$A$6:$A$30)=0)*(INDEX('Plan d''actions détaillé'!$U$6:$AL$30,,MATCH($K$62,'Plan d''actions détaillé'!$U$5:$AL$5,0))="X"),ROW('Plan d''actions détaillé'!$T$6:$T$30))))=0,"",INDEX('Plan d''actions détaillé'!A:A,MIN(IF((COUNTIF(J$77:J87,'Plan d''actions détaillé'!$A$6:$A$30)=0)*(INDEX('Plan d''actions détaillé'!$U$6:$AL$30,,MATCH($K$62,'Plan d''actions détaillé'!$U$5:$AL$5,0))="X"),ROW('Plan d''actions détaillé'!$T$6:$T$30))))))</f>
        <v/>
      </c>
      <c r="K88" s="414"/>
      <c r="L88" s="415"/>
      <c r="M88" s="413" t="str">
        <f t="array" ref="M88">IF($K$62="","",IF(INDEX('Plan d''actions détaillé'!D:D,MIN(IF((COUNTIF(M$77:M87,'Plan d''actions détaillé'!$D$6:$D$30)=0)*(INDEX('Plan d''actions détaillé'!$U$6:$AL$30,,MATCH($K$62,'Plan d''actions détaillé'!$U$5:$AL$5,0))="X"),ROW('Plan d''actions détaillé'!$T$6:$T$30))))=0,"",INDEX('Plan d''actions détaillé'!D:D,MIN(IF((COUNTIF(M$77:M87,'Plan d''actions détaillé'!$D$6:$D$30)=0)*(INDEX('Plan d''actions détaillé'!$U$6:$AL$30,,MATCH($K$62,'Plan d''actions détaillé'!$U$5:$AL$5,0))="X"),ROW('Plan d''actions détaillé'!$T$6:$T$30))))))</f>
        <v/>
      </c>
      <c r="N88" s="411" t="str">
        <f>IF($M88&lt;&gt;"",IF(VLOOKUP($M88,'Plan d''actions détaillé'!$D$6:$P$30,8,FALSE)="","",VLOOKUP($M88,'Plan d''actions détaillé'!$D$6:$P$30,8,FALSE)),"")</f>
        <v/>
      </c>
      <c r="O88" s="483" t="str">
        <f>IF($M88&lt;&gt;"",IF(VLOOKUP($M88,'Plan d''actions détaillé'!$D$6:$P$30,6,FALSE)="","",VLOOKUP($M88,'Plan d''actions détaillé'!$D$6:$P$30,6,FALSE)),"")</f>
        <v/>
      </c>
      <c r="P88" s="483"/>
      <c r="Q88" s="483"/>
      <c r="R88" s="483"/>
      <c r="S88" s="483"/>
      <c r="T88" s="483"/>
      <c r="U88" s="483"/>
      <c r="V88" s="412" t="str">
        <f>IF($M88&lt;&gt;"",IF(VLOOKUP($M88,'Plan d''actions détaillé'!$D$6:$P$30,12,FALSE)="","",VLOOKUP($M88,'Plan d''actions détaillé'!$D$6:$P$30,12,FALSE)),"")</f>
        <v/>
      </c>
      <c r="W88" s="377"/>
      <c r="X88" s="369"/>
    </row>
    <row r="89" spans="7:24" ht="5.25" customHeight="1" x14ac:dyDescent="0.2">
      <c r="G89" s="376"/>
      <c r="H89" s="372"/>
      <c r="I89" s="372"/>
      <c r="J89" s="414" t="str">
        <f t="array" ref="J89">IF($K$62="","",IF(INDEX('Plan d''actions détaillé'!A:A,MIN(IF((COUNTIF(J$77:J88,'Plan d''actions détaillé'!$A$6:$A$30)=0)*(INDEX('Plan d''actions détaillé'!$U$6:$AL$30,,MATCH($K$62,'Plan d''actions détaillé'!$U$5:$AL$5,0))="X"),ROW('Plan d''actions détaillé'!$T$6:$T$30))))=0,"",INDEX('Plan d''actions détaillé'!A:A,MIN(IF((COUNTIF(J$77:J88,'Plan d''actions détaillé'!$A$6:$A$30)=0)*(INDEX('Plan d''actions détaillé'!$U$6:$AL$30,,MATCH($K$62,'Plan d''actions détaillé'!$U$5:$AL$5,0))="X"),ROW('Plan d''actions détaillé'!$T$6:$T$30))))))</f>
        <v/>
      </c>
      <c r="K89" s="414"/>
      <c r="L89" s="415"/>
      <c r="M89" s="413" t="str">
        <f t="array" ref="M89">IF($K$62="","",IF(INDEX('Plan d''actions détaillé'!D:D,MIN(IF((COUNTIF(M$77:M88,'Plan d''actions détaillé'!$D$6:$D$30)=0)*(INDEX('Plan d''actions détaillé'!$U$6:$AL$30,,MATCH($K$62,'Plan d''actions détaillé'!$U$5:$AL$5,0))="X"),ROW('Plan d''actions détaillé'!$T$6:$T$30))))=0,"",INDEX('Plan d''actions détaillé'!D:D,MIN(IF((COUNTIF(M$77:M88,'Plan d''actions détaillé'!$D$6:$D$30)=0)*(INDEX('Plan d''actions détaillé'!$U$6:$AL$30,,MATCH($K$62,'Plan d''actions détaillé'!$U$5:$AL$5,0))="X"),ROW('Plan d''actions détaillé'!$T$6:$T$30))))))</f>
        <v/>
      </c>
      <c r="N89" s="411" t="str">
        <f>IF($M89&lt;&gt;"",IF(VLOOKUP($M89,'Plan d''actions détaillé'!$D$6:$P$30,8,FALSE)="","",VLOOKUP($M89,'Plan d''actions détaillé'!$D$6:$P$30,8,FALSE)),"")</f>
        <v/>
      </c>
      <c r="O89" s="483" t="str">
        <f>IF($M89&lt;&gt;"",IF(VLOOKUP($M89,'Plan d''actions détaillé'!$D$6:$P$30,6,FALSE)="","",VLOOKUP($M89,'Plan d''actions détaillé'!$D$6:$P$30,6,FALSE)),"")</f>
        <v/>
      </c>
      <c r="P89" s="483"/>
      <c r="Q89" s="483"/>
      <c r="R89" s="483"/>
      <c r="S89" s="483"/>
      <c r="T89" s="483"/>
      <c r="U89" s="483"/>
      <c r="V89" s="412" t="str">
        <f>IF($M89&lt;&gt;"",IF(VLOOKUP($M89,'Plan d''actions détaillé'!$D$6:$P$30,12,FALSE)="","",VLOOKUP($M89,'Plan d''actions détaillé'!$D$6:$P$30,12,FALSE)),"")</f>
        <v/>
      </c>
      <c r="W89" s="377"/>
      <c r="X89" s="369"/>
    </row>
    <row r="90" spans="7:24" ht="5.25" customHeight="1" x14ac:dyDescent="0.2">
      <c r="G90" s="376"/>
      <c r="H90" s="372"/>
      <c r="I90" s="372"/>
      <c r="J90" s="414" t="str">
        <f t="array" ref="J90">IF($K$62="","",IF(INDEX('Plan d''actions détaillé'!A:A,MIN(IF((COUNTIF(J$77:J89,'Plan d''actions détaillé'!$A$6:$A$30)=0)*(INDEX('Plan d''actions détaillé'!$U$6:$AL$30,,MATCH($K$62,'Plan d''actions détaillé'!$U$5:$AL$5,0))="X"),ROW('Plan d''actions détaillé'!$T$6:$T$30))))=0,"",INDEX('Plan d''actions détaillé'!A:A,MIN(IF((COUNTIF(J$77:J89,'Plan d''actions détaillé'!$A$6:$A$30)=0)*(INDEX('Plan d''actions détaillé'!$U$6:$AL$30,,MATCH($K$62,'Plan d''actions détaillé'!$U$5:$AL$5,0))="X"),ROW('Plan d''actions détaillé'!$T$6:$T$30))))))</f>
        <v/>
      </c>
      <c r="K90" s="414"/>
      <c r="L90" s="415"/>
      <c r="M90" s="413" t="str">
        <f t="array" ref="M90">IF($K$62="","",IF(INDEX('Plan d''actions détaillé'!D:D,MIN(IF((COUNTIF(M$77:M89,'Plan d''actions détaillé'!$D$6:$D$30)=0)*(INDEX('Plan d''actions détaillé'!$U$6:$AL$30,,MATCH($K$62,'Plan d''actions détaillé'!$U$5:$AL$5,0))="X"),ROW('Plan d''actions détaillé'!$T$6:$T$30))))=0,"",INDEX('Plan d''actions détaillé'!D:D,MIN(IF((COUNTIF(M$77:M89,'Plan d''actions détaillé'!$D$6:$D$30)=0)*(INDEX('Plan d''actions détaillé'!$U$6:$AL$30,,MATCH($K$62,'Plan d''actions détaillé'!$U$5:$AL$5,0))="X"),ROW('Plan d''actions détaillé'!$T$6:$T$30))))))</f>
        <v/>
      </c>
      <c r="N90" s="411" t="str">
        <f>IF($M90&lt;&gt;"",IF(VLOOKUP($M90,'Plan d''actions détaillé'!$D$6:$P$30,8,FALSE)="","",VLOOKUP($M90,'Plan d''actions détaillé'!$D$6:$P$30,8,FALSE)),"")</f>
        <v/>
      </c>
      <c r="O90" s="483" t="str">
        <f>IF($M90&lt;&gt;"",IF(VLOOKUP($M90,'Plan d''actions détaillé'!$D$6:$P$30,6,FALSE)="","",VLOOKUP($M90,'Plan d''actions détaillé'!$D$6:$P$30,6,FALSE)),"")</f>
        <v/>
      </c>
      <c r="P90" s="483"/>
      <c r="Q90" s="483"/>
      <c r="R90" s="483"/>
      <c r="S90" s="483"/>
      <c r="T90" s="483"/>
      <c r="U90" s="483"/>
      <c r="V90" s="412" t="str">
        <f>IF($M90&lt;&gt;"",IF(VLOOKUP($M90,'Plan d''actions détaillé'!$D$6:$P$30,12,FALSE)="","",VLOOKUP($M90,'Plan d''actions détaillé'!$D$6:$P$30,12,FALSE)),"")</f>
        <v/>
      </c>
      <c r="W90" s="377"/>
      <c r="X90" s="369"/>
    </row>
    <row r="91" spans="7:24" ht="5.25" customHeight="1" x14ac:dyDescent="0.2">
      <c r="G91" s="376"/>
      <c r="H91" s="372"/>
      <c r="I91" s="372"/>
      <c r="J91" s="414" t="str">
        <f t="array" ref="J91">IF($K$62="","",IF(INDEX('Plan d''actions détaillé'!A:A,MIN(IF((COUNTIF(J$77:J90,'Plan d''actions détaillé'!$A$6:$A$30)=0)*(INDEX('Plan d''actions détaillé'!$U$6:$AL$30,,MATCH($K$62,'Plan d''actions détaillé'!$U$5:$AL$5,0))="X"),ROW('Plan d''actions détaillé'!$T$6:$T$30))))=0,"",INDEX('Plan d''actions détaillé'!A:A,MIN(IF((COUNTIF(J$77:J90,'Plan d''actions détaillé'!$A$6:$A$30)=0)*(INDEX('Plan d''actions détaillé'!$U$6:$AL$30,,MATCH($K$62,'Plan d''actions détaillé'!$U$5:$AL$5,0))="X"),ROW('Plan d''actions détaillé'!$T$6:$T$30))))))</f>
        <v/>
      </c>
      <c r="K91" s="414"/>
      <c r="L91" s="415"/>
      <c r="M91" s="413" t="str">
        <f t="array" ref="M91">IF($K$62="","",IF(INDEX('Plan d''actions détaillé'!D:D,MIN(IF((COUNTIF(M$77:M90,'Plan d''actions détaillé'!$D$6:$D$30)=0)*(INDEX('Plan d''actions détaillé'!$U$6:$AL$30,,MATCH($K$62,'Plan d''actions détaillé'!$U$5:$AL$5,0))="X"),ROW('Plan d''actions détaillé'!$T$6:$T$30))))=0,"",INDEX('Plan d''actions détaillé'!D:D,MIN(IF((COUNTIF(M$77:M90,'Plan d''actions détaillé'!$D$6:$D$30)=0)*(INDEX('Plan d''actions détaillé'!$U$6:$AL$30,,MATCH($K$62,'Plan d''actions détaillé'!$U$5:$AL$5,0))="X"),ROW('Plan d''actions détaillé'!$T$6:$T$30))))))</f>
        <v/>
      </c>
      <c r="N91" s="411" t="str">
        <f>IF($M91&lt;&gt;"",IF(VLOOKUP($M91,'Plan d''actions détaillé'!$D$6:$P$30,8,FALSE)="","",VLOOKUP($M91,'Plan d''actions détaillé'!$D$6:$P$30,8,FALSE)),"")</f>
        <v/>
      </c>
      <c r="O91" s="483" t="str">
        <f>IF($M91&lt;&gt;"",IF(VLOOKUP($M91,'Plan d''actions détaillé'!$D$6:$P$30,6,FALSE)="","",VLOOKUP($M91,'Plan d''actions détaillé'!$D$6:$P$30,6,FALSE)),"")</f>
        <v/>
      </c>
      <c r="P91" s="483"/>
      <c r="Q91" s="483"/>
      <c r="R91" s="483"/>
      <c r="S91" s="483"/>
      <c r="T91" s="483"/>
      <c r="U91" s="483"/>
      <c r="V91" s="412" t="str">
        <f>IF($M91&lt;&gt;"",IF(VLOOKUP($M91,'Plan d''actions détaillé'!$D$6:$P$30,12,FALSE)="","",VLOOKUP($M91,'Plan d''actions détaillé'!$D$6:$P$30,12,FALSE)),"")</f>
        <v/>
      </c>
      <c r="W91" s="377"/>
      <c r="X91" s="369"/>
    </row>
    <row r="92" spans="7:24" ht="5.25" customHeight="1" x14ac:dyDescent="0.2">
      <c r="G92" s="376"/>
      <c r="H92" s="372"/>
      <c r="I92" s="372"/>
      <c r="J92" s="414" t="str">
        <f t="array" ref="J92">IF($K$62="","",IF(INDEX('Plan d''actions détaillé'!A:A,MIN(IF((COUNTIF(J$77:J91,'Plan d''actions détaillé'!$A$6:$A$30)=0)*(INDEX('Plan d''actions détaillé'!$U$6:$AL$30,,MATCH($K$62,'Plan d''actions détaillé'!$U$5:$AL$5,0))="X"),ROW('Plan d''actions détaillé'!$T$6:$T$30))))=0,"",INDEX('Plan d''actions détaillé'!A:A,MIN(IF((COUNTIF(J$77:J91,'Plan d''actions détaillé'!$A$6:$A$30)=0)*(INDEX('Plan d''actions détaillé'!$U$6:$AL$30,,MATCH($K$62,'Plan d''actions détaillé'!$U$5:$AL$5,0))="X"),ROW('Plan d''actions détaillé'!$T$6:$T$30))))))</f>
        <v/>
      </c>
      <c r="K92" s="414"/>
      <c r="L92" s="415"/>
      <c r="M92" s="413" t="str">
        <f t="array" ref="M92">IF($K$62="","",IF(INDEX('Plan d''actions détaillé'!D:D,MIN(IF((COUNTIF(M$77:M91,'Plan d''actions détaillé'!$D$6:$D$30)=0)*(INDEX('Plan d''actions détaillé'!$U$6:$AL$30,,MATCH($K$62,'Plan d''actions détaillé'!$U$5:$AL$5,0))="X"),ROW('Plan d''actions détaillé'!$T$6:$T$30))))=0,"",INDEX('Plan d''actions détaillé'!D:D,MIN(IF((COUNTIF(M$77:M91,'Plan d''actions détaillé'!$D$6:$D$30)=0)*(INDEX('Plan d''actions détaillé'!$U$6:$AL$30,,MATCH($K$62,'Plan d''actions détaillé'!$U$5:$AL$5,0))="X"),ROW('Plan d''actions détaillé'!$T$6:$T$30))))))</f>
        <v/>
      </c>
      <c r="N92" s="411" t="str">
        <f>IF($M92&lt;&gt;"",IF(VLOOKUP($M92,'Plan d''actions détaillé'!$D$6:$P$30,8,FALSE)="","",VLOOKUP($M92,'Plan d''actions détaillé'!$D$6:$P$30,8,FALSE)),"")</f>
        <v/>
      </c>
      <c r="O92" s="483" t="str">
        <f>IF($M92&lt;&gt;"",IF(VLOOKUP($M92,'Plan d''actions détaillé'!$D$6:$P$30,6,FALSE)="","",VLOOKUP($M92,'Plan d''actions détaillé'!$D$6:$P$30,6,FALSE)),"")</f>
        <v/>
      </c>
      <c r="P92" s="483"/>
      <c r="Q92" s="483"/>
      <c r="R92" s="483"/>
      <c r="S92" s="483"/>
      <c r="T92" s="483"/>
      <c r="U92" s="483"/>
      <c r="V92" s="412" t="str">
        <f>IF($M92&lt;&gt;"",IF(VLOOKUP($M92,'Plan d''actions détaillé'!$D$6:$P$30,12,FALSE)="","",VLOOKUP($M92,'Plan d''actions détaillé'!$D$6:$P$30,12,FALSE)),"")</f>
        <v/>
      </c>
      <c r="W92" s="377"/>
      <c r="X92" s="369"/>
    </row>
    <row r="93" spans="7:24" ht="5.25" customHeight="1" x14ac:dyDescent="0.2">
      <c r="G93" s="376"/>
      <c r="H93" s="372"/>
      <c r="I93" s="372"/>
      <c r="J93" s="414" t="str">
        <f t="array" ref="J93">IF($K$62="","",IF(INDEX('Plan d''actions détaillé'!A:A,MIN(IF((COUNTIF(J$77:J92,'Plan d''actions détaillé'!$A$6:$A$30)=0)*(INDEX('Plan d''actions détaillé'!$U$6:$AL$30,,MATCH($K$62,'Plan d''actions détaillé'!$U$5:$AL$5,0))="X"),ROW('Plan d''actions détaillé'!$T$6:$T$30))))=0,"",INDEX('Plan d''actions détaillé'!A:A,MIN(IF((COUNTIF(J$77:J92,'Plan d''actions détaillé'!$A$6:$A$30)=0)*(INDEX('Plan d''actions détaillé'!$U$6:$AL$30,,MATCH($K$62,'Plan d''actions détaillé'!$U$5:$AL$5,0))="X"),ROW('Plan d''actions détaillé'!$T$6:$T$30))))))</f>
        <v/>
      </c>
      <c r="K93" s="414"/>
      <c r="L93" s="415"/>
      <c r="M93" s="413" t="str">
        <f t="array" ref="M93">IF($K$62="","",IF(INDEX('Plan d''actions détaillé'!D:D,MIN(IF((COUNTIF(M$77:M92,'Plan d''actions détaillé'!$D$6:$D$30)=0)*(INDEX('Plan d''actions détaillé'!$U$6:$AL$30,,MATCH($K$62,'Plan d''actions détaillé'!$U$5:$AL$5,0))="X"),ROW('Plan d''actions détaillé'!$T$6:$T$30))))=0,"",INDEX('Plan d''actions détaillé'!D:D,MIN(IF((COUNTIF(M$77:M92,'Plan d''actions détaillé'!$D$6:$D$30)=0)*(INDEX('Plan d''actions détaillé'!$U$6:$AL$30,,MATCH($K$62,'Plan d''actions détaillé'!$U$5:$AL$5,0))="X"),ROW('Plan d''actions détaillé'!$T$6:$T$30))))))</f>
        <v/>
      </c>
      <c r="N93" s="411" t="str">
        <f>IF($M93&lt;&gt;"",IF(VLOOKUP($M93,'Plan d''actions détaillé'!$D$6:$P$30,8,FALSE)="","",VLOOKUP($M93,'Plan d''actions détaillé'!$D$6:$P$30,8,FALSE)),"")</f>
        <v/>
      </c>
      <c r="O93" s="483" t="str">
        <f>IF($M93&lt;&gt;"",IF(VLOOKUP($M93,'Plan d''actions détaillé'!$D$6:$P$30,6,FALSE)="","",VLOOKUP($M93,'Plan d''actions détaillé'!$D$6:$P$30,6,FALSE)),"")</f>
        <v/>
      </c>
      <c r="P93" s="483"/>
      <c r="Q93" s="483"/>
      <c r="R93" s="483"/>
      <c r="S93" s="483"/>
      <c r="T93" s="483"/>
      <c r="U93" s="483"/>
      <c r="V93" s="412" t="str">
        <f>IF($M93&lt;&gt;"",IF(VLOOKUP($M93,'Plan d''actions détaillé'!$D$6:$P$30,12,FALSE)="","",VLOOKUP($M93,'Plan d''actions détaillé'!$D$6:$P$30,12,FALSE)),"")</f>
        <v/>
      </c>
      <c r="W93" s="377"/>
      <c r="X93" s="369"/>
    </row>
    <row r="94" spans="7:24" ht="13.5" thickBot="1" x14ac:dyDescent="0.25">
      <c r="G94" s="378"/>
      <c r="H94" s="379"/>
      <c r="I94" s="379"/>
      <c r="J94" s="379"/>
      <c r="K94" s="379"/>
      <c r="L94" s="379"/>
      <c r="M94" s="379"/>
      <c r="N94" s="380"/>
      <c r="O94" s="379"/>
      <c r="P94" s="379"/>
      <c r="Q94" s="379"/>
      <c r="R94" s="379"/>
      <c r="S94" s="379"/>
      <c r="T94" s="379"/>
      <c r="U94" s="379"/>
      <c r="V94" s="379"/>
      <c r="W94" s="381"/>
      <c r="X94" s="369"/>
    </row>
    <row r="95" spans="7:24" ht="13.5" thickBot="1" x14ac:dyDescent="0.2">
      <c r="G95" s="369"/>
      <c r="H95" s="369"/>
      <c r="I95" s="369"/>
      <c r="J95" s="369"/>
      <c r="K95" s="369"/>
      <c r="L95" s="369"/>
      <c r="M95" s="369"/>
      <c r="N95" s="368"/>
      <c r="O95" s="370"/>
      <c r="P95" s="370"/>
      <c r="Q95" s="370"/>
      <c r="R95" s="370"/>
      <c r="S95" s="370"/>
      <c r="T95" s="370"/>
      <c r="U95" s="370"/>
      <c r="V95" s="370"/>
      <c r="W95" s="369"/>
      <c r="X95" s="369"/>
    </row>
    <row r="96" spans="7:24" x14ac:dyDescent="0.2">
      <c r="G96" s="373"/>
      <c r="H96" s="374"/>
      <c r="I96" s="374"/>
      <c r="J96" s="374"/>
      <c r="K96" s="374"/>
      <c r="L96" s="374"/>
      <c r="M96" s="374"/>
      <c r="N96" s="374"/>
      <c r="O96" s="374"/>
      <c r="P96" s="374"/>
      <c r="Q96" s="374"/>
      <c r="R96" s="374"/>
      <c r="S96" s="374"/>
      <c r="T96" s="374"/>
      <c r="U96" s="374"/>
      <c r="V96" s="374"/>
      <c r="W96" s="375"/>
      <c r="X96" s="369"/>
    </row>
    <row r="97" spans="7:24" ht="12.75" customHeight="1" x14ac:dyDescent="0.2">
      <c r="G97" s="494" t="str">
        <f>C6</f>
        <v/>
      </c>
      <c r="H97" s="495"/>
      <c r="I97" s="495"/>
      <c r="J97" s="495"/>
      <c r="K97" s="496" t="str">
        <f>D6</f>
        <v/>
      </c>
      <c r="L97" s="496"/>
      <c r="M97" s="496"/>
      <c r="N97" s="496"/>
      <c r="O97" s="496"/>
      <c r="P97" s="496"/>
      <c r="Q97" s="496"/>
      <c r="R97" s="496"/>
      <c r="S97" s="496"/>
      <c r="T97" s="496"/>
      <c r="U97" s="496"/>
      <c r="V97" s="496"/>
      <c r="W97" s="397"/>
      <c r="X97" s="369"/>
    </row>
    <row r="98" spans="7:24" ht="12.75" customHeight="1" x14ac:dyDescent="0.2">
      <c r="G98" s="494"/>
      <c r="H98" s="495"/>
      <c r="I98" s="495"/>
      <c r="J98" s="495"/>
      <c r="K98" s="496"/>
      <c r="L98" s="496"/>
      <c r="M98" s="496"/>
      <c r="N98" s="496"/>
      <c r="O98" s="496"/>
      <c r="P98" s="496"/>
      <c r="Q98" s="496"/>
      <c r="R98" s="496"/>
      <c r="S98" s="496"/>
      <c r="T98" s="496"/>
      <c r="U98" s="496"/>
      <c r="V98" s="496"/>
      <c r="W98" s="397"/>
      <c r="X98" s="369"/>
    </row>
    <row r="99" spans="7:24" x14ac:dyDescent="0.2">
      <c r="G99" s="376"/>
      <c r="H99" s="372"/>
      <c r="I99" s="372"/>
      <c r="J99" s="372"/>
      <c r="K99" s="372"/>
      <c r="L99" s="372"/>
      <c r="M99" s="372"/>
      <c r="N99" s="372"/>
      <c r="O99" s="372"/>
      <c r="P99" s="372"/>
      <c r="Q99" s="372"/>
      <c r="R99" s="372"/>
      <c r="S99" s="372"/>
      <c r="T99" s="372"/>
      <c r="U99" s="372"/>
      <c r="V99" s="372"/>
      <c r="W99" s="377"/>
      <c r="X99" s="369"/>
    </row>
    <row r="100" spans="7:24" ht="23.25" customHeight="1" x14ac:dyDescent="0.2">
      <c r="G100" s="497" t="s">
        <v>1</v>
      </c>
      <c r="H100" s="386" t="str">
        <f>IF(AND(O105=5,O106=1),"X","")</f>
        <v/>
      </c>
      <c r="I100" s="387" t="str">
        <f>IF(AND(O105=5,O106=2),"X","")</f>
        <v/>
      </c>
      <c r="J100" s="388" t="str">
        <f>IF(AND(O105=5,O106=3),"X","")</f>
        <v/>
      </c>
      <c r="K100" s="388" t="str">
        <f>IF(AND(O105=5,O106=4),"X","")</f>
        <v/>
      </c>
      <c r="L100" s="388" t="str">
        <f>IF(AND(O105=5,O106=5),"X","")</f>
        <v/>
      </c>
      <c r="N100" s="498" t="str">
        <f>"Processus de rattachement "</f>
        <v xml:space="preserve">Processus de rattachement </v>
      </c>
      <c r="O100" s="499"/>
      <c r="P100" s="499"/>
      <c r="Q100" s="499"/>
      <c r="R100" s="499"/>
      <c r="S100" s="499"/>
      <c r="T100" s="499"/>
      <c r="U100" s="499"/>
      <c r="V100" s="500"/>
      <c r="W100" s="377"/>
      <c r="X100" s="369"/>
    </row>
    <row r="101" spans="7:24" ht="23.25" x14ac:dyDescent="0.2">
      <c r="G101" s="497"/>
      <c r="H101" s="389" t="str">
        <f>IF(AND(O105=4,O106=1),"X","")</f>
        <v/>
      </c>
      <c r="I101" s="390" t="str">
        <f>IF(AND(O105=4,O106=2),"X","")</f>
        <v/>
      </c>
      <c r="J101" s="387" t="str">
        <f>IF(AND(O105=4,O106=3),"X","")</f>
        <v/>
      </c>
      <c r="K101" s="388" t="str">
        <f>IF(AND(O105=4,O106=4),"X","")</f>
        <v/>
      </c>
      <c r="L101" s="388" t="str">
        <f>IF(AND(O105=4,O106=5),"X","")</f>
        <v/>
      </c>
      <c r="N101" s="501" t="str">
        <f>Matrice!$G$1&amp;" - "&amp;Matrice!$J$1</f>
        <v>DI2 - YYY</v>
      </c>
      <c r="O101" s="502"/>
      <c r="P101" s="502"/>
      <c r="Q101" s="502"/>
      <c r="R101" s="502"/>
      <c r="S101" s="502"/>
      <c r="T101" s="502"/>
      <c r="U101" s="502"/>
      <c r="V101" s="503"/>
      <c r="W101" s="377"/>
      <c r="X101" s="369"/>
    </row>
    <row r="102" spans="7:24" ht="23.25" x14ac:dyDescent="0.2">
      <c r="G102" s="497"/>
      <c r="H102" s="389" t="str">
        <f>IF(AND(O105=3,O106=1),"X","")</f>
        <v/>
      </c>
      <c r="I102" s="390" t="str">
        <f>IF(AND(O105=3,O106=2),"X","")</f>
        <v/>
      </c>
      <c r="J102" s="390" t="str">
        <f>IF(AND(O105=3,O106=3),"X","")</f>
        <v/>
      </c>
      <c r="K102" s="387" t="str">
        <f>IF(AND(O105=3,O106=4),"X","")</f>
        <v/>
      </c>
      <c r="L102" s="388" t="str">
        <f>IF(AND(O105=3,O106=5),"X","")</f>
        <v/>
      </c>
      <c r="N102" s="372"/>
      <c r="O102" s="372"/>
      <c r="W102" s="377"/>
      <c r="X102" s="369"/>
    </row>
    <row r="103" spans="7:24" ht="23.25" x14ac:dyDescent="0.2">
      <c r="G103" s="497"/>
      <c r="H103" s="391" t="str">
        <f>IF(AND(O105=2,O106=1),"X","")</f>
        <v/>
      </c>
      <c r="I103" s="392" t="str">
        <f>IF(AND(O105=2,O106=2),"X","")</f>
        <v/>
      </c>
      <c r="J103" s="390" t="str">
        <f>IF(AND(O105=2,O106=3),"X","")</f>
        <v/>
      </c>
      <c r="K103" s="390" t="str">
        <f>IF(AND(O105=2,O106=4),"X","")</f>
        <v/>
      </c>
      <c r="L103" s="387" t="str">
        <f>IF(AND(O105=2,O106=5),"X","")</f>
        <v/>
      </c>
      <c r="M103" s="372"/>
      <c r="N103" s="383" t="s">
        <v>236</v>
      </c>
      <c r="O103" s="382"/>
      <c r="P103" s="382"/>
      <c r="Q103" s="382"/>
      <c r="S103" s="385" t="s">
        <v>250</v>
      </c>
      <c r="T103" s="384"/>
      <c r="U103" s="384"/>
      <c r="V103" s="384"/>
      <c r="W103" s="377"/>
      <c r="X103" s="369"/>
    </row>
    <row r="104" spans="7:24" ht="24" thickBot="1" x14ac:dyDescent="0.25">
      <c r="G104" s="376"/>
      <c r="H104" s="393" t="str">
        <f>IF(AND(O105=1,O106=1),"X","")</f>
        <v/>
      </c>
      <c r="I104" s="394" t="str">
        <f>IF(AND(O105=1,O106=2),"X","")</f>
        <v/>
      </c>
      <c r="J104" s="395" t="str">
        <f>IF(AND(O105=1,O106=3),"X","")</f>
        <v/>
      </c>
      <c r="K104" s="395" t="str">
        <f>IF(AND(O105=1,O106=4),"X","")</f>
        <v/>
      </c>
      <c r="L104" s="396" t="str">
        <f>IF(AND(O105=1,O106=5),"X","")</f>
        <v/>
      </c>
      <c r="M104" s="372"/>
      <c r="N104" s="406"/>
      <c r="O104" s="408" t="s">
        <v>237</v>
      </c>
      <c r="P104" s="408" t="s">
        <v>238</v>
      </c>
      <c r="Q104" s="406"/>
      <c r="R104" s="307"/>
      <c r="S104" s="420"/>
      <c r="T104" s="409" t="s">
        <v>237</v>
      </c>
      <c r="U104" s="409" t="s">
        <v>238</v>
      </c>
      <c r="V104" s="384"/>
      <c r="W104" s="377"/>
      <c r="X104" s="369"/>
    </row>
    <row r="105" spans="7:24" ht="19.5" thickTop="1" thickBot="1" x14ac:dyDescent="0.25">
      <c r="G105" s="376"/>
      <c r="H105" s="484" t="s">
        <v>16</v>
      </c>
      <c r="I105" s="484"/>
      <c r="J105" s="484"/>
      <c r="K105" s="484"/>
      <c r="L105" s="484"/>
      <c r="M105" s="372"/>
      <c r="N105" s="407" t="s">
        <v>248</v>
      </c>
      <c r="O105" s="417" t="str">
        <f>VLOOKUP($K97,Risques!$D$21:$AB$40,17,FALSE)</f>
        <v/>
      </c>
      <c r="P105" s="418" t="str">
        <f>VLOOKUP(K97,Risques!$D$21:$AB$40,23,FALSE)</f>
        <v/>
      </c>
      <c r="Q105" s="382"/>
      <c r="S105" s="410" t="s">
        <v>248</v>
      </c>
      <c r="T105" s="419"/>
      <c r="U105" s="419"/>
      <c r="V105" s="384"/>
      <c r="W105" s="377"/>
      <c r="X105" s="369"/>
    </row>
    <row r="106" spans="7:24" ht="19.5" thickTop="1" thickBot="1" x14ac:dyDescent="0.25">
      <c r="G106" s="376"/>
      <c r="H106" s="372"/>
      <c r="I106" s="372"/>
      <c r="J106" s="372"/>
      <c r="K106" s="372"/>
      <c r="L106" s="372"/>
      <c r="M106" s="372"/>
      <c r="N106" s="407" t="s">
        <v>249</v>
      </c>
      <c r="O106" s="417" t="str">
        <f>VLOOKUP(K97,Risques!$D$21:$AB$40,18,FALSE)</f>
        <v/>
      </c>
      <c r="P106" s="418" t="str">
        <f>VLOOKUP(K97,Risques!$D$21:$AB$40,24,FALSE)</f>
        <v/>
      </c>
      <c r="Q106" s="382"/>
      <c r="S106" s="410" t="s">
        <v>249</v>
      </c>
      <c r="T106" s="419"/>
      <c r="U106" s="419"/>
      <c r="V106" s="384"/>
      <c r="W106" s="377"/>
      <c r="X106" s="369"/>
    </row>
    <row r="107" spans="7:24" ht="19.5" thickTop="1" thickBot="1" x14ac:dyDescent="0.25">
      <c r="G107" s="376"/>
      <c r="H107" s="372"/>
      <c r="I107" s="372"/>
      <c r="J107" s="372"/>
      <c r="K107" s="372"/>
      <c r="L107" s="372"/>
      <c r="M107" s="372"/>
      <c r="N107" s="407" t="s">
        <v>251</v>
      </c>
      <c r="O107" s="417" t="str">
        <f>VLOOKUP(K97,Risques!$D$21:$AB$40,19,FALSE)</f>
        <v/>
      </c>
      <c r="P107" s="418" t="str">
        <f>VLOOKUP(K97,Risques!$D$21:$AB$40,25,FALSE)</f>
        <v/>
      </c>
      <c r="Q107" s="382"/>
      <c r="S107" s="410" t="s">
        <v>251</v>
      </c>
      <c r="T107" s="419"/>
      <c r="U107" s="419"/>
      <c r="V107" s="384"/>
      <c r="W107" s="377"/>
      <c r="X107" s="369"/>
    </row>
    <row r="108" spans="7:24" ht="13.5" thickTop="1" x14ac:dyDescent="0.2">
      <c r="G108" s="376"/>
      <c r="H108" s="372"/>
      <c r="I108" s="372"/>
      <c r="J108" s="372"/>
      <c r="K108" s="372"/>
      <c r="L108" s="372"/>
      <c r="M108" s="372"/>
      <c r="N108" s="382"/>
      <c r="O108" s="382"/>
      <c r="P108" s="382"/>
      <c r="Q108" s="382"/>
      <c r="S108" s="384"/>
      <c r="T108" s="384"/>
      <c r="U108" s="384"/>
      <c r="V108" s="384"/>
      <c r="W108" s="377"/>
      <c r="X108" s="369"/>
    </row>
    <row r="109" spans="7:24" x14ac:dyDescent="0.2">
      <c r="G109" s="376"/>
      <c r="H109" s="372"/>
      <c r="I109" s="372"/>
      <c r="J109" s="372"/>
      <c r="K109" s="372"/>
      <c r="L109" s="372"/>
      <c r="M109" s="372"/>
      <c r="W109" s="377"/>
      <c r="X109" s="369"/>
    </row>
    <row r="110" spans="7:24" ht="18" customHeight="1" x14ac:dyDescent="0.2">
      <c r="G110" s="376"/>
      <c r="H110" s="372"/>
      <c r="I110" s="372"/>
      <c r="J110" s="492" t="s">
        <v>253</v>
      </c>
      <c r="K110" s="492"/>
      <c r="L110" s="493"/>
      <c r="M110" s="485" t="str">
        <f>VLOOKUP($K97,Risques!$D$21:$AB$40,3,FALSE)</f>
        <v/>
      </c>
      <c r="N110" s="486"/>
      <c r="O110" s="486"/>
      <c r="P110" s="486"/>
      <c r="Q110" s="486"/>
      <c r="R110" s="486"/>
      <c r="S110" s="486"/>
      <c r="T110" s="486"/>
      <c r="U110" s="486"/>
      <c r="V110" s="487"/>
      <c r="W110" s="377"/>
      <c r="X110" s="369"/>
    </row>
    <row r="111" spans="7:24" ht="68.25" customHeight="1" x14ac:dyDescent="0.25">
      <c r="G111" s="399"/>
      <c r="H111" s="400"/>
      <c r="I111" s="400"/>
      <c r="J111" s="492"/>
      <c r="K111" s="492"/>
      <c r="L111" s="493"/>
      <c r="M111" s="488"/>
      <c r="N111" s="489"/>
      <c r="O111" s="489"/>
      <c r="P111" s="489"/>
      <c r="Q111" s="489"/>
      <c r="R111" s="489"/>
      <c r="S111" s="489"/>
      <c r="T111" s="489"/>
      <c r="U111" s="489"/>
      <c r="V111" s="490"/>
      <c r="W111" s="401"/>
      <c r="X111" s="369"/>
    </row>
    <row r="112" spans="7:24" x14ac:dyDescent="0.2">
      <c r="G112" s="376"/>
      <c r="H112" s="372"/>
      <c r="I112" s="372"/>
      <c r="J112" s="372"/>
      <c r="K112" s="372"/>
      <c r="L112" s="372"/>
      <c r="M112" s="372"/>
      <c r="N112" s="403"/>
      <c r="O112" s="403"/>
      <c r="P112" s="403"/>
      <c r="Q112" s="403"/>
      <c r="R112" s="403"/>
      <c r="S112" s="403"/>
      <c r="T112" s="403"/>
      <c r="U112" s="403"/>
      <c r="V112" s="404"/>
      <c r="W112" s="377"/>
      <c r="X112" s="369"/>
    </row>
    <row r="113" spans="7:24" ht="31.5" customHeight="1" x14ac:dyDescent="0.2">
      <c r="G113" s="376"/>
      <c r="H113" s="372"/>
      <c r="I113" s="372"/>
      <c r="J113" s="491" t="s">
        <v>239</v>
      </c>
      <c r="K113" s="491"/>
      <c r="L113" s="491"/>
      <c r="M113" s="416" t="s">
        <v>240</v>
      </c>
      <c r="N113" s="416" t="s">
        <v>241</v>
      </c>
      <c r="O113" s="491" t="s">
        <v>242</v>
      </c>
      <c r="P113" s="491"/>
      <c r="Q113" s="491"/>
      <c r="R113" s="491"/>
      <c r="S113" s="491"/>
      <c r="T113" s="491"/>
      <c r="U113" s="491"/>
      <c r="V113" s="416" t="s">
        <v>243</v>
      </c>
      <c r="W113" s="377"/>
      <c r="X113" s="369"/>
    </row>
    <row r="114" spans="7:24" ht="102.75" customHeight="1" x14ac:dyDescent="0.2">
      <c r="G114" s="376"/>
      <c r="H114" s="372"/>
      <c r="I114" s="372"/>
      <c r="J114" s="414" t="str">
        <f t="array" ref="J114">IF($K$97="","",IF(INDEX('Plan d''actions détaillé'!A:A,MIN(IF((COUNTIF(J$112:J113,'Plan d''actions détaillé'!$A$6:$A$30)=0)*(INDEX('Plan d''actions détaillé'!$U$6:$AL$30,,MATCH($K$97,'Plan d''actions détaillé'!$U$5:$AL$5,0))="X"),ROW('Plan d''actions détaillé'!$T$6:$T$30))))=0,"",INDEX('Plan d''actions détaillé'!A:A,MIN(IF((COUNTIF(J$112:J113,'Plan d''actions détaillé'!$A$6:$A$30)=0)*(INDEX('Plan d''actions détaillé'!$U$6:$AL$30,,MATCH($K$97,'Plan d''actions détaillé'!$U$5:$AL$5,0))="X"),ROW('Plan d''actions détaillé'!$T$6:$T$30))))))</f>
        <v/>
      </c>
      <c r="K114" s="414"/>
      <c r="L114" s="415"/>
      <c r="M114" s="413" t="str">
        <f t="array" ref="M114">IF($K$97="","",IF(INDEX('Plan d''actions détaillé'!D:D,MIN(IF((COUNTIF(M$112:M113,'Plan d''actions détaillé'!$D$6:$D$30)=0)*(INDEX('Plan d''actions détaillé'!$U$6:$AL$30,,MATCH($K$97,'Plan d''actions détaillé'!$U$5:$AL$5,0))="X"),ROW('Plan d''actions détaillé'!$T$6:$T$30))))=0,"",INDEX('Plan d''actions détaillé'!D:D,MIN(IF((COUNTIF(M$112:M113,'Plan d''actions détaillé'!$D$6:$D$30)=0)*(INDEX('Plan d''actions détaillé'!$U$6:$AL$30,,MATCH($K$97,'Plan d''actions détaillé'!$U$5:$AL$5,0))="X"),ROW('Plan d''actions détaillé'!$T$6:$T$30))))))</f>
        <v/>
      </c>
      <c r="N114" s="411" t="str">
        <f>IF($M114&lt;&gt;"",IF(VLOOKUP($M114,'Plan d''actions détaillé'!$D$6:$P$30,8,FALSE)="","",VLOOKUP($M114,'Plan d''actions détaillé'!$D$6:$P$30,8,FALSE)),"")</f>
        <v/>
      </c>
      <c r="O114" s="483" t="str">
        <f>IF($M114&lt;&gt;"",IF(VLOOKUP($M114,'Plan d''actions détaillé'!$D$6:$P$30,6,FALSE)="","",VLOOKUP($M114,'Plan d''actions détaillé'!$D$6:$P$30,6,FALSE)),"")</f>
        <v/>
      </c>
      <c r="P114" s="483"/>
      <c r="Q114" s="483"/>
      <c r="R114" s="483"/>
      <c r="S114" s="483"/>
      <c r="T114" s="483"/>
      <c r="U114" s="483"/>
      <c r="V114" s="412" t="str">
        <f>IF($M114&lt;&gt;"",IF(VLOOKUP($M114,'Plan d''actions détaillé'!$D$6:$P$30,12,FALSE)="","",VLOOKUP($M114,'Plan d''actions détaillé'!$D$6:$P$30,12,FALSE)),"")</f>
        <v/>
      </c>
      <c r="W114" s="377"/>
      <c r="X114" s="369"/>
    </row>
    <row r="115" spans="7:24" ht="68.25" customHeight="1" x14ac:dyDescent="0.2">
      <c r="G115" s="376"/>
      <c r="H115" s="372"/>
      <c r="I115" s="372"/>
      <c r="J115" s="414" t="str">
        <f t="array" ref="J115">IF($K$97="","",IF(INDEX('Plan d''actions détaillé'!A:A,MIN(IF((COUNTIF(J$112:J114,'Plan d''actions détaillé'!$A$6:$A$30)=0)*(INDEX('Plan d''actions détaillé'!$U$6:$AL$30,,MATCH($K$97,'Plan d''actions détaillé'!$U$5:$AL$5,0))="X"),ROW('Plan d''actions détaillé'!$T$6:$T$30))))=0,"",INDEX('Plan d''actions détaillé'!A:A,MIN(IF((COUNTIF(J$112:J114,'Plan d''actions détaillé'!$A$6:$A$30)=0)*(INDEX('Plan d''actions détaillé'!$U$6:$AL$30,,MATCH($K$97,'Plan d''actions détaillé'!$U$5:$AL$5,0))="X"),ROW('Plan d''actions détaillé'!$T$6:$T$30))))))</f>
        <v/>
      </c>
      <c r="K115" s="414"/>
      <c r="L115" s="415"/>
      <c r="M115" s="413" t="str">
        <f t="array" ref="M115">IF($K$97="","",IF(INDEX('Plan d''actions détaillé'!D:D,MIN(IF((COUNTIF(M$112:M114,'Plan d''actions détaillé'!$D$6:$D$30)=0)*(INDEX('Plan d''actions détaillé'!$U$6:$AL$30,,MATCH($K$97,'Plan d''actions détaillé'!$U$5:$AL$5,0))="X"),ROW('Plan d''actions détaillé'!$T$6:$T$30))))=0,"",INDEX('Plan d''actions détaillé'!D:D,MIN(IF((COUNTIF(M$112:M114,'Plan d''actions détaillé'!$D$6:$D$30)=0)*(INDEX('Plan d''actions détaillé'!$U$6:$AL$30,,MATCH($K$97,'Plan d''actions détaillé'!$U$5:$AL$5,0))="X"),ROW('Plan d''actions détaillé'!$T$6:$T$30))))))</f>
        <v/>
      </c>
      <c r="N115" s="411" t="str">
        <f>IF($M115&lt;&gt;"",IF(VLOOKUP($M115,'Plan d''actions détaillé'!$D$6:$P$30,8,FALSE)="","",VLOOKUP($M115,'Plan d''actions détaillé'!$D$6:$P$30,8,FALSE)),"")</f>
        <v/>
      </c>
      <c r="O115" s="483" t="str">
        <f>IF($M115&lt;&gt;"",IF(VLOOKUP($M115,'Plan d''actions détaillé'!$D$6:$P$30,6,FALSE)="","",VLOOKUP($M115,'Plan d''actions détaillé'!$D$6:$P$30,6,FALSE)),"")</f>
        <v/>
      </c>
      <c r="P115" s="483"/>
      <c r="Q115" s="483"/>
      <c r="R115" s="483"/>
      <c r="S115" s="483"/>
      <c r="T115" s="483"/>
      <c r="U115" s="483"/>
      <c r="V115" s="412" t="str">
        <f>IF($M115&lt;&gt;"",IF(VLOOKUP($M115,'Plan d''actions détaillé'!$D$6:$P$30,12,FALSE)="","",VLOOKUP($M115,'Plan d''actions détaillé'!$D$6:$P$30,12,FALSE)),"")</f>
        <v/>
      </c>
      <c r="W115" s="377"/>
      <c r="X115" s="369"/>
    </row>
    <row r="116" spans="7:24" ht="60" customHeight="1" x14ac:dyDescent="0.2">
      <c r="G116" s="376"/>
      <c r="H116" s="372"/>
      <c r="I116" s="372"/>
      <c r="J116" s="414" t="str">
        <f t="array" ref="J116">IF($K$97="","",IF(INDEX('Plan d''actions détaillé'!A:A,MIN(IF((COUNTIF(J$112:J115,'Plan d''actions détaillé'!$A$6:$A$30)=0)*(INDEX('Plan d''actions détaillé'!$U$6:$AL$30,,MATCH($K$97,'Plan d''actions détaillé'!$U$5:$AL$5,0))="X"),ROW('Plan d''actions détaillé'!$T$6:$T$30))))=0,"",INDEX('Plan d''actions détaillé'!A:A,MIN(IF((COUNTIF(J$112:J115,'Plan d''actions détaillé'!$A$6:$A$30)=0)*(INDEX('Plan d''actions détaillé'!$U$6:$AL$30,,MATCH($K$97,'Plan d''actions détaillé'!$U$5:$AL$5,0))="X"),ROW('Plan d''actions détaillé'!$T$6:$T$30))))))</f>
        <v/>
      </c>
      <c r="K116" s="414"/>
      <c r="L116" s="415"/>
      <c r="M116" s="413" t="str">
        <f t="array" ref="M116">IF($K$97="","",IF(INDEX('Plan d''actions détaillé'!D:D,MIN(IF((COUNTIF(M$112:M115,'Plan d''actions détaillé'!$D$6:$D$30)=0)*(INDEX('Plan d''actions détaillé'!$U$6:$AL$30,,MATCH($K$97,'Plan d''actions détaillé'!$U$5:$AL$5,0))="X"),ROW('Plan d''actions détaillé'!$T$6:$T$30))))=0,"",INDEX('Plan d''actions détaillé'!D:D,MIN(IF((COUNTIF(M$112:M115,'Plan d''actions détaillé'!$D$6:$D$30)=0)*(INDEX('Plan d''actions détaillé'!$U$6:$AL$30,,MATCH($K$97,'Plan d''actions détaillé'!$U$5:$AL$5,0))="X"),ROW('Plan d''actions détaillé'!$T$6:$T$30))))))</f>
        <v/>
      </c>
      <c r="N116" s="411" t="str">
        <f>IF($M116&lt;&gt;"",IF(VLOOKUP($M116,'Plan d''actions détaillé'!$D$6:$P$30,8,FALSE)="","",VLOOKUP($M116,'Plan d''actions détaillé'!$D$6:$P$30,8,FALSE)),"")</f>
        <v/>
      </c>
      <c r="O116" s="483" t="str">
        <f>IF($M116&lt;&gt;"",IF(VLOOKUP($M116,'Plan d''actions détaillé'!$D$6:$P$30,6,FALSE)="","",VLOOKUP($M116,'Plan d''actions détaillé'!$D$6:$P$30,6,FALSE)),"")</f>
        <v/>
      </c>
      <c r="P116" s="483"/>
      <c r="Q116" s="483"/>
      <c r="R116" s="483"/>
      <c r="S116" s="483"/>
      <c r="T116" s="483"/>
      <c r="U116" s="483"/>
      <c r="V116" s="412" t="str">
        <f>IF($M116&lt;&gt;"",IF(VLOOKUP($M116,'Plan d''actions détaillé'!$D$6:$P$30,12,FALSE)="","",VLOOKUP($M116,'Plan d''actions détaillé'!$D$6:$P$30,12,FALSE)),"")</f>
        <v/>
      </c>
      <c r="W116" s="377"/>
      <c r="X116" s="369"/>
    </row>
    <row r="117" spans="7:24" ht="93.75" customHeight="1" x14ac:dyDescent="0.2">
      <c r="G117" s="376"/>
      <c r="H117" s="372"/>
      <c r="I117" s="372"/>
      <c r="J117" s="414" t="str">
        <f t="array" ref="J117">IF($K$97="","",IF(INDEX('Plan d''actions détaillé'!A:A,MIN(IF((COUNTIF(J$112:J116,'Plan d''actions détaillé'!$A$6:$A$30)=0)*(INDEX('Plan d''actions détaillé'!$U$6:$AL$30,,MATCH($K$97,'Plan d''actions détaillé'!$U$5:$AL$5,0))="X"),ROW('Plan d''actions détaillé'!$T$6:$T$30))))=0,"",INDEX('Plan d''actions détaillé'!A:A,MIN(IF((COUNTIF(J$112:J116,'Plan d''actions détaillé'!$A$6:$A$30)=0)*(INDEX('Plan d''actions détaillé'!$U$6:$AL$30,,MATCH($K$97,'Plan d''actions détaillé'!$U$5:$AL$5,0))="X"),ROW('Plan d''actions détaillé'!$T$6:$T$30))))))</f>
        <v/>
      </c>
      <c r="K117" s="414"/>
      <c r="L117" s="415"/>
      <c r="M117" s="413" t="str">
        <f t="array" ref="M117">IF($K$97="","",IF(INDEX('Plan d''actions détaillé'!D:D,MIN(IF((COUNTIF(M$112:M116,'Plan d''actions détaillé'!$D$6:$D$30)=0)*(INDEX('Plan d''actions détaillé'!$U$6:$AL$30,,MATCH($K$97,'Plan d''actions détaillé'!$U$5:$AL$5,0))="X"),ROW('Plan d''actions détaillé'!$T$6:$T$30))))=0,"",INDEX('Plan d''actions détaillé'!D:D,MIN(IF((COUNTIF(M$112:M116,'Plan d''actions détaillé'!$D$6:$D$30)=0)*(INDEX('Plan d''actions détaillé'!$U$6:$AL$30,,MATCH($K$97,'Plan d''actions détaillé'!$U$5:$AL$5,0))="X"),ROW('Plan d''actions détaillé'!$T$6:$T$30))))))</f>
        <v/>
      </c>
      <c r="N117" s="411" t="str">
        <f>IF($M117&lt;&gt;"",IF(VLOOKUP($M117,'Plan d''actions détaillé'!$D$6:$P$30,8,FALSE)="","",VLOOKUP($M117,'Plan d''actions détaillé'!$D$6:$P$30,8,FALSE)),"")</f>
        <v/>
      </c>
      <c r="O117" s="483" t="str">
        <f>IF($M117&lt;&gt;"",IF(VLOOKUP($M117,'Plan d''actions détaillé'!$D$6:$P$30,6,FALSE)="","",VLOOKUP($M117,'Plan d''actions détaillé'!$D$6:$P$30,6,FALSE)),"")</f>
        <v/>
      </c>
      <c r="P117" s="483"/>
      <c r="Q117" s="483"/>
      <c r="R117" s="483"/>
      <c r="S117" s="483"/>
      <c r="T117" s="483"/>
      <c r="U117" s="483"/>
      <c r="V117" s="412" t="str">
        <f>IF($M117&lt;&gt;"",IF(VLOOKUP($M117,'Plan d''actions détaillé'!$D$6:$P$30,12,FALSE)="","",VLOOKUP($M117,'Plan d''actions détaillé'!$D$6:$P$30,12,FALSE)),"")</f>
        <v/>
      </c>
      <c r="W117" s="377"/>
      <c r="X117" s="369"/>
    </row>
    <row r="118" spans="7:24" ht="31.5" customHeight="1" x14ac:dyDescent="0.2">
      <c r="G118" s="376"/>
      <c r="H118" s="372"/>
      <c r="I118" s="372"/>
      <c r="J118" s="414" t="str">
        <f t="array" ref="J118">IF($K$97="","",IF(INDEX('Plan d''actions détaillé'!A:A,MIN(IF((COUNTIF(J$112:J117,'Plan d''actions détaillé'!$A$6:$A$30)=0)*(INDEX('Plan d''actions détaillé'!$U$6:$AL$30,,MATCH($K$97,'Plan d''actions détaillé'!$U$5:$AL$5,0))="X"),ROW('Plan d''actions détaillé'!$T$6:$T$30))))=0,"",INDEX('Plan d''actions détaillé'!A:A,MIN(IF((COUNTIF(J$112:J117,'Plan d''actions détaillé'!$A$6:$A$30)=0)*(INDEX('Plan d''actions détaillé'!$U$6:$AL$30,,MATCH($K$97,'Plan d''actions détaillé'!$U$5:$AL$5,0))="X"),ROW('Plan d''actions détaillé'!$T$6:$T$30))))))</f>
        <v/>
      </c>
      <c r="K118" s="414"/>
      <c r="L118" s="415"/>
      <c r="M118" s="413" t="str">
        <f t="array" ref="M118">IF($K$97="","",IF(INDEX('Plan d''actions détaillé'!D:D,MIN(IF((COUNTIF(M$112:M117,'Plan d''actions détaillé'!$D$6:$D$30)=0)*(INDEX('Plan d''actions détaillé'!$U$6:$AL$30,,MATCH($K$97,'Plan d''actions détaillé'!$U$5:$AL$5,0))="X"),ROW('Plan d''actions détaillé'!$T$6:$T$30))))=0,"",INDEX('Plan d''actions détaillé'!D:D,MIN(IF((COUNTIF(M$112:M117,'Plan d''actions détaillé'!$D$6:$D$30)=0)*(INDEX('Plan d''actions détaillé'!$U$6:$AL$30,,MATCH($K$97,'Plan d''actions détaillé'!$U$5:$AL$5,0))="X"),ROW('Plan d''actions détaillé'!$T$6:$T$30))))))</f>
        <v/>
      </c>
      <c r="N118" s="411" t="str">
        <f>IF($M118&lt;&gt;"",IF(VLOOKUP($M118,'Plan d''actions détaillé'!$D$6:$P$30,8,FALSE)="","",VLOOKUP($M118,'Plan d''actions détaillé'!$D$6:$P$30,8,FALSE)),"")</f>
        <v/>
      </c>
      <c r="O118" s="483" t="str">
        <f>IF($M118&lt;&gt;"",IF(VLOOKUP($M118,'Plan d''actions détaillé'!$D$6:$P$30,6,FALSE)="","",VLOOKUP($M118,'Plan d''actions détaillé'!$D$6:$P$30,6,FALSE)),"")</f>
        <v/>
      </c>
      <c r="P118" s="483"/>
      <c r="Q118" s="483"/>
      <c r="R118" s="483"/>
      <c r="S118" s="483"/>
      <c r="T118" s="483"/>
      <c r="U118" s="483"/>
      <c r="V118" s="412" t="str">
        <f>IF($M118&lt;&gt;"",IF(VLOOKUP($M118,'Plan d''actions détaillé'!$D$6:$P$30,12,FALSE)="","",VLOOKUP($M118,'Plan d''actions détaillé'!$D$6:$P$30,12,FALSE)),"")</f>
        <v/>
      </c>
      <c r="W118" s="377"/>
      <c r="X118" s="369"/>
    </row>
    <row r="119" spans="7:24" ht="6.75" customHeight="1" x14ac:dyDescent="0.2">
      <c r="G119" s="376"/>
      <c r="H119" s="372"/>
      <c r="I119" s="372"/>
      <c r="J119" s="414" t="str">
        <f t="array" ref="J119">IF($K$97="","",IF(INDEX('Plan d''actions détaillé'!A:A,MIN(IF((COUNTIF(J$112:J118,'Plan d''actions détaillé'!$A$6:$A$30)=0)*(INDEX('Plan d''actions détaillé'!$U$6:$AL$30,,MATCH($K$97,'Plan d''actions détaillé'!$U$5:$AL$5,0))="X"),ROW('Plan d''actions détaillé'!$T$6:$T$30))))=0,"",INDEX('Plan d''actions détaillé'!A:A,MIN(IF((COUNTIF(J$112:J118,'Plan d''actions détaillé'!$A$6:$A$30)=0)*(INDEX('Plan d''actions détaillé'!$U$6:$AL$30,,MATCH($K$97,'Plan d''actions détaillé'!$U$5:$AL$5,0))="X"),ROW('Plan d''actions détaillé'!$T$6:$T$30))))))</f>
        <v/>
      </c>
      <c r="K119" s="414"/>
      <c r="L119" s="415"/>
      <c r="M119" s="413" t="str">
        <f t="array" ref="M119">IF($K$97="","",IF(INDEX('Plan d''actions détaillé'!D:D,MIN(IF((COUNTIF(M$112:M118,'Plan d''actions détaillé'!$D$6:$D$30)=0)*(INDEX('Plan d''actions détaillé'!$U$6:$AL$30,,MATCH($K$97,'Plan d''actions détaillé'!$U$5:$AL$5,0))="X"),ROW('Plan d''actions détaillé'!$T$6:$T$30))))=0,"",INDEX('Plan d''actions détaillé'!D:D,MIN(IF((COUNTIF(M$112:M118,'Plan d''actions détaillé'!$D$6:$D$30)=0)*(INDEX('Plan d''actions détaillé'!$U$6:$AL$30,,MATCH($K$97,'Plan d''actions détaillé'!$U$5:$AL$5,0))="X"),ROW('Plan d''actions détaillé'!$T$6:$T$30))))))</f>
        <v/>
      </c>
      <c r="N119" s="411" t="str">
        <f>IF($M119&lt;&gt;"",IF(VLOOKUP($M119,'Plan d''actions détaillé'!$D$6:$P$30,8,FALSE)="","",VLOOKUP($M119,'Plan d''actions détaillé'!$D$6:$P$30,8,FALSE)),"")</f>
        <v/>
      </c>
      <c r="O119" s="483" t="str">
        <f>IF($M119&lt;&gt;"",IF(VLOOKUP($M119,'Plan d''actions détaillé'!$D$6:$P$30,6,FALSE)="","",VLOOKUP($M119,'Plan d''actions détaillé'!$D$6:$P$30,6,FALSE)),"")</f>
        <v/>
      </c>
      <c r="P119" s="483"/>
      <c r="Q119" s="483"/>
      <c r="R119" s="483"/>
      <c r="S119" s="483"/>
      <c r="T119" s="483"/>
      <c r="U119" s="483"/>
      <c r="V119" s="412" t="str">
        <f>IF($M119&lt;&gt;"",IF(VLOOKUP($M119,'Plan d''actions détaillé'!$D$6:$P$30,12,FALSE)="","",VLOOKUP($M119,'Plan d''actions détaillé'!$D$6:$P$30,12,FALSE)),"")</f>
        <v/>
      </c>
      <c r="W119" s="377"/>
      <c r="X119" s="369"/>
    </row>
    <row r="120" spans="7:24" ht="6.75" customHeight="1" x14ac:dyDescent="0.2">
      <c r="G120" s="376"/>
      <c r="H120" s="372"/>
      <c r="I120" s="372"/>
      <c r="J120" s="414" t="str">
        <f t="array" ref="J120">IF($K$97="","",IF(INDEX('Plan d''actions détaillé'!A:A,MIN(IF((COUNTIF(J$112:J119,'Plan d''actions détaillé'!$A$6:$A$30)=0)*(INDEX('Plan d''actions détaillé'!$U$6:$AL$30,,MATCH($K$97,'Plan d''actions détaillé'!$U$5:$AL$5,0))="X"),ROW('Plan d''actions détaillé'!$T$6:$T$30))))=0,"",INDEX('Plan d''actions détaillé'!A:A,MIN(IF((COUNTIF(J$112:J119,'Plan d''actions détaillé'!$A$6:$A$30)=0)*(INDEX('Plan d''actions détaillé'!$U$6:$AL$30,,MATCH($K$97,'Plan d''actions détaillé'!$U$5:$AL$5,0))="X"),ROW('Plan d''actions détaillé'!$T$6:$T$30))))))</f>
        <v/>
      </c>
      <c r="K120" s="414"/>
      <c r="L120" s="415"/>
      <c r="M120" s="413" t="str">
        <f t="array" ref="M120">IF($K$97="","",IF(INDEX('Plan d''actions détaillé'!D:D,MIN(IF((COUNTIF(M$112:M119,'Plan d''actions détaillé'!$D$6:$D$30)=0)*(INDEX('Plan d''actions détaillé'!$U$6:$AL$30,,MATCH($K$97,'Plan d''actions détaillé'!$U$5:$AL$5,0))="X"),ROW('Plan d''actions détaillé'!$T$6:$T$30))))=0,"",INDEX('Plan d''actions détaillé'!D:D,MIN(IF((COUNTIF(M$112:M119,'Plan d''actions détaillé'!$D$6:$D$30)=0)*(INDEX('Plan d''actions détaillé'!$U$6:$AL$30,,MATCH($K$97,'Plan d''actions détaillé'!$U$5:$AL$5,0))="X"),ROW('Plan d''actions détaillé'!$T$6:$T$30))))))</f>
        <v/>
      </c>
      <c r="N120" s="411" t="str">
        <f>IF($M120&lt;&gt;"",IF(VLOOKUP($M120,'Plan d''actions détaillé'!$D$6:$P$30,8,FALSE)="","",VLOOKUP($M120,'Plan d''actions détaillé'!$D$6:$P$30,8,FALSE)),"")</f>
        <v/>
      </c>
      <c r="O120" s="483" t="str">
        <f>IF($M120&lt;&gt;"",IF(VLOOKUP($M120,'Plan d''actions détaillé'!$D$6:$P$30,6,FALSE)="","",VLOOKUP($M120,'Plan d''actions détaillé'!$D$6:$P$30,6,FALSE)),"")</f>
        <v/>
      </c>
      <c r="P120" s="483"/>
      <c r="Q120" s="483"/>
      <c r="R120" s="483"/>
      <c r="S120" s="483"/>
      <c r="T120" s="483"/>
      <c r="U120" s="483"/>
      <c r="V120" s="412" t="str">
        <f>IF($M120&lt;&gt;"",IF(VLOOKUP($M120,'Plan d''actions détaillé'!$D$6:$P$30,12,FALSE)="","",VLOOKUP($M120,'Plan d''actions détaillé'!$D$6:$P$30,12,FALSE)),"")</f>
        <v/>
      </c>
      <c r="W120" s="377"/>
      <c r="X120" s="369"/>
    </row>
    <row r="121" spans="7:24" ht="6.75" customHeight="1" x14ac:dyDescent="0.2">
      <c r="G121" s="376"/>
      <c r="H121" s="372"/>
      <c r="I121" s="372"/>
      <c r="J121" s="414" t="str">
        <f t="array" ref="J121">IF($K$97="","",IF(INDEX('Plan d''actions détaillé'!A:A,MIN(IF((COUNTIF(J$112:J120,'Plan d''actions détaillé'!$A$6:$A$30)=0)*(INDEX('Plan d''actions détaillé'!$U$6:$AL$30,,MATCH($K$97,'Plan d''actions détaillé'!$U$5:$AL$5,0))="X"),ROW('Plan d''actions détaillé'!$T$6:$T$30))))=0,"",INDEX('Plan d''actions détaillé'!A:A,MIN(IF((COUNTIF(J$112:J120,'Plan d''actions détaillé'!$A$6:$A$30)=0)*(INDEX('Plan d''actions détaillé'!$U$6:$AL$30,,MATCH($K$97,'Plan d''actions détaillé'!$U$5:$AL$5,0))="X"),ROW('Plan d''actions détaillé'!$T$6:$T$30))))))</f>
        <v/>
      </c>
      <c r="K121" s="414"/>
      <c r="L121" s="415"/>
      <c r="M121" s="413" t="str">
        <f t="array" ref="M121">IF($K$97="","",IF(INDEX('Plan d''actions détaillé'!D:D,MIN(IF((COUNTIF(M$112:M120,'Plan d''actions détaillé'!$D$6:$D$30)=0)*(INDEX('Plan d''actions détaillé'!$U$6:$AL$30,,MATCH($K$97,'Plan d''actions détaillé'!$U$5:$AL$5,0))="X"),ROW('Plan d''actions détaillé'!$T$6:$T$30))))=0,"",INDEX('Plan d''actions détaillé'!D:D,MIN(IF((COUNTIF(M$112:M120,'Plan d''actions détaillé'!$D$6:$D$30)=0)*(INDEX('Plan d''actions détaillé'!$U$6:$AL$30,,MATCH($K$97,'Plan d''actions détaillé'!$U$5:$AL$5,0))="X"),ROW('Plan d''actions détaillé'!$T$6:$T$30))))))</f>
        <v/>
      </c>
      <c r="N121" s="411" t="str">
        <f>IF($M121&lt;&gt;"",IF(VLOOKUP($M121,'Plan d''actions détaillé'!$D$6:$P$30,8,FALSE)="","",VLOOKUP($M121,'Plan d''actions détaillé'!$D$6:$P$30,8,FALSE)),"")</f>
        <v/>
      </c>
      <c r="O121" s="483" t="str">
        <f>IF($M121&lt;&gt;"",IF(VLOOKUP($M121,'Plan d''actions détaillé'!$D$6:$P$30,6,FALSE)="","",VLOOKUP($M121,'Plan d''actions détaillé'!$D$6:$P$30,6,FALSE)),"")</f>
        <v/>
      </c>
      <c r="P121" s="483"/>
      <c r="Q121" s="483"/>
      <c r="R121" s="483"/>
      <c r="S121" s="483"/>
      <c r="T121" s="483"/>
      <c r="U121" s="483"/>
      <c r="V121" s="412" t="str">
        <f>IF($M121&lt;&gt;"",IF(VLOOKUP($M121,'Plan d''actions détaillé'!$D$6:$P$30,12,FALSE)="","",VLOOKUP($M121,'Plan d''actions détaillé'!$D$6:$P$30,12,FALSE)),"")</f>
        <v/>
      </c>
      <c r="W121" s="377"/>
      <c r="X121" s="369"/>
    </row>
    <row r="122" spans="7:24" ht="6.75" customHeight="1" x14ac:dyDescent="0.2">
      <c r="G122" s="376"/>
      <c r="H122" s="372"/>
      <c r="I122" s="372"/>
      <c r="J122" s="414" t="str">
        <f t="array" ref="J122">IF($K$97="","",IF(INDEX('Plan d''actions détaillé'!A:A,MIN(IF((COUNTIF(J$112:J121,'Plan d''actions détaillé'!$A$6:$A$30)=0)*(INDEX('Plan d''actions détaillé'!$U$6:$AL$30,,MATCH($K$97,'Plan d''actions détaillé'!$U$5:$AL$5,0))="X"),ROW('Plan d''actions détaillé'!$T$6:$T$30))))=0,"",INDEX('Plan d''actions détaillé'!A:A,MIN(IF((COUNTIF(J$112:J121,'Plan d''actions détaillé'!$A$6:$A$30)=0)*(INDEX('Plan d''actions détaillé'!$U$6:$AL$30,,MATCH($K$97,'Plan d''actions détaillé'!$U$5:$AL$5,0))="X"),ROW('Plan d''actions détaillé'!$T$6:$T$30))))))</f>
        <v/>
      </c>
      <c r="K122" s="414"/>
      <c r="L122" s="415"/>
      <c r="M122" s="413" t="str">
        <f t="array" ref="M122">IF($K$97="","",IF(INDEX('Plan d''actions détaillé'!D:D,MIN(IF((COUNTIF(M$112:M121,'Plan d''actions détaillé'!$D$6:$D$30)=0)*(INDEX('Plan d''actions détaillé'!$U$6:$AL$30,,MATCH($K$97,'Plan d''actions détaillé'!$U$5:$AL$5,0))="X"),ROW('Plan d''actions détaillé'!$T$6:$T$30))))=0,"",INDEX('Plan d''actions détaillé'!D:D,MIN(IF((COUNTIF(M$112:M121,'Plan d''actions détaillé'!$D$6:$D$30)=0)*(INDEX('Plan d''actions détaillé'!$U$6:$AL$30,,MATCH($K$97,'Plan d''actions détaillé'!$U$5:$AL$5,0))="X"),ROW('Plan d''actions détaillé'!$T$6:$T$30))))))</f>
        <v/>
      </c>
      <c r="N122" s="411" t="str">
        <f>IF($M122&lt;&gt;"",IF(VLOOKUP($M122,'Plan d''actions détaillé'!$D$6:$P$30,8,FALSE)="","",VLOOKUP($M122,'Plan d''actions détaillé'!$D$6:$P$30,8,FALSE)),"")</f>
        <v/>
      </c>
      <c r="O122" s="483" t="str">
        <f>IF($M122&lt;&gt;"",IF(VLOOKUP($M122,'Plan d''actions détaillé'!$D$6:$P$30,6,FALSE)="","",VLOOKUP($M122,'Plan d''actions détaillé'!$D$6:$P$30,6,FALSE)),"")</f>
        <v/>
      </c>
      <c r="P122" s="483"/>
      <c r="Q122" s="483"/>
      <c r="R122" s="483"/>
      <c r="S122" s="483"/>
      <c r="T122" s="483"/>
      <c r="U122" s="483"/>
      <c r="V122" s="412" t="str">
        <f>IF($M122&lt;&gt;"",IF(VLOOKUP($M122,'Plan d''actions détaillé'!$D$6:$P$30,12,FALSE)="","",VLOOKUP($M122,'Plan d''actions détaillé'!$D$6:$P$30,12,FALSE)),"")</f>
        <v/>
      </c>
      <c r="W122" s="377"/>
      <c r="X122" s="369"/>
    </row>
    <row r="123" spans="7:24" ht="6.75" customHeight="1" x14ac:dyDescent="0.2">
      <c r="G123" s="376"/>
      <c r="H123" s="372"/>
      <c r="I123" s="372"/>
      <c r="J123" s="414" t="str">
        <f t="array" ref="J123">IF($K$97="","",IF(INDEX('Plan d''actions détaillé'!A:A,MIN(IF((COUNTIF(J$112:J122,'Plan d''actions détaillé'!$A$6:$A$30)=0)*(INDEX('Plan d''actions détaillé'!$U$6:$AL$30,,MATCH($K$97,'Plan d''actions détaillé'!$U$5:$AL$5,0))="X"),ROW('Plan d''actions détaillé'!$T$6:$T$30))))=0,"",INDEX('Plan d''actions détaillé'!A:A,MIN(IF((COUNTIF(J$112:J122,'Plan d''actions détaillé'!$A$6:$A$30)=0)*(INDEX('Plan d''actions détaillé'!$U$6:$AL$30,,MATCH($K$97,'Plan d''actions détaillé'!$U$5:$AL$5,0))="X"),ROW('Plan d''actions détaillé'!$T$6:$T$30))))))</f>
        <v/>
      </c>
      <c r="K123" s="414"/>
      <c r="L123" s="415"/>
      <c r="M123" s="413" t="str">
        <f t="array" ref="M123">IF($K$97="","",IF(INDEX('Plan d''actions détaillé'!D:D,MIN(IF((COUNTIF(M$112:M122,'Plan d''actions détaillé'!$D$6:$D$30)=0)*(INDEX('Plan d''actions détaillé'!$U$6:$AL$30,,MATCH($K$97,'Plan d''actions détaillé'!$U$5:$AL$5,0))="X"),ROW('Plan d''actions détaillé'!$T$6:$T$30))))=0,"",INDEX('Plan d''actions détaillé'!D:D,MIN(IF((COUNTIF(M$112:M122,'Plan d''actions détaillé'!$D$6:$D$30)=0)*(INDEX('Plan d''actions détaillé'!$U$6:$AL$30,,MATCH($K$97,'Plan d''actions détaillé'!$U$5:$AL$5,0))="X"),ROW('Plan d''actions détaillé'!$T$6:$T$30))))))</f>
        <v/>
      </c>
      <c r="N123" s="411" t="str">
        <f>IF($M123&lt;&gt;"",IF(VLOOKUP($M123,'Plan d''actions détaillé'!$D$6:$P$30,8,FALSE)="","",VLOOKUP($M123,'Plan d''actions détaillé'!$D$6:$P$30,8,FALSE)),"")</f>
        <v/>
      </c>
      <c r="O123" s="483" t="str">
        <f>IF($M123&lt;&gt;"",IF(VLOOKUP($M123,'Plan d''actions détaillé'!$D$6:$P$30,6,FALSE)="","",VLOOKUP($M123,'Plan d''actions détaillé'!$D$6:$P$30,6,FALSE)),"")</f>
        <v/>
      </c>
      <c r="P123" s="483"/>
      <c r="Q123" s="483"/>
      <c r="R123" s="483"/>
      <c r="S123" s="483"/>
      <c r="T123" s="483"/>
      <c r="U123" s="483"/>
      <c r="V123" s="412" t="str">
        <f>IF($M123&lt;&gt;"",IF(VLOOKUP($M123,'Plan d''actions détaillé'!$D$6:$P$30,12,FALSE)="","",VLOOKUP($M123,'Plan d''actions détaillé'!$D$6:$P$30,12,FALSE)),"")</f>
        <v/>
      </c>
      <c r="W123" s="377"/>
      <c r="X123" s="369"/>
    </row>
    <row r="124" spans="7:24" ht="6.75" customHeight="1" x14ac:dyDescent="0.2">
      <c r="G124" s="376"/>
      <c r="H124" s="372"/>
      <c r="I124" s="372"/>
      <c r="J124" s="414" t="str">
        <f t="array" ref="J124">IF($K$97="","",IF(INDEX('Plan d''actions détaillé'!A:A,MIN(IF((COUNTIF(J$112:J123,'Plan d''actions détaillé'!$A$6:$A$30)=0)*(INDEX('Plan d''actions détaillé'!$U$6:$AL$30,,MATCH($K$97,'Plan d''actions détaillé'!$U$5:$AL$5,0))="X"),ROW('Plan d''actions détaillé'!$T$6:$T$30))))=0,"",INDEX('Plan d''actions détaillé'!A:A,MIN(IF((COUNTIF(J$112:J123,'Plan d''actions détaillé'!$A$6:$A$30)=0)*(INDEX('Plan d''actions détaillé'!$U$6:$AL$30,,MATCH($K$97,'Plan d''actions détaillé'!$U$5:$AL$5,0))="X"),ROW('Plan d''actions détaillé'!$T$6:$T$30))))))</f>
        <v/>
      </c>
      <c r="K124" s="414"/>
      <c r="L124" s="415"/>
      <c r="M124" s="413" t="str">
        <f t="array" ref="M124">IF($K$97="","",IF(INDEX('Plan d''actions détaillé'!D:D,MIN(IF((COUNTIF(M$112:M123,'Plan d''actions détaillé'!$D$6:$D$30)=0)*(INDEX('Plan d''actions détaillé'!$U$6:$AL$30,,MATCH($K$97,'Plan d''actions détaillé'!$U$5:$AL$5,0))="X"),ROW('Plan d''actions détaillé'!$T$6:$T$30))))=0,"",INDEX('Plan d''actions détaillé'!D:D,MIN(IF((COUNTIF(M$112:M123,'Plan d''actions détaillé'!$D$6:$D$30)=0)*(INDEX('Plan d''actions détaillé'!$U$6:$AL$30,,MATCH($K$97,'Plan d''actions détaillé'!$U$5:$AL$5,0))="X"),ROW('Plan d''actions détaillé'!$T$6:$T$30))))))</f>
        <v/>
      </c>
      <c r="N124" s="411" t="str">
        <f>IF($M124&lt;&gt;"",IF(VLOOKUP($M124,'Plan d''actions détaillé'!$D$6:$P$30,8,FALSE)="","",VLOOKUP($M124,'Plan d''actions détaillé'!$D$6:$P$30,8,FALSE)),"")</f>
        <v/>
      </c>
      <c r="O124" s="483" t="str">
        <f>IF($M124&lt;&gt;"",IF(VLOOKUP($M124,'Plan d''actions détaillé'!$D$6:$P$30,6,FALSE)="","",VLOOKUP($M124,'Plan d''actions détaillé'!$D$6:$P$30,6,FALSE)),"")</f>
        <v/>
      </c>
      <c r="P124" s="483"/>
      <c r="Q124" s="483"/>
      <c r="R124" s="483"/>
      <c r="S124" s="483"/>
      <c r="T124" s="483"/>
      <c r="U124" s="483"/>
      <c r="V124" s="412" t="str">
        <f>IF($M124&lt;&gt;"",IF(VLOOKUP($M124,'Plan d''actions détaillé'!$D$6:$P$30,12,FALSE)="","",VLOOKUP($M124,'Plan d''actions détaillé'!$D$6:$P$30,12,FALSE)),"")</f>
        <v/>
      </c>
      <c r="W124" s="377"/>
      <c r="X124" s="369"/>
    </row>
    <row r="125" spans="7:24" ht="6.75" customHeight="1" x14ac:dyDescent="0.2">
      <c r="G125" s="376"/>
      <c r="H125" s="372"/>
      <c r="I125" s="372"/>
      <c r="J125" s="414" t="str">
        <f t="array" ref="J125">IF($K$97="","",IF(INDEX('Plan d''actions détaillé'!A:A,MIN(IF((COUNTIF(J$112:J124,'Plan d''actions détaillé'!$A$6:$A$30)=0)*(INDEX('Plan d''actions détaillé'!$U$6:$AL$30,,MATCH($K$97,'Plan d''actions détaillé'!$U$5:$AL$5,0))="X"),ROW('Plan d''actions détaillé'!$T$6:$T$30))))=0,"",INDEX('Plan d''actions détaillé'!A:A,MIN(IF((COUNTIF(J$112:J124,'Plan d''actions détaillé'!$A$6:$A$30)=0)*(INDEX('Plan d''actions détaillé'!$U$6:$AL$30,,MATCH($K$97,'Plan d''actions détaillé'!$U$5:$AL$5,0))="X"),ROW('Plan d''actions détaillé'!$T$6:$T$30))))))</f>
        <v/>
      </c>
      <c r="K125" s="414"/>
      <c r="L125" s="415"/>
      <c r="M125" s="413" t="str">
        <f t="array" ref="M125">IF($K$97="","",IF(INDEX('Plan d''actions détaillé'!D:D,MIN(IF((COUNTIF(M$112:M124,'Plan d''actions détaillé'!$D$6:$D$30)=0)*(INDEX('Plan d''actions détaillé'!$U$6:$AL$30,,MATCH($K$97,'Plan d''actions détaillé'!$U$5:$AL$5,0))="X"),ROW('Plan d''actions détaillé'!$T$6:$T$30))))=0,"",INDEX('Plan d''actions détaillé'!D:D,MIN(IF((COUNTIF(M$112:M124,'Plan d''actions détaillé'!$D$6:$D$30)=0)*(INDEX('Plan d''actions détaillé'!$U$6:$AL$30,,MATCH($K$97,'Plan d''actions détaillé'!$U$5:$AL$5,0))="X"),ROW('Plan d''actions détaillé'!$T$6:$T$30))))))</f>
        <v/>
      </c>
      <c r="N125" s="411" t="str">
        <f>IF($M125&lt;&gt;"",IF(VLOOKUP($M125,'Plan d''actions détaillé'!$D$6:$P$30,8,FALSE)="","",VLOOKUP($M125,'Plan d''actions détaillé'!$D$6:$P$30,8,FALSE)),"")</f>
        <v/>
      </c>
      <c r="O125" s="483" t="str">
        <f>IF($M125&lt;&gt;"",IF(VLOOKUP($M125,'Plan d''actions détaillé'!$D$6:$P$30,6,FALSE)="","",VLOOKUP($M125,'Plan d''actions détaillé'!$D$6:$P$30,6,FALSE)),"")</f>
        <v/>
      </c>
      <c r="P125" s="483"/>
      <c r="Q125" s="483"/>
      <c r="R125" s="483"/>
      <c r="S125" s="483"/>
      <c r="T125" s="483"/>
      <c r="U125" s="483"/>
      <c r="V125" s="412" t="str">
        <f>IF($M125&lt;&gt;"",IF(VLOOKUP($M125,'Plan d''actions détaillé'!$D$6:$P$30,12,FALSE)="","",VLOOKUP($M125,'Plan d''actions détaillé'!$D$6:$P$30,12,FALSE)),"")</f>
        <v/>
      </c>
      <c r="W125" s="377"/>
      <c r="X125" s="369"/>
    </row>
    <row r="126" spans="7:24" ht="6.75" customHeight="1" x14ac:dyDescent="0.2">
      <c r="G126" s="376"/>
      <c r="H126" s="372"/>
      <c r="I126" s="372"/>
      <c r="J126" s="414" t="str">
        <f t="array" ref="J126">IF($K$97="","",IF(INDEX('Plan d''actions détaillé'!A:A,MIN(IF((COUNTIF(J$112:J125,'Plan d''actions détaillé'!$A$6:$A$30)=0)*(INDEX('Plan d''actions détaillé'!$U$6:$AL$30,,MATCH($K$97,'Plan d''actions détaillé'!$U$5:$AL$5,0))="X"),ROW('Plan d''actions détaillé'!$T$6:$T$30))))=0,"",INDEX('Plan d''actions détaillé'!A:A,MIN(IF((COUNTIF(J$112:J125,'Plan d''actions détaillé'!$A$6:$A$30)=0)*(INDEX('Plan d''actions détaillé'!$U$6:$AL$30,,MATCH($K$97,'Plan d''actions détaillé'!$U$5:$AL$5,0))="X"),ROW('Plan d''actions détaillé'!$T$6:$T$30))))))</f>
        <v/>
      </c>
      <c r="K126" s="414"/>
      <c r="L126" s="415"/>
      <c r="M126" s="413" t="str">
        <f t="array" ref="M126">IF($K$97="","",IF(INDEX('Plan d''actions détaillé'!D:D,MIN(IF((COUNTIF(M$112:M125,'Plan d''actions détaillé'!$D$6:$D$30)=0)*(INDEX('Plan d''actions détaillé'!$U$6:$AL$30,,MATCH($K$97,'Plan d''actions détaillé'!$U$5:$AL$5,0))="X"),ROW('Plan d''actions détaillé'!$T$6:$T$30))))=0,"",INDEX('Plan d''actions détaillé'!D:D,MIN(IF((COUNTIF(M$112:M125,'Plan d''actions détaillé'!$D$6:$D$30)=0)*(INDEX('Plan d''actions détaillé'!$U$6:$AL$30,,MATCH($K$97,'Plan d''actions détaillé'!$U$5:$AL$5,0))="X"),ROW('Plan d''actions détaillé'!$T$6:$T$30))))))</f>
        <v/>
      </c>
      <c r="N126" s="411" t="str">
        <f>IF($M126&lt;&gt;"",IF(VLOOKUP($M126,'Plan d''actions détaillé'!$D$6:$P$30,8,FALSE)="","",VLOOKUP($M126,'Plan d''actions détaillé'!$D$6:$P$30,8,FALSE)),"")</f>
        <v/>
      </c>
      <c r="O126" s="483" t="str">
        <f>IF($M126&lt;&gt;"",IF(VLOOKUP($M126,'Plan d''actions détaillé'!$D$6:$P$30,6,FALSE)="","",VLOOKUP($M126,'Plan d''actions détaillé'!$D$6:$P$30,6,FALSE)),"")</f>
        <v/>
      </c>
      <c r="P126" s="483"/>
      <c r="Q126" s="483"/>
      <c r="R126" s="483"/>
      <c r="S126" s="483"/>
      <c r="T126" s="483"/>
      <c r="U126" s="483"/>
      <c r="V126" s="412" t="str">
        <f>IF($M126&lt;&gt;"",IF(VLOOKUP($M126,'Plan d''actions détaillé'!$D$6:$P$30,12,FALSE)="","",VLOOKUP($M126,'Plan d''actions détaillé'!$D$6:$P$30,12,FALSE)),"")</f>
        <v/>
      </c>
      <c r="W126" s="377"/>
      <c r="X126" s="369"/>
    </row>
    <row r="127" spans="7:24" ht="6.75" customHeight="1" x14ac:dyDescent="0.2">
      <c r="G127" s="376"/>
      <c r="H127" s="372"/>
      <c r="I127" s="372"/>
      <c r="J127" s="414" t="str">
        <f t="array" ref="J127">IF($K$97="","",IF(INDEX('Plan d''actions détaillé'!A:A,MIN(IF((COUNTIF(J$112:J126,'Plan d''actions détaillé'!$A$6:$A$30)=0)*(INDEX('Plan d''actions détaillé'!$U$6:$AL$30,,MATCH($K$97,'Plan d''actions détaillé'!$U$5:$AL$5,0))="X"),ROW('Plan d''actions détaillé'!$T$6:$T$30))))=0,"",INDEX('Plan d''actions détaillé'!A:A,MIN(IF((COUNTIF(J$112:J126,'Plan d''actions détaillé'!$A$6:$A$30)=0)*(INDEX('Plan d''actions détaillé'!$U$6:$AL$30,,MATCH($K$97,'Plan d''actions détaillé'!$U$5:$AL$5,0))="X"),ROW('Plan d''actions détaillé'!$T$6:$T$30))))))</f>
        <v/>
      </c>
      <c r="K127" s="414"/>
      <c r="L127" s="415"/>
      <c r="M127" s="413" t="str">
        <f t="array" ref="M127">IF($K$97="","",IF(INDEX('Plan d''actions détaillé'!D:D,MIN(IF((COUNTIF(M$112:M126,'Plan d''actions détaillé'!$D$6:$D$30)=0)*(INDEX('Plan d''actions détaillé'!$U$6:$AL$30,,MATCH($K$97,'Plan d''actions détaillé'!$U$5:$AL$5,0))="X"),ROW('Plan d''actions détaillé'!$T$6:$T$30))))=0,"",INDEX('Plan d''actions détaillé'!D:D,MIN(IF((COUNTIF(M$112:M126,'Plan d''actions détaillé'!$D$6:$D$30)=0)*(INDEX('Plan d''actions détaillé'!$U$6:$AL$30,,MATCH($K$97,'Plan d''actions détaillé'!$U$5:$AL$5,0))="X"),ROW('Plan d''actions détaillé'!$T$6:$T$30))))))</f>
        <v/>
      </c>
      <c r="N127" s="411" t="str">
        <f>IF($M127&lt;&gt;"",IF(VLOOKUP($M127,'Plan d''actions détaillé'!$D$6:$P$30,8,FALSE)="","",VLOOKUP($M127,'Plan d''actions détaillé'!$D$6:$P$30,8,FALSE)),"")</f>
        <v/>
      </c>
      <c r="O127" s="483" t="str">
        <f>IF($M127&lt;&gt;"",IF(VLOOKUP($M127,'Plan d''actions détaillé'!$D$6:$P$30,6,FALSE)="","",VLOOKUP($M127,'Plan d''actions détaillé'!$D$6:$P$30,6,FALSE)),"")</f>
        <v/>
      </c>
      <c r="P127" s="483"/>
      <c r="Q127" s="483"/>
      <c r="R127" s="483"/>
      <c r="S127" s="483"/>
      <c r="T127" s="483"/>
      <c r="U127" s="483"/>
      <c r="V127" s="412" t="str">
        <f>IF($M127&lt;&gt;"",IF(VLOOKUP($M127,'Plan d''actions détaillé'!$D$6:$P$30,12,FALSE)="","",VLOOKUP($M127,'Plan d''actions détaillé'!$D$6:$P$30,12,FALSE)),"")</f>
        <v/>
      </c>
      <c r="W127" s="377"/>
      <c r="X127" s="369"/>
    </row>
    <row r="128" spans="7:24" ht="6.75" customHeight="1" x14ac:dyDescent="0.2">
      <c r="G128" s="376"/>
      <c r="H128" s="372"/>
      <c r="I128" s="372"/>
      <c r="J128" s="414" t="str">
        <f t="array" ref="J128">IF($K$97="","",IF(INDEX('Plan d''actions détaillé'!A:A,MIN(IF((COUNTIF(J$112:J127,'Plan d''actions détaillé'!$A$6:$A$30)=0)*(INDEX('Plan d''actions détaillé'!$U$6:$AL$30,,MATCH($K$97,'Plan d''actions détaillé'!$U$5:$AL$5,0))="X"),ROW('Plan d''actions détaillé'!$T$6:$T$30))))=0,"",INDEX('Plan d''actions détaillé'!A:A,MIN(IF((COUNTIF(J$112:J127,'Plan d''actions détaillé'!$A$6:$A$30)=0)*(INDEX('Plan d''actions détaillé'!$U$6:$AL$30,,MATCH($K$97,'Plan d''actions détaillé'!$U$5:$AL$5,0))="X"),ROW('Plan d''actions détaillé'!$T$6:$T$30))))))</f>
        <v/>
      </c>
      <c r="K128" s="414"/>
      <c r="L128" s="415"/>
      <c r="M128" s="413" t="str">
        <f t="array" ref="M128">IF($K$97="","",IF(INDEX('Plan d''actions détaillé'!D:D,MIN(IF((COUNTIF(M$112:M127,'Plan d''actions détaillé'!$D$6:$D$30)=0)*(INDEX('Plan d''actions détaillé'!$U$6:$AL$30,,MATCH($K$97,'Plan d''actions détaillé'!$U$5:$AL$5,0))="X"),ROW('Plan d''actions détaillé'!$T$6:$T$30))))=0,"",INDEX('Plan d''actions détaillé'!D:D,MIN(IF((COUNTIF(M$112:M127,'Plan d''actions détaillé'!$D$6:$D$30)=0)*(INDEX('Plan d''actions détaillé'!$U$6:$AL$30,,MATCH($K$97,'Plan d''actions détaillé'!$U$5:$AL$5,0))="X"),ROW('Plan d''actions détaillé'!$T$6:$T$30))))))</f>
        <v/>
      </c>
      <c r="N128" s="411" t="str">
        <f>IF($M128&lt;&gt;"",IF(VLOOKUP($M128,'Plan d''actions détaillé'!$D$6:$P$30,8,FALSE)="","",VLOOKUP($M128,'Plan d''actions détaillé'!$D$6:$P$30,8,FALSE)),"")</f>
        <v/>
      </c>
      <c r="O128" s="483" t="str">
        <f>IF($M128&lt;&gt;"",IF(VLOOKUP($M128,'Plan d''actions détaillé'!$D$6:$P$30,6,FALSE)="","",VLOOKUP($M128,'Plan d''actions détaillé'!$D$6:$P$30,6,FALSE)),"")</f>
        <v/>
      </c>
      <c r="P128" s="483"/>
      <c r="Q128" s="483"/>
      <c r="R128" s="483"/>
      <c r="S128" s="483"/>
      <c r="T128" s="483"/>
      <c r="U128" s="483"/>
      <c r="V128" s="412" t="str">
        <f>IF($M128&lt;&gt;"",IF(VLOOKUP($M128,'Plan d''actions détaillé'!$D$6:$P$30,12,FALSE)="","",VLOOKUP($M128,'Plan d''actions détaillé'!$D$6:$P$30,12,FALSE)),"")</f>
        <v/>
      </c>
      <c r="W128" s="377"/>
      <c r="X128" s="369"/>
    </row>
    <row r="129" spans="7:24" ht="13.5" thickBot="1" x14ac:dyDescent="0.25">
      <c r="G129" s="378"/>
      <c r="H129" s="379"/>
      <c r="I129" s="379"/>
      <c r="J129" s="379"/>
      <c r="K129" s="379"/>
      <c r="L129" s="379"/>
      <c r="M129" s="379"/>
      <c r="N129" s="380"/>
      <c r="O129" s="379"/>
      <c r="P129" s="379"/>
      <c r="Q129" s="379"/>
      <c r="R129" s="379"/>
      <c r="S129" s="379"/>
      <c r="T129" s="379"/>
      <c r="U129" s="379"/>
      <c r="V129" s="379"/>
      <c r="W129" s="381"/>
      <c r="X129" s="369"/>
    </row>
    <row r="130" spans="7:24" ht="13.5" thickBot="1" x14ac:dyDescent="0.25">
      <c r="G130" s="369"/>
      <c r="H130" s="369"/>
      <c r="I130" s="369"/>
      <c r="J130" s="369"/>
      <c r="K130" s="369"/>
      <c r="L130" s="369"/>
      <c r="M130" s="369"/>
      <c r="N130" s="371"/>
      <c r="O130" s="370"/>
      <c r="P130" s="370"/>
      <c r="Q130" s="370"/>
      <c r="R130" s="370"/>
      <c r="S130" s="370"/>
      <c r="T130" s="370"/>
      <c r="U130" s="370"/>
      <c r="V130" s="370"/>
      <c r="W130" s="369"/>
      <c r="X130" s="369"/>
    </row>
    <row r="131" spans="7:24" x14ac:dyDescent="0.2">
      <c r="G131" s="373"/>
      <c r="H131" s="374"/>
      <c r="I131" s="374"/>
      <c r="J131" s="374"/>
      <c r="K131" s="374"/>
      <c r="L131" s="374"/>
      <c r="M131" s="374"/>
      <c r="N131" s="374"/>
      <c r="O131" s="374"/>
      <c r="P131" s="374"/>
      <c r="Q131" s="374"/>
      <c r="R131" s="374"/>
      <c r="S131" s="374"/>
      <c r="T131" s="374"/>
      <c r="U131" s="374"/>
      <c r="V131" s="374"/>
      <c r="W131" s="375"/>
      <c r="X131" s="369"/>
    </row>
    <row r="132" spans="7:24" ht="12.75" customHeight="1" x14ac:dyDescent="0.2">
      <c r="G132" s="494" t="str">
        <f>C7</f>
        <v/>
      </c>
      <c r="H132" s="495"/>
      <c r="I132" s="495"/>
      <c r="J132" s="495"/>
      <c r="K132" s="496" t="str">
        <f>D7</f>
        <v/>
      </c>
      <c r="L132" s="496"/>
      <c r="M132" s="496"/>
      <c r="N132" s="496"/>
      <c r="O132" s="496"/>
      <c r="P132" s="496"/>
      <c r="Q132" s="496"/>
      <c r="R132" s="496"/>
      <c r="S132" s="496"/>
      <c r="T132" s="496"/>
      <c r="U132" s="496"/>
      <c r="V132" s="496"/>
      <c r="W132" s="397"/>
      <c r="X132" s="369"/>
    </row>
    <row r="133" spans="7:24" ht="12.75" customHeight="1" x14ac:dyDescent="0.2">
      <c r="G133" s="494"/>
      <c r="H133" s="495"/>
      <c r="I133" s="495"/>
      <c r="J133" s="495"/>
      <c r="K133" s="496"/>
      <c r="L133" s="496"/>
      <c r="M133" s="496"/>
      <c r="N133" s="496"/>
      <c r="O133" s="496"/>
      <c r="P133" s="496"/>
      <c r="Q133" s="496"/>
      <c r="R133" s="496"/>
      <c r="S133" s="496"/>
      <c r="T133" s="496"/>
      <c r="U133" s="496"/>
      <c r="V133" s="496"/>
      <c r="W133" s="397"/>
      <c r="X133" s="369"/>
    </row>
    <row r="134" spans="7:24" x14ac:dyDescent="0.2">
      <c r="G134" s="376"/>
      <c r="H134" s="372"/>
      <c r="I134" s="372"/>
      <c r="J134" s="372"/>
      <c r="K134" s="372"/>
      <c r="L134" s="372"/>
      <c r="M134" s="372"/>
      <c r="N134" s="372"/>
      <c r="O134" s="372"/>
      <c r="P134" s="372"/>
      <c r="Q134" s="372"/>
      <c r="R134" s="372"/>
      <c r="S134" s="372"/>
      <c r="T134" s="372"/>
      <c r="U134" s="372"/>
      <c r="V134" s="372"/>
      <c r="W134" s="377"/>
      <c r="X134" s="369"/>
    </row>
    <row r="135" spans="7:24" ht="23.25" customHeight="1" x14ac:dyDescent="0.2">
      <c r="G135" s="497" t="s">
        <v>1</v>
      </c>
      <c r="H135" s="386" t="str">
        <f>IF(AND(O140=5,O141=1),"X","")</f>
        <v/>
      </c>
      <c r="I135" s="387" t="str">
        <f>IF(AND(O140=5,O141=2),"X","")</f>
        <v/>
      </c>
      <c r="J135" s="388" t="str">
        <f>IF(AND(O140=5,O141=3),"X","")</f>
        <v/>
      </c>
      <c r="K135" s="388" t="str">
        <f>IF(AND(O140=5,O141=4),"X","")</f>
        <v/>
      </c>
      <c r="L135" s="388" t="str">
        <f>IF(AND(O140=5,O141=5),"X","")</f>
        <v/>
      </c>
      <c r="N135" s="498" t="str">
        <f>"Processus de rattachement "</f>
        <v xml:space="preserve">Processus de rattachement </v>
      </c>
      <c r="O135" s="499"/>
      <c r="P135" s="499"/>
      <c r="Q135" s="499"/>
      <c r="R135" s="499"/>
      <c r="S135" s="499"/>
      <c r="T135" s="499"/>
      <c r="U135" s="499"/>
      <c r="V135" s="500"/>
      <c r="W135" s="377"/>
      <c r="X135" s="369"/>
    </row>
    <row r="136" spans="7:24" ht="23.25" x14ac:dyDescent="0.2">
      <c r="G136" s="497"/>
      <c r="H136" s="389" t="str">
        <f>IF(AND(O140=4,O141=1),"X","")</f>
        <v/>
      </c>
      <c r="I136" s="390" t="str">
        <f>IF(AND(O140=4,O141=2),"X","")</f>
        <v/>
      </c>
      <c r="J136" s="387" t="str">
        <f>IF(AND(O140=4,O141=3),"X","")</f>
        <v/>
      </c>
      <c r="K136" s="388" t="str">
        <f>IF(AND(O140=4,O141=4),"X","")</f>
        <v/>
      </c>
      <c r="L136" s="388" t="str">
        <f>IF(AND(O140=4,O141=5),"X","")</f>
        <v/>
      </c>
      <c r="N136" s="501" t="str">
        <f>Matrice!$G$1&amp;" - "&amp;Matrice!$J$1</f>
        <v>DI2 - YYY</v>
      </c>
      <c r="O136" s="502"/>
      <c r="P136" s="502"/>
      <c r="Q136" s="502"/>
      <c r="R136" s="502"/>
      <c r="S136" s="502"/>
      <c r="T136" s="502"/>
      <c r="U136" s="502"/>
      <c r="V136" s="503"/>
      <c r="W136" s="377"/>
      <c r="X136" s="369"/>
    </row>
    <row r="137" spans="7:24" ht="23.25" x14ac:dyDescent="0.2">
      <c r="G137" s="497"/>
      <c r="H137" s="389" t="str">
        <f>IF(AND(O140=3,O141=1),"X","")</f>
        <v/>
      </c>
      <c r="I137" s="390" t="str">
        <f>IF(AND(O140=3,O141=2),"X","")</f>
        <v/>
      </c>
      <c r="J137" s="390" t="str">
        <f>IF(AND(O140=3,O141=3),"X","")</f>
        <v/>
      </c>
      <c r="K137" s="387" t="str">
        <f>IF(AND(O140=3,O141=4),"X","")</f>
        <v/>
      </c>
      <c r="L137" s="388" t="str">
        <f>IF(AND(O140=3,O141=5),"X","")</f>
        <v/>
      </c>
      <c r="N137" s="372"/>
      <c r="O137" s="372"/>
      <c r="W137" s="377"/>
      <c r="X137" s="369"/>
    </row>
    <row r="138" spans="7:24" ht="23.25" x14ac:dyDescent="0.2">
      <c r="G138" s="497"/>
      <c r="H138" s="391" t="str">
        <f>IF(AND(O140=2,O141=1),"X","")</f>
        <v/>
      </c>
      <c r="I138" s="392" t="str">
        <f>IF(AND(O140=2,O141=2),"X","")</f>
        <v/>
      </c>
      <c r="J138" s="390" t="str">
        <f>IF(AND(O140=2,O141=3),"X","")</f>
        <v/>
      </c>
      <c r="K138" s="390" t="str">
        <f>IF(AND(O140=2,O141=4),"X","")</f>
        <v/>
      </c>
      <c r="L138" s="387" t="str">
        <f>IF(AND(O140=2,O141=5),"X","")</f>
        <v/>
      </c>
      <c r="M138" s="372"/>
      <c r="N138" s="383" t="s">
        <v>236</v>
      </c>
      <c r="O138" s="382"/>
      <c r="P138" s="382"/>
      <c r="Q138" s="382"/>
      <c r="S138" s="385" t="s">
        <v>250</v>
      </c>
      <c r="T138" s="384"/>
      <c r="U138" s="384"/>
      <c r="V138" s="384"/>
      <c r="W138" s="377"/>
      <c r="X138" s="369"/>
    </row>
    <row r="139" spans="7:24" ht="24" thickBot="1" x14ac:dyDescent="0.25">
      <c r="G139" s="376"/>
      <c r="H139" s="393" t="str">
        <f>IF(AND(O140=1,O141=1),"X","")</f>
        <v/>
      </c>
      <c r="I139" s="394" t="str">
        <f>IF(AND(O140=1,O141=2),"X","")</f>
        <v/>
      </c>
      <c r="J139" s="395" t="str">
        <f>IF(AND(O140=1,O141=3),"X","")</f>
        <v/>
      </c>
      <c r="K139" s="395" t="str">
        <f>IF(AND(O140=1,O141=4),"X","")</f>
        <v/>
      </c>
      <c r="L139" s="396" t="str">
        <f>IF(AND(O140=1,O141=5),"X","")</f>
        <v/>
      </c>
      <c r="M139" s="372"/>
      <c r="N139" s="406"/>
      <c r="O139" s="408" t="s">
        <v>237</v>
      </c>
      <c r="P139" s="408" t="s">
        <v>238</v>
      </c>
      <c r="Q139" s="406"/>
      <c r="R139" s="307"/>
      <c r="S139" s="420"/>
      <c r="T139" s="409" t="s">
        <v>237</v>
      </c>
      <c r="U139" s="409" t="s">
        <v>238</v>
      </c>
      <c r="V139" s="384"/>
      <c r="W139" s="377"/>
      <c r="X139" s="369"/>
    </row>
    <row r="140" spans="7:24" ht="19.5" thickTop="1" thickBot="1" x14ac:dyDescent="0.25">
      <c r="G140" s="376"/>
      <c r="H140" s="484" t="s">
        <v>16</v>
      </c>
      <c r="I140" s="484"/>
      <c r="J140" s="484"/>
      <c r="K140" s="484"/>
      <c r="L140" s="484"/>
      <c r="M140" s="372"/>
      <c r="N140" s="407" t="s">
        <v>248</v>
      </c>
      <c r="O140" s="417" t="str">
        <f>VLOOKUP($K132,Risques!$D$21:$AB$40,17,FALSE)</f>
        <v/>
      </c>
      <c r="P140" s="418" t="str">
        <f>VLOOKUP(K132,Risques!$D$21:$AB$40,23,FALSE)</f>
        <v/>
      </c>
      <c r="Q140" s="382"/>
      <c r="S140" s="410" t="s">
        <v>248</v>
      </c>
      <c r="T140" s="419"/>
      <c r="U140" s="419"/>
      <c r="V140" s="384"/>
      <c r="W140" s="377"/>
      <c r="X140" s="369"/>
    </row>
    <row r="141" spans="7:24" ht="19.5" thickTop="1" thickBot="1" x14ac:dyDescent="0.25">
      <c r="G141" s="376"/>
      <c r="H141" s="372"/>
      <c r="I141" s="372"/>
      <c r="J141" s="372"/>
      <c r="K141" s="372"/>
      <c r="L141" s="372"/>
      <c r="M141" s="372"/>
      <c r="N141" s="407" t="s">
        <v>249</v>
      </c>
      <c r="O141" s="417" t="str">
        <f>VLOOKUP(K132,Risques!$D$21:$AB$40,18,FALSE)</f>
        <v/>
      </c>
      <c r="P141" s="418" t="str">
        <f>VLOOKUP(K132,Risques!$D$21:$AB$40,24,FALSE)</f>
        <v/>
      </c>
      <c r="Q141" s="382"/>
      <c r="S141" s="410" t="s">
        <v>249</v>
      </c>
      <c r="T141" s="419"/>
      <c r="U141" s="419"/>
      <c r="V141" s="384"/>
      <c r="W141" s="377"/>
      <c r="X141" s="369"/>
    </row>
    <row r="142" spans="7:24" ht="19.5" thickTop="1" thickBot="1" x14ac:dyDescent="0.25">
      <c r="G142" s="376"/>
      <c r="H142" s="372"/>
      <c r="I142" s="372"/>
      <c r="J142" s="372"/>
      <c r="K142" s="372"/>
      <c r="L142" s="372"/>
      <c r="M142" s="372"/>
      <c r="N142" s="407" t="s">
        <v>251</v>
      </c>
      <c r="O142" s="417" t="str">
        <f>VLOOKUP(K132,Risques!$D$21:$AB$40,19,FALSE)</f>
        <v/>
      </c>
      <c r="P142" s="418" t="str">
        <f>VLOOKUP(K132,Risques!$D$21:$AB$40,25,FALSE)</f>
        <v/>
      </c>
      <c r="Q142" s="382"/>
      <c r="S142" s="410" t="s">
        <v>251</v>
      </c>
      <c r="T142" s="419"/>
      <c r="U142" s="419"/>
      <c r="V142" s="384"/>
      <c r="W142" s="377"/>
      <c r="X142" s="369"/>
    </row>
    <row r="143" spans="7:24" ht="13.5" thickTop="1" x14ac:dyDescent="0.2">
      <c r="G143" s="376"/>
      <c r="H143" s="372"/>
      <c r="I143" s="372"/>
      <c r="J143" s="372"/>
      <c r="K143" s="372"/>
      <c r="L143" s="372"/>
      <c r="M143" s="372"/>
      <c r="N143" s="382"/>
      <c r="O143" s="382"/>
      <c r="P143" s="382"/>
      <c r="Q143" s="382"/>
      <c r="S143" s="384"/>
      <c r="T143" s="384"/>
      <c r="U143" s="384"/>
      <c r="V143" s="384"/>
      <c r="W143" s="377"/>
      <c r="X143" s="369"/>
    </row>
    <row r="144" spans="7:24" x14ac:dyDescent="0.2">
      <c r="G144" s="376"/>
      <c r="H144" s="372"/>
      <c r="I144" s="372"/>
      <c r="J144" s="372"/>
      <c r="K144" s="372"/>
      <c r="L144" s="372"/>
      <c r="M144" s="372"/>
      <c r="W144" s="377"/>
      <c r="X144" s="369"/>
    </row>
    <row r="145" spans="7:24" ht="18" customHeight="1" x14ac:dyDescent="0.2">
      <c r="G145" s="376"/>
      <c r="H145" s="372"/>
      <c r="I145" s="372"/>
      <c r="J145" s="492" t="s">
        <v>253</v>
      </c>
      <c r="K145" s="492"/>
      <c r="L145" s="493"/>
      <c r="M145" s="485" t="str">
        <f>VLOOKUP($K132,Risques!$D$21:$AB$40,3,FALSE)</f>
        <v/>
      </c>
      <c r="N145" s="486"/>
      <c r="O145" s="486"/>
      <c r="P145" s="486"/>
      <c r="Q145" s="486"/>
      <c r="R145" s="486"/>
      <c r="S145" s="486"/>
      <c r="T145" s="486"/>
      <c r="U145" s="486"/>
      <c r="V145" s="487"/>
      <c r="W145" s="377"/>
      <c r="X145" s="369"/>
    </row>
    <row r="146" spans="7:24" ht="44.25" customHeight="1" x14ac:dyDescent="0.25">
      <c r="G146" s="399"/>
      <c r="H146" s="400"/>
      <c r="I146" s="400"/>
      <c r="J146" s="492"/>
      <c r="K146" s="492"/>
      <c r="L146" s="493"/>
      <c r="M146" s="488"/>
      <c r="N146" s="489"/>
      <c r="O146" s="489"/>
      <c r="P146" s="489"/>
      <c r="Q146" s="489"/>
      <c r="R146" s="489"/>
      <c r="S146" s="489"/>
      <c r="T146" s="489"/>
      <c r="U146" s="489"/>
      <c r="V146" s="490"/>
      <c r="W146" s="401"/>
      <c r="X146" s="369"/>
    </row>
    <row r="147" spans="7:24" x14ac:dyDescent="0.2">
      <c r="G147" s="376"/>
      <c r="H147" s="372"/>
      <c r="I147" s="372"/>
      <c r="J147" s="372"/>
      <c r="K147" s="372"/>
      <c r="L147" s="372"/>
      <c r="M147" s="372"/>
      <c r="N147" s="403"/>
      <c r="O147" s="403"/>
      <c r="P147" s="403"/>
      <c r="Q147" s="403"/>
      <c r="R147" s="403"/>
      <c r="S147" s="403"/>
      <c r="T147" s="403"/>
      <c r="U147" s="403"/>
      <c r="V147" s="404"/>
      <c r="W147" s="377"/>
      <c r="X147" s="369"/>
    </row>
    <row r="148" spans="7:24" ht="31.5" customHeight="1" x14ac:dyDescent="0.2">
      <c r="G148" s="376"/>
      <c r="H148" s="372"/>
      <c r="I148" s="372"/>
      <c r="J148" s="491" t="s">
        <v>239</v>
      </c>
      <c r="K148" s="491"/>
      <c r="L148" s="491"/>
      <c r="M148" s="416" t="s">
        <v>240</v>
      </c>
      <c r="N148" s="416" t="s">
        <v>241</v>
      </c>
      <c r="O148" s="491" t="s">
        <v>242</v>
      </c>
      <c r="P148" s="491"/>
      <c r="Q148" s="491"/>
      <c r="R148" s="491"/>
      <c r="S148" s="491"/>
      <c r="T148" s="491"/>
      <c r="U148" s="491"/>
      <c r="V148" s="416" t="s">
        <v>243</v>
      </c>
      <c r="W148" s="377"/>
      <c r="X148" s="369"/>
    </row>
    <row r="149" spans="7:24" ht="7.5" customHeight="1" x14ac:dyDescent="0.2">
      <c r="G149" s="376"/>
      <c r="H149" s="372"/>
      <c r="I149" s="372"/>
      <c r="J149" s="414" t="str">
        <f t="array" ref="J149">IF($K$132="","",IF(INDEX('Plan d''actions détaillé'!A:A,MIN(IF((COUNTIF(J$147:J148,'Plan d''actions détaillé'!$A$6:$A$30)=0)*(INDEX('Plan d''actions détaillé'!$U$6:$AL$30,,MATCH($K$132,'Plan d''actions détaillé'!$U$5:$AL$5,0))="X"),ROW('Plan d''actions détaillé'!$T$6:$T$30))))=0,"",INDEX('Plan d''actions détaillé'!A:A,MIN(IF((COUNTIF(J$147:J148,'Plan d''actions détaillé'!$A$6:$A$30)=0)*(INDEX('Plan d''actions détaillé'!$U$6:$AL$30,,MATCH($K$132,'Plan d''actions détaillé'!$U$5:$AL$5,0))="X"),ROW('Plan d''actions détaillé'!$T$6:$T$30))))))</f>
        <v/>
      </c>
      <c r="K149" s="414"/>
      <c r="L149" s="415"/>
      <c r="M149" s="413" t="str">
        <f t="array" ref="M149">IF($K$132="","",IF(INDEX('Plan d''actions détaillé'!D:D,MIN(IF((COUNTIF(M$147:M148,'Plan d''actions détaillé'!$D$6:$D$30)=0)*(INDEX('Plan d''actions détaillé'!$U$6:$AL$30,,MATCH($K$132,'Plan d''actions détaillé'!$U$5:$AL$5,0))="X"),ROW('Plan d''actions détaillé'!$T$6:$T$30))))=0,"",INDEX('Plan d''actions détaillé'!D:D,MIN(IF((COUNTIF(M$147:M148,'Plan d''actions détaillé'!$D$6:$D$30)=0)*(INDEX('Plan d''actions détaillé'!$U$6:$AL$30,,MATCH($K$132,'Plan d''actions détaillé'!$U$5:$AL$5,0))="X"),ROW('Plan d''actions détaillé'!$T$6:$T$30))))))</f>
        <v/>
      </c>
      <c r="N149" s="411" t="str">
        <f>IF($M149&lt;&gt;"",IF(VLOOKUP($M149,'Plan d''actions détaillé'!$D$6:$P$30,8,FALSE)="","",VLOOKUP($M149,'Plan d''actions détaillé'!$D$6:$P$30,8,FALSE)),"")</f>
        <v/>
      </c>
      <c r="O149" s="483" t="str">
        <f>IF($M149&lt;&gt;"",IF(VLOOKUP($M149,'Plan d''actions détaillé'!$D$6:$P$30,6,FALSE)="","",VLOOKUP($M149,'Plan d''actions détaillé'!$D$6:$P$30,6,FALSE)),"")</f>
        <v/>
      </c>
      <c r="P149" s="483"/>
      <c r="Q149" s="483"/>
      <c r="R149" s="483"/>
      <c r="S149" s="483"/>
      <c r="T149" s="483"/>
      <c r="U149" s="483"/>
      <c r="V149" s="412" t="str">
        <f>IF($M149&lt;&gt;"",IF(VLOOKUP($M149,'Plan d''actions détaillé'!$D$6:$P$30,12,FALSE)="","",VLOOKUP($M149,'Plan d''actions détaillé'!$D$6:$P$30,12,FALSE)),"")</f>
        <v/>
      </c>
      <c r="W149" s="377"/>
      <c r="X149" s="369"/>
    </row>
    <row r="150" spans="7:24" ht="7.5" customHeight="1" x14ac:dyDescent="0.2">
      <c r="G150" s="376"/>
      <c r="H150" s="372"/>
      <c r="I150" s="372"/>
      <c r="J150" s="414" t="str">
        <f t="array" ref="J150">IF($K$132="","",IF(INDEX('Plan d''actions détaillé'!A:A,MIN(IF((COUNTIF(J$147:J149,'Plan d''actions détaillé'!$A$6:$A$30)=0)*(INDEX('Plan d''actions détaillé'!$U$6:$AL$30,,MATCH($K$132,'Plan d''actions détaillé'!$U$5:$AL$5,0))="X"),ROW('Plan d''actions détaillé'!$T$6:$T$30))))=0,"",INDEX('Plan d''actions détaillé'!A:A,MIN(IF((COUNTIF(J$147:J149,'Plan d''actions détaillé'!$A$6:$A$30)=0)*(INDEX('Plan d''actions détaillé'!$U$6:$AL$30,,MATCH($K$132,'Plan d''actions détaillé'!$U$5:$AL$5,0))="X"),ROW('Plan d''actions détaillé'!$T$6:$T$30))))))</f>
        <v/>
      </c>
      <c r="K150" s="414"/>
      <c r="L150" s="415"/>
      <c r="M150" s="413" t="str">
        <f t="array" ref="M150">IF($K$132="","",IF(INDEX('Plan d''actions détaillé'!D:D,MIN(IF((COUNTIF(M$147:M149,'Plan d''actions détaillé'!$D$6:$D$30)=0)*(INDEX('Plan d''actions détaillé'!$U$6:$AL$30,,MATCH($K$132,'Plan d''actions détaillé'!$U$5:$AL$5,0))="X"),ROW('Plan d''actions détaillé'!$T$6:$T$30))))=0,"",INDEX('Plan d''actions détaillé'!D:D,MIN(IF((COUNTIF(M$147:M149,'Plan d''actions détaillé'!$D$6:$D$30)=0)*(INDEX('Plan d''actions détaillé'!$U$6:$AL$30,,MATCH($K$132,'Plan d''actions détaillé'!$U$5:$AL$5,0))="X"),ROW('Plan d''actions détaillé'!$T$6:$T$30))))))</f>
        <v/>
      </c>
      <c r="N150" s="411" t="str">
        <f>IF($M150&lt;&gt;"",IF(VLOOKUP($M150,'Plan d''actions détaillé'!$D$6:$P$30,8,FALSE)="","",VLOOKUP($M150,'Plan d''actions détaillé'!$D$6:$P$30,8,FALSE)),"")</f>
        <v/>
      </c>
      <c r="O150" s="483" t="str">
        <f>IF($M150&lt;&gt;"",IF(VLOOKUP($M150,'Plan d''actions détaillé'!$D$6:$P$30,6,FALSE)="","",VLOOKUP($M150,'Plan d''actions détaillé'!$D$6:$P$30,6,FALSE)),"")</f>
        <v/>
      </c>
      <c r="P150" s="483"/>
      <c r="Q150" s="483"/>
      <c r="R150" s="483"/>
      <c r="S150" s="483"/>
      <c r="T150" s="483"/>
      <c r="U150" s="483"/>
      <c r="V150" s="412" t="str">
        <f>IF($M150&lt;&gt;"",IF(VLOOKUP($M150,'Plan d''actions détaillé'!$D$6:$P$30,12,FALSE)="","",VLOOKUP($M150,'Plan d''actions détaillé'!$D$6:$P$30,12,FALSE)),"")</f>
        <v/>
      </c>
      <c r="W150" s="377"/>
      <c r="X150" s="369"/>
    </row>
    <row r="151" spans="7:24" ht="7.5" customHeight="1" x14ac:dyDescent="0.2">
      <c r="G151" s="376"/>
      <c r="H151" s="372"/>
      <c r="I151" s="372"/>
      <c r="J151" s="414" t="str">
        <f t="array" ref="J151">IF($K$132="","",IF(INDEX('Plan d''actions détaillé'!A:A,MIN(IF((COUNTIF(J$147:J150,'Plan d''actions détaillé'!$A$6:$A$30)=0)*(INDEX('Plan d''actions détaillé'!$U$6:$AL$30,,MATCH($K$132,'Plan d''actions détaillé'!$U$5:$AL$5,0))="X"),ROW('Plan d''actions détaillé'!$T$6:$T$30))))=0,"",INDEX('Plan d''actions détaillé'!A:A,MIN(IF((COUNTIF(J$147:J150,'Plan d''actions détaillé'!$A$6:$A$30)=0)*(INDEX('Plan d''actions détaillé'!$U$6:$AL$30,,MATCH($K$132,'Plan d''actions détaillé'!$U$5:$AL$5,0))="X"),ROW('Plan d''actions détaillé'!$T$6:$T$30))))))</f>
        <v/>
      </c>
      <c r="K151" s="414"/>
      <c r="L151" s="415"/>
      <c r="M151" s="413" t="str">
        <f t="array" ref="M151">IF($K$132="","",IF(INDEX('Plan d''actions détaillé'!D:D,MIN(IF((COUNTIF(M$147:M150,'Plan d''actions détaillé'!$D$6:$D$30)=0)*(INDEX('Plan d''actions détaillé'!$U$6:$AL$30,,MATCH($K$132,'Plan d''actions détaillé'!$U$5:$AL$5,0))="X"),ROW('Plan d''actions détaillé'!$T$6:$T$30))))=0,"",INDEX('Plan d''actions détaillé'!D:D,MIN(IF((COUNTIF(M$147:M150,'Plan d''actions détaillé'!$D$6:$D$30)=0)*(INDEX('Plan d''actions détaillé'!$U$6:$AL$30,,MATCH($K$132,'Plan d''actions détaillé'!$U$5:$AL$5,0))="X"),ROW('Plan d''actions détaillé'!$T$6:$T$30))))))</f>
        <v/>
      </c>
      <c r="N151" s="411" t="str">
        <f>IF($M151&lt;&gt;"",IF(VLOOKUP($M151,'Plan d''actions détaillé'!$D$6:$P$30,8,FALSE)="","",VLOOKUP($M151,'Plan d''actions détaillé'!$D$6:$P$30,8,FALSE)),"")</f>
        <v/>
      </c>
      <c r="O151" s="483" t="str">
        <f>IF($M151&lt;&gt;"",IF(VLOOKUP($M151,'Plan d''actions détaillé'!$D$6:$P$30,6,FALSE)="","",VLOOKUP($M151,'Plan d''actions détaillé'!$D$6:$P$30,6,FALSE)),"")</f>
        <v/>
      </c>
      <c r="P151" s="483"/>
      <c r="Q151" s="483"/>
      <c r="R151" s="483"/>
      <c r="S151" s="483"/>
      <c r="T151" s="483"/>
      <c r="U151" s="483"/>
      <c r="V151" s="412" t="str">
        <f>IF($M151&lt;&gt;"",IF(VLOOKUP($M151,'Plan d''actions détaillé'!$D$6:$P$30,12,FALSE)="","",VLOOKUP($M151,'Plan d''actions détaillé'!$D$6:$P$30,12,FALSE)),"")</f>
        <v/>
      </c>
      <c r="W151" s="377"/>
      <c r="X151" s="369"/>
    </row>
    <row r="152" spans="7:24" ht="7.5" customHeight="1" x14ac:dyDescent="0.2">
      <c r="G152" s="376"/>
      <c r="H152" s="372"/>
      <c r="I152" s="372"/>
      <c r="J152" s="414" t="str">
        <f t="array" ref="J152">IF($K$132="","",IF(INDEX('Plan d''actions détaillé'!A:A,MIN(IF((COUNTIF(J$147:J151,'Plan d''actions détaillé'!$A$6:$A$30)=0)*(INDEX('Plan d''actions détaillé'!$U$6:$AL$30,,MATCH($K$132,'Plan d''actions détaillé'!$U$5:$AL$5,0))="X"),ROW('Plan d''actions détaillé'!$T$6:$T$30))))=0,"",INDEX('Plan d''actions détaillé'!A:A,MIN(IF((COUNTIF(J$147:J151,'Plan d''actions détaillé'!$A$6:$A$30)=0)*(INDEX('Plan d''actions détaillé'!$U$6:$AL$30,,MATCH($K$132,'Plan d''actions détaillé'!$U$5:$AL$5,0))="X"),ROW('Plan d''actions détaillé'!$T$6:$T$30))))))</f>
        <v/>
      </c>
      <c r="K152" s="414"/>
      <c r="L152" s="415"/>
      <c r="M152" s="413" t="str">
        <f t="array" ref="M152">IF($K$132="","",IF(INDEX('Plan d''actions détaillé'!D:D,MIN(IF((COUNTIF(M$147:M151,'Plan d''actions détaillé'!$D$6:$D$30)=0)*(INDEX('Plan d''actions détaillé'!$U$6:$AL$30,,MATCH($K$132,'Plan d''actions détaillé'!$U$5:$AL$5,0))="X"),ROW('Plan d''actions détaillé'!$T$6:$T$30))))=0,"",INDEX('Plan d''actions détaillé'!D:D,MIN(IF((COUNTIF(M$147:M151,'Plan d''actions détaillé'!$D$6:$D$30)=0)*(INDEX('Plan d''actions détaillé'!$U$6:$AL$30,,MATCH($K$132,'Plan d''actions détaillé'!$U$5:$AL$5,0))="X"),ROW('Plan d''actions détaillé'!$T$6:$T$30))))))</f>
        <v/>
      </c>
      <c r="N152" s="411" t="str">
        <f>IF($M152&lt;&gt;"",IF(VLOOKUP($M152,'Plan d''actions détaillé'!$D$6:$P$30,8,FALSE)="","",VLOOKUP($M152,'Plan d''actions détaillé'!$D$6:$P$30,8,FALSE)),"")</f>
        <v/>
      </c>
      <c r="O152" s="483" t="str">
        <f>IF($M152&lt;&gt;"",IF(VLOOKUP($M152,'Plan d''actions détaillé'!$D$6:$P$30,6,FALSE)="","",VLOOKUP($M152,'Plan d''actions détaillé'!$D$6:$P$30,6,FALSE)),"")</f>
        <v/>
      </c>
      <c r="P152" s="483"/>
      <c r="Q152" s="483"/>
      <c r="R152" s="483"/>
      <c r="S152" s="483"/>
      <c r="T152" s="483"/>
      <c r="U152" s="483"/>
      <c r="V152" s="412" t="str">
        <f>IF($M152&lt;&gt;"",IF(VLOOKUP($M152,'Plan d''actions détaillé'!$D$6:$P$30,12,FALSE)="","",VLOOKUP($M152,'Plan d''actions détaillé'!$D$6:$P$30,12,FALSE)),"")</f>
        <v/>
      </c>
      <c r="W152" s="377"/>
      <c r="X152" s="369"/>
    </row>
    <row r="153" spans="7:24" ht="7.5" customHeight="1" x14ac:dyDescent="0.2">
      <c r="G153" s="376"/>
      <c r="H153" s="372"/>
      <c r="I153" s="372"/>
      <c r="J153" s="414" t="str">
        <f t="array" ref="J153">IF($K$132="","",IF(INDEX('Plan d''actions détaillé'!A:A,MIN(IF((COUNTIF(J$147:J152,'Plan d''actions détaillé'!$A$6:$A$30)=0)*(INDEX('Plan d''actions détaillé'!$U$6:$AL$30,,MATCH($K$132,'Plan d''actions détaillé'!$U$5:$AL$5,0))="X"),ROW('Plan d''actions détaillé'!$T$6:$T$30))))=0,"",INDEX('Plan d''actions détaillé'!A:A,MIN(IF((COUNTIF(J$147:J152,'Plan d''actions détaillé'!$A$6:$A$30)=0)*(INDEX('Plan d''actions détaillé'!$U$6:$AL$30,,MATCH($K$132,'Plan d''actions détaillé'!$U$5:$AL$5,0))="X"),ROW('Plan d''actions détaillé'!$T$6:$T$30))))))</f>
        <v/>
      </c>
      <c r="K153" s="414"/>
      <c r="L153" s="415"/>
      <c r="M153" s="413" t="str">
        <f t="array" ref="M153">IF($K$132="","",IF(INDEX('Plan d''actions détaillé'!D:D,MIN(IF((COUNTIF(M$147:M152,'Plan d''actions détaillé'!$D$6:$D$30)=0)*(INDEX('Plan d''actions détaillé'!$U$6:$AL$30,,MATCH($K$132,'Plan d''actions détaillé'!$U$5:$AL$5,0))="X"),ROW('Plan d''actions détaillé'!$T$6:$T$30))))=0,"",INDEX('Plan d''actions détaillé'!D:D,MIN(IF((COUNTIF(M$147:M152,'Plan d''actions détaillé'!$D$6:$D$30)=0)*(INDEX('Plan d''actions détaillé'!$U$6:$AL$30,,MATCH($K$132,'Plan d''actions détaillé'!$U$5:$AL$5,0))="X"),ROW('Plan d''actions détaillé'!$T$6:$T$30))))))</f>
        <v/>
      </c>
      <c r="N153" s="411" t="str">
        <f>IF($M153&lt;&gt;"",IF(VLOOKUP($M153,'Plan d''actions détaillé'!$D$6:$P$30,8,FALSE)="","",VLOOKUP($M153,'Plan d''actions détaillé'!$D$6:$P$30,8,FALSE)),"")</f>
        <v/>
      </c>
      <c r="O153" s="483" t="str">
        <f>IF($M153&lt;&gt;"",IF(VLOOKUP($M153,'Plan d''actions détaillé'!$D$6:$P$30,6,FALSE)="","",VLOOKUP($M153,'Plan d''actions détaillé'!$D$6:$P$30,6,FALSE)),"")</f>
        <v/>
      </c>
      <c r="P153" s="483"/>
      <c r="Q153" s="483"/>
      <c r="R153" s="483"/>
      <c r="S153" s="483"/>
      <c r="T153" s="483"/>
      <c r="U153" s="483"/>
      <c r="V153" s="412" t="str">
        <f>IF($M153&lt;&gt;"",IF(VLOOKUP($M153,'Plan d''actions détaillé'!$D$6:$P$30,12,FALSE)="","",VLOOKUP($M153,'Plan d''actions détaillé'!$D$6:$P$30,12,FALSE)),"")</f>
        <v/>
      </c>
      <c r="W153" s="377"/>
      <c r="X153" s="369"/>
    </row>
    <row r="154" spans="7:24" ht="7.5" customHeight="1" x14ac:dyDescent="0.2">
      <c r="G154" s="376"/>
      <c r="H154" s="372"/>
      <c r="I154" s="372"/>
      <c r="J154" s="414" t="str">
        <f t="array" ref="J154">IF($K$132="","",IF(INDEX('Plan d''actions détaillé'!A:A,MIN(IF((COUNTIF(J$147:J153,'Plan d''actions détaillé'!$A$6:$A$30)=0)*(INDEX('Plan d''actions détaillé'!$U$6:$AL$30,,MATCH($K$132,'Plan d''actions détaillé'!$U$5:$AL$5,0))="X"),ROW('Plan d''actions détaillé'!$T$6:$T$30))))=0,"",INDEX('Plan d''actions détaillé'!A:A,MIN(IF((COUNTIF(J$147:J153,'Plan d''actions détaillé'!$A$6:$A$30)=0)*(INDEX('Plan d''actions détaillé'!$U$6:$AL$30,,MATCH($K$132,'Plan d''actions détaillé'!$U$5:$AL$5,0))="X"),ROW('Plan d''actions détaillé'!$T$6:$T$30))))))</f>
        <v/>
      </c>
      <c r="K154" s="414"/>
      <c r="L154" s="415"/>
      <c r="M154" s="413" t="str">
        <f t="array" ref="M154">IF($K$132="","",IF(INDEX('Plan d''actions détaillé'!D:D,MIN(IF((COUNTIF(M$147:M153,'Plan d''actions détaillé'!$D$6:$D$30)=0)*(INDEX('Plan d''actions détaillé'!$U$6:$AL$30,,MATCH($K$132,'Plan d''actions détaillé'!$U$5:$AL$5,0))="X"),ROW('Plan d''actions détaillé'!$T$6:$T$30))))=0,"",INDEX('Plan d''actions détaillé'!D:D,MIN(IF((COUNTIF(M$147:M153,'Plan d''actions détaillé'!$D$6:$D$30)=0)*(INDEX('Plan d''actions détaillé'!$U$6:$AL$30,,MATCH($K$132,'Plan d''actions détaillé'!$U$5:$AL$5,0))="X"),ROW('Plan d''actions détaillé'!$T$6:$T$30))))))</f>
        <v/>
      </c>
      <c r="N154" s="411" t="str">
        <f>IF($M154&lt;&gt;"",IF(VLOOKUP($M154,'Plan d''actions détaillé'!$D$6:$P$30,8,FALSE)="","",VLOOKUP($M154,'Plan d''actions détaillé'!$D$6:$P$30,8,FALSE)),"")</f>
        <v/>
      </c>
      <c r="O154" s="483" t="str">
        <f>IF($M154&lt;&gt;"",IF(VLOOKUP($M154,'Plan d''actions détaillé'!$D$6:$P$30,6,FALSE)="","",VLOOKUP($M154,'Plan d''actions détaillé'!$D$6:$P$30,6,FALSE)),"")</f>
        <v/>
      </c>
      <c r="P154" s="483"/>
      <c r="Q154" s="483"/>
      <c r="R154" s="483"/>
      <c r="S154" s="483"/>
      <c r="T154" s="483"/>
      <c r="U154" s="483"/>
      <c r="V154" s="412" t="str">
        <f>IF($M154&lt;&gt;"",IF(VLOOKUP($M154,'Plan d''actions détaillé'!$D$6:$P$30,12,FALSE)="","",VLOOKUP($M154,'Plan d''actions détaillé'!$D$6:$P$30,12,FALSE)),"")</f>
        <v/>
      </c>
      <c r="W154" s="377"/>
      <c r="X154" s="369"/>
    </row>
    <row r="155" spans="7:24" ht="7.5" customHeight="1" x14ac:dyDescent="0.2">
      <c r="G155" s="376"/>
      <c r="H155" s="372"/>
      <c r="I155" s="372"/>
      <c r="J155" s="414" t="str">
        <f t="array" ref="J155">IF($K$132="","",IF(INDEX('Plan d''actions détaillé'!A:A,MIN(IF((COUNTIF(J$147:J154,'Plan d''actions détaillé'!$A$6:$A$30)=0)*(INDEX('Plan d''actions détaillé'!$U$6:$AL$30,,MATCH($K$132,'Plan d''actions détaillé'!$U$5:$AL$5,0))="X"),ROW('Plan d''actions détaillé'!$T$6:$T$30))))=0,"",INDEX('Plan d''actions détaillé'!A:A,MIN(IF((COUNTIF(J$147:J154,'Plan d''actions détaillé'!$A$6:$A$30)=0)*(INDEX('Plan d''actions détaillé'!$U$6:$AL$30,,MATCH($K$132,'Plan d''actions détaillé'!$U$5:$AL$5,0))="X"),ROW('Plan d''actions détaillé'!$T$6:$T$30))))))</f>
        <v/>
      </c>
      <c r="K155" s="414"/>
      <c r="L155" s="415"/>
      <c r="M155" s="413" t="str">
        <f t="array" ref="M155">IF($K$132="","",IF(INDEX('Plan d''actions détaillé'!D:D,MIN(IF((COUNTIF(M$147:M154,'Plan d''actions détaillé'!$D$6:$D$30)=0)*(INDEX('Plan d''actions détaillé'!$U$6:$AL$30,,MATCH($K$132,'Plan d''actions détaillé'!$U$5:$AL$5,0))="X"),ROW('Plan d''actions détaillé'!$T$6:$T$30))))=0,"",INDEX('Plan d''actions détaillé'!D:D,MIN(IF((COUNTIF(M$147:M154,'Plan d''actions détaillé'!$D$6:$D$30)=0)*(INDEX('Plan d''actions détaillé'!$U$6:$AL$30,,MATCH($K$132,'Plan d''actions détaillé'!$U$5:$AL$5,0))="X"),ROW('Plan d''actions détaillé'!$T$6:$T$30))))))</f>
        <v/>
      </c>
      <c r="N155" s="411" t="str">
        <f>IF($M155&lt;&gt;"",IF(VLOOKUP($M155,'Plan d''actions détaillé'!$D$6:$P$30,8,FALSE)="","",VLOOKUP($M155,'Plan d''actions détaillé'!$D$6:$P$30,8,FALSE)),"")</f>
        <v/>
      </c>
      <c r="O155" s="483" t="str">
        <f>IF($M155&lt;&gt;"",IF(VLOOKUP($M155,'Plan d''actions détaillé'!$D$6:$P$30,6,FALSE)="","",VLOOKUP($M155,'Plan d''actions détaillé'!$D$6:$P$30,6,FALSE)),"")</f>
        <v/>
      </c>
      <c r="P155" s="483"/>
      <c r="Q155" s="483"/>
      <c r="R155" s="483"/>
      <c r="S155" s="483"/>
      <c r="T155" s="483"/>
      <c r="U155" s="483"/>
      <c r="V155" s="412" t="str">
        <f>IF($M155&lt;&gt;"",IF(VLOOKUP($M155,'Plan d''actions détaillé'!$D$6:$P$30,12,FALSE)="","",VLOOKUP($M155,'Plan d''actions détaillé'!$D$6:$P$30,12,FALSE)),"")</f>
        <v/>
      </c>
      <c r="W155" s="377"/>
      <c r="X155" s="369"/>
    </row>
    <row r="156" spans="7:24" ht="7.5" customHeight="1" x14ac:dyDescent="0.2">
      <c r="G156" s="376"/>
      <c r="H156" s="372"/>
      <c r="I156" s="372"/>
      <c r="J156" s="414" t="str">
        <f t="array" ref="J156">IF($K$132="","",IF(INDEX('Plan d''actions détaillé'!A:A,MIN(IF((COUNTIF(J$147:J155,'Plan d''actions détaillé'!$A$6:$A$30)=0)*(INDEX('Plan d''actions détaillé'!$U$6:$AL$30,,MATCH($K$132,'Plan d''actions détaillé'!$U$5:$AL$5,0))="X"),ROW('Plan d''actions détaillé'!$T$6:$T$30))))=0,"",INDEX('Plan d''actions détaillé'!A:A,MIN(IF((COUNTIF(J$147:J155,'Plan d''actions détaillé'!$A$6:$A$30)=0)*(INDEX('Plan d''actions détaillé'!$U$6:$AL$30,,MATCH($K$132,'Plan d''actions détaillé'!$U$5:$AL$5,0))="X"),ROW('Plan d''actions détaillé'!$T$6:$T$30))))))</f>
        <v/>
      </c>
      <c r="K156" s="414"/>
      <c r="L156" s="415"/>
      <c r="M156" s="413" t="str">
        <f t="array" ref="M156">IF($K$132="","",IF(INDEX('Plan d''actions détaillé'!D:D,MIN(IF((COUNTIF(M$147:M155,'Plan d''actions détaillé'!$D$6:$D$30)=0)*(INDEX('Plan d''actions détaillé'!$U$6:$AL$30,,MATCH($K$132,'Plan d''actions détaillé'!$U$5:$AL$5,0))="X"),ROW('Plan d''actions détaillé'!$T$6:$T$30))))=0,"",INDEX('Plan d''actions détaillé'!D:D,MIN(IF((COUNTIF(M$147:M155,'Plan d''actions détaillé'!$D$6:$D$30)=0)*(INDEX('Plan d''actions détaillé'!$U$6:$AL$30,,MATCH($K$132,'Plan d''actions détaillé'!$U$5:$AL$5,0))="X"),ROW('Plan d''actions détaillé'!$T$6:$T$30))))))</f>
        <v/>
      </c>
      <c r="N156" s="411" t="str">
        <f>IF($M156&lt;&gt;"",IF(VLOOKUP($M156,'Plan d''actions détaillé'!$D$6:$P$30,8,FALSE)="","",VLOOKUP($M156,'Plan d''actions détaillé'!$D$6:$P$30,8,FALSE)),"")</f>
        <v/>
      </c>
      <c r="O156" s="483" t="str">
        <f>IF($M156&lt;&gt;"",IF(VLOOKUP($M156,'Plan d''actions détaillé'!$D$6:$P$30,6,FALSE)="","",VLOOKUP($M156,'Plan d''actions détaillé'!$D$6:$P$30,6,FALSE)),"")</f>
        <v/>
      </c>
      <c r="P156" s="483"/>
      <c r="Q156" s="483"/>
      <c r="R156" s="483"/>
      <c r="S156" s="483"/>
      <c r="T156" s="483"/>
      <c r="U156" s="483"/>
      <c r="V156" s="412" t="str">
        <f>IF($M156&lt;&gt;"",IF(VLOOKUP($M156,'Plan d''actions détaillé'!$D$6:$P$30,12,FALSE)="","",VLOOKUP($M156,'Plan d''actions détaillé'!$D$6:$P$30,12,FALSE)),"")</f>
        <v/>
      </c>
      <c r="W156" s="377"/>
      <c r="X156" s="369"/>
    </row>
    <row r="157" spans="7:24" ht="7.5" customHeight="1" x14ac:dyDescent="0.2">
      <c r="G157" s="376"/>
      <c r="H157" s="372"/>
      <c r="I157" s="372"/>
      <c r="J157" s="414" t="str">
        <f t="array" ref="J157">IF($K$132="","",IF(INDEX('Plan d''actions détaillé'!A:A,MIN(IF((COUNTIF(J$147:J156,'Plan d''actions détaillé'!$A$6:$A$30)=0)*(INDEX('Plan d''actions détaillé'!$U$6:$AL$30,,MATCH($K$132,'Plan d''actions détaillé'!$U$5:$AL$5,0))="X"),ROW('Plan d''actions détaillé'!$T$6:$T$30))))=0,"",INDEX('Plan d''actions détaillé'!A:A,MIN(IF((COUNTIF(J$147:J156,'Plan d''actions détaillé'!$A$6:$A$30)=0)*(INDEX('Plan d''actions détaillé'!$U$6:$AL$30,,MATCH($K$132,'Plan d''actions détaillé'!$U$5:$AL$5,0))="X"),ROW('Plan d''actions détaillé'!$T$6:$T$30))))))</f>
        <v/>
      </c>
      <c r="K157" s="414"/>
      <c r="L157" s="415"/>
      <c r="M157" s="413" t="str">
        <f t="array" ref="M157">IF($K$132="","",IF(INDEX('Plan d''actions détaillé'!D:D,MIN(IF((COUNTIF(M$147:M156,'Plan d''actions détaillé'!$D$6:$D$30)=0)*(INDEX('Plan d''actions détaillé'!$U$6:$AL$30,,MATCH($K$132,'Plan d''actions détaillé'!$U$5:$AL$5,0))="X"),ROW('Plan d''actions détaillé'!$T$6:$T$30))))=0,"",INDEX('Plan d''actions détaillé'!D:D,MIN(IF((COUNTIF(M$147:M156,'Plan d''actions détaillé'!$D$6:$D$30)=0)*(INDEX('Plan d''actions détaillé'!$U$6:$AL$30,,MATCH($K$132,'Plan d''actions détaillé'!$U$5:$AL$5,0))="X"),ROW('Plan d''actions détaillé'!$T$6:$T$30))))))</f>
        <v/>
      </c>
      <c r="N157" s="411" t="str">
        <f>IF($M157&lt;&gt;"",IF(VLOOKUP($M157,'Plan d''actions détaillé'!$D$6:$P$30,8,FALSE)="","",VLOOKUP($M157,'Plan d''actions détaillé'!$D$6:$P$30,8,FALSE)),"")</f>
        <v/>
      </c>
      <c r="O157" s="483" t="str">
        <f>IF($M157&lt;&gt;"",IF(VLOOKUP($M157,'Plan d''actions détaillé'!$D$6:$P$30,6,FALSE)="","",VLOOKUP($M157,'Plan d''actions détaillé'!$D$6:$P$30,6,FALSE)),"")</f>
        <v/>
      </c>
      <c r="P157" s="483"/>
      <c r="Q157" s="483"/>
      <c r="R157" s="483"/>
      <c r="S157" s="483"/>
      <c r="T157" s="483"/>
      <c r="U157" s="483"/>
      <c r="V157" s="412" t="str">
        <f>IF($M157&lt;&gt;"",IF(VLOOKUP($M157,'Plan d''actions détaillé'!$D$6:$P$30,12,FALSE)="","",VLOOKUP($M157,'Plan d''actions détaillé'!$D$6:$P$30,12,FALSE)),"")</f>
        <v/>
      </c>
      <c r="W157" s="377"/>
      <c r="X157" s="369"/>
    </row>
    <row r="158" spans="7:24" ht="7.5" customHeight="1" x14ac:dyDescent="0.2">
      <c r="G158" s="376"/>
      <c r="H158" s="372"/>
      <c r="I158" s="372"/>
      <c r="J158" s="414" t="str">
        <f t="array" ref="J158">IF($K$132="","",IF(INDEX('Plan d''actions détaillé'!A:A,MIN(IF((COUNTIF(J$147:J157,'Plan d''actions détaillé'!$A$6:$A$30)=0)*(INDEX('Plan d''actions détaillé'!$U$6:$AL$30,,MATCH($K$132,'Plan d''actions détaillé'!$U$5:$AL$5,0))="X"),ROW('Plan d''actions détaillé'!$T$6:$T$30))))=0,"",INDEX('Plan d''actions détaillé'!A:A,MIN(IF((COUNTIF(J$147:J157,'Plan d''actions détaillé'!$A$6:$A$30)=0)*(INDEX('Plan d''actions détaillé'!$U$6:$AL$30,,MATCH($K$132,'Plan d''actions détaillé'!$U$5:$AL$5,0))="X"),ROW('Plan d''actions détaillé'!$T$6:$T$30))))))</f>
        <v/>
      </c>
      <c r="K158" s="414"/>
      <c r="L158" s="415"/>
      <c r="M158" s="413" t="str">
        <f t="array" ref="M158">IF($K$132="","",IF(INDEX('Plan d''actions détaillé'!D:D,MIN(IF((COUNTIF(M$147:M157,'Plan d''actions détaillé'!$D$6:$D$30)=0)*(INDEX('Plan d''actions détaillé'!$U$6:$AL$30,,MATCH($K$132,'Plan d''actions détaillé'!$U$5:$AL$5,0))="X"),ROW('Plan d''actions détaillé'!$T$6:$T$30))))=0,"",INDEX('Plan d''actions détaillé'!D:D,MIN(IF((COUNTIF(M$147:M157,'Plan d''actions détaillé'!$D$6:$D$30)=0)*(INDEX('Plan d''actions détaillé'!$U$6:$AL$30,,MATCH($K$132,'Plan d''actions détaillé'!$U$5:$AL$5,0))="X"),ROW('Plan d''actions détaillé'!$T$6:$T$30))))))</f>
        <v/>
      </c>
      <c r="N158" s="411" t="str">
        <f>IF($M158&lt;&gt;"",IF(VLOOKUP($M158,'Plan d''actions détaillé'!$D$6:$P$30,8,FALSE)="","",VLOOKUP($M158,'Plan d''actions détaillé'!$D$6:$P$30,8,FALSE)),"")</f>
        <v/>
      </c>
      <c r="O158" s="483" t="str">
        <f>IF($M158&lt;&gt;"",IF(VLOOKUP($M158,'Plan d''actions détaillé'!$D$6:$P$30,6,FALSE)="","",VLOOKUP($M158,'Plan d''actions détaillé'!$D$6:$P$30,6,FALSE)),"")</f>
        <v/>
      </c>
      <c r="P158" s="483"/>
      <c r="Q158" s="483"/>
      <c r="R158" s="483"/>
      <c r="S158" s="483"/>
      <c r="T158" s="483"/>
      <c r="U158" s="483"/>
      <c r="V158" s="412" t="str">
        <f>IF($M158&lt;&gt;"",IF(VLOOKUP($M158,'Plan d''actions détaillé'!$D$6:$P$30,12,FALSE)="","",VLOOKUP($M158,'Plan d''actions détaillé'!$D$6:$P$30,12,FALSE)),"")</f>
        <v/>
      </c>
      <c r="W158" s="377"/>
      <c r="X158" s="369"/>
    </row>
    <row r="159" spans="7:24" ht="7.5" customHeight="1" x14ac:dyDescent="0.2">
      <c r="G159" s="376"/>
      <c r="H159" s="372"/>
      <c r="I159" s="372"/>
      <c r="J159" s="414" t="str">
        <f t="array" ref="J159">IF($K$132="","",IF(INDEX('Plan d''actions détaillé'!A:A,MIN(IF((COUNTIF(J$147:J158,'Plan d''actions détaillé'!$A$6:$A$30)=0)*(INDEX('Plan d''actions détaillé'!$U$6:$AL$30,,MATCH($K$132,'Plan d''actions détaillé'!$U$5:$AL$5,0))="X"),ROW('Plan d''actions détaillé'!$T$6:$T$30))))=0,"",INDEX('Plan d''actions détaillé'!A:A,MIN(IF((COUNTIF(J$147:J158,'Plan d''actions détaillé'!$A$6:$A$30)=0)*(INDEX('Plan d''actions détaillé'!$U$6:$AL$30,,MATCH($K$132,'Plan d''actions détaillé'!$U$5:$AL$5,0))="X"),ROW('Plan d''actions détaillé'!$T$6:$T$30))))))</f>
        <v/>
      </c>
      <c r="K159" s="414"/>
      <c r="L159" s="415"/>
      <c r="M159" s="413" t="str">
        <f t="array" ref="M159">IF($K$132="","",IF(INDEX('Plan d''actions détaillé'!D:D,MIN(IF((COUNTIF(M$147:M158,'Plan d''actions détaillé'!$D$6:$D$30)=0)*(INDEX('Plan d''actions détaillé'!$U$6:$AL$30,,MATCH($K$132,'Plan d''actions détaillé'!$U$5:$AL$5,0))="X"),ROW('Plan d''actions détaillé'!$T$6:$T$30))))=0,"",INDEX('Plan d''actions détaillé'!D:D,MIN(IF((COUNTIF(M$147:M158,'Plan d''actions détaillé'!$D$6:$D$30)=0)*(INDEX('Plan d''actions détaillé'!$U$6:$AL$30,,MATCH($K$132,'Plan d''actions détaillé'!$U$5:$AL$5,0))="X"),ROW('Plan d''actions détaillé'!$T$6:$T$30))))))</f>
        <v/>
      </c>
      <c r="N159" s="411" t="str">
        <f>IF($M159&lt;&gt;"",IF(VLOOKUP($M159,'Plan d''actions détaillé'!$D$6:$P$30,8,FALSE)="","",VLOOKUP($M159,'Plan d''actions détaillé'!$D$6:$P$30,8,FALSE)),"")</f>
        <v/>
      </c>
      <c r="O159" s="483" t="str">
        <f>IF($M159&lt;&gt;"",IF(VLOOKUP($M159,'Plan d''actions détaillé'!$D$6:$P$30,6,FALSE)="","",VLOOKUP($M159,'Plan d''actions détaillé'!$D$6:$P$30,6,FALSE)),"")</f>
        <v/>
      </c>
      <c r="P159" s="483"/>
      <c r="Q159" s="483"/>
      <c r="R159" s="483"/>
      <c r="S159" s="483"/>
      <c r="T159" s="483"/>
      <c r="U159" s="483"/>
      <c r="V159" s="412" t="str">
        <f>IF($M159&lt;&gt;"",IF(VLOOKUP($M159,'Plan d''actions détaillé'!$D$6:$P$30,12,FALSE)="","",VLOOKUP($M159,'Plan d''actions détaillé'!$D$6:$P$30,12,FALSE)),"")</f>
        <v/>
      </c>
      <c r="W159" s="377"/>
      <c r="X159" s="369"/>
    </row>
    <row r="160" spans="7:24" ht="7.5" customHeight="1" x14ac:dyDescent="0.2">
      <c r="G160" s="376"/>
      <c r="H160" s="372"/>
      <c r="I160" s="372"/>
      <c r="J160" s="414" t="str">
        <f t="array" ref="J160">IF($K$132="","",IF(INDEX('Plan d''actions détaillé'!A:A,MIN(IF((COUNTIF(J$147:J159,'Plan d''actions détaillé'!$A$6:$A$30)=0)*(INDEX('Plan d''actions détaillé'!$U$6:$AL$30,,MATCH($K$132,'Plan d''actions détaillé'!$U$5:$AL$5,0))="X"),ROW('Plan d''actions détaillé'!$T$6:$T$30))))=0,"",INDEX('Plan d''actions détaillé'!A:A,MIN(IF((COUNTIF(J$147:J159,'Plan d''actions détaillé'!$A$6:$A$30)=0)*(INDEX('Plan d''actions détaillé'!$U$6:$AL$30,,MATCH($K$132,'Plan d''actions détaillé'!$U$5:$AL$5,0))="X"),ROW('Plan d''actions détaillé'!$T$6:$T$30))))))</f>
        <v/>
      </c>
      <c r="K160" s="414"/>
      <c r="L160" s="415"/>
      <c r="M160" s="413" t="str">
        <f t="array" ref="M160">IF($K$132="","",IF(INDEX('Plan d''actions détaillé'!D:D,MIN(IF((COUNTIF(M$147:M159,'Plan d''actions détaillé'!$D$6:$D$30)=0)*(INDEX('Plan d''actions détaillé'!$U$6:$AL$30,,MATCH($K$132,'Plan d''actions détaillé'!$U$5:$AL$5,0))="X"),ROW('Plan d''actions détaillé'!$T$6:$T$30))))=0,"",INDEX('Plan d''actions détaillé'!D:D,MIN(IF((COUNTIF(M$147:M159,'Plan d''actions détaillé'!$D$6:$D$30)=0)*(INDEX('Plan d''actions détaillé'!$U$6:$AL$30,,MATCH($K$132,'Plan d''actions détaillé'!$U$5:$AL$5,0))="X"),ROW('Plan d''actions détaillé'!$T$6:$T$30))))))</f>
        <v/>
      </c>
      <c r="N160" s="411" t="str">
        <f>IF($M160&lt;&gt;"",IF(VLOOKUP($M160,'Plan d''actions détaillé'!$D$6:$P$30,8,FALSE)="","",VLOOKUP($M160,'Plan d''actions détaillé'!$D$6:$P$30,8,FALSE)),"")</f>
        <v/>
      </c>
      <c r="O160" s="483" t="str">
        <f>IF($M160&lt;&gt;"",IF(VLOOKUP($M160,'Plan d''actions détaillé'!$D$6:$P$30,6,FALSE)="","",VLOOKUP($M160,'Plan d''actions détaillé'!$D$6:$P$30,6,FALSE)),"")</f>
        <v/>
      </c>
      <c r="P160" s="483"/>
      <c r="Q160" s="483"/>
      <c r="R160" s="483"/>
      <c r="S160" s="483"/>
      <c r="T160" s="483"/>
      <c r="U160" s="483"/>
      <c r="V160" s="412" t="str">
        <f>IF($M160&lt;&gt;"",IF(VLOOKUP($M160,'Plan d''actions détaillé'!$D$6:$P$30,12,FALSE)="","",VLOOKUP($M160,'Plan d''actions détaillé'!$D$6:$P$30,12,FALSE)),"")</f>
        <v/>
      </c>
      <c r="W160" s="377"/>
      <c r="X160" s="369"/>
    </row>
    <row r="161" spans="7:24" ht="7.5" customHeight="1" x14ac:dyDescent="0.2">
      <c r="G161" s="376"/>
      <c r="H161" s="372"/>
      <c r="I161" s="372"/>
      <c r="J161" s="414" t="str">
        <f t="array" ref="J161">IF($K$132="","",IF(INDEX('Plan d''actions détaillé'!A:A,MIN(IF((COUNTIF(J$147:J160,'Plan d''actions détaillé'!$A$6:$A$30)=0)*(INDEX('Plan d''actions détaillé'!$U$6:$AL$30,,MATCH($K$132,'Plan d''actions détaillé'!$U$5:$AL$5,0))="X"),ROW('Plan d''actions détaillé'!$T$6:$T$30))))=0,"",INDEX('Plan d''actions détaillé'!A:A,MIN(IF((COUNTIF(J$147:J160,'Plan d''actions détaillé'!$A$6:$A$30)=0)*(INDEX('Plan d''actions détaillé'!$U$6:$AL$30,,MATCH($K$132,'Plan d''actions détaillé'!$U$5:$AL$5,0))="X"),ROW('Plan d''actions détaillé'!$T$6:$T$30))))))</f>
        <v/>
      </c>
      <c r="K161" s="414"/>
      <c r="L161" s="415"/>
      <c r="M161" s="413" t="str">
        <f t="array" ref="M161">IF($K$132="","",IF(INDEX('Plan d''actions détaillé'!D:D,MIN(IF((COUNTIF(M$147:M160,'Plan d''actions détaillé'!$D$6:$D$30)=0)*(INDEX('Plan d''actions détaillé'!$U$6:$AL$30,,MATCH($K$132,'Plan d''actions détaillé'!$U$5:$AL$5,0))="X"),ROW('Plan d''actions détaillé'!$T$6:$T$30))))=0,"",INDEX('Plan d''actions détaillé'!D:D,MIN(IF((COUNTIF(M$147:M160,'Plan d''actions détaillé'!$D$6:$D$30)=0)*(INDEX('Plan d''actions détaillé'!$U$6:$AL$30,,MATCH($K$132,'Plan d''actions détaillé'!$U$5:$AL$5,0))="X"),ROW('Plan d''actions détaillé'!$T$6:$T$30))))))</f>
        <v/>
      </c>
      <c r="N161" s="411" t="str">
        <f>IF($M161&lt;&gt;"",IF(VLOOKUP($M161,'Plan d''actions détaillé'!$D$6:$P$30,8,FALSE)="","",VLOOKUP($M161,'Plan d''actions détaillé'!$D$6:$P$30,8,FALSE)),"")</f>
        <v/>
      </c>
      <c r="O161" s="483" t="str">
        <f>IF($M161&lt;&gt;"",IF(VLOOKUP($M161,'Plan d''actions détaillé'!$D$6:$P$30,6,FALSE)="","",VLOOKUP($M161,'Plan d''actions détaillé'!$D$6:$P$30,6,FALSE)),"")</f>
        <v/>
      </c>
      <c r="P161" s="483"/>
      <c r="Q161" s="483"/>
      <c r="R161" s="483"/>
      <c r="S161" s="483"/>
      <c r="T161" s="483"/>
      <c r="U161" s="483"/>
      <c r="V161" s="412" t="str">
        <f>IF($M161&lt;&gt;"",IF(VLOOKUP($M161,'Plan d''actions détaillé'!$D$6:$P$30,12,FALSE)="","",VLOOKUP($M161,'Plan d''actions détaillé'!$D$6:$P$30,12,FALSE)),"")</f>
        <v/>
      </c>
      <c r="W161" s="377"/>
      <c r="X161" s="369"/>
    </row>
    <row r="162" spans="7:24" ht="7.5" customHeight="1" x14ac:dyDescent="0.2">
      <c r="G162" s="376"/>
      <c r="H162" s="372"/>
      <c r="I162" s="372"/>
      <c r="J162" s="414" t="str">
        <f t="array" ref="J162">IF($K$132="","",IF(INDEX('Plan d''actions détaillé'!A:A,MIN(IF((COUNTIF(J$147:J161,'Plan d''actions détaillé'!$A$6:$A$30)=0)*(INDEX('Plan d''actions détaillé'!$U$6:$AL$30,,MATCH($K$132,'Plan d''actions détaillé'!$U$5:$AL$5,0))="X"),ROW('Plan d''actions détaillé'!$T$6:$T$30))))=0,"",INDEX('Plan d''actions détaillé'!A:A,MIN(IF((COUNTIF(J$147:J161,'Plan d''actions détaillé'!$A$6:$A$30)=0)*(INDEX('Plan d''actions détaillé'!$U$6:$AL$30,,MATCH($K$132,'Plan d''actions détaillé'!$U$5:$AL$5,0))="X"),ROW('Plan d''actions détaillé'!$T$6:$T$30))))))</f>
        <v/>
      </c>
      <c r="K162" s="414"/>
      <c r="L162" s="415"/>
      <c r="M162" s="413" t="str">
        <f t="array" ref="M162">IF($K$132="","",IF(INDEX('Plan d''actions détaillé'!D:D,MIN(IF((COUNTIF(M$147:M161,'Plan d''actions détaillé'!$D$6:$D$30)=0)*(INDEX('Plan d''actions détaillé'!$U$6:$AL$30,,MATCH($K$132,'Plan d''actions détaillé'!$U$5:$AL$5,0))="X"),ROW('Plan d''actions détaillé'!$T$6:$T$30))))=0,"",INDEX('Plan d''actions détaillé'!D:D,MIN(IF((COUNTIF(M$147:M161,'Plan d''actions détaillé'!$D$6:$D$30)=0)*(INDEX('Plan d''actions détaillé'!$U$6:$AL$30,,MATCH($K$132,'Plan d''actions détaillé'!$U$5:$AL$5,0))="X"),ROW('Plan d''actions détaillé'!$T$6:$T$30))))))</f>
        <v/>
      </c>
      <c r="N162" s="411" t="str">
        <f>IF($M162&lt;&gt;"",IF(VLOOKUP($M162,'Plan d''actions détaillé'!$D$6:$P$30,8,FALSE)="","",VLOOKUP($M162,'Plan d''actions détaillé'!$D$6:$P$30,8,FALSE)),"")</f>
        <v/>
      </c>
      <c r="O162" s="483" t="str">
        <f>IF($M162&lt;&gt;"",IF(VLOOKUP($M162,'Plan d''actions détaillé'!$D$6:$P$30,6,FALSE)="","",VLOOKUP($M162,'Plan d''actions détaillé'!$D$6:$P$30,6,FALSE)),"")</f>
        <v/>
      </c>
      <c r="P162" s="483"/>
      <c r="Q162" s="483"/>
      <c r="R162" s="483"/>
      <c r="S162" s="483"/>
      <c r="T162" s="483"/>
      <c r="U162" s="483"/>
      <c r="V162" s="412" t="str">
        <f>IF($M162&lt;&gt;"",IF(VLOOKUP($M162,'Plan d''actions détaillé'!$D$6:$P$30,12,FALSE)="","",VLOOKUP($M162,'Plan d''actions détaillé'!$D$6:$P$30,12,FALSE)),"")</f>
        <v/>
      </c>
      <c r="W162" s="377"/>
      <c r="X162" s="369"/>
    </row>
    <row r="163" spans="7:24" ht="7.5" customHeight="1" x14ac:dyDescent="0.2">
      <c r="G163" s="376"/>
      <c r="H163" s="372"/>
      <c r="I163" s="372"/>
      <c r="J163" s="414" t="str">
        <f t="array" ref="J163">IF($K$132="","",IF(INDEX('Plan d''actions détaillé'!A:A,MIN(IF((COUNTIF(J$147:J162,'Plan d''actions détaillé'!$A$6:$A$30)=0)*(INDEX('Plan d''actions détaillé'!$U$6:$AL$30,,MATCH($K$132,'Plan d''actions détaillé'!$U$5:$AL$5,0))="X"),ROW('Plan d''actions détaillé'!$T$6:$T$30))))=0,"",INDEX('Plan d''actions détaillé'!A:A,MIN(IF((COUNTIF(J$147:J162,'Plan d''actions détaillé'!$A$6:$A$30)=0)*(INDEX('Plan d''actions détaillé'!$U$6:$AL$30,,MATCH($K$132,'Plan d''actions détaillé'!$U$5:$AL$5,0))="X"),ROW('Plan d''actions détaillé'!$T$6:$T$30))))))</f>
        <v/>
      </c>
      <c r="K163" s="414"/>
      <c r="L163" s="415"/>
      <c r="M163" s="413" t="str">
        <f t="array" ref="M163">IF($K$132="","",IF(INDEX('Plan d''actions détaillé'!D:D,MIN(IF((COUNTIF(M$147:M162,'Plan d''actions détaillé'!$D$6:$D$30)=0)*(INDEX('Plan d''actions détaillé'!$U$6:$AL$30,,MATCH($K$132,'Plan d''actions détaillé'!$U$5:$AL$5,0))="X"),ROW('Plan d''actions détaillé'!$T$6:$T$30))))=0,"",INDEX('Plan d''actions détaillé'!D:D,MIN(IF((COUNTIF(M$147:M162,'Plan d''actions détaillé'!$D$6:$D$30)=0)*(INDEX('Plan d''actions détaillé'!$U$6:$AL$30,,MATCH($K$132,'Plan d''actions détaillé'!$U$5:$AL$5,0))="X"),ROW('Plan d''actions détaillé'!$T$6:$T$30))))))</f>
        <v/>
      </c>
      <c r="N163" s="411" t="str">
        <f>IF($M163&lt;&gt;"",IF(VLOOKUP($M163,'Plan d''actions détaillé'!$D$6:$P$30,8,FALSE)="","",VLOOKUP($M163,'Plan d''actions détaillé'!$D$6:$P$30,8,FALSE)),"")</f>
        <v/>
      </c>
      <c r="O163" s="483" t="str">
        <f>IF($M163&lt;&gt;"",IF(VLOOKUP($M163,'Plan d''actions détaillé'!$D$6:$P$30,6,FALSE)="","",VLOOKUP($M163,'Plan d''actions détaillé'!$D$6:$P$30,6,FALSE)),"")</f>
        <v/>
      </c>
      <c r="P163" s="483"/>
      <c r="Q163" s="483"/>
      <c r="R163" s="483"/>
      <c r="S163" s="483"/>
      <c r="T163" s="483"/>
      <c r="U163" s="483"/>
      <c r="V163" s="412" t="str">
        <f>IF($M163&lt;&gt;"",IF(VLOOKUP($M163,'Plan d''actions détaillé'!$D$6:$P$30,12,FALSE)="","",VLOOKUP($M163,'Plan d''actions détaillé'!$D$6:$P$30,12,FALSE)),"")</f>
        <v/>
      </c>
      <c r="W163" s="377"/>
      <c r="X163" s="369"/>
    </row>
    <row r="164" spans="7:24" ht="14.25" customHeight="1" thickBot="1" x14ac:dyDescent="0.25">
      <c r="G164" s="378"/>
      <c r="H164" s="379"/>
      <c r="I164" s="379"/>
      <c r="J164" s="379"/>
      <c r="K164" s="379"/>
      <c r="L164" s="379"/>
      <c r="M164" s="379"/>
      <c r="N164" s="380"/>
      <c r="O164" s="379"/>
      <c r="P164" s="379"/>
      <c r="Q164" s="379"/>
      <c r="R164" s="379"/>
      <c r="S164" s="379"/>
      <c r="T164" s="379"/>
      <c r="U164" s="379"/>
      <c r="V164" s="379"/>
      <c r="W164" s="381"/>
      <c r="X164" s="369"/>
    </row>
    <row r="165" spans="7:24" ht="13.5" thickBot="1" x14ac:dyDescent="0.25">
      <c r="G165" s="369"/>
      <c r="H165" s="369"/>
      <c r="I165" s="369"/>
      <c r="J165" s="369"/>
      <c r="K165" s="369"/>
      <c r="L165" s="369"/>
      <c r="M165" s="369"/>
      <c r="N165" s="371"/>
      <c r="O165" s="370"/>
      <c r="P165" s="370"/>
      <c r="Q165" s="370"/>
      <c r="R165" s="370"/>
      <c r="S165" s="370"/>
      <c r="T165" s="370"/>
      <c r="U165" s="370"/>
      <c r="V165" s="370"/>
      <c r="W165" s="369"/>
      <c r="X165" s="369"/>
    </row>
    <row r="166" spans="7:24" x14ac:dyDescent="0.2">
      <c r="G166" s="373"/>
      <c r="H166" s="374"/>
      <c r="I166" s="374"/>
      <c r="J166" s="374"/>
      <c r="K166" s="374"/>
      <c r="L166" s="374"/>
      <c r="M166" s="374"/>
      <c r="N166" s="374"/>
      <c r="O166" s="374"/>
      <c r="P166" s="374"/>
      <c r="Q166" s="374"/>
      <c r="R166" s="374"/>
      <c r="S166" s="374"/>
      <c r="T166" s="374"/>
      <c r="U166" s="374"/>
      <c r="V166" s="374"/>
      <c r="W166" s="375"/>
      <c r="X166" s="369"/>
    </row>
    <row r="167" spans="7:24" ht="12.75" customHeight="1" x14ac:dyDescent="0.2">
      <c r="G167" s="494" t="str">
        <f>C8</f>
        <v/>
      </c>
      <c r="H167" s="495"/>
      <c r="I167" s="495"/>
      <c r="J167" s="495"/>
      <c r="K167" s="496" t="str">
        <f>D8</f>
        <v/>
      </c>
      <c r="L167" s="496"/>
      <c r="M167" s="496"/>
      <c r="N167" s="496"/>
      <c r="O167" s="496"/>
      <c r="P167" s="496"/>
      <c r="Q167" s="496"/>
      <c r="R167" s="496"/>
      <c r="S167" s="496"/>
      <c r="T167" s="496"/>
      <c r="U167" s="496"/>
      <c r="V167" s="496"/>
      <c r="W167" s="397"/>
      <c r="X167" s="369"/>
    </row>
    <row r="168" spans="7:24" ht="12.75" customHeight="1" x14ac:dyDescent="0.2">
      <c r="G168" s="494"/>
      <c r="H168" s="495"/>
      <c r="I168" s="495"/>
      <c r="J168" s="495"/>
      <c r="K168" s="496"/>
      <c r="L168" s="496"/>
      <c r="M168" s="496"/>
      <c r="N168" s="496"/>
      <c r="O168" s="496"/>
      <c r="P168" s="496"/>
      <c r="Q168" s="496"/>
      <c r="R168" s="496"/>
      <c r="S168" s="496"/>
      <c r="T168" s="496"/>
      <c r="U168" s="496"/>
      <c r="V168" s="496"/>
      <c r="W168" s="397"/>
      <c r="X168" s="369"/>
    </row>
    <row r="169" spans="7:24" x14ac:dyDescent="0.2">
      <c r="G169" s="376"/>
      <c r="H169" s="372"/>
      <c r="I169" s="372"/>
      <c r="J169" s="372"/>
      <c r="K169" s="372"/>
      <c r="L169" s="372"/>
      <c r="M169" s="372"/>
      <c r="N169" s="372"/>
      <c r="O169" s="372"/>
      <c r="P169" s="372"/>
      <c r="Q169" s="372"/>
      <c r="R169" s="372"/>
      <c r="S169" s="372"/>
      <c r="T169" s="372"/>
      <c r="U169" s="372"/>
      <c r="V169" s="372"/>
      <c r="W169" s="377"/>
      <c r="X169" s="369"/>
    </row>
    <row r="170" spans="7:24" ht="23.25" customHeight="1" x14ac:dyDescent="0.2">
      <c r="G170" s="497" t="s">
        <v>1</v>
      </c>
      <c r="H170" s="386" t="str">
        <f>IF(AND(O175=5,O176=1),"X","")</f>
        <v/>
      </c>
      <c r="I170" s="387" t="str">
        <f>IF(AND(O175=5,O176=2),"X","")</f>
        <v/>
      </c>
      <c r="J170" s="388" t="str">
        <f>IF(AND(O175=5,O176=3),"X","")</f>
        <v/>
      </c>
      <c r="K170" s="388" t="str">
        <f>IF(AND(O175=5,O176=4),"X","")</f>
        <v/>
      </c>
      <c r="L170" s="388" t="str">
        <f>IF(AND(O175=5,O176=5),"X","")</f>
        <v/>
      </c>
      <c r="N170" s="498" t="str">
        <f>"Processus de rattachement "</f>
        <v xml:space="preserve">Processus de rattachement </v>
      </c>
      <c r="O170" s="499"/>
      <c r="P170" s="499"/>
      <c r="Q170" s="499"/>
      <c r="R170" s="499"/>
      <c r="S170" s="499"/>
      <c r="T170" s="499"/>
      <c r="U170" s="499"/>
      <c r="V170" s="500"/>
      <c r="W170" s="377"/>
      <c r="X170" s="369"/>
    </row>
    <row r="171" spans="7:24" ht="23.25" x14ac:dyDescent="0.2">
      <c r="G171" s="497"/>
      <c r="H171" s="389" t="str">
        <f>IF(AND(O175=4,O176=1),"X","")</f>
        <v/>
      </c>
      <c r="I171" s="390" t="str">
        <f>IF(AND(O175=4,O176=2),"X","")</f>
        <v/>
      </c>
      <c r="J171" s="387" t="str">
        <f>IF(AND(O175=4,O176=3),"X","")</f>
        <v/>
      </c>
      <c r="K171" s="388" t="str">
        <f>IF(AND(O175=4,O176=4),"X","")</f>
        <v/>
      </c>
      <c r="L171" s="388" t="str">
        <f>IF(AND(O175=4,O176=5),"X","")</f>
        <v/>
      </c>
      <c r="N171" s="501" t="str">
        <f>Matrice!$G$1&amp;" - "&amp;Matrice!$J$1</f>
        <v>DI2 - YYY</v>
      </c>
      <c r="O171" s="502"/>
      <c r="P171" s="502"/>
      <c r="Q171" s="502"/>
      <c r="R171" s="502"/>
      <c r="S171" s="502"/>
      <c r="T171" s="502"/>
      <c r="U171" s="502"/>
      <c r="V171" s="503"/>
      <c r="W171" s="377"/>
      <c r="X171" s="369"/>
    </row>
    <row r="172" spans="7:24" ht="23.25" x14ac:dyDescent="0.2">
      <c r="G172" s="497"/>
      <c r="H172" s="389" t="str">
        <f>IF(AND(O175=3,O176=1),"X","")</f>
        <v/>
      </c>
      <c r="I172" s="390" t="str">
        <f>IF(AND(O175=3,O176=2),"X","")</f>
        <v/>
      </c>
      <c r="J172" s="390" t="str">
        <f>IF(AND(O175=3,O176=3),"X","")</f>
        <v/>
      </c>
      <c r="K172" s="387" t="str">
        <f>IF(AND(O175=3,O176=4),"X","")</f>
        <v/>
      </c>
      <c r="L172" s="388" t="str">
        <f>IF(AND(O175=3,O176=5),"X","")</f>
        <v/>
      </c>
      <c r="N172" s="372"/>
      <c r="O172" s="372"/>
      <c r="W172" s="377"/>
      <c r="X172" s="369"/>
    </row>
    <row r="173" spans="7:24" ht="23.25" x14ac:dyDescent="0.2">
      <c r="G173" s="497"/>
      <c r="H173" s="391" t="str">
        <f>IF(AND(O175=2,O176=1),"X","")</f>
        <v/>
      </c>
      <c r="I173" s="392" t="str">
        <f>IF(AND(O175=2,O176=2),"X","")</f>
        <v/>
      </c>
      <c r="J173" s="390" t="str">
        <f>IF(AND(O175=2,O176=3),"X","")</f>
        <v/>
      </c>
      <c r="K173" s="390" t="str">
        <f>IF(AND(O175=2,O176=4),"X","")</f>
        <v/>
      </c>
      <c r="L173" s="387" t="str">
        <f>IF(AND(O175=2,O176=5),"X","")</f>
        <v/>
      </c>
      <c r="M173" s="372"/>
      <c r="N173" s="383" t="s">
        <v>236</v>
      </c>
      <c r="O173" s="382"/>
      <c r="P173" s="382"/>
      <c r="Q173" s="382"/>
      <c r="S173" s="385" t="s">
        <v>250</v>
      </c>
      <c r="T173" s="384"/>
      <c r="U173" s="384"/>
      <c r="V173" s="384"/>
      <c r="W173" s="377"/>
      <c r="X173" s="369"/>
    </row>
    <row r="174" spans="7:24" ht="24" thickBot="1" x14ac:dyDescent="0.25">
      <c r="G174" s="376"/>
      <c r="H174" s="393" t="str">
        <f>IF(AND(O175=1,O176=1),"X","")</f>
        <v/>
      </c>
      <c r="I174" s="394" t="str">
        <f>IF(AND(O175=1,O176=2),"X","")</f>
        <v/>
      </c>
      <c r="J174" s="395" t="str">
        <f>IF(AND(O175=1,O176=3),"X","")</f>
        <v/>
      </c>
      <c r="K174" s="395" t="str">
        <f>IF(AND(O175=1,O176=4),"X","")</f>
        <v/>
      </c>
      <c r="L174" s="396" t="str">
        <f>IF(AND(O175=1,O176=5),"X","")</f>
        <v/>
      </c>
      <c r="M174" s="372"/>
      <c r="N174" s="406"/>
      <c r="O174" s="408" t="s">
        <v>237</v>
      </c>
      <c r="P174" s="408" t="s">
        <v>238</v>
      </c>
      <c r="Q174" s="406"/>
      <c r="R174" s="307"/>
      <c r="S174" s="420"/>
      <c r="T174" s="409" t="s">
        <v>237</v>
      </c>
      <c r="U174" s="409" t="s">
        <v>238</v>
      </c>
      <c r="V174" s="384"/>
      <c r="W174" s="377"/>
      <c r="X174" s="369"/>
    </row>
    <row r="175" spans="7:24" ht="19.5" thickTop="1" thickBot="1" x14ac:dyDescent="0.25">
      <c r="G175" s="376"/>
      <c r="H175" s="484" t="s">
        <v>16</v>
      </c>
      <c r="I175" s="484"/>
      <c r="J175" s="484"/>
      <c r="K175" s="484"/>
      <c r="L175" s="484"/>
      <c r="M175" s="372"/>
      <c r="N175" s="407" t="s">
        <v>248</v>
      </c>
      <c r="O175" s="417" t="str">
        <f>VLOOKUP($K167,Risques!$D$21:$AB$40,17,FALSE)</f>
        <v/>
      </c>
      <c r="P175" s="418" t="str">
        <f>VLOOKUP(K167,Risques!$D$21:$AB$40,23,FALSE)</f>
        <v/>
      </c>
      <c r="Q175" s="382"/>
      <c r="S175" s="410" t="s">
        <v>248</v>
      </c>
      <c r="T175" s="419"/>
      <c r="U175" s="419"/>
      <c r="V175" s="384"/>
      <c r="W175" s="377"/>
      <c r="X175" s="369"/>
    </row>
    <row r="176" spans="7:24" ht="19.5" thickTop="1" thickBot="1" x14ac:dyDescent="0.25">
      <c r="G176" s="376"/>
      <c r="H176" s="372"/>
      <c r="I176" s="372"/>
      <c r="J176" s="372"/>
      <c r="K176" s="372"/>
      <c r="L176" s="372"/>
      <c r="M176" s="372"/>
      <c r="N176" s="407" t="s">
        <v>249</v>
      </c>
      <c r="O176" s="417" t="str">
        <f>VLOOKUP(K167,Risques!$D$21:$AB$40,18,FALSE)</f>
        <v/>
      </c>
      <c r="P176" s="418" t="str">
        <f>VLOOKUP(K167,Risques!$D$21:$AB$40,24,FALSE)</f>
        <v/>
      </c>
      <c r="Q176" s="382"/>
      <c r="S176" s="410" t="s">
        <v>249</v>
      </c>
      <c r="T176" s="419"/>
      <c r="U176" s="419"/>
      <c r="V176" s="384"/>
      <c r="W176" s="377"/>
      <c r="X176" s="369"/>
    </row>
    <row r="177" spans="7:24" ht="19.5" thickTop="1" thickBot="1" x14ac:dyDescent="0.25">
      <c r="G177" s="376"/>
      <c r="H177" s="372"/>
      <c r="I177" s="372"/>
      <c r="J177" s="372"/>
      <c r="K177" s="372"/>
      <c r="L177" s="372"/>
      <c r="M177" s="372"/>
      <c r="N177" s="407" t="s">
        <v>251</v>
      </c>
      <c r="O177" s="417" t="str">
        <f>VLOOKUP(K167,Risques!$D$21:$AB$40,19,FALSE)</f>
        <v/>
      </c>
      <c r="P177" s="418" t="str">
        <f>VLOOKUP(K167,Risques!$D$21:$AB$40,25,FALSE)</f>
        <v/>
      </c>
      <c r="Q177" s="382"/>
      <c r="S177" s="410" t="s">
        <v>251</v>
      </c>
      <c r="T177" s="419"/>
      <c r="U177" s="419"/>
      <c r="V177" s="384"/>
      <c r="W177" s="377"/>
      <c r="X177" s="369"/>
    </row>
    <row r="178" spans="7:24" ht="13.5" thickTop="1" x14ac:dyDescent="0.2">
      <c r="G178" s="376"/>
      <c r="H178" s="372"/>
      <c r="I178" s="372"/>
      <c r="J178" s="372"/>
      <c r="K178" s="372"/>
      <c r="L178" s="372"/>
      <c r="M178" s="372"/>
      <c r="N178" s="382"/>
      <c r="O178" s="382"/>
      <c r="P178" s="382"/>
      <c r="Q178" s="382"/>
      <c r="S178" s="384"/>
      <c r="T178" s="384"/>
      <c r="U178" s="384"/>
      <c r="V178" s="384"/>
      <c r="W178" s="377"/>
      <c r="X178" s="369"/>
    </row>
    <row r="179" spans="7:24" x14ac:dyDescent="0.2">
      <c r="G179" s="376"/>
      <c r="H179" s="372"/>
      <c r="I179" s="372"/>
      <c r="J179" s="372"/>
      <c r="K179" s="372"/>
      <c r="L179" s="372"/>
      <c r="M179" s="372"/>
      <c r="W179" s="377"/>
      <c r="X179" s="369"/>
    </row>
    <row r="180" spans="7:24" ht="18" customHeight="1" x14ac:dyDescent="0.2">
      <c r="G180" s="376"/>
      <c r="H180" s="372"/>
      <c r="I180" s="372"/>
      <c r="J180" s="492" t="s">
        <v>253</v>
      </c>
      <c r="K180" s="492"/>
      <c r="L180" s="493"/>
      <c r="M180" s="485" t="str">
        <f>VLOOKUP($K167,Risques!$D$21:$AB$40,3,FALSE)</f>
        <v/>
      </c>
      <c r="N180" s="486"/>
      <c r="O180" s="486"/>
      <c r="P180" s="486"/>
      <c r="Q180" s="486"/>
      <c r="R180" s="486"/>
      <c r="S180" s="486"/>
      <c r="T180" s="486"/>
      <c r="U180" s="486"/>
      <c r="V180" s="487"/>
      <c r="W180" s="377"/>
      <c r="X180" s="369"/>
    </row>
    <row r="181" spans="7:24" ht="41.25" customHeight="1" x14ac:dyDescent="0.25">
      <c r="G181" s="399"/>
      <c r="H181" s="400"/>
      <c r="I181" s="400"/>
      <c r="J181" s="492"/>
      <c r="K181" s="492"/>
      <c r="L181" s="493"/>
      <c r="M181" s="488"/>
      <c r="N181" s="489"/>
      <c r="O181" s="489"/>
      <c r="P181" s="489"/>
      <c r="Q181" s="489"/>
      <c r="R181" s="489"/>
      <c r="S181" s="489"/>
      <c r="T181" s="489"/>
      <c r="U181" s="489"/>
      <c r="V181" s="490"/>
      <c r="W181" s="401"/>
      <c r="X181" s="369"/>
    </row>
    <row r="182" spans="7:24" x14ac:dyDescent="0.2">
      <c r="G182" s="376"/>
      <c r="H182" s="372"/>
      <c r="I182" s="372"/>
      <c r="J182" s="372"/>
      <c r="K182" s="372"/>
      <c r="L182" s="372"/>
      <c r="M182" s="372"/>
      <c r="N182" s="403"/>
      <c r="O182" s="403"/>
      <c r="P182" s="403"/>
      <c r="Q182" s="403"/>
      <c r="R182" s="403"/>
      <c r="S182" s="403"/>
      <c r="T182" s="403"/>
      <c r="U182" s="403"/>
      <c r="V182" s="404"/>
      <c r="W182" s="377"/>
      <c r="X182" s="369"/>
    </row>
    <row r="183" spans="7:24" ht="31.5" customHeight="1" x14ac:dyDescent="0.2">
      <c r="G183" s="376"/>
      <c r="H183" s="372"/>
      <c r="I183" s="372"/>
      <c r="J183" s="491" t="s">
        <v>239</v>
      </c>
      <c r="K183" s="491"/>
      <c r="L183" s="491"/>
      <c r="M183" s="416" t="s">
        <v>240</v>
      </c>
      <c r="N183" s="416" t="s">
        <v>241</v>
      </c>
      <c r="O183" s="491" t="s">
        <v>242</v>
      </c>
      <c r="P183" s="491"/>
      <c r="Q183" s="491"/>
      <c r="R183" s="491"/>
      <c r="S183" s="491"/>
      <c r="T183" s="491"/>
      <c r="U183" s="491"/>
      <c r="V183" s="416" t="s">
        <v>243</v>
      </c>
      <c r="W183" s="377"/>
      <c r="X183" s="369"/>
    </row>
    <row r="184" spans="7:24" ht="8.25" customHeight="1" x14ac:dyDescent="0.2">
      <c r="G184" s="376"/>
      <c r="H184" s="372"/>
      <c r="I184" s="372"/>
      <c r="J184" s="414" t="str">
        <f t="array" ref="J184">IF($K$167="","",IF(INDEX('Plan d''actions détaillé'!A:A,MIN(IF((COUNTIF(J$182:J183,'Plan d''actions détaillé'!$A$6:$A$30)=0)*(INDEX('Plan d''actions détaillé'!$U$6:$AL$30,,MATCH($K$167,'Plan d''actions détaillé'!$U$5:$AL$5,0))="X"),ROW('Plan d''actions détaillé'!$T$6:$T$30))))=0,"",INDEX('Plan d''actions détaillé'!A:A,MIN(IF((COUNTIF(J$182:J183,'Plan d''actions détaillé'!$A$6:$A$30)=0)*(INDEX('Plan d''actions détaillé'!$U$6:$AL$30,,MATCH($K$167,'Plan d''actions détaillé'!$U$5:$AL$5,0))="X"),ROW('Plan d''actions détaillé'!$T$6:$T$30))))))</f>
        <v/>
      </c>
      <c r="K184" s="414"/>
      <c r="L184" s="415"/>
      <c r="M184" s="413" t="str">
        <f t="array" ref="M184">IF($K$167="","",IF(INDEX('Plan d''actions détaillé'!D:D,MIN(IF((COUNTIF(M$182:M183,'Plan d''actions détaillé'!$D$6:$D$30)=0)*(INDEX('Plan d''actions détaillé'!$U$6:$AL$30,,MATCH($K$167,'Plan d''actions détaillé'!$U$5:$AL$5,0))="X"),ROW('Plan d''actions détaillé'!$T$6:$T$30))))=0,"",INDEX('Plan d''actions détaillé'!D:D,MIN(IF((COUNTIF(M$182:M183,'Plan d''actions détaillé'!$D$6:$D$30)=0)*(INDEX('Plan d''actions détaillé'!$U$6:$AL$30,,MATCH($K$167,'Plan d''actions détaillé'!$U$5:$AL$5,0))="X"),ROW('Plan d''actions détaillé'!$T$6:$T$30))))))</f>
        <v/>
      </c>
      <c r="N184" s="411" t="str">
        <f>IF($M184&lt;&gt;"",IF(VLOOKUP($M184,'Plan d''actions détaillé'!$D$6:$P$30,8,FALSE)="","",VLOOKUP($M184,'Plan d''actions détaillé'!$D$6:$P$30,8,FALSE)),"")</f>
        <v/>
      </c>
      <c r="O184" s="483" t="str">
        <f>IF($M184&lt;&gt;"",IF(VLOOKUP($M184,'Plan d''actions détaillé'!$D$6:$P$30,6,FALSE)="","",VLOOKUP($M184,'Plan d''actions détaillé'!$D$6:$P$30,6,FALSE)),"")</f>
        <v/>
      </c>
      <c r="P184" s="483"/>
      <c r="Q184" s="483"/>
      <c r="R184" s="483"/>
      <c r="S184" s="483"/>
      <c r="T184" s="483"/>
      <c r="U184" s="483"/>
      <c r="V184" s="412" t="str">
        <f>IF($M184&lt;&gt;"",IF(VLOOKUP($M184,'Plan d''actions détaillé'!$D$6:$P$30,12,FALSE)="","",VLOOKUP($M184,'Plan d''actions détaillé'!$D$6:$P$30,12,FALSE)),"")</f>
        <v/>
      </c>
      <c r="W184" s="377"/>
      <c r="X184" s="369"/>
    </row>
    <row r="185" spans="7:24" ht="8.25" customHeight="1" x14ac:dyDescent="0.2">
      <c r="G185" s="376"/>
      <c r="H185" s="372"/>
      <c r="I185" s="372"/>
      <c r="J185" s="414" t="str">
        <f t="array" ref="J185">IF($K$167="","",IF(INDEX('Plan d''actions détaillé'!A:A,MIN(IF((COUNTIF(J$182:J184,'Plan d''actions détaillé'!$A$6:$A$30)=0)*(INDEX('Plan d''actions détaillé'!$U$6:$AL$30,,MATCH($K$167,'Plan d''actions détaillé'!$U$5:$AL$5,0))="X"),ROW('Plan d''actions détaillé'!$T$6:$T$30))))=0,"",INDEX('Plan d''actions détaillé'!A:A,MIN(IF((COUNTIF(J$182:J184,'Plan d''actions détaillé'!$A$6:$A$30)=0)*(INDEX('Plan d''actions détaillé'!$U$6:$AL$30,,MATCH($K$167,'Plan d''actions détaillé'!$U$5:$AL$5,0))="X"),ROW('Plan d''actions détaillé'!$T$6:$T$30))))))</f>
        <v/>
      </c>
      <c r="K185" s="414"/>
      <c r="L185" s="415"/>
      <c r="M185" s="413" t="str">
        <f t="array" ref="M185">IF($K$167="","",IF(INDEX('Plan d''actions détaillé'!D:D,MIN(IF((COUNTIF(M$182:M184,'Plan d''actions détaillé'!$D$6:$D$30)=0)*(INDEX('Plan d''actions détaillé'!$U$6:$AL$30,,MATCH($K$167,'Plan d''actions détaillé'!$U$5:$AL$5,0))="X"),ROW('Plan d''actions détaillé'!$T$6:$T$30))))=0,"",INDEX('Plan d''actions détaillé'!D:D,MIN(IF((COUNTIF(M$182:M184,'Plan d''actions détaillé'!$D$6:$D$30)=0)*(INDEX('Plan d''actions détaillé'!$U$6:$AL$30,,MATCH($K$167,'Plan d''actions détaillé'!$U$5:$AL$5,0))="X"),ROW('Plan d''actions détaillé'!$T$6:$T$30))))))</f>
        <v/>
      </c>
      <c r="N185" s="411" t="str">
        <f>IF($M185&lt;&gt;"",IF(VLOOKUP($M185,'Plan d''actions détaillé'!$D$6:$P$30,8,FALSE)="","",VLOOKUP($M185,'Plan d''actions détaillé'!$D$6:$P$30,8,FALSE)),"")</f>
        <v/>
      </c>
      <c r="O185" s="483" t="str">
        <f>IF($M185&lt;&gt;"",IF(VLOOKUP($M185,'Plan d''actions détaillé'!$D$6:$P$30,6,FALSE)="","",VLOOKUP($M185,'Plan d''actions détaillé'!$D$6:$P$30,6,FALSE)),"")</f>
        <v/>
      </c>
      <c r="P185" s="483"/>
      <c r="Q185" s="483"/>
      <c r="R185" s="483"/>
      <c r="S185" s="483"/>
      <c r="T185" s="483"/>
      <c r="U185" s="483"/>
      <c r="V185" s="412" t="str">
        <f>IF($M185&lt;&gt;"",IF(VLOOKUP($M185,'Plan d''actions détaillé'!$D$6:$P$30,12,FALSE)="","",VLOOKUP($M185,'Plan d''actions détaillé'!$D$6:$P$30,12,FALSE)),"")</f>
        <v/>
      </c>
      <c r="W185" s="377"/>
      <c r="X185" s="369"/>
    </row>
    <row r="186" spans="7:24" ht="8.25" customHeight="1" x14ac:dyDescent="0.2">
      <c r="G186" s="376"/>
      <c r="H186" s="372"/>
      <c r="I186" s="372"/>
      <c r="J186" s="414" t="str">
        <f t="array" ref="J186">IF($K$167="","",IF(INDEX('Plan d''actions détaillé'!A:A,MIN(IF((COUNTIF(J$182:J185,'Plan d''actions détaillé'!$A$6:$A$30)=0)*(INDEX('Plan d''actions détaillé'!$U$6:$AL$30,,MATCH($K$167,'Plan d''actions détaillé'!$U$5:$AL$5,0))="X"),ROW('Plan d''actions détaillé'!$T$6:$T$30))))=0,"",INDEX('Plan d''actions détaillé'!A:A,MIN(IF((COUNTIF(J$182:J185,'Plan d''actions détaillé'!$A$6:$A$30)=0)*(INDEX('Plan d''actions détaillé'!$U$6:$AL$30,,MATCH($K$167,'Plan d''actions détaillé'!$U$5:$AL$5,0))="X"),ROW('Plan d''actions détaillé'!$T$6:$T$30))))))</f>
        <v/>
      </c>
      <c r="K186" s="414"/>
      <c r="L186" s="415"/>
      <c r="M186" s="413" t="str">
        <f t="array" ref="M186">IF($K$167="","",IF(INDEX('Plan d''actions détaillé'!D:D,MIN(IF((COUNTIF(M$182:M185,'Plan d''actions détaillé'!$D$6:$D$30)=0)*(INDEX('Plan d''actions détaillé'!$U$6:$AL$30,,MATCH($K$167,'Plan d''actions détaillé'!$U$5:$AL$5,0))="X"),ROW('Plan d''actions détaillé'!$T$6:$T$30))))=0,"",INDEX('Plan d''actions détaillé'!D:D,MIN(IF((COUNTIF(M$182:M185,'Plan d''actions détaillé'!$D$6:$D$30)=0)*(INDEX('Plan d''actions détaillé'!$U$6:$AL$30,,MATCH($K$167,'Plan d''actions détaillé'!$U$5:$AL$5,0))="X"),ROW('Plan d''actions détaillé'!$T$6:$T$30))))))</f>
        <v/>
      </c>
      <c r="N186" s="411" t="str">
        <f>IF($M186&lt;&gt;"",IF(VLOOKUP($M186,'Plan d''actions détaillé'!$D$6:$P$30,8,FALSE)="","",VLOOKUP($M186,'Plan d''actions détaillé'!$D$6:$P$30,8,FALSE)),"")</f>
        <v/>
      </c>
      <c r="O186" s="483" t="str">
        <f>IF($M186&lt;&gt;"",IF(VLOOKUP($M186,'Plan d''actions détaillé'!$D$6:$P$30,6,FALSE)="","",VLOOKUP($M186,'Plan d''actions détaillé'!$D$6:$P$30,6,FALSE)),"")</f>
        <v/>
      </c>
      <c r="P186" s="483"/>
      <c r="Q186" s="483"/>
      <c r="R186" s="483"/>
      <c r="S186" s="483"/>
      <c r="T186" s="483"/>
      <c r="U186" s="483"/>
      <c r="V186" s="412" t="str">
        <f>IF($M186&lt;&gt;"",IF(VLOOKUP($M186,'Plan d''actions détaillé'!$D$6:$P$30,12,FALSE)="","",VLOOKUP($M186,'Plan d''actions détaillé'!$D$6:$P$30,12,FALSE)),"")</f>
        <v/>
      </c>
      <c r="W186" s="377"/>
      <c r="X186" s="369"/>
    </row>
    <row r="187" spans="7:24" ht="8.25" customHeight="1" x14ac:dyDescent="0.2">
      <c r="G187" s="376"/>
      <c r="H187" s="372"/>
      <c r="I187" s="372"/>
      <c r="J187" s="414" t="str">
        <f t="array" ref="J187">IF($K$167="","",IF(INDEX('Plan d''actions détaillé'!A:A,MIN(IF((COUNTIF(J$182:J186,'Plan d''actions détaillé'!$A$6:$A$30)=0)*(INDEX('Plan d''actions détaillé'!$U$6:$AL$30,,MATCH($K$167,'Plan d''actions détaillé'!$U$5:$AL$5,0))="X"),ROW('Plan d''actions détaillé'!$T$6:$T$30))))=0,"",INDEX('Plan d''actions détaillé'!A:A,MIN(IF((COUNTIF(J$182:J186,'Plan d''actions détaillé'!$A$6:$A$30)=0)*(INDEX('Plan d''actions détaillé'!$U$6:$AL$30,,MATCH($K$167,'Plan d''actions détaillé'!$U$5:$AL$5,0))="X"),ROW('Plan d''actions détaillé'!$T$6:$T$30))))))</f>
        <v/>
      </c>
      <c r="K187" s="414"/>
      <c r="L187" s="415"/>
      <c r="M187" s="413" t="str">
        <f t="array" ref="M187">IF($K$167="","",IF(INDEX('Plan d''actions détaillé'!D:D,MIN(IF((COUNTIF(M$182:M186,'Plan d''actions détaillé'!$D$6:$D$30)=0)*(INDEX('Plan d''actions détaillé'!$U$6:$AL$30,,MATCH($K$167,'Plan d''actions détaillé'!$U$5:$AL$5,0))="X"),ROW('Plan d''actions détaillé'!$T$6:$T$30))))=0,"",INDEX('Plan d''actions détaillé'!D:D,MIN(IF((COUNTIF(M$182:M186,'Plan d''actions détaillé'!$D$6:$D$30)=0)*(INDEX('Plan d''actions détaillé'!$U$6:$AL$30,,MATCH($K$167,'Plan d''actions détaillé'!$U$5:$AL$5,0))="X"),ROW('Plan d''actions détaillé'!$T$6:$T$30))))))</f>
        <v/>
      </c>
      <c r="N187" s="411" t="str">
        <f>IF($M187&lt;&gt;"",IF(VLOOKUP($M187,'Plan d''actions détaillé'!$D$6:$P$30,8,FALSE)="","",VLOOKUP($M187,'Plan d''actions détaillé'!$D$6:$P$30,8,FALSE)),"")</f>
        <v/>
      </c>
      <c r="O187" s="483" t="str">
        <f>IF($M187&lt;&gt;"",IF(VLOOKUP($M187,'Plan d''actions détaillé'!$D$6:$P$30,6,FALSE)="","",VLOOKUP($M187,'Plan d''actions détaillé'!$D$6:$P$30,6,FALSE)),"")</f>
        <v/>
      </c>
      <c r="P187" s="483"/>
      <c r="Q187" s="483"/>
      <c r="R187" s="483"/>
      <c r="S187" s="483"/>
      <c r="T187" s="483"/>
      <c r="U187" s="483"/>
      <c r="V187" s="412" t="str">
        <f>IF($M187&lt;&gt;"",IF(VLOOKUP($M187,'Plan d''actions détaillé'!$D$6:$P$30,12,FALSE)="","",VLOOKUP($M187,'Plan d''actions détaillé'!$D$6:$P$30,12,FALSE)),"")</f>
        <v/>
      </c>
      <c r="W187" s="377"/>
      <c r="X187" s="369"/>
    </row>
    <row r="188" spans="7:24" ht="8.25" customHeight="1" x14ac:dyDescent="0.2">
      <c r="G188" s="376"/>
      <c r="H188" s="372"/>
      <c r="I188" s="372"/>
      <c r="J188" s="414" t="str">
        <f t="array" ref="J188">IF($K$167="","",IF(INDEX('Plan d''actions détaillé'!A:A,MIN(IF((COUNTIF(J$182:J187,'Plan d''actions détaillé'!$A$6:$A$30)=0)*(INDEX('Plan d''actions détaillé'!$U$6:$AL$30,,MATCH($K$167,'Plan d''actions détaillé'!$U$5:$AL$5,0))="X"),ROW('Plan d''actions détaillé'!$T$6:$T$30))))=0,"",INDEX('Plan d''actions détaillé'!A:A,MIN(IF((COUNTIF(J$182:J187,'Plan d''actions détaillé'!$A$6:$A$30)=0)*(INDEX('Plan d''actions détaillé'!$U$6:$AL$30,,MATCH($K$167,'Plan d''actions détaillé'!$U$5:$AL$5,0))="X"),ROW('Plan d''actions détaillé'!$T$6:$T$30))))))</f>
        <v/>
      </c>
      <c r="K188" s="414"/>
      <c r="L188" s="415"/>
      <c r="M188" s="413" t="str">
        <f t="array" ref="M188">IF($K$167="","",IF(INDEX('Plan d''actions détaillé'!D:D,MIN(IF((COUNTIF(M$182:M187,'Plan d''actions détaillé'!$D$6:$D$30)=0)*(INDEX('Plan d''actions détaillé'!$U$6:$AL$30,,MATCH($K$167,'Plan d''actions détaillé'!$U$5:$AL$5,0))="X"),ROW('Plan d''actions détaillé'!$T$6:$T$30))))=0,"",INDEX('Plan d''actions détaillé'!D:D,MIN(IF((COUNTIF(M$182:M187,'Plan d''actions détaillé'!$D$6:$D$30)=0)*(INDEX('Plan d''actions détaillé'!$U$6:$AL$30,,MATCH($K$167,'Plan d''actions détaillé'!$U$5:$AL$5,0))="X"),ROW('Plan d''actions détaillé'!$T$6:$T$30))))))</f>
        <v/>
      </c>
      <c r="N188" s="411" t="str">
        <f>IF($M188&lt;&gt;"",IF(VLOOKUP($M188,'Plan d''actions détaillé'!$D$6:$P$30,8,FALSE)="","",VLOOKUP($M188,'Plan d''actions détaillé'!$D$6:$P$30,8,FALSE)),"")</f>
        <v/>
      </c>
      <c r="O188" s="483" t="str">
        <f>IF($M188&lt;&gt;"",IF(VLOOKUP($M188,'Plan d''actions détaillé'!$D$6:$P$30,6,FALSE)="","",VLOOKUP($M188,'Plan d''actions détaillé'!$D$6:$P$30,6,FALSE)),"")</f>
        <v/>
      </c>
      <c r="P188" s="483"/>
      <c r="Q188" s="483"/>
      <c r="R188" s="483"/>
      <c r="S188" s="483"/>
      <c r="T188" s="483"/>
      <c r="U188" s="483"/>
      <c r="V188" s="412" t="str">
        <f>IF($M188&lt;&gt;"",IF(VLOOKUP($M188,'Plan d''actions détaillé'!$D$6:$P$30,12,FALSE)="","",VLOOKUP($M188,'Plan d''actions détaillé'!$D$6:$P$30,12,FALSE)),"")</f>
        <v/>
      </c>
      <c r="W188" s="377"/>
      <c r="X188" s="369"/>
    </row>
    <row r="189" spans="7:24" ht="8.25" customHeight="1" x14ac:dyDescent="0.2">
      <c r="G189" s="376"/>
      <c r="H189" s="372"/>
      <c r="I189" s="372"/>
      <c r="J189" s="414" t="str">
        <f t="array" ref="J189">IF($K$167="","",IF(INDEX('Plan d''actions détaillé'!A:A,MIN(IF((COUNTIF(J$182:J188,'Plan d''actions détaillé'!$A$6:$A$30)=0)*(INDEX('Plan d''actions détaillé'!$U$6:$AL$30,,MATCH($K$167,'Plan d''actions détaillé'!$U$5:$AL$5,0))="X"),ROW('Plan d''actions détaillé'!$T$6:$T$30))))=0,"",INDEX('Plan d''actions détaillé'!A:A,MIN(IF((COUNTIF(J$182:J188,'Plan d''actions détaillé'!$A$6:$A$30)=0)*(INDEX('Plan d''actions détaillé'!$U$6:$AL$30,,MATCH($K$167,'Plan d''actions détaillé'!$U$5:$AL$5,0))="X"),ROW('Plan d''actions détaillé'!$T$6:$T$30))))))</f>
        <v/>
      </c>
      <c r="K189" s="414"/>
      <c r="L189" s="415"/>
      <c r="M189" s="413" t="str">
        <f t="array" ref="M189">IF($K$167="","",IF(INDEX('Plan d''actions détaillé'!D:D,MIN(IF((COUNTIF(M$182:M188,'Plan d''actions détaillé'!$D$6:$D$30)=0)*(INDEX('Plan d''actions détaillé'!$U$6:$AL$30,,MATCH($K$167,'Plan d''actions détaillé'!$U$5:$AL$5,0))="X"),ROW('Plan d''actions détaillé'!$T$6:$T$30))))=0,"",INDEX('Plan d''actions détaillé'!D:D,MIN(IF((COUNTIF(M$182:M188,'Plan d''actions détaillé'!$D$6:$D$30)=0)*(INDEX('Plan d''actions détaillé'!$U$6:$AL$30,,MATCH($K$167,'Plan d''actions détaillé'!$U$5:$AL$5,0))="X"),ROW('Plan d''actions détaillé'!$T$6:$T$30))))))</f>
        <v/>
      </c>
      <c r="N189" s="411" t="str">
        <f>IF($M189&lt;&gt;"",IF(VLOOKUP($M189,'Plan d''actions détaillé'!$D$6:$P$30,8,FALSE)="","",VLOOKUP($M189,'Plan d''actions détaillé'!$D$6:$P$30,8,FALSE)),"")</f>
        <v/>
      </c>
      <c r="O189" s="483" t="str">
        <f>IF($M189&lt;&gt;"",IF(VLOOKUP($M189,'Plan d''actions détaillé'!$D$6:$P$30,6,FALSE)="","",VLOOKUP($M189,'Plan d''actions détaillé'!$D$6:$P$30,6,FALSE)),"")</f>
        <v/>
      </c>
      <c r="P189" s="483"/>
      <c r="Q189" s="483"/>
      <c r="R189" s="483"/>
      <c r="S189" s="483"/>
      <c r="T189" s="483"/>
      <c r="U189" s="483"/>
      <c r="V189" s="412" t="str">
        <f>IF($M189&lt;&gt;"",IF(VLOOKUP($M189,'Plan d''actions détaillé'!$D$6:$P$30,12,FALSE)="","",VLOOKUP($M189,'Plan d''actions détaillé'!$D$6:$P$30,12,FALSE)),"")</f>
        <v/>
      </c>
      <c r="W189" s="377"/>
      <c r="X189" s="369"/>
    </row>
    <row r="190" spans="7:24" ht="8.25" customHeight="1" x14ac:dyDescent="0.2">
      <c r="G190" s="376"/>
      <c r="H190" s="372"/>
      <c r="I190" s="372"/>
      <c r="J190" s="414" t="str">
        <f t="array" ref="J190">IF($K$167="","",IF(INDEX('Plan d''actions détaillé'!A:A,MIN(IF((COUNTIF(J$182:J189,'Plan d''actions détaillé'!$A$6:$A$30)=0)*(INDEX('Plan d''actions détaillé'!$U$6:$AL$30,,MATCH($K$167,'Plan d''actions détaillé'!$U$5:$AL$5,0))="X"),ROW('Plan d''actions détaillé'!$T$6:$T$30))))=0,"",INDEX('Plan d''actions détaillé'!A:A,MIN(IF((COUNTIF(J$182:J189,'Plan d''actions détaillé'!$A$6:$A$30)=0)*(INDEX('Plan d''actions détaillé'!$U$6:$AL$30,,MATCH($K$167,'Plan d''actions détaillé'!$U$5:$AL$5,0))="X"),ROW('Plan d''actions détaillé'!$T$6:$T$30))))))</f>
        <v/>
      </c>
      <c r="K190" s="414"/>
      <c r="L190" s="415"/>
      <c r="M190" s="413" t="str">
        <f t="array" ref="M190">IF($K$167="","",IF(INDEX('Plan d''actions détaillé'!D:D,MIN(IF((COUNTIF(M$182:M189,'Plan d''actions détaillé'!$D$6:$D$30)=0)*(INDEX('Plan d''actions détaillé'!$U$6:$AL$30,,MATCH($K$167,'Plan d''actions détaillé'!$U$5:$AL$5,0))="X"),ROW('Plan d''actions détaillé'!$T$6:$T$30))))=0,"",INDEX('Plan d''actions détaillé'!D:D,MIN(IF((COUNTIF(M$182:M189,'Plan d''actions détaillé'!$D$6:$D$30)=0)*(INDEX('Plan d''actions détaillé'!$U$6:$AL$30,,MATCH($K$167,'Plan d''actions détaillé'!$U$5:$AL$5,0))="X"),ROW('Plan d''actions détaillé'!$T$6:$T$30))))))</f>
        <v/>
      </c>
      <c r="N190" s="411" t="str">
        <f>IF($M190&lt;&gt;"",IF(VLOOKUP($M190,'Plan d''actions détaillé'!$D$6:$P$30,8,FALSE)="","",VLOOKUP($M190,'Plan d''actions détaillé'!$D$6:$P$30,8,FALSE)),"")</f>
        <v/>
      </c>
      <c r="O190" s="483" t="str">
        <f>IF($M190&lt;&gt;"",IF(VLOOKUP($M190,'Plan d''actions détaillé'!$D$6:$P$30,6,FALSE)="","",VLOOKUP($M190,'Plan d''actions détaillé'!$D$6:$P$30,6,FALSE)),"")</f>
        <v/>
      </c>
      <c r="P190" s="483"/>
      <c r="Q190" s="483"/>
      <c r="R190" s="483"/>
      <c r="S190" s="483"/>
      <c r="T190" s="483"/>
      <c r="U190" s="483"/>
      <c r="V190" s="412" t="str">
        <f>IF($M190&lt;&gt;"",IF(VLOOKUP($M190,'Plan d''actions détaillé'!$D$6:$P$30,12,FALSE)="","",VLOOKUP($M190,'Plan d''actions détaillé'!$D$6:$P$30,12,FALSE)),"")</f>
        <v/>
      </c>
      <c r="W190" s="377"/>
    </row>
    <row r="191" spans="7:24" ht="8.25" customHeight="1" x14ac:dyDescent="0.2">
      <c r="G191" s="376"/>
      <c r="H191" s="372"/>
      <c r="I191" s="372"/>
      <c r="J191" s="414" t="str">
        <f t="array" ref="J191">IF($K$167="","",IF(INDEX('Plan d''actions détaillé'!A:A,MIN(IF((COUNTIF(J$182:J190,'Plan d''actions détaillé'!$A$6:$A$30)=0)*(INDEX('Plan d''actions détaillé'!$U$6:$AL$30,,MATCH($K$167,'Plan d''actions détaillé'!$U$5:$AL$5,0))="X"),ROW('Plan d''actions détaillé'!$T$6:$T$30))))=0,"",INDEX('Plan d''actions détaillé'!A:A,MIN(IF((COUNTIF(J$182:J190,'Plan d''actions détaillé'!$A$6:$A$30)=0)*(INDEX('Plan d''actions détaillé'!$U$6:$AL$30,,MATCH($K$167,'Plan d''actions détaillé'!$U$5:$AL$5,0))="X"),ROW('Plan d''actions détaillé'!$T$6:$T$30))))))</f>
        <v/>
      </c>
      <c r="K191" s="414"/>
      <c r="L191" s="415"/>
      <c r="M191" s="413" t="str">
        <f t="array" ref="M191">IF($K$167="","",IF(INDEX('Plan d''actions détaillé'!D:D,MIN(IF((COUNTIF(M$182:M190,'Plan d''actions détaillé'!$D$6:$D$30)=0)*(INDEX('Plan d''actions détaillé'!$U$6:$AL$30,,MATCH($K$167,'Plan d''actions détaillé'!$U$5:$AL$5,0))="X"),ROW('Plan d''actions détaillé'!$T$6:$T$30))))=0,"",INDEX('Plan d''actions détaillé'!D:D,MIN(IF((COUNTIF(M$182:M190,'Plan d''actions détaillé'!$D$6:$D$30)=0)*(INDEX('Plan d''actions détaillé'!$U$6:$AL$30,,MATCH($K$167,'Plan d''actions détaillé'!$U$5:$AL$5,0))="X"),ROW('Plan d''actions détaillé'!$T$6:$T$30))))))</f>
        <v/>
      </c>
      <c r="N191" s="411" t="str">
        <f>IF($M191&lt;&gt;"",IF(VLOOKUP($M191,'Plan d''actions détaillé'!$D$6:$P$30,8,FALSE)="","",VLOOKUP($M191,'Plan d''actions détaillé'!$D$6:$P$30,8,FALSE)),"")</f>
        <v/>
      </c>
      <c r="O191" s="483" t="str">
        <f>IF($M191&lt;&gt;"",IF(VLOOKUP($M191,'Plan d''actions détaillé'!$D$6:$P$30,6,FALSE)="","",VLOOKUP($M191,'Plan d''actions détaillé'!$D$6:$P$30,6,FALSE)),"")</f>
        <v/>
      </c>
      <c r="P191" s="483"/>
      <c r="Q191" s="483"/>
      <c r="R191" s="483"/>
      <c r="S191" s="483"/>
      <c r="T191" s="483"/>
      <c r="U191" s="483"/>
      <c r="V191" s="412" t="str">
        <f>IF($M191&lt;&gt;"",IF(VLOOKUP($M191,'Plan d''actions détaillé'!$D$6:$P$30,12,FALSE)="","",VLOOKUP($M191,'Plan d''actions détaillé'!$D$6:$P$30,12,FALSE)),"")</f>
        <v/>
      </c>
      <c r="W191" s="377"/>
    </row>
    <row r="192" spans="7:24" ht="8.25" customHeight="1" x14ac:dyDescent="0.2">
      <c r="G192" s="376"/>
      <c r="H192" s="372"/>
      <c r="I192" s="372"/>
      <c r="J192" s="414" t="str">
        <f t="array" ref="J192">IF($K$167="","",IF(INDEX('Plan d''actions détaillé'!A:A,MIN(IF((COUNTIF(J$182:J191,'Plan d''actions détaillé'!$A$6:$A$30)=0)*(INDEX('Plan d''actions détaillé'!$U$6:$AL$30,,MATCH($K$167,'Plan d''actions détaillé'!$U$5:$AL$5,0))="X"),ROW('Plan d''actions détaillé'!$T$6:$T$30))))=0,"",INDEX('Plan d''actions détaillé'!A:A,MIN(IF((COUNTIF(J$182:J191,'Plan d''actions détaillé'!$A$6:$A$30)=0)*(INDEX('Plan d''actions détaillé'!$U$6:$AL$30,,MATCH($K$167,'Plan d''actions détaillé'!$U$5:$AL$5,0))="X"),ROW('Plan d''actions détaillé'!$T$6:$T$30))))))</f>
        <v/>
      </c>
      <c r="K192" s="414"/>
      <c r="L192" s="415"/>
      <c r="M192" s="413" t="str">
        <f t="array" ref="M192">IF($K$167="","",IF(INDEX('Plan d''actions détaillé'!D:D,MIN(IF((COUNTIF(M$182:M191,'Plan d''actions détaillé'!$D$6:$D$30)=0)*(INDEX('Plan d''actions détaillé'!$U$6:$AL$30,,MATCH($K$167,'Plan d''actions détaillé'!$U$5:$AL$5,0))="X"),ROW('Plan d''actions détaillé'!$T$6:$T$30))))=0,"",INDEX('Plan d''actions détaillé'!D:D,MIN(IF((COUNTIF(M$182:M191,'Plan d''actions détaillé'!$D$6:$D$30)=0)*(INDEX('Plan d''actions détaillé'!$U$6:$AL$30,,MATCH($K$167,'Plan d''actions détaillé'!$U$5:$AL$5,0))="X"),ROW('Plan d''actions détaillé'!$T$6:$T$30))))))</f>
        <v/>
      </c>
      <c r="N192" s="411" t="str">
        <f>IF($M192&lt;&gt;"",IF(VLOOKUP($M192,'Plan d''actions détaillé'!$D$6:$P$30,8,FALSE)="","",VLOOKUP($M192,'Plan d''actions détaillé'!$D$6:$P$30,8,FALSE)),"")</f>
        <v/>
      </c>
      <c r="O192" s="483" t="str">
        <f>IF($M192&lt;&gt;"",IF(VLOOKUP($M192,'Plan d''actions détaillé'!$D$6:$P$30,6,FALSE)="","",VLOOKUP($M192,'Plan d''actions détaillé'!$D$6:$P$30,6,FALSE)),"")</f>
        <v/>
      </c>
      <c r="P192" s="483"/>
      <c r="Q192" s="483"/>
      <c r="R192" s="483"/>
      <c r="S192" s="483"/>
      <c r="T192" s="483"/>
      <c r="U192" s="483"/>
      <c r="V192" s="412" t="str">
        <f>IF($M192&lt;&gt;"",IF(VLOOKUP($M192,'Plan d''actions détaillé'!$D$6:$P$30,12,FALSE)="","",VLOOKUP($M192,'Plan d''actions détaillé'!$D$6:$P$30,12,FALSE)),"")</f>
        <v/>
      </c>
      <c r="W192" s="377"/>
    </row>
    <row r="193" spans="7:23" ht="8.25" customHeight="1" x14ac:dyDescent="0.2">
      <c r="G193" s="376"/>
      <c r="H193" s="372"/>
      <c r="I193" s="372"/>
      <c r="J193" s="414" t="str">
        <f t="array" ref="J193">IF($K$167="","",IF(INDEX('Plan d''actions détaillé'!A:A,MIN(IF((COUNTIF(J$182:J192,'Plan d''actions détaillé'!$A$6:$A$30)=0)*(INDEX('Plan d''actions détaillé'!$U$6:$AL$30,,MATCH($K$167,'Plan d''actions détaillé'!$U$5:$AL$5,0))="X"),ROW('Plan d''actions détaillé'!$T$6:$T$30))))=0,"",INDEX('Plan d''actions détaillé'!A:A,MIN(IF((COUNTIF(J$182:J192,'Plan d''actions détaillé'!$A$6:$A$30)=0)*(INDEX('Plan d''actions détaillé'!$U$6:$AL$30,,MATCH($K$167,'Plan d''actions détaillé'!$U$5:$AL$5,0))="X"),ROW('Plan d''actions détaillé'!$T$6:$T$30))))))</f>
        <v/>
      </c>
      <c r="K193" s="414"/>
      <c r="L193" s="415"/>
      <c r="M193" s="413" t="str">
        <f t="array" ref="M193">IF($K$167="","",IF(INDEX('Plan d''actions détaillé'!D:D,MIN(IF((COUNTIF(M$182:M192,'Plan d''actions détaillé'!$D$6:$D$30)=0)*(INDEX('Plan d''actions détaillé'!$U$6:$AL$30,,MATCH($K$167,'Plan d''actions détaillé'!$U$5:$AL$5,0))="X"),ROW('Plan d''actions détaillé'!$T$6:$T$30))))=0,"",INDEX('Plan d''actions détaillé'!D:D,MIN(IF((COUNTIF(M$182:M192,'Plan d''actions détaillé'!$D$6:$D$30)=0)*(INDEX('Plan d''actions détaillé'!$U$6:$AL$30,,MATCH($K$167,'Plan d''actions détaillé'!$U$5:$AL$5,0))="X"),ROW('Plan d''actions détaillé'!$T$6:$T$30))))))</f>
        <v/>
      </c>
      <c r="N193" s="411" t="str">
        <f>IF($M193&lt;&gt;"",IF(VLOOKUP($M193,'Plan d''actions détaillé'!$D$6:$P$30,8,FALSE)="","",VLOOKUP($M193,'Plan d''actions détaillé'!$D$6:$P$30,8,FALSE)),"")</f>
        <v/>
      </c>
      <c r="O193" s="483" t="str">
        <f>IF($M193&lt;&gt;"",IF(VLOOKUP($M193,'Plan d''actions détaillé'!$D$6:$P$30,6,FALSE)="","",VLOOKUP($M193,'Plan d''actions détaillé'!$D$6:$P$30,6,FALSE)),"")</f>
        <v/>
      </c>
      <c r="P193" s="483"/>
      <c r="Q193" s="483"/>
      <c r="R193" s="483"/>
      <c r="S193" s="483"/>
      <c r="T193" s="483"/>
      <c r="U193" s="483"/>
      <c r="V193" s="412" t="str">
        <f>IF($M193&lt;&gt;"",IF(VLOOKUP($M193,'Plan d''actions détaillé'!$D$6:$P$30,12,FALSE)="","",VLOOKUP($M193,'Plan d''actions détaillé'!$D$6:$P$30,12,FALSE)),"")</f>
        <v/>
      </c>
      <c r="W193" s="377"/>
    </row>
    <row r="194" spans="7:23" ht="8.25" customHeight="1" x14ac:dyDescent="0.2">
      <c r="G194" s="376"/>
      <c r="H194" s="372"/>
      <c r="I194" s="372"/>
      <c r="J194" s="414" t="str">
        <f t="array" ref="J194">IF($K$167="","",IF(INDEX('Plan d''actions détaillé'!A:A,MIN(IF((COUNTIF(J$182:J193,'Plan d''actions détaillé'!$A$6:$A$30)=0)*(INDEX('Plan d''actions détaillé'!$U$6:$AL$30,,MATCH($K$167,'Plan d''actions détaillé'!$U$5:$AL$5,0))="X"),ROW('Plan d''actions détaillé'!$T$6:$T$30))))=0,"",INDEX('Plan d''actions détaillé'!A:A,MIN(IF((COUNTIF(J$182:J193,'Plan d''actions détaillé'!$A$6:$A$30)=0)*(INDEX('Plan d''actions détaillé'!$U$6:$AL$30,,MATCH($K$167,'Plan d''actions détaillé'!$U$5:$AL$5,0))="X"),ROW('Plan d''actions détaillé'!$T$6:$T$30))))))</f>
        <v/>
      </c>
      <c r="K194" s="414"/>
      <c r="L194" s="415"/>
      <c r="M194" s="413" t="str">
        <f t="array" ref="M194">IF($K$167="","",IF(INDEX('Plan d''actions détaillé'!D:D,MIN(IF((COUNTIF(M$182:M193,'Plan d''actions détaillé'!$D$6:$D$30)=0)*(INDEX('Plan d''actions détaillé'!$U$6:$AL$30,,MATCH($K$167,'Plan d''actions détaillé'!$U$5:$AL$5,0))="X"),ROW('Plan d''actions détaillé'!$T$6:$T$30))))=0,"",INDEX('Plan d''actions détaillé'!D:D,MIN(IF((COUNTIF(M$182:M193,'Plan d''actions détaillé'!$D$6:$D$30)=0)*(INDEX('Plan d''actions détaillé'!$U$6:$AL$30,,MATCH($K$167,'Plan d''actions détaillé'!$U$5:$AL$5,0))="X"),ROW('Plan d''actions détaillé'!$T$6:$T$30))))))</f>
        <v/>
      </c>
      <c r="N194" s="411" t="str">
        <f>IF($M194&lt;&gt;"",IF(VLOOKUP($M194,'Plan d''actions détaillé'!$D$6:$P$30,8,FALSE)="","",VLOOKUP($M194,'Plan d''actions détaillé'!$D$6:$P$30,8,FALSE)),"")</f>
        <v/>
      </c>
      <c r="O194" s="483" t="str">
        <f>IF($M194&lt;&gt;"",IF(VLOOKUP($M194,'Plan d''actions détaillé'!$D$6:$P$30,6,FALSE)="","",VLOOKUP($M194,'Plan d''actions détaillé'!$D$6:$P$30,6,FALSE)),"")</f>
        <v/>
      </c>
      <c r="P194" s="483"/>
      <c r="Q194" s="483"/>
      <c r="R194" s="483"/>
      <c r="S194" s="483"/>
      <c r="T194" s="483"/>
      <c r="U194" s="483"/>
      <c r="V194" s="412" t="str">
        <f>IF($M194&lt;&gt;"",IF(VLOOKUP($M194,'Plan d''actions détaillé'!$D$6:$P$30,12,FALSE)="","",VLOOKUP($M194,'Plan d''actions détaillé'!$D$6:$P$30,12,FALSE)),"")</f>
        <v/>
      </c>
      <c r="W194" s="377"/>
    </row>
    <row r="195" spans="7:23" ht="8.25" customHeight="1" x14ac:dyDescent="0.2">
      <c r="G195" s="376"/>
      <c r="H195" s="372"/>
      <c r="I195" s="372"/>
      <c r="J195" s="414" t="str">
        <f t="array" ref="J195">IF($K$167="","",IF(INDEX('Plan d''actions détaillé'!A:A,MIN(IF((COUNTIF(J$182:J194,'Plan d''actions détaillé'!$A$6:$A$30)=0)*(INDEX('Plan d''actions détaillé'!$U$6:$AL$30,,MATCH($K$167,'Plan d''actions détaillé'!$U$5:$AL$5,0))="X"),ROW('Plan d''actions détaillé'!$T$6:$T$30))))=0,"",INDEX('Plan d''actions détaillé'!A:A,MIN(IF((COUNTIF(J$182:J194,'Plan d''actions détaillé'!$A$6:$A$30)=0)*(INDEX('Plan d''actions détaillé'!$U$6:$AL$30,,MATCH($K$167,'Plan d''actions détaillé'!$U$5:$AL$5,0))="X"),ROW('Plan d''actions détaillé'!$T$6:$T$30))))))</f>
        <v/>
      </c>
      <c r="K195" s="414"/>
      <c r="L195" s="415"/>
      <c r="M195" s="413" t="str">
        <f t="array" ref="M195">IF($K$167="","",IF(INDEX('Plan d''actions détaillé'!D:D,MIN(IF((COUNTIF(M$182:M194,'Plan d''actions détaillé'!$D$6:$D$30)=0)*(INDEX('Plan d''actions détaillé'!$U$6:$AL$30,,MATCH($K$167,'Plan d''actions détaillé'!$U$5:$AL$5,0))="X"),ROW('Plan d''actions détaillé'!$T$6:$T$30))))=0,"",INDEX('Plan d''actions détaillé'!D:D,MIN(IF((COUNTIF(M$182:M194,'Plan d''actions détaillé'!$D$6:$D$30)=0)*(INDEX('Plan d''actions détaillé'!$U$6:$AL$30,,MATCH($K$167,'Plan d''actions détaillé'!$U$5:$AL$5,0))="X"),ROW('Plan d''actions détaillé'!$T$6:$T$30))))))</f>
        <v/>
      </c>
      <c r="N195" s="411" t="str">
        <f>IF($M195&lt;&gt;"",IF(VLOOKUP($M195,'Plan d''actions détaillé'!$D$6:$P$30,8,FALSE)="","",VLOOKUP($M195,'Plan d''actions détaillé'!$D$6:$P$30,8,FALSE)),"")</f>
        <v/>
      </c>
      <c r="O195" s="483" t="str">
        <f>IF($M195&lt;&gt;"",IF(VLOOKUP($M195,'Plan d''actions détaillé'!$D$6:$P$30,6,FALSE)="","",VLOOKUP($M195,'Plan d''actions détaillé'!$D$6:$P$30,6,FALSE)),"")</f>
        <v/>
      </c>
      <c r="P195" s="483"/>
      <c r="Q195" s="483"/>
      <c r="R195" s="483"/>
      <c r="S195" s="483"/>
      <c r="T195" s="483"/>
      <c r="U195" s="483"/>
      <c r="V195" s="412" t="str">
        <f>IF($M195&lt;&gt;"",IF(VLOOKUP($M195,'Plan d''actions détaillé'!$D$6:$P$30,12,FALSE)="","",VLOOKUP($M195,'Plan d''actions détaillé'!$D$6:$P$30,12,FALSE)),"")</f>
        <v/>
      </c>
      <c r="W195" s="377"/>
    </row>
    <row r="196" spans="7:23" ht="8.25" customHeight="1" x14ac:dyDescent="0.2">
      <c r="G196" s="376"/>
      <c r="H196" s="372"/>
      <c r="I196" s="372"/>
      <c r="J196" s="414" t="str">
        <f t="array" ref="J196">IF($K$167="","",IF(INDEX('Plan d''actions détaillé'!A:A,MIN(IF((COUNTIF(J$182:J195,'Plan d''actions détaillé'!$A$6:$A$30)=0)*(INDEX('Plan d''actions détaillé'!$U$6:$AL$30,,MATCH($K$167,'Plan d''actions détaillé'!$U$5:$AL$5,0))="X"),ROW('Plan d''actions détaillé'!$T$6:$T$30))))=0,"",INDEX('Plan d''actions détaillé'!A:A,MIN(IF((COUNTIF(J$182:J195,'Plan d''actions détaillé'!$A$6:$A$30)=0)*(INDEX('Plan d''actions détaillé'!$U$6:$AL$30,,MATCH($K$167,'Plan d''actions détaillé'!$U$5:$AL$5,0))="X"),ROW('Plan d''actions détaillé'!$T$6:$T$30))))))</f>
        <v/>
      </c>
      <c r="K196" s="414"/>
      <c r="L196" s="415"/>
      <c r="M196" s="413" t="str">
        <f t="array" ref="M196">IF($K$167="","",IF(INDEX('Plan d''actions détaillé'!D:D,MIN(IF((COUNTIF(M$182:M195,'Plan d''actions détaillé'!$D$6:$D$30)=0)*(INDEX('Plan d''actions détaillé'!$U$6:$AL$30,,MATCH($K$167,'Plan d''actions détaillé'!$U$5:$AL$5,0))="X"),ROW('Plan d''actions détaillé'!$T$6:$T$30))))=0,"",INDEX('Plan d''actions détaillé'!D:D,MIN(IF((COUNTIF(M$182:M195,'Plan d''actions détaillé'!$D$6:$D$30)=0)*(INDEX('Plan d''actions détaillé'!$U$6:$AL$30,,MATCH($K$167,'Plan d''actions détaillé'!$U$5:$AL$5,0))="X"),ROW('Plan d''actions détaillé'!$T$6:$T$30))))))</f>
        <v/>
      </c>
      <c r="N196" s="411" t="str">
        <f>IF($M196&lt;&gt;"",IF(VLOOKUP($M196,'Plan d''actions détaillé'!$D$6:$P$30,8,FALSE)="","",VLOOKUP($M196,'Plan d''actions détaillé'!$D$6:$P$30,8,FALSE)),"")</f>
        <v/>
      </c>
      <c r="O196" s="483" t="str">
        <f>IF($M196&lt;&gt;"",IF(VLOOKUP($M196,'Plan d''actions détaillé'!$D$6:$P$30,6,FALSE)="","",VLOOKUP($M196,'Plan d''actions détaillé'!$D$6:$P$30,6,FALSE)),"")</f>
        <v/>
      </c>
      <c r="P196" s="483"/>
      <c r="Q196" s="483"/>
      <c r="R196" s="483"/>
      <c r="S196" s="483"/>
      <c r="T196" s="483"/>
      <c r="U196" s="483"/>
      <c r="V196" s="412" t="str">
        <f>IF($M196&lt;&gt;"",IF(VLOOKUP($M196,'Plan d''actions détaillé'!$D$6:$P$30,12,FALSE)="","",VLOOKUP($M196,'Plan d''actions détaillé'!$D$6:$P$30,12,FALSE)),"")</f>
        <v/>
      </c>
      <c r="W196" s="377"/>
    </row>
    <row r="197" spans="7:23" ht="8.25" customHeight="1" x14ac:dyDescent="0.2">
      <c r="G197" s="376"/>
      <c r="H197" s="372"/>
      <c r="I197" s="372"/>
      <c r="J197" s="414" t="str">
        <f t="array" ref="J197">IF($K$167="","",IF(INDEX('Plan d''actions détaillé'!A:A,MIN(IF((COUNTIF(J$182:J196,'Plan d''actions détaillé'!$A$6:$A$30)=0)*(INDEX('Plan d''actions détaillé'!$U$6:$AL$30,,MATCH($K$167,'Plan d''actions détaillé'!$U$5:$AL$5,0))="X"),ROW('Plan d''actions détaillé'!$T$6:$T$30))))=0,"",INDEX('Plan d''actions détaillé'!A:A,MIN(IF((COUNTIF(J$182:J196,'Plan d''actions détaillé'!$A$6:$A$30)=0)*(INDEX('Plan d''actions détaillé'!$U$6:$AL$30,,MATCH($K$167,'Plan d''actions détaillé'!$U$5:$AL$5,0))="X"),ROW('Plan d''actions détaillé'!$T$6:$T$30))))))</f>
        <v/>
      </c>
      <c r="K197" s="414"/>
      <c r="L197" s="415"/>
      <c r="M197" s="413" t="str">
        <f t="array" ref="M197">IF($K$167="","",IF(INDEX('Plan d''actions détaillé'!D:D,MIN(IF((COUNTIF(M$182:M196,'Plan d''actions détaillé'!$D$6:$D$30)=0)*(INDEX('Plan d''actions détaillé'!$U$6:$AL$30,,MATCH($K$167,'Plan d''actions détaillé'!$U$5:$AL$5,0))="X"),ROW('Plan d''actions détaillé'!$T$6:$T$30))))=0,"",INDEX('Plan d''actions détaillé'!D:D,MIN(IF((COUNTIF(M$182:M196,'Plan d''actions détaillé'!$D$6:$D$30)=0)*(INDEX('Plan d''actions détaillé'!$U$6:$AL$30,,MATCH($K$167,'Plan d''actions détaillé'!$U$5:$AL$5,0))="X"),ROW('Plan d''actions détaillé'!$T$6:$T$30))))))</f>
        <v/>
      </c>
      <c r="N197" s="411" t="str">
        <f>IF($M197&lt;&gt;"",IF(VLOOKUP($M197,'Plan d''actions détaillé'!$D$6:$P$30,8,FALSE)="","",VLOOKUP($M197,'Plan d''actions détaillé'!$D$6:$P$30,8,FALSE)),"")</f>
        <v/>
      </c>
      <c r="O197" s="483" t="str">
        <f>IF($M197&lt;&gt;"",IF(VLOOKUP($M197,'Plan d''actions détaillé'!$D$6:$P$30,6,FALSE)="","",VLOOKUP($M197,'Plan d''actions détaillé'!$D$6:$P$30,6,FALSE)),"")</f>
        <v/>
      </c>
      <c r="P197" s="483"/>
      <c r="Q197" s="483"/>
      <c r="R197" s="483"/>
      <c r="S197" s="483"/>
      <c r="T197" s="483"/>
      <c r="U197" s="483"/>
      <c r="V197" s="412" t="str">
        <f>IF($M197&lt;&gt;"",IF(VLOOKUP($M197,'Plan d''actions détaillé'!$D$6:$P$30,12,FALSE)="","",VLOOKUP($M197,'Plan d''actions détaillé'!$D$6:$P$30,12,FALSE)),"")</f>
        <v/>
      </c>
      <c r="W197" s="377"/>
    </row>
    <row r="198" spans="7:23" ht="8.25" customHeight="1" x14ac:dyDescent="0.2">
      <c r="G198" s="376"/>
      <c r="H198" s="372"/>
      <c r="I198" s="372"/>
      <c r="J198" s="414" t="str">
        <f t="array" ref="J198">IF($K$167="","",IF(INDEX('Plan d''actions détaillé'!A:A,MIN(IF((COUNTIF(J$182:J197,'Plan d''actions détaillé'!$A$6:$A$30)=0)*(INDEX('Plan d''actions détaillé'!$U$6:$AL$30,,MATCH($K$167,'Plan d''actions détaillé'!$U$5:$AL$5,0))="X"),ROW('Plan d''actions détaillé'!$T$6:$T$30))))=0,"",INDEX('Plan d''actions détaillé'!A:A,MIN(IF((COUNTIF(J$182:J197,'Plan d''actions détaillé'!$A$6:$A$30)=0)*(INDEX('Plan d''actions détaillé'!$U$6:$AL$30,,MATCH($K$167,'Plan d''actions détaillé'!$U$5:$AL$5,0))="X"),ROW('Plan d''actions détaillé'!$T$6:$T$30))))))</f>
        <v/>
      </c>
      <c r="K198" s="414"/>
      <c r="L198" s="415"/>
      <c r="M198" s="413" t="str">
        <f t="array" ref="M198">IF($K$167="","",IF(INDEX('Plan d''actions détaillé'!D:D,MIN(IF((COUNTIF(M$182:M197,'Plan d''actions détaillé'!$D$6:$D$30)=0)*(INDEX('Plan d''actions détaillé'!$U$6:$AL$30,,MATCH($K$167,'Plan d''actions détaillé'!$U$5:$AL$5,0))="X"),ROW('Plan d''actions détaillé'!$T$6:$T$30))))=0,"",INDEX('Plan d''actions détaillé'!D:D,MIN(IF((COUNTIF(M$182:M197,'Plan d''actions détaillé'!$D$6:$D$30)=0)*(INDEX('Plan d''actions détaillé'!$U$6:$AL$30,,MATCH($K$167,'Plan d''actions détaillé'!$U$5:$AL$5,0))="X"),ROW('Plan d''actions détaillé'!$T$6:$T$30))))))</f>
        <v/>
      </c>
      <c r="N198" s="411" t="str">
        <f>IF($M198&lt;&gt;"",IF(VLOOKUP($M198,'Plan d''actions détaillé'!$D$6:$P$30,8,FALSE)="","",VLOOKUP($M198,'Plan d''actions détaillé'!$D$6:$P$30,8,FALSE)),"")</f>
        <v/>
      </c>
      <c r="O198" s="483" t="str">
        <f>IF($M198&lt;&gt;"",IF(VLOOKUP($M198,'Plan d''actions détaillé'!$D$6:$P$30,6,FALSE)="","",VLOOKUP($M198,'Plan d''actions détaillé'!$D$6:$P$30,6,FALSE)),"")</f>
        <v/>
      </c>
      <c r="P198" s="483"/>
      <c r="Q198" s="483"/>
      <c r="R198" s="483"/>
      <c r="S198" s="483"/>
      <c r="T198" s="483"/>
      <c r="U198" s="483"/>
      <c r="V198" s="412" t="str">
        <f>IF($M198&lt;&gt;"",IF(VLOOKUP($M198,'Plan d''actions détaillé'!$D$6:$P$30,12,FALSE)="","",VLOOKUP($M198,'Plan d''actions détaillé'!$D$6:$P$30,12,FALSE)),"")</f>
        <v/>
      </c>
      <c r="W198" s="377"/>
    </row>
    <row r="199" spans="7:23" ht="13.5" thickBot="1" x14ac:dyDescent="0.25">
      <c r="G199" s="378"/>
      <c r="H199" s="379"/>
      <c r="I199" s="379"/>
      <c r="J199" s="379"/>
      <c r="K199" s="379"/>
      <c r="L199" s="379"/>
      <c r="M199" s="379"/>
      <c r="N199" s="380"/>
      <c r="O199" s="379"/>
      <c r="P199" s="379"/>
      <c r="Q199" s="379"/>
      <c r="R199" s="379"/>
      <c r="S199" s="379"/>
      <c r="T199" s="379"/>
      <c r="U199" s="379"/>
      <c r="V199" s="379"/>
      <c r="W199" s="381"/>
    </row>
    <row r="200" spans="7:23" ht="13.5" thickBot="1" x14ac:dyDescent="0.25"/>
    <row r="201" spans="7:23" x14ac:dyDescent="0.2">
      <c r="G201" s="373"/>
      <c r="H201" s="374"/>
      <c r="I201" s="374"/>
      <c r="J201" s="374"/>
      <c r="K201" s="374"/>
      <c r="L201" s="374"/>
      <c r="M201" s="374"/>
      <c r="N201" s="374"/>
      <c r="O201" s="374"/>
      <c r="P201" s="374"/>
      <c r="Q201" s="374"/>
      <c r="R201" s="374"/>
      <c r="S201" s="374"/>
      <c r="T201" s="374"/>
      <c r="U201" s="374"/>
      <c r="V201" s="374"/>
      <c r="W201" s="375"/>
    </row>
    <row r="202" spans="7:23" ht="12.75" customHeight="1" x14ac:dyDescent="0.2">
      <c r="G202" s="494" t="str">
        <f>C9</f>
        <v/>
      </c>
      <c r="H202" s="495"/>
      <c r="I202" s="495"/>
      <c r="J202" s="495"/>
      <c r="K202" s="496" t="str">
        <f>D9</f>
        <v/>
      </c>
      <c r="L202" s="496"/>
      <c r="M202" s="496"/>
      <c r="N202" s="496"/>
      <c r="O202" s="496"/>
      <c r="P202" s="496"/>
      <c r="Q202" s="496"/>
      <c r="R202" s="496"/>
      <c r="S202" s="496"/>
      <c r="T202" s="496"/>
      <c r="U202" s="496"/>
      <c r="V202" s="496"/>
      <c r="W202" s="397"/>
    </row>
    <row r="203" spans="7:23" ht="12.75" customHeight="1" x14ac:dyDescent="0.2">
      <c r="G203" s="494"/>
      <c r="H203" s="495"/>
      <c r="I203" s="495"/>
      <c r="J203" s="495"/>
      <c r="K203" s="496"/>
      <c r="L203" s="496"/>
      <c r="M203" s="496"/>
      <c r="N203" s="496"/>
      <c r="O203" s="496"/>
      <c r="P203" s="496"/>
      <c r="Q203" s="496"/>
      <c r="R203" s="496"/>
      <c r="S203" s="496"/>
      <c r="T203" s="496"/>
      <c r="U203" s="496"/>
      <c r="V203" s="496"/>
      <c r="W203" s="397"/>
    </row>
    <row r="204" spans="7:23" x14ac:dyDescent="0.2">
      <c r="G204" s="376"/>
      <c r="H204" s="372"/>
      <c r="I204" s="372"/>
      <c r="J204" s="372"/>
      <c r="K204" s="372"/>
      <c r="L204" s="372"/>
      <c r="M204" s="372"/>
      <c r="N204" s="372"/>
      <c r="O204" s="372"/>
      <c r="P204" s="372"/>
      <c r="Q204" s="372"/>
      <c r="R204" s="372"/>
      <c r="S204" s="372"/>
      <c r="T204" s="372"/>
      <c r="U204" s="372"/>
      <c r="V204" s="372"/>
      <c r="W204" s="377"/>
    </row>
    <row r="205" spans="7:23" ht="23.25" customHeight="1" x14ac:dyDescent="0.2">
      <c r="G205" s="497" t="s">
        <v>1</v>
      </c>
      <c r="H205" s="386" t="str">
        <f>IF(AND(O210=5,O211=1),"X","")</f>
        <v/>
      </c>
      <c r="I205" s="387" t="str">
        <f>IF(AND(O210=5,O211=2),"X","")</f>
        <v/>
      </c>
      <c r="J205" s="388" t="str">
        <f>IF(AND(O210=5,O211=3),"X","")</f>
        <v/>
      </c>
      <c r="K205" s="388" t="str">
        <f>IF(AND(O210=5,O211=4),"X","")</f>
        <v/>
      </c>
      <c r="L205" s="388" t="str">
        <f>IF(AND(O210=5,O211=5),"X","")</f>
        <v/>
      </c>
      <c r="N205" s="498" t="str">
        <f>"Processus de rattachement "</f>
        <v xml:space="preserve">Processus de rattachement </v>
      </c>
      <c r="O205" s="499"/>
      <c r="P205" s="499"/>
      <c r="Q205" s="499"/>
      <c r="R205" s="499"/>
      <c r="S205" s="499"/>
      <c r="T205" s="499"/>
      <c r="U205" s="499"/>
      <c r="V205" s="500"/>
      <c r="W205" s="377"/>
    </row>
    <row r="206" spans="7:23" ht="23.25" x14ac:dyDescent="0.2">
      <c r="G206" s="497"/>
      <c r="H206" s="389" t="str">
        <f>IF(AND(O210=4,O211=1),"X","")</f>
        <v/>
      </c>
      <c r="I206" s="390" t="str">
        <f>IF(AND(O210=4,O211=2),"X","")</f>
        <v/>
      </c>
      <c r="J206" s="387" t="str">
        <f>IF(AND(O210=4,O211=3),"X","")</f>
        <v/>
      </c>
      <c r="K206" s="388" t="str">
        <f>IF(AND(O210=4,O211=4),"X","")</f>
        <v/>
      </c>
      <c r="L206" s="388" t="str">
        <f>IF(AND(O210=4,O211=5),"X","")</f>
        <v/>
      </c>
      <c r="N206" s="501" t="str">
        <f>Matrice!$G$1&amp;" - "&amp;Matrice!$J$1</f>
        <v>DI2 - YYY</v>
      </c>
      <c r="O206" s="502"/>
      <c r="P206" s="502"/>
      <c r="Q206" s="502"/>
      <c r="R206" s="502"/>
      <c r="S206" s="502"/>
      <c r="T206" s="502"/>
      <c r="U206" s="502"/>
      <c r="V206" s="503"/>
      <c r="W206" s="377"/>
    </row>
    <row r="207" spans="7:23" ht="23.25" x14ac:dyDescent="0.2">
      <c r="G207" s="497"/>
      <c r="H207" s="389" t="str">
        <f>IF(AND(O210=3,O211=1),"X","")</f>
        <v/>
      </c>
      <c r="I207" s="390" t="str">
        <f>IF(AND(O210=3,O211=2),"X","")</f>
        <v/>
      </c>
      <c r="J207" s="390" t="str">
        <f>IF(AND(O210=3,O211=3),"X","")</f>
        <v/>
      </c>
      <c r="K207" s="387" t="str">
        <f>IF(AND(O210=3,O211=4),"X","")</f>
        <v/>
      </c>
      <c r="L207" s="388" t="str">
        <f>IF(AND(O210=3,O211=5),"X","")</f>
        <v/>
      </c>
      <c r="N207" s="372"/>
      <c r="O207" s="372"/>
      <c r="W207" s="377"/>
    </row>
    <row r="208" spans="7:23" ht="23.25" x14ac:dyDescent="0.2">
      <c r="G208" s="497"/>
      <c r="H208" s="391" t="str">
        <f>IF(AND(O210=2,O211=1),"X","")</f>
        <v/>
      </c>
      <c r="I208" s="392" t="str">
        <f>IF(AND(O210=2,O211=2),"X","")</f>
        <v/>
      </c>
      <c r="J208" s="390" t="str">
        <f>IF(AND(O210=2,O211=3),"X","")</f>
        <v/>
      </c>
      <c r="K208" s="390" t="str">
        <f>IF(AND(O210=2,O211=4),"X","")</f>
        <v/>
      </c>
      <c r="L208" s="387" t="str">
        <f>IF(AND(O210=2,O211=5),"X","")</f>
        <v/>
      </c>
      <c r="M208" s="372"/>
      <c r="N208" s="383" t="s">
        <v>236</v>
      </c>
      <c r="O208" s="382"/>
      <c r="P208" s="382"/>
      <c r="Q208" s="382"/>
      <c r="S208" s="385" t="s">
        <v>250</v>
      </c>
      <c r="T208" s="384"/>
      <c r="U208" s="384"/>
      <c r="V208" s="384"/>
      <c r="W208" s="377"/>
    </row>
    <row r="209" spans="7:23" ht="24" thickBot="1" x14ac:dyDescent="0.25">
      <c r="G209" s="376"/>
      <c r="H209" s="393" t="str">
        <f>IF(AND(O210=1,O211=1),"X","")</f>
        <v/>
      </c>
      <c r="I209" s="394" t="str">
        <f>IF(AND(O210=1,O211=2),"X","")</f>
        <v/>
      </c>
      <c r="J209" s="395" t="str">
        <f>IF(AND(O210=1,O211=3),"X","")</f>
        <v/>
      </c>
      <c r="K209" s="395" t="str">
        <f>IF(AND(O210=1,O211=4),"X","")</f>
        <v/>
      </c>
      <c r="L209" s="396" t="str">
        <f>IF(AND(O210=1,O211=5),"X","")</f>
        <v/>
      </c>
      <c r="M209" s="372"/>
      <c r="N209" s="406"/>
      <c r="O209" s="408" t="s">
        <v>237</v>
      </c>
      <c r="P209" s="408" t="s">
        <v>238</v>
      </c>
      <c r="Q209" s="406"/>
      <c r="R209" s="307"/>
      <c r="S209" s="420"/>
      <c r="T209" s="409" t="s">
        <v>237</v>
      </c>
      <c r="U209" s="409" t="s">
        <v>238</v>
      </c>
      <c r="V209" s="384"/>
      <c r="W209" s="377"/>
    </row>
    <row r="210" spans="7:23" ht="19.5" thickTop="1" thickBot="1" x14ac:dyDescent="0.25">
      <c r="G210" s="376"/>
      <c r="H210" s="484" t="s">
        <v>16</v>
      </c>
      <c r="I210" s="484"/>
      <c r="J210" s="484"/>
      <c r="K210" s="484"/>
      <c r="L210" s="484"/>
      <c r="M210" s="372"/>
      <c r="N210" s="407" t="s">
        <v>248</v>
      </c>
      <c r="O210" s="417" t="str">
        <f>VLOOKUP($K202,Risques!$D$21:$AB$40,17,FALSE)</f>
        <v/>
      </c>
      <c r="P210" s="418" t="str">
        <f>VLOOKUP(K202,Risques!$D$21:$AB$40,23,FALSE)</f>
        <v/>
      </c>
      <c r="Q210" s="382"/>
      <c r="S210" s="410" t="s">
        <v>248</v>
      </c>
      <c r="T210" s="419"/>
      <c r="U210" s="419"/>
      <c r="V210" s="384"/>
      <c r="W210" s="377"/>
    </row>
    <row r="211" spans="7:23" ht="19.5" thickTop="1" thickBot="1" x14ac:dyDescent="0.25">
      <c r="G211" s="376"/>
      <c r="H211" s="372"/>
      <c r="I211" s="372"/>
      <c r="J211" s="372"/>
      <c r="K211" s="372"/>
      <c r="L211" s="372"/>
      <c r="M211" s="372"/>
      <c r="N211" s="407" t="s">
        <v>249</v>
      </c>
      <c r="O211" s="417" t="str">
        <f>VLOOKUP(K202,Risques!$D$21:$AB$40,18,FALSE)</f>
        <v/>
      </c>
      <c r="P211" s="418" t="str">
        <f>VLOOKUP(K202,Risques!$D$21:$AB$40,24,FALSE)</f>
        <v/>
      </c>
      <c r="Q211" s="382"/>
      <c r="S211" s="410" t="s">
        <v>249</v>
      </c>
      <c r="T211" s="419"/>
      <c r="U211" s="419"/>
      <c r="V211" s="384"/>
      <c r="W211" s="377"/>
    </row>
    <row r="212" spans="7:23" ht="19.5" thickTop="1" thickBot="1" x14ac:dyDescent="0.25">
      <c r="G212" s="376"/>
      <c r="H212" s="372"/>
      <c r="I212" s="372"/>
      <c r="J212" s="372"/>
      <c r="K212" s="372"/>
      <c r="L212" s="372"/>
      <c r="M212" s="372"/>
      <c r="N212" s="407" t="s">
        <v>251</v>
      </c>
      <c r="O212" s="417" t="str">
        <f>VLOOKUP(K202,Risques!$D$21:$AB$40,19,FALSE)</f>
        <v/>
      </c>
      <c r="P212" s="418" t="str">
        <f>VLOOKUP(K202,Risques!$D$21:$AB$40,25,FALSE)</f>
        <v/>
      </c>
      <c r="Q212" s="382"/>
      <c r="S212" s="410" t="s">
        <v>251</v>
      </c>
      <c r="T212" s="419"/>
      <c r="U212" s="419"/>
      <c r="V212" s="384"/>
      <c r="W212" s="377"/>
    </row>
    <row r="213" spans="7:23" ht="13.5" thickTop="1" x14ac:dyDescent="0.2">
      <c r="G213" s="376"/>
      <c r="H213" s="372"/>
      <c r="I213" s="372"/>
      <c r="J213" s="372"/>
      <c r="K213" s="372"/>
      <c r="L213" s="372"/>
      <c r="M213" s="372"/>
      <c r="N213" s="382"/>
      <c r="O213" s="382"/>
      <c r="P213" s="382"/>
      <c r="Q213" s="382"/>
      <c r="S213" s="384"/>
      <c r="T213" s="384"/>
      <c r="U213" s="384"/>
      <c r="V213" s="384"/>
      <c r="W213" s="377"/>
    </row>
    <row r="214" spans="7:23" x14ac:dyDescent="0.2">
      <c r="G214" s="376"/>
      <c r="H214" s="372"/>
      <c r="I214" s="372"/>
      <c r="J214" s="372"/>
      <c r="K214" s="372"/>
      <c r="L214" s="372"/>
      <c r="M214" s="372"/>
      <c r="W214" s="377"/>
    </row>
    <row r="215" spans="7:23" ht="18" customHeight="1" x14ac:dyDescent="0.2">
      <c r="G215" s="376"/>
      <c r="H215" s="372"/>
      <c r="I215" s="372"/>
      <c r="J215" s="492" t="s">
        <v>253</v>
      </c>
      <c r="K215" s="492"/>
      <c r="L215" s="493"/>
      <c r="M215" s="485" t="str">
        <f>VLOOKUP($K202,Risques!$D$21:$AB$40,3,FALSE)</f>
        <v/>
      </c>
      <c r="N215" s="486"/>
      <c r="O215" s="486"/>
      <c r="P215" s="486"/>
      <c r="Q215" s="486"/>
      <c r="R215" s="486"/>
      <c r="S215" s="486"/>
      <c r="T215" s="486"/>
      <c r="U215" s="486"/>
      <c r="V215" s="487"/>
      <c r="W215" s="377"/>
    </row>
    <row r="216" spans="7:23" ht="39" customHeight="1" x14ac:dyDescent="0.25">
      <c r="G216" s="399"/>
      <c r="H216" s="400"/>
      <c r="I216" s="400"/>
      <c r="J216" s="492"/>
      <c r="K216" s="492"/>
      <c r="L216" s="493"/>
      <c r="M216" s="488"/>
      <c r="N216" s="489"/>
      <c r="O216" s="489"/>
      <c r="P216" s="489"/>
      <c r="Q216" s="489"/>
      <c r="R216" s="489"/>
      <c r="S216" s="489"/>
      <c r="T216" s="489"/>
      <c r="U216" s="489"/>
      <c r="V216" s="490"/>
      <c r="W216" s="401"/>
    </row>
    <row r="217" spans="7:23" x14ac:dyDescent="0.2">
      <c r="G217" s="376"/>
      <c r="H217" s="372"/>
      <c r="I217" s="372"/>
      <c r="J217" s="372"/>
      <c r="K217" s="372"/>
      <c r="L217" s="372"/>
      <c r="M217" s="372"/>
      <c r="N217" s="403"/>
      <c r="O217" s="403"/>
      <c r="P217" s="403"/>
      <c r="Q217" s="403"/>
      <c r="R217" s="403"/>
      <c r="S217" s="403"/>
      <c r="T217" s="403"/>
      <c r="U217" s="403"/>
      <c r="V217" s="404"/>
      <c r="W217" s="377"/>
    </row>
    <row r="218" spans="7:23" ht="31.5" customHeight="1" x14ac:dyDescent="0.2">
      <c r="G218" s="376"/>
      <c r="H218" s="372"/>
      <c r="I218" s="372"/>
      <c r="J218" s="491" t="s">
        <v>239</v>
      </c>
      <c r="K218" s="491"/>
      <c r="L218" s="491"/>
      <c r="M218" s="416" t="s">
        <v>240</v>
      </c>
      <c r="N218" s="416" t="s">
        <v>241</v>
      </c>
      <c r="O218" s="491" t="s">
        <v>242</v>
      </c>
      <c r="P218" s="491"/>
      <c r="Q218" s="491"/>
      <c r="R218" s="491"/>
      <c r="S218" s="491"/>
      <c r="T218" s="491"/>
      <c r="U218" s="491"/>
      <c r="V218" s="416" t="s">
        <v>243</v>
      </c>
      <c r="W218" s="377"/>
    </row>
    <row r="219" spans="7:23" ht="5.25" customHeight="1" x14ac:dyDescent="0.2">
      <c r="G219" s="376"/>
      <c r="H219" s="372"/>
      <c r="I219" s="372"/>
      <c r="J219" s="414" t="str">
        <f t="array" ref="J219">IF($K$202="","",IF(INDEX('Plan d''actions détaillé'!A:A,MIN(IF((COUNTIF(J$217:J218,'Plan d''actions détaillé'!$A$6:$A$30)=0)*(INDEX('Plan d''actions détaillé'!$U$6:$AL$30,,MATCH($K$202,'Plan d''actions détaillé'!$U$5:$AL$5,0))="X"),ROW('Plan d''actions détaillé'!$T$6:$T$30))))=0,"",INDEX('Plan d''actions détaillé'!A:A,MIN(IF((COUNTIF(J$217:J218,'Plan d''actions détaillé'!$A$6:$A$30)=0)*(INDEX('Plan d''actions détaillé'!$U$6:$AL$30,,MATCH($K$202,'Plan d''actions détaillé'!$U$5:$AL$5,0))="X"),ROW('Plan d''actions détaillé'!$T$6:$T$30))))))</f>
        <v/>
      </c>
      <c r="K219" s="414"/>
      <c r="L219" s="415"/>
      <c r="M219" s="413" t="str">
        <f t="array" ref="M219">IF($K$202="","",IF(INDEX('Plan d''actions détaillé'!D:D,MIN(IF((COUNTIF(M$217:M218,'Plan d''actions détaillé'!$D$6:$D$30)=0)*(INDEX('Plan d''actions détaillé'!$U$6:$AL$30,,MATCH($K$202,'Plan d''actions détaillé'!$U$5:$AL$5,0))="X"),ROW('Plan d''actions détaillé'!$T$6:$T$30))))=0,"",INDEX('Plan d''actions détaillé'!D:D,MIN(IF((COUNTIF(M$217:M218,'Plan d''actions détaillé'!$D$6:$D$30)=0)*(INDEX('Plan d''actions détaillé'!$U$6:$AL$30,,MATCH($K$202,'Plan d''actions détaillé'!$U$5:$AL$5,0))="X"),ROW('Plan d''actions détaillé'!$T$6:$T$30))))))</f>
        <v/>
      </c>
      <c r="N219" s="411" t="str">
        <f>IF($M219&lt;&gt;"",IF(VLOOKUP($M219,'Plan d''actions détaillé'!$D$6:$P$30,8,FALSE)="","",VLOOKUP($M219,'Plan d''actions détaillé'!$D$6:$P$30,8,FALSE)),"")</f>
        <v/>
      </c>
      <c r="O219" s="483" t="str">
        <f>IF($M219&lt;&gt;"",IF(VLOOKUP($M219,'Plan d''actions détaillé'!$D$6:$P$30,6,FALSE)="","",VLOOKUP($M219,'Plan d''actions détaillé'!$D$6:$P$30,6,FALSE)),"")</f>
        <v/>
      </c>
      <c r="P219" s="483"/>
      <c r="Q219" s="483"/>
      <c r="R219" s="483"/>
      <c r="S219" s="483"/>
      <c r="T219" s="483"/>
      <c r="U219" s="483"/>
      <c r="V219" s="412" t="str">
        <f>IF($M219&lt;&gt;"",IF(VLOOKUP($M219,'Plan d''actions détaillé'!$D$6:$P$30,12,FALSE)="","",VLOOKUP($M219,'Plan d''actions détaillé'!$D$6:$P$30,12,FALSE)),"")</f>
        <v/>
      </c>
      <c r="W219" s="377"/>
    </row>
    <row r="220" spans="7:23" ht="5.25" customHeight="1" x14ac:dyDescent="0.2">
      <c r="G220" s="376"/>
      <c r="H220" s="372"/>
      <c r="I220" s="372"/>
      <c r="J220" s="414" t="str">
        <f t="array" ref="J220">IF($K$202="","",IF(INDEX('Plan d''actions détaillé'!A:A,MIN(IF((COUNTIF(J$217:J219,'Plan d''actions détaillé'!$A$6:$A$30)=0)*(INDEX('Plan d''actions détaillé'!$U$6:$AL$30,,MATCH($K$202,'Plan d''actions détaillé'!$U$5:$AL$5,0))="X"),ROW('Plan d''actions détaillé'!$T$6:$T$30))))=0,"",INDEX('Plan d''actions détaillé'!A:A,MIN(IF((COUNTIF(J$217:J219,'Plan d''actions détaillé'!$A$6:$A$30)=0)*(INDEX('Plan d''actions détaillé'!$U$6:$AL$30,,MATCH($K$202,'Plan d''actions détaillé'!$U$5:$AL$5,0))="X"),ROW('Plan d''actions détaillé'!$T$6:$T$30))))))</f>
        <v/>
      </c>
      <c r="K220" s="414"/>
      <c r="L220" s="415"/>
      <c r="M220" s="413" t="str">
        <f t="array" ref="M220">IF($K$202="","",IF(INDEX('Plan d''actions détaillé'!D:D,MIN(IF((COUNTIF(M$217:M219,'Plan d''actions détaillé'!$D$6:$D$30)=0)*(INDEX('Plan d''actions détaillé'!$U$6:$AL$30,,MATCH($K$202,'Plan d''actions détaillé'!$U$5:$AL$5,0))="X"),ROW('Plan d''actions détaillé'!$T$6:$T$30))))=0,"",INDEX('Plan d''actions détaillé'!D:D,MIN(IF((COUNTIF(M$217:M219,'Plan d''actions détaillé'!$D$6:$D$30)=0)*(INDEX('Plan d''actions détaillé'!$U$6:$AL$30,,MATCH($K$202,'Plan d''actions détaillé'!$U$5:$AL$5,0))="X"),ROW('Plan d''actions détaillé'!$T$6:$T$30))))))</f>
        <v/>
      </c>
      <c r="N220" s="411" t="str">
        <f>IF($M220&lt;&gt;"",IF(VLOOKUP($M220,'Plan d''actions détaillé'!$D$6:$P$30,8,FALSE)="","",VLOOKUP($M220,'Plan d''actions détaillé'!$D$6:$P$30,8,FALSE)),"")</f>
        <v/>
      </c>
      <c r="O220" s="483" t="str">
        <f>IF($M220&lt;&gt;"",IF(VLOOKUP($M220,'Plan d''actions détaillé'!$D$6:$P$30,6,FALSE)="","",VLOOKUP($M220,'Plan d''actions détaillé'!$D$6:$P$30,6,FALSE)),"")</f>
        <v/>
      </c>
      <c r="P220" s="483"/>
      <c r="Q220" s="483"/>
      <c r="R220" s="483"/>
      <c r="S220" s="483"/>
      <c r="T220" s="483"/>
      <c r="U220" s="483"/>
      <c r="V220" s="412" t="str">
        <f>IF($M220&lt;&gt;"",IF(VLOOKUP($M220,'Plan d''actions détaillé'!$D$6:$P$30,12,FALSE)="","",VLOOKUP($M220,'Plan d''actions détaillé'!$D$6:$P$30,12,FALSE)),"")</f>
        <v/>
      </c>
      <c r="W220" s="377"/>
    </row>
    <row r="221" spans="7:23" ht="5.25" customHeight="1" x14ac:dyDescent="0.2">
      <c r="G221" s="376"/>
      <c r="H221" s="372"/>
      <c r="I221" s="372"/>
      <c r="J221" s="414" t="str">
        <f t="array" ref="J221">IF($K$202="","",IF(INDEX('Plan d''actions détaillé'!A:A,MIN(IF((COUNTIF(J$217:J220,'Plan d''actions détaillé'!$A$6:$A$30)=0)*(INDEX('Plan d''actions détaillé'!$U$6:$AL$30,,MATCH($K$202,'Plan d''actions détaillé'!$U$5:$AL$5,0))="X"),ROW('Plan d''actions détaillé'!$T$6:$T$30))))=0,"",INDEX('Plan d''actions détaillé'!A:A,MIN(IF((COUNTIF(J$217:J220,'Plan d''actions détaillé'!$A$6:$A$30)=0)*(INDEX('Plan d''actions détaillé'!$U$6:$AL$30,,MATCH($K$202,'Plan d''actions détaillé'!$U$5:$AL$5,0))="X"),ROW('Plan d''actions détaillé'!$T$6:$T$30))))))</f>
        <v/>
      </c>
      <c r="K221" s="414"/>
      <c r="L221" s="415"/>
      <c r="M221" s="413" t="str">
        <f t="array" ref="M221">IF($K$202="","",IF(INDEX('Plan d''actions détaillé'!D:D,MIN(IF((COUNTIF(M$217:M220,'Plan d''actions détaillé'!$D$6:$D$30)=0)*(INDEX('Plan d''actions détaillé'!$U$6:$AL$30,,MATCH($K$202,'Plan d''actions détaillé'!$U$5:$AL$5,0))="X"),ROW('Plan d''actions détaillé'!$T$6:$T$30))))=0,"",INDEX('Plan d''actions détaillé'!D:D,MIN(IF((COUNTIF(M$217:M220,'Plan d''actions détaillé'!$D$6:$D$30)=0)*(INDEX('Plan d''actions détaillé'!$U$6:$AL$30,,MATCH($K$202,'Plan d''actions détaillé'!$U$5:$AL$5,0))="X"),ROW('Plan d''actions détaillé'!$T$6:$T$30))))))</f>
        <v/>
      </c>
      <c r="N221" s="411" t="str">
        <f>IF($M221&lt;&gt;"",IF(VLOOKUP($M221,'Plan d''actions détaillé'!$D$6:$P$30,8,FALSE)="","",VLOOKUP($M221,'Plan d''actions détaillé'!$D$6:$P$30,8,FALSE)),"")</f>
        <v/>
      </c>
      <c r="O221" s="483" t="str">
        <f>IF($M221&lt;&gt;"",IF(VLOOKUP($M221,'Plan d''actions détaillé'!$D$6:$P$30,6,FALSE)="","",VLOOKUP($M221,'Plan d''actions détaillé'!$D$6:$P$30,6,FALSE)),"")</f>
        <v/>
      </c>
      <c r="P221" s="483"/>
      <c r="Q221" s="483"/>
      <c r="R221" s="483"/>
      <c r="S221" s="483"/>
      <c r="T221" s="483"/>
      <c r="U221" s="483"/>
      <c r="V221" s="412" t="str">
        <f>IF($M221&lt;&gt;"",IF(VLOOKUP($M221,'Plan d''actions détaillé'!$D$6:$P$30,12,FALSE)="","",VLOOKUP($M221,'Plan d''actions détaillé'!$D$6:$P$30,12,FALSE)),"")</f>
        <v/>
      </c>
      <c r="W221" s="377"/>
    </row>
    <row r="222" spans="7:23" ht="5.25" customHeight="1" x14ac:dyDescent="0.2">
      <c r="G222" s="376"/>
      <c r="H222" s="372"/>
      <c r="I222" s="372"/>
      <c r="J222" s="414" t="str">
        <f t="array" ref="J222">IF($K$202="","",IF(INDEX('Plan d''actions détaillé'!A:A,MIN(IF((COUNTIF(J$217:J221,'Plan d''actions détaillé'!$A$6:$A$30)=0)*(INDEX('Plan d''actions détaillé'!$U$6:$AL$30,,MATCH($K$202,'Plan d''actions détaillé'!$U$5:$AL$5,0))="X"),ROW('Plan d''actions détaillé'!$T$6:$T$30))))=0,"",INDEX('Plan d''actions détaillé'!A:A,MIN(IF((COUNTIF(J$217:J221,'Plan d''actions détaillé'!$A$6:$A$30)=0)*(INDEX('Plan d''actions détaillé'!$U$6:$AL$30,,MATCH($K$202,'Plan d''actions détaillé'!$U$5:$AL$5,0))="X"),ROW('Plan d''actions détaillé'!$T$6:$T$30))))))</f>
        <v/>
      </c>
      <c r="K222" s="414"/>
      <c r="L222" s="415"/>
      <c r="M222" s="413" t="str">
        <f t="array" ref="M222">IF($K$202="","",IF(INDEX('Plan d''actions détaillé'!D:D,MIN(IF((COUNTIF(M$217:M221,'Plan d''actions détaillé'!$D$6:$D$30)=0)*(INDEX('Plan d''actions détaillé'!$U$6:$AL$30,,MATCH($K$202,'Plan d''actions détaillé'!$U$5:$AL$5,0))="X"),ROW('Plan d''actions détaillé'!$T$6:$T$30))))=0,"",INDEX('Plan d''actions détaillé'!D:D,MIN(IF((COUNTIF(M$217:M221,'Plan d''actions détaillé'!$D$6:$D$30)=0)*(INDEX('Plan d''actions détaillé'!$U$6:$AL$30,,MATCH($K$202,'Plan d''actions détaillé'!$U$5:$AL$5,0))="X"),ROW('Plan d''actions détaillé'!$T$6:$T$30))))))</f>
        <v/>
      </c>
      <c r="N222" s="411" t="str">
        <f>IF($M222&lt;&gt;"",IF(VLOOKUP($M222,'Plan d''actions détaillé'!$D$6:$P$30,8,FALSE)="","",VLOOKUP($M222,'Plan d''actions détaillé'!$D$6:$P$30,8,FALSE)),"")</f>
        <v/>
      </c>
      <c r="O222" s="483" t="str">
        <f>IF($M222&lt;&gt;"",IF(VLOOKUP($M222,'Plan d''actions détaillé'!$D$6:$P$30,6,FALSE)="","",VLOOKUP($M222,'Plan d''actions détaillé'!$D$6:$P$30,6,FALSE)),"")</f>
        <v/>
      </c>
      <c r="P222" s="483"/>
      <c r="Q222" s="483"/>
      <c r="R222" s="483"/>
      <c r="S222" s="483"/>
      <c r="T222" s="483"/>
      <c r="U222" s="483"/>
      <c r="V222" s="412" t="str">
        <f>IF($M222&lt;&gt;"",IF(VLOOKUP($M222,'Plan d''actions détaillé'!$D$6:$P$30,12,FALSE)="","",VLOOKUP($M222,'Plan d''actions détaillé'!$D$6:$P$30,12,FALSE)),"")</f>
        <v/>
      </c>
      <c r="W222" s="377"/>
    </row>
    <row r="223" spans="7:23" ht="5.25" customHeight="1" x14ac:dyDescent="0.2">
      <c r="G223" s="376"/>
      <c r="H223" s="372"/>
      <c r="I223" s="372"/>
      <c r="J223" s="414" t="str">
        <f t="array" ref="J223">IF($K$202="","",IF(INDEX('Plan d''actions détaillé'!A:A,MIN(IF((COUNTIF(J$217:J222,'Plan d''actions détaillé'!$A$6:$A$30)=0)*(INDEX('Plan d''actions détaillé'!$U$6:$AL$30,,MATCH($K$202,'Plan d''actions détaillé'!$U$5:$AL$5,0))="X"),ROW('Plan d''actions détaillé'!$T$6:$T$30))))=0,"",INDEX('Plan d''actions détaillé'!A:A,MIN(IF((COUNTIF(J$217:J222,'Plan d''actions détaillé'!$A$6:$A$30)=0)*(INDEX('Plan d''actions détaillé'!$U$6:$AL$30,,MATCH($K$202,'Plan d''actions détaillé'!$U$5:$AL$5,0))="X"),ROW('Plan d''actions détaillé'!$T$6:$T$30))))))</f>
        <v/>
      </c>
      <c r="K223" s="414"/>
      <c r="L223" s="415"/>
      <c r="M223" s="413" t="str">
        <f t="array" ref="M223">IF($K$202="","",IF(INDEX('Plan d''actions détaillé'!D:D,MIN(IF((COUNTIF(M$217:M222,'Plan d''actions détaillé'!$D$6:$D$30)=0)*(INDEX('Plan d''actions détaillé'!$U$6:$AL$30,,MATCH($K$202,'Plan d''actions détaillé'!$U$5:$AL$5,0))="X"),ROW('Plan d''actions détaillé'!$T$6:$T$30))))=0,"",INDEX('Plan d''actions détaillé'!D:D,MIN(IF((COUNTIF(M$217:M222,'Plan d''actions détaillé'!$D$6:$D$30)=0)*(INDEX('Plan d''actions détaillé'!$U$6:$AL$30,,MATCH($K$202,'Plan d''actions détaillé'!$U$5:$AL$5,0))="X"),ROW('Plan d''actions détaillé'!$T$6:$T$30))))))</f>
        <v/>
      </c>
      <c r="N223" s="411" t="str">
        <f>IF($M223&lt;&gt;"",IF(VLOOKUP($M223,'Plan d''actions détaillé'!$D$6:$P$30,8,FALSE)="","",VLOOKUP($M223,'Plan d''actions détaillé'!$D$6:$P$30,8,FALSE)),"")</f>
        <v/>
      </c>
      <c r="O223" s="483" t="str">
        <f>IF($M223&lt;&gt;"",IF(VLOOKUP($M223,'Plan d''actions détaillé'!$D$6:$P$30,6,FALSE)="","",VLOOKUP($M223,'Plan d''actions détaillé'!$D$6:$P$30,6,FALSE)),"")</f>
        <v/>
      </c>
      <c r="P223" s="483"/>
      <c r="Q223" s="483"/>
      <c r="R223" s="483"/>
      <c r="S223" s="483"/>
      <c r="T223" s="483"/>
      <c r="U223" s="483"/>
      <c r="V223" s="412" t="str">
        <f>IF($M223&lt;&gt;"",IF(VLOOKUP($M223,'Plan d''actions détaillé'!$D$6:$P$30,12,FALSE)="","",VLOOKUP($M223,'Plan d''actions détaillé'!$D$6:$P$30,12,FALSE)),"")</f>
        <v/>
      </c>
      <c r="W223" s="377"/>
    </row>
    <row r="224" spans="7:23" ht="5.25" customHeight="1" x14ac:dyDescent="0.2">
      <c r="G224" s="376"/>
      <c r="H224" s="372"/>
      <c r="I224" s="372"/>
      <c r="J224" s="414" t="str">
        <f t="array" ref="J224">IF($K$202="","",IF(INDEX('Plan d''actions détaillé'!A:A,MIN(IF((COUNTIF(J$217:J223,'Plan d''actions détaillé'!$A$6:$A$30)=0)*(INDEX('Plan d''actions détaillé'!$U$6:$AL$30,,MATCH($K$202,'Plan d''actions détaillé'!$U$5:$AL$5,0))="X"),ROW('Plan d''actions détaillé'!$T$6:$T$30))))=0,"",INDEX('Plan d''actions détaillé'!A:A,MIN(IF((COUNTIF(J$217:J223,'Plan d''actions détaillé'!$A$6:$A$30)=0)*(INDEX('Plan d''actions détaillé'!$U$6:$AL$30,,MATCH($K$202,'Plan d''actions détaillé'!$U$5:$AL$5,0))="X"),ROW('Plan d''actions détaillé'!$T$6:$T$30))))))</f>
        <v/>
      </c>
      <c r="K224" s="414"/>
      <c r="L224" s="415"/>
      <c r="M224" s="413" t="str">
        <f t="array" ref="M224">IF($K$202="","",IF(INDEX('Plan d''actions détaillé'!D:D,MIN(IF((COUNTIF(M$217:M223,'Plan d''actions détaillé'!$D$6:$D$30)=0)*(INDEX('Plan d''actions détaillé'!$U$6:$AL$30,,MATCH($K$202,'Plan d''actions détaillé'!$U$5:$AL$5,0))="X"),ROW('Plan d''actions détaillé'!$T$6:$T$30))))=0,"",INDEX('Plan d''actions détaillé'!D:D,MIN(IF((COUNTIF(M$217:M223,'Plan d''actions détaillé'!$D$6:$D$30)=0)*(INDEX('Plan d''actions détaillé'!$U$6:$AL$30,,MATCH($K$202,'Plan d''actions détaillé'!$U$5:$AL$5,0))="X"),ROW('Plan d''actions détaillé'!$T$6:$T$30))))))</f>
        <v/>
      </c>
      <c r="N224" s="411" t="str">
        <f>IF($M224&lt;&gt;"",IF(VLOOKUP($M224,'Plan d''actions détaillé'!$D$6:$P$30,8,FALSE)="","",VLOOKUP($M224,'Plan d''actions détaillé'!$D$6:$P$30,8,FALSE)),"")</f>
        <v/>
      </c>
      <c r="O224" s="483" t="str">
        <f>IF($M224&lt;&gt;"",IF(VLOOKUP($M224,'Plan d''actions détaillé'!$D$6:$P$30,6,FALSE)="","",VLOOKUP($M224,'Plan d''actions détaillé'!$D$6:$P$30,6,FALSE)),"")</f>
        <v/>
      </c>
      <c r="P224" s="483"/>
      <c r="Q224" s="483"/>
      <c r="R224" s="483"/>
      <c r="S224" s="483"/>
      <c r="T224" s="483"/>
      <c r="U224" s="483"/>
      <c r="V224" s="412" t="str">
        <f>IF($M224&lt;&gt;"",IF(VLOOKUP($M224,'Plan d''actions détaillé'!$D$6:$P$30,12,FALSE)="","",VLOOKUP($M224,'Plan d''actions détaillé'!$D$6:$P$30,12,FALSE)),"")</f>
        <v/>
      </c>
      <c r="W224" s="377"/>
    </row>
    <row r="225" spans="7:23" ht="5.25" customHeight="1" x14ac:dyDescent="0.2">
      <c r="G225" s="376"/>
      <c r="H225" s="372"/>
      <c r="I225" s="372"/>
      <c r="J225" s="414" t="str">
        <f t="array" ref="J225">IF($K$202="","",IF(INDEX('Plan d''actions détaillé'!A:A,MIN(IF((COUNTIF(J$217:J224,'Plan d''actions détaillé'!$A$6:$A$30)=0)*(INDEX('Plan d''actions détaillé'!$U$6:$AL$30,,MATCH($K$202,'Plan d''actions détaillé'!$U$5:$AL$5,0))="X"),ROW('Plan d''actions détaillé'!$T$6:$T$30))))=0,"",INDEX('Plan d''actions détaillé'!A:A,MIN(IF((COUNTIF(J$217:J224,'Plan d''actions détaillé'!$A$6:$A$30)=0)*(INDEX('Plan d''actions détaillé'!$U$6:$AL$30,,MATCH($K$202,'Plan d''actions détaillé'!$U$5:$AL$5,0))="X"),ROW('Plan d''actions détaillé'!$T$6:$T$30))))))</f>
        <v/>
      </c>
      <c r="K225" s="414"/>
      <c r="L225" s="415"/>
      <c r="M225" s="413" t="str">
        <f t="array" ref="M225">IF($K$202="","",IF(INDEX('Plan d''actions détaillé'!D:D,MIN(IF((COUNTIF(M$217:M224,'Plan d''actions détaillé'!$D$6:$D$30)=0)*(INDEX('Plan d''actions détaillé'!$U$6:$AL$30,,MATCH($K$202,'Plan d''actions détaillé'!$U$5:$AL$5,0))="X"),ROW('Plan d''actions détaillé'!$T$6:$T$30))))=0,"",INDEX('Plan d''actions détaillé'!D:D,MIN(IF((COUNTIF(M$217:M224,'Plan d''actions détaillé'!$D$6:$D$30)=0)*(INDEX('Plan d''actions détaillé'!$U$6:$AL$30,,MATCH($K$202,'Plan d''actions détaillé'!$U$5:$AL$5,0))="X"),ROW('Plan d''actions détaillé'!$T$6:$T$30))))))</f>
        <v/>
      </c>
      <c r="N225" s="411" t="str">
        <f>IF($M225&lt;&gt;"",IF(VLOOKUP($M225,'Plan d''actions détaillé'!$D$6:$P$30,8,FALSE)="","",VLOOKUP($M225,'Plan d''actions détaillé'!$D$6:$P$30,8,FALSE)),"")</f>
        <v/>
      </c>
      <c r="O225" s="483" t="str">
        <f>IF($M225&lt;&gt;"",IF(VLOOKUP($M225,'Plan d''actions détaillé'!$D$6:$P$30,6,FALSE)="","",VLOOKUP($M225,'Plan d''actions détaillé'!$D$6:$P$30,6,FALSE)),"")</f>
        <v/>
      </c>
      <c r="P225" s="483"/>
      <c r="Q225" s="483"/>
      <c r="R225" s="483"/>
      <c r="S225" s="483"/>
      <c r="T225" s="483"/>
      <c r="U225" s="483"/>
      <c r="V225" s="412" t="str">
        <f>IF($M225&lt;&gt;"",IF(VLOOKUP($M225,'Plan d''actions détaillé'!$D$6:$P$30,12,FALSE)="","",VLOOKUP($M225,'Plan d''actions détaillé'!$D$6:$P$30,12,FALSE)),"")</f>
        <v/>
      </c>
      <c r="W225" s="377"/>
    </row>
    <row r="226" spans="7:23" ht="5.25" customHeight="1" x14ac:dyDescent="0.2">
      <c r="G226" s="376"/>
      <c r="H226" s="372"/>
      <c r="I226" s="372"/>
      <c r="J226" s="414" t="str">
        <f t="array" ref="J226">IF($K$202="","",IF(INDEX('Plan d''actions détaillé'!A:A,MIN(IF((COUNTIF(J$217:J225,'Plan d''actions détaillé'!$A$6:$A$30)=0)*(INDEX('Plan d''actions détaillé'!$U$6:$AL$30,,MATCH($K$202,'Plan d''actions détaillé'!$U$5:$AL$5,0))="X"),ROW('Plan d''actions détaillé'!$T$6:$T$30))))=0,"",INDEX('Plan d''actions détaillé'!A:A,MIN(IF((COUNTIF(J$217:J225,'Plan d''actions détaillé'!$A$6:$A$30)=0)*(INDEX('Plan d''actions détaillé'!$U$6:$AL$30,,MATCH($K$202,'Plan d''actions détaillé'!$U$5:$AL$5,0))="X"),ROW('Plan d''actions détaillé'!$T$6:$T$30))))))</f>
        <v/>
      </c>
      <c r="K226" s="414"/>
      <c r="L226" s="415"/>
      <c r="M226" s="413" t="str">
        <f t="array" ref="M226">IF($K$202="","",IF(INDEX('Plan d''actions détaillé'!D:D,MIN(IF((COUNTIF(M$217:M225,'Plan d''actions détaillé'!$D$6:$D$30)=0)*(INDEX('Plan d''actions détaillé'!$U$6:$AL$30,,MATCH($K$202,'Plan d''actions détaillé'!$U$5:$AL$5,0))="X"),ROW('Plan d''actions détaillé'!$T$6:$T$30))))=0,"",INDEX('Plan d''actions détaillé'!D:D,MIN(IF((COUNTIF(M$217:M225,'Plan d''actions détaillé'!$D$6:$D$30)=0)*(INDEX('Plan d''actions détaillé'!$U$6:$AL$30,,MATCH($K$202,'Plan d''actions détaillé'!$U$5:$AL$5,0))="X"),ROW('Plan d''actions détaillé'!$T$6:$T$30))))))</f>
        <v/>
      </c>
      <c r="N226" s="411" t="str">
        <f>IF($M226&lt;&gt;"",IF(VLOOKUP($M226,'Plan d''actions détaillé'!$D$6:$P$30,8,FALSE)="","",VLOOKUP($M226,'Plan d''actions détaillé'!$D$6:$P$30,8,FALSE)),"")</f>
        <v/>
      </c>
      <c r="O226" s="483" t="str">
        <f>IF($M226&lt;&gt;"",IF(VLOOKUP($M226,'Plan d''actions détaillé'!$D$6:$P$30,6,FALSE)="","",VLOOKUP($M226,'Plan d''actions détaillé'!$D$6:$P$30,6,FALSE)),"")</f>
        <v/>
      </c>
      <c r="P226" s="483"/>
      <c r="Q226" s="483"/>
      <c r="R226" s="483"/>
      <c r="S226" s="483"/>
      <c r="T226" s="483"/>
      <c r="U226" s="483"/>
      <c r="V226" s="412" t="str">
        <f>IF($M226&lt;&gt;"",IF(VLOOKUP($M226,'Plan d''actions détaillé'!$D$6:$P$30,12,FALSE)="","",VLOOKUP($M226,'Plan d''actions détaillé'!$D$6:$P$30,12,FALSE)),"")</f>
        <v/>
      </c>
      <c r="W226" s="377"/>
    </row>
    <row r="227" spans="7:23" ht="5.25" customHeight="1" x14ac:dyDescent="0.2">
      <c r="G227" s="376"/>
      <c r="H227" s="372"/>
      <c r="I227" s="372"/>
      <c r="J227" s="414" t="str">
        <f t="array" ref="J227">IF($K$202="","",IF(INDEX('Plan d''actions détaillé'!A:A,MIN(IF((COUNTIF(J$217:J226,'Plan d''actions détaillé'!$A$6:$A$30)=0)*(INDEX('Plan d''actions détaillé'!$U$6:$AL$30,,MATCH($K$202,'Plan d''actions détaillé'!$U$5:$AL$5,0))="X"),ROW('Plan d''actions détaillé'!$T$6:$T$30))))=0,"",INDEX('Plan d''actions détaillé'!A:A,MIN(IF((COUNTIF(J$217:J226,'Plan d''actions détaillé'!$A$6:$A$30)=0)*(INDEX('Plan d''actions détaillé'!$U$6:$AL$30,,MATCH($K$202,'Plan d''actions détaillé'!$U$5:$AL$5,0))="X"),ROW('Plan d''actions détaillé'!$T$6:$T$30))))))</f>
        <v/>
      </c>
      <c r="K227" s="414"/>
      <c r="L227" s="415"/>
      <c r="M227" s="413" t="str">
        <f t="array" ref="M227">IF($K$202="","",IF(INDEX('Plan d''actions détaillé'!D:D,MIN(IF((COUNTIF(M$217:M226,'Plan d''actions détaillé'!$D$6:$D$30)=0)*(INDEX('Plan d''actions détaillé'!$U$6:$AL$30,,MATCH($K$202,'Plan d''actions détaillé'!$U$5:$AL$5,0))="X"),ROW('Plan d''actions détaillé'!$T$6:$T$30))))=0,"",INDEX('Plan d''actions détaillé'!D:D,MIN(IF((COUNTIF(M$217:M226,'Plan d''actions détaillé'!$D$6:$D$30)=0)*(INDEX('Plan d''actions détaillé'!$U$6:$AL$30,,MATCH($K$202,'Plan d''actions détaillé'!$U$5:$AL$5,0))="X"),ROW('Plan d''actions détaillé'!$T$6:$T$30))))))</f>
        <v/>
      </c>
      <c r="N227" s="411" t="str">
        <f>IF($M227&lt;&gt;"",IF(VLOOKUP($M227,'Plan d''actions détaillé'!$D$6:$P$30,8,FALSE)="","",VLOOKUP($M227,'Plan d''actions détaillé'!$D$6:$P$30,8,FALSE)),"")</f>
        <v/>
      </c>
      <c r="O227" s="483" t="str">
        <f>IF($M227&lt;&gt;"",IF(VLOOKUP($M227,'Plan d''actions détaillé'!$D$6:$P$30,6,FALSE)="","",VLOOKUP($M227,'Plan d''actions détaillé'!$D$6:$P$30,6,FALSE)),"")</f>
        <v/>
      </c>
      <c r="P227" s="483"/>
      <c r="Q227" s="483"/>
      <c r="R227" s="483"/>
      <c r="S227" s="483"/>
      <c r="T227" s="483"/>
      <c r="U227" s="483"/>
      <c r="V227" s="412" t="str">
        <f>IF($M227&lt;&gt;"",IF(VLOOKUP($M227,'Plan d''actions détaillé'!$D$6:$P$30,12,FALSE)="","",VLOOKUP($M227,'Plan d''actions détaillé'!$D$6:$P$30,12,FALSE)),"")</f>
        <v/>
      </c>
      <c r="W227" s="377"/>
    </row>
    <row r="228" spans="7:23" ht="5.25" customHeight="1" x14ac:dyDescent="0.2">
      <c r="G228" s="376"/>
      <c r="H228" s="372"/>
      <c r="I228" s="372"/>
      <c r="J228" s="414" t="str">
        <f t="array" ref="J228">IF($K$202="","",IF(INDEX('Plan d''actions détaillé'!A:A,MIN(IF((COUNTIF(J$217:J227,'Plan d''actions détaillé'!$A$6:$A$30)=0)*(INDEX('Plan d''actions détaillé'!$U$6:$AL$30,,MATCH($K$202,'Plan d''actions détaillé'!$U$5:$AL$5,0))="X"),ROW('Plan d''actions détaillé'!$T$6:$T$30))))=0,"",INDEX('Plan d''actions détaillé'!A:A,MIN(IF((COUNTIF(J$217:J227,'Plan d''actions détaillé'!$A$6:$A$30)=0)*(INDEX('Plan d''actions détaillé'!$U$6:$AL$30,,MATCH($K$202,'Plan d''actions détaillé'!$U$5:$AL$5,0))="X"),ROW('Plan d''actions détaillé'!$T$6:$T$30))))))</f>
        <v/>
      </c>
      <c r="K228" s="414"/>
      <c r="L228" s="415"/>
      <c r="M228" s="413" t="str">
        <f t="array" ref="M228">IF($K$202="","",IF(INDEX('Plan d''actions détaillé'!D:D,MIN(IF((COUNTIF(M$217:M227,'Plan d''actions détaillé'!$D$6:$D$30)=0)*(INDEX('Plan d''actions détaillé'!$U$6:$AL$30,,MATCH($K$202,'Plan d''actions détaillé'!$U$5:$AL$5,0))="X"),ROW('Plan d''actions détaillé'!$T$6:$T$30))))=0,"",INDEX('Plan d''actions détaillé'!D:D,MIN(IF((COUNTIF(M$217:M227,'Plan d''actions détaillé'!$D$6:$D$30)=0)*(INDEX('Plan d''actions détaillé'!$U$6:$AL$30,,MATCH($K$202,'Plan d''actions détaillé'!$U$5:$AL$5,0))="X"),ROW('Plan d''actions détaillé'!$T$6:$T$30))))))</f>
        <v/>
      </c>
      <c r="N228" s="411" t="str">
        <f>IF($M228&lt;&gt;"",IF(VLOOKUP($M228,'Plan d''actions détaillé'!$D$6:$P$30,8,FALSE)="","",VLOOKUP($M228,'Plan d''actions détaillé'!$D$6:$P$30,8,FALSE)),"")</f>
        <v/>
      </c>
      <c r="O228" s="483" t="str">
        <f>IF($M228&lt;&gt;"",IF(VLOOKUP($M228,'Plan d''actions détaillé'!$D$6:$P$30,6,FALSE)="","",VLOOKUP($M228,'Plan d''actions détaillé'!$D$6:$P$30,6,FALSE)),"")</f>
        <v/>
      </c>
      <c r="P228" s="483"/>
      <c r="Q228" s="483"/>
      <c r="R228" s="483"/>
      <c r="S228" s="483"/>
      <c r="T228" s="483"/>
      <c r="U228" s="483"/>
      <c r="V228" s="412" t="str">
        <f>IF($M228&lt;&gt;"",IF(VLOOKUP($M228,'Plan d''actions détaillé'!$D$6:$P$30,12,FALSE)="","",VLOOKUP($M228,'Plan d''actions détaillé'!$D$6:$P$30,12,FALSE)),"")</f>
        <v/>
      </c>
      <c r="W228" s="377"/>
    </row>
    <row r="229" spans="7:23" ht="5.25" customHeight="1" x14ac:dyDescent="0.2">
      <c r="G229" s="376"/>
      <c r="H229" s="372"/>
      <c r="I229" s="372"/>
      <c r="J229" s="414" t="str">
        <f t="array" ref="J229">IF($K$202="","",IF(INDEX('Plan d''actions détaillé'!A:A,MIN(IF((COUNTIF(J$217:J228,'Plan d''actions détaillé'!$A$6:$A$30)=0)*(INDEX('Plan d''actions détaillé'!$U$6:$AL$30,,MATCH($K$202,'Plan d''actions détaillé'!$U$5:$AL$5,0))="X"),ROW('Plan d''actions détaillé'!$T$6:$T$30))))=0,"",INDEX('Plan d''actions détaillé'!A:A,MIN(IF((COUNTIF(J$217:J228,'Plan d''actions détaillé'!$A$6:$A$30)=0)*(INDEX('Plan d''actions détaillé'!$U$6:$AL$30,,MATCH($K$202,'Plan d''actions détaillé'!$U$5:$AL$5,0))="X"),ROW('Plan d''actions détaillé'!$T$6:$T$30))))))</f>
        <v/>
      </c>
      <c r="K229" s="414"/>
      <c r="L229" s="415"/>
      <c r="M229" s="413" t="str">
        <f t="array" ref="M229">IF($K$202="","",IF(INDEX('Plan d''actions détaillé'!D:D,MIN(IF((COUNTIF(M$217:M228,'Plan d''actions détaillé'!$D$6:$D$30)=0)*(INDEX('Plan d''actions détaillé'!$U$6:$AL$30,,MATCH($K$202,'Plan d''actions détaillé'!$U$5:$AL$5,0))="X"),ROW('Plan d''actions détaillé'!$T$6:$T$30))))=0,"",INDEX('Plan d''actions détaillé'!D:D,MIN(IF((COUNTIF(M$217:M228,'Plan d''actions détaillé'!$D$6:$D$30)=0)*(INDEX('Plan d''actions détaillé'!$U$6:$AL$30,,MATCH($K$202,'Plan d''actions détaillé'!$U$5:$AL$5,0))="X"),ROW('Plan d''actions détaillé'!$T$6:$T$30))))))</f>
        <v/>
      </c>
      <c r="N229" s="411" t="str">
        <f>IF($M229&lt;&gt;"",IF(VLOOKUP($M229,'Plan d''actions détaillé'!$D$6:$P$30,8,FALSE)="","",VLOOKUP($M229,'Plan d''actions détaillé'!$D$6:$P$30,8,FALSE)),"")</f>
        <v/>
      </c>
      <c r="O229" s="483" t="str">
        <f>IF($M229&lt;&gt;"",IF(VLOOKUP($M229,'Plan d''actions détaillé'!$D$6:$P$30,6,FALSE)="","",VLOOKUP($M229,'Plan d''actions détaillé'!$D$6:$P$30,6,FALSE)),"")</f>
        <v/>
      </c>
      <c r="P229" s="483"/>
      <c r="Q229" s="483"/>
      <c r="R229" s="483"/>
      <c r="S229" s="483"/>
      <c r="T229" s="483"/>
      <c r="U229" s="483"/>
      <c r="V229" s="412" t="str">
        <f>IF($M229&lt;&gt;"",IF(VLOOKUP($M229,'Plan d''actions détaillé'!$D$6:$P$30,12,FALSE)="","",VLOOKUP($M229,'Plan d''actions détaillé'!$D$6:$P$30,12,FALSE)),"")</f>
        <v/>
      </c>
      <c r="W229" s="377"/>
    </row>
    <row r="230" spans="7:23" ht="5.25" customHeight="1" x14ac:dyDescent="0.2">
      <c r="G230" s="376"/>
      <c r="H230" s="372"/>
      <c r="I230" s="372"/>
      <c r="J230" s="414" t="str">
        <f t="array" ref="J230">IF($K$202="","",IF(INDEX('Plan d''actions détaillé'!A:A,MIN(IF((COUNTIF(J$217:J229,'Plan d''actions détaillé'!$A$6:$A$30)=0)*(INDEX('Plan d''actions détaillé'!$U$6:$AL$30,,MATCH($K$202,'Plan d''actions détaillé'!$U$5:$AL$5,0))="X"),ROW('Plan d''actions détaillé'!$T$6:$T$30))))=0,"",INDEX('Plan d''actions détaillé'!A:A,MIN(IF((COUNTIF(J$217:J229,'Plan d''actions détaillé'!$A$6:$A$30)=0)*(INDEX('Plan d''actions détaillé'!$U$6:$AL$30,,MATCH($K$202,'Plan d''actions détaillé'!$U$5:$AL$5,0))="X"),ROW('Plan d''actions détaillé'!$T$6:$T$30))))))</f>
        <v/>
      </c>
      <c r="K230" s="414"/>
      <c r="L230" s="415"/>
      <c r="M230" s="413" t="str">
        <f t="array" ref="M230">IF($K$202="","",IF(INDEX('Plan d''actions détaillé'!D:D,MIN(IF((COUNTIF(M$217:M229,'Plan d''actions détaillé'!$D$6:$D$30)=0)*(INDEX('Plan d''actions détaillé'!$U$6:$AL$30,,MATCH($K$202,'Plan d''actions détaillé'!$U$5:$AL$5,0))="X"),ROW('Plan d''actions détaillé'!$T$6:$T$30))))=0,"",INDEX('Plan d''actions détaillé'!D:D,MIN(IF((COUNTIF(M$217:M229,'Plan d''actions détaillé'!$D$6:$D$30)=0)*(INDEX('Plan d''actions détaillé'!$U$6:$AL$30,,MATCH($K$202,'Plan d''actions détaillé'!$U$5:$AL$5,0))="X"),ROW('Plan d''actions détaillé'!$T$6:$T$30))))))</f>
        <v/>
      </c>
      <c r="N230" s="411" t="str">
        <f>IF($M230&lt;&gt;"",IF(VLOOKUP($M230,'Plan d''actions détaillé'!$D$6:$P$30,8,FALSE)="","",VLOOKUP($M230,'Plan d''actions détaillé'!$D$6:$P$30,8,FALSE)),"")</f>
        <v/>
      </c>
      <c r="O230" s="483" t="str">
        <f>IF($M230&lt;&gt;"",IF(VLOOKUP($M230,'Plan d''actions détaillé'!$D$6:$P$30,6,FALSE)="","",VLOOKUP($M230,'Plan d''actions détaillé'!$D$6:$P$30,6,FALSE)),"")</f>
        <v/>
      </c>
      <c r="P230" s="483"/>
      <c r="Q230" s="483"/>
      <c r="R230" s="483"/>
      <c r="S230" s="483"/>
      <c r="T230" s="483"/>
      <c r="U230" s="483"/>
      <c r="V230" s="412" t="str">
        <f>IF($M230&lt;&gt;"",IF(VLOOKUP($M230,'Plan d''actions détaillé'!$D$6:$P$30,12,FALSE)="","",VLOOKUP($M230,'Plan d''actions détaillé'!$D$6:$P$30,12,FALSE)),"")</f>
        <v/>
      </c>
      <c r="W230" s="377"/>
    </row>
    <row r="231" spans="7:23" ht="5.25" customHeight="1" x14ac:dyDescent="0.2">
      <c r="G231" s="376"/>
      <c r="H231" s="372"/>
      <c r="I231" s="372"/>
      <c r="J231" s="414" t="str">
        <f t="array" ref="J231">IF($K$202="","",IF(INDEX('Plan d''actions détaillé'!A:A,MIN(IF((COUNTIF(J$217:J230,'Plan d''actions détaillé'!$A$6:$A$30)=0)*(INDEX('Plan d''actions détaillé'!$U$6:$AL$30,,MATCH($K$202,'Plan d''actions détaillé'!$U$5:$AL$5,0))="X"),ROW('Plan d''actions détaillé'!$T$6:$T$30))))=0,"",INDEX('Plan d''actions détaillé'!A:A,MIN(IF((COUNTIF(J$217:J230,'Plan d''actions détaillé'!$A$6:$A$30)=0)*(INDEX('Plan d''actions détaillé'!$U$6:$AL$30,,MATCH($K$202,'Plan d''actions détaillé'!$U$5:$AL$5,0))="X"),ROW('Plan d''actions détaillé'!$T$6:$T$30))))))</f>
        <v/>
      </c>
      <c r="K231" s="414"/>
      <c r="L231" s="415"/>
      <c r="M231" s="413" t="str">
        <f t="array" ref="M231">IF($K$202="","",IF(INDEX('Plan d''actions détaillé'!D:D,MIN(IF((COUNTIF(M$217:M230,'Plan d''actions détaillé'!$D$6:$D$30)=0)*(INDEX('Plan d''actions détaillé'!$U$6:$AL$30,,MATCH($K$202,'Plan d''actions détaillé'!$U$5:$AL$5,0))="X"),ROW('Plan d''actions détaillé'!$T$6:$T$30))))=0,"",INDEX('Plan d''actions détaillé'!D:D,MIN(IF((COUNTIF(M$217:M230,'Plan d''actions détaillé'!$D$6:$D$30)=0)*(INDEX('Plan d''actions détaillé'!$U$6:$AL$30,,MATCH($K$202,'Plan d''actions détaillé'!$U$5:$AL$5,0))="X"),ROW('Plan d''actions détaillé'!$T$6:$T$30))))))</f>
        <v/>
      </c>
      <c r="N231" s="411" t="str">
        <f>IF($M231&lt;&gt;"",IF(VLOOKUP($M231,'Plan d''actions détaillé'!$D$6:$P$30,8,FALSE)="","",VLOOKUP($M231,'Plan d''actions détaillé'!$D$6:$P$30,8,FALSE)),"")</f>
        <v/>
      </c>
      <c r="O231" s="483" t="str">
        <f>IF($M231&lt;&gt;"",IF(VLOOKUP($M231,'Plan d''actions détaillé'!$D$6:$P$30,6,FALSE)="","",VLOOKUP($M231,'Plan d''actions détaillé'!$D$6:$P$30,6,FALSE)),"")</f>
        <v/>
      </c>
      <c r="P231" s="483"/>
      <c r="Q231" s="483"/>
      <c r="R231" s="483"/>
      <c r="S231" s="483"/>
      <c r="T231" s="483"/>
      <c r="U231" s="483"/>
      <c r="V231" s="412" t="str">
        <f>IF($M231&lt;&gt;"",IF(VLOOKUP($M231,'Plan d''actions détaillé'!$D$6:$P$30,12,FALSE)="","",VLOOKUP($M231,'Plan d''actions détaillé'!$D$6:$P$30,12,FALSE)),"")</f>
        <v/>
      </c>
      <c r="W231" s="377"/>
    </row>
    <row r="232" spans="7:23" ht="5.25" customHeight="1" x14ac:dyDescent="0.2">
      <c r="G232" s="376"/>
      <c r="H232" s="372"/>
      <c r="I232" s="372"/>
      <c r="J232" s="414" t="str">
        <f t="array" ref="J232">IF($K$202="","",IF(INDEX('Plan d''actions détaillé'!A:A,MIN(IF((COUNTIF(J$217:J231,'Plan d''actions détaillé'!$A$6:$A$30)=0)*(INDEX('Plan d''actions détaillé'!$U$6:$AL$30,,MATCH($K$202,'Plan d''actions détaillé'!$U$5:$AL$5,0))="X"),ROW('Plan d''actions détaillé'!$T$6:$T$30))))=0,"",INDEX('Plan d''actions détaillé'!A:A,MIN(IF((COUNTIF(J$217:J231,'Plan d''actions détaillé'!$A$6:$A$30)=0)*(INDEX('Plan d''actions détaillé'!$U$6:$AL$30,,MATCH($K$202,'Plan d''actions détaillé'!$U$5:$AL$5,0))="X"),ROW('Plan d''actions détaillé'!$T$6:$T$30))))))</f>
        <v/>
      </c>
      <c r="K232" s="414"/>
      <c r="L232" s="415"/>
      <c r="M232" s="413" t="str">
        <f t="array" ref="M232">IF($K$202="","",IF(INDEX('Plan d''actions détaillé'!D:D,MIN(IF((COUNTIF(M$217:M231,'Plan d''actions détaillé'!$D$6:$D$30)=0)*(INDEX('Plan d''actions détaillé'!$U$6:$AL$30,,MATCH($K$202,'Plan d''actions détaillé'!$U$5:$AL$5,0))="X"),ROW('Plan d''actions détaillé'!$T$6:$T$30))))=0,"",INDEX('Plan d''actions détaillé'!D:D,MIN(IF((COUNTIF(M$217:M231,'Plan d''actions détaillé'!$D$6:$D$30)=0)*(INDEX('Plan d''actions détaillé'!$U$6:$AL$30,,MATCH($K$202,'Plan d''actions détaillé'!$U$5:$AL$5,0))="X"),ROW('Plan d''actions détaillé'!$T$6:$T$30))))))</f>
        <v/>
      </c>
      <c r="N232" s="411" t="str">
        <f>IF($M232&lt;&gt;"",IF(VLOOKUP($M232,'Plan d''actions détaillé'!$D$6:$P$30,8,FALSE)="","",VLOOKUP($M232,'Plan d''actions détaillé'!$D$6:$P$30,8,FALSE)),"")</f>
        <v/>
      </c>
      <c r="O232" s="483" t="str">
        <f>IF($M232&lt;&gt;"",IF(VLOOKUP($M232,'Plan d''actions détaillé'!$D$6:$P$30,6,FALSE)="","",VLOOKUP($M232,'Plan d''actions détaillé'!$D$6:$P$30,6,FALSE)),"")</f>
        <v/>
      </c>
      <c r="P232" s="483"/>
      <c r="Q232" s="483"/>
      <c r="R232" s="483"/>
      <c r="S232" s="483"/>
      <c r="T232" s="483"/>
      <c r="U232" s="483"/>
      <c r="V232" s="412" t="str">
        <f>IF($M232&lt;&gt;"",IF(VLOOKUP($M232,'Plan d''actions détaillé'!$D$6:$P$30,12,FALSE)="","",VLOOKUP($M232,'Plan d''actions détaillé'!$D$6:$P$30,12,FALSE)),"")</f>
        <v/>
      </c>
      <c r="W232" s="377"/>
    </row>
    <row r="233" spans="7:23" ht="5.25" customHeight="1" x14ac:dyDescent="0.2">
      <c r="G233" s="376"/>
      <c r="H233" s="372"/>
      <c r="I233" s="372"/>
      <c r="J233" s="414" t="str">
        <f t="array" ref="J233">IF($K$202="","",IF(INDEX('Plan d''actions détaillé'!A:A,MIN(IF((COUNTIF(J$217:J232,'Plan d''actions détaillé'!$A$6:$A$30)=0)*(INDEX('Plan d''actions détaillé'!$U$6:$AL$30,,MATCH($K$202,'Plan d''actions détaillé'!$U$5:$AL$5,0))="X"),ROW('Plan d''actions détaillé'!$T$6:$T$30))))=0,"",INDEX('Plan d''actions détaillé'!A:A,MIN(IF((COUNTIF(J$217:J232,'Plan d''actions détaillé'!$A$6:$A$30)=0)*(INDEX('Plan d''actions détaillé'!$U$6:$AL$30,,MATCH($K$202,'Plan d''actions détaillé'!$U$5:$AL$5,0))="X"),ROW('Plan d''actions détaillé'!$T$6:$T$30))))))</f>
        <v/>
      </c>
      <c r="K233" s="414"/>
      <c r="L233" s="415"/>
      <c r="M233" s="413" t="str">
        <f t="array" ref="M233">IF($K$202="","",IF(INDEX('Plan d''actions détaillé'!D:D,MIN(IF((COUNTIF(M$217:M232,'Plan d''actions détaillé'!$D$6:$D$30)=0)*(INDEX('Plan d''actions détaillé'!$U$6:$AL$30,,MATCH($K$202,'Plan d''actions détaillé'!$U$5:$AL$5,0))="X"),ROW('Plan d''actions détaillé'!$T$6:$T$30))))=0,"",INDEX('Plan d''actions détaillé'!D:D,MIN(IF((COUNTIF(M$217:M232,'Plan d''actions détaillé'!$D$6:$D$30)=0)*(INDEX('Plan d''actions détaillé'!$U$6:$AL$30,,MATCH($K$202,'Plan d''actions détaillé'!$U$5:$AL$5,0))="X"),ROW('Plan d''actions détaillé'!$T$6:$T$30))))))</f>
        <v/>
      </c>
      <c r="N233" s="411" t="str">
        <f>IF($M233&lt;&gt;"",IF(VLOOKUP($M233,'Plan d''actions détaillé'!$D$6:$P$30,8,FALSE)="","",VLOOKUP($M233,'Plan d''actions détaillé'!$D$6:$P$30,8,FALSE)),"")</f>
        <v/>
      </c>
      <c r="O233" s="483" t="str">
        <f>IF($M233&lt;&gt;"",IF(VLOOKUP($M233,'Plan d''actions détaillé'!$D$6:$P$30,6,FALSE)="","",VLOOKUP($M233,'Plan d''actions détaillé'!$D$6:$P$30,6,FALSE)),"")</f>
        <v/>
      </c>
      <c r="P233" s="483"/>
      <c r="Q233" s="483"/>
      <c r="R233" s="483"/>
      <c r="S233" s="483"/>
      <c r="T233" s="483"/>
      <c r="U233" s="483"/>
      <c r="V233" s="412" t="str">
        <f>IF($M233&lt;&gt;"",IF(VLOOKUP($M233,'Plan d''actions détaillé'!$D$6:$P$30,12,FALSE)="","",VLOOKUP($M233,'Plan d''actions détaillé'!$D$6:$P$30,12,FALSE)),"")</f>
        <v/>
      </c>
      <c r="W233" s="377"/>
    </row>
    <row r="234" spans="7:23" ht="13.5" thickBot="1" x14ac:dyDescent="0.25">
      <c r="G234" s="378"/>
      <c r="H234" s="379"/>
      <c r="I234" s="379"/>
      <c r="J234" s="379"/>
      <c r="K234" s="379"/>
      <c r="L234" s="379"/>
      <c r="M234" s="379"/>
      <c r="N234" s="380"/>
      <c r="O234" s="379"/>
      <c r="P234" s="379"/>
      <c r="Q234" s="379"/>
      <c r="R234" s="379"/>
      <c r="S234" s="379"/>
      <c r="T234" s="379"/>
      <c r="U234" s="379"/>
      <c r="V234" s="379"/>
      <c r="W234" s="381"/>
    </row>
    <row r="235" spans="7:23" ht="13.5" thickBot="1" x14ac:dyDescent="0.25"/>
    <row r="236" spans="7:23" x14ac:dyDescent="0.2">
      <c r="G236" s="373"/>
      <c r="H236" s="374"/>
      <c r="I236" s="374"/>
      <c r="J236" s="374"/>
      <c r="K236" s="374"/>
      <c r="L236" s="374"/>
      <c r="M236" s="374"/>
      <c r="N236" s="374"/>
      <c r="O236" s="374"/>
      <c r="P236" s="374"/>
      <c r="Q236" s="374"/>
      <c r="R236" s="374"/>
      <c r="S236" s="374"/>
      <c r="T236" s="374"/>
      <c r="U236" s="374"/>
      <c r="V236" s="374"/>
      <c r="W236" s="375"/>
    </row>
    <row r="237" spans="7:23" ht="12.75" customHeight="1" x14ac:dyDescent="0.2">
      <c r="G237" s="494" t="str">
        <f>C10</f>
        <v/>
      </c>
      <c r="H237" s="495"/>
      <c r="I237" s="495"/>
      <c r="J237" s="495"/>
      <c r="K237" s="496" t="str">
        <f>D10</f>
        <v/>
      </c>
      <c r="L237" s="496"/>
      <c r="M237" s="496"/>
      <c r="N237" s="496"/>
      <c r="O237" s="496"/>
      <c r="P237" s="496"/>
      <c r="Q237" s="496"/>
      <c r="R237" s="496"/>
      <c r="S237" s="496"/>
      <c r="T237" s="496"/>
      <c r="U237" s="496"/>
      <c r="V237" s="496"/>
      <c r="W237" s="397"/>
    </row>
    <row r="238" spans="7:23" ht="12.75" customHeight="1" x14ac:dyDescent="0.2">
      <c r="G238" s="494"/>
      <c r="H238" s="495"/>
      <c r="I238" s="495"/>
      <c r="J238" s="495"/>
      <c r="K238" s="496"/>
      <c r="L238" s="496"/>
      <c r="M238" s="496"/>
      <c r="N238" s="496"/>
      <c r="O238" s="496"/>
      <c r="P238" s="496"/>
      <c r="Q238" s="496"/>
      <c r="R238" s="496"/>
      <c r="S238" s="496"/>
      <c r="T238" s="496"/>
      <c r="U238" s="496"/>
      <c r="V238" s="496"/>
      <c r="W238" s="397"/>
    </row>
    <row r="239" spans="7:23" x14ac:dyDescent="0.2">
      <c r="G239" s="376"/>
      <c r="H239" s="372"/>
      <c r="I239" s="372"/>
      <c r="J239" s="372"/>
      <c r="K239" s="372"/>
      <c r="L239" s="372"/>
      <c r="M239" s="372"/>
      <c r="N239" s="372"/>
      <c r="O239" s="372"/>
      <c r="P239" s="372"/>
      <c r="Q239" s="372"/>
      <c r="R239" s="372"/>
      <c r="S239" s="372"/>
      <c r="T239" s="372"/>
      <c r="U239" s="372"/>
      <c r="V239" s="372"/>
      <c r="W239" s="377"/>
    </row>
    <row r="240" spans="7:23" ht="23.25" customHeight="1" x14ac:dyDescent="0.2">
      <c r="G240" s="497" t="s">
        <v>1</v>
      </c>
      <c r="H240" s="386" t="str">
        <f>IF(AND(O245=5,O246=1),"X","")</f>
        <v/>
      </c>
      <c r="I240" s="387" t="str">
        <f>IF(AND(O245=5,O246=2),"X","")</f>
        <v/>
      </c>
      <c r="J240" s="388" t="str">
        <f>IF(AND(O245=5,O246=3),"X","")</f>
        <v/>
      </c>
      <c r="K240" s="388" t="str">
        <f>IF(AND(O245=5,O246=4),"X","")</f>
        <v/>
      </c>
      <c r="L240" s="388" t="str">
        <f>IF(AND(O245=5,O246=5),"X","")</f>
        <v/>
      </c>
      <c r="N240" s="498" t="str">
        <f>"Processus de rattachement "</f>
        <v xml:space="preserve">Processus de rattachement </v>
      </c>
      <c r="O240" s="499"/>
      <c r="P240" s="499"/>
      <c r="Q240" s="499"/>
      <c r="R240" s="499"/>
      <c r="S240" s="499"/>
      <c r="T240" s="499"/>
      <c r="U240" s="499"/>
      <c r="V240" s="500"/>
      <c r="W240" s="377"/>
    </row>
    <row r="241" spans="7:23" ht="23.25" x14ac:dyDescent="0.2">
      <c r="G241" s="497"/>
      <c r="H241" s="389" t="str">
        <f>IF(AND(O245=4,O246=1),"X","")</f>
        <v/>
      </c>
      <c r="I241" s="390" t="str">
        <f>IF(AND(O245=4,O246=2),"X","")</f>
        <v/>
      </c>
      <c r="J241" s="387" t="str">
        <f>IF(AND(O245=4,O246=3),"X","")</f>
        <v/>
      </c>
      <c r="K241" s="388" t="str">
        <f>IF(AND(O245=4,O246=4),"X","")</f>
        <v/>
      </c>
      <c r="L241" s="388" t="str">
        <f>IF(AND(O245=4,O246=5),"X","")</f>
        <v/>
      </c>
      <c r="N241" s="501" t="str">
        <f>Matrice!$G$1&amp;" - "&amp;Matrice!$J$1</f>
        <v>DI2 - YYY</v>
      </c>
      <c r="O241" s="502"/>
      <c r="P241" s="502"/>
      <c r="Q241" s="502"/>
      <c r="R241" s="502"/>
      <c r="S241" s="502"/>
      <c r="T241" s="502"/>
      <c r="U241" s="502"/>
      <c r="V241" s="503"/>
      <c r="W241" s="377"/>
    </row>
    <row r="242" spans="7:23" ht="23.25" x14ac:dyDescent="0.2">
      <c r="G242" s="497"/>
      <c r="H242" s="389" t="str">
        <f>IF(AND(O245=3,O246=1),"X","")</f>
        <v/>
      </c>
      <c r="I242" s="390" t="str">
        <f>IF(AND(O245=3,O246=2),"X","")</f>
        <v/>
      </c>
      <c r="J242" s="390" t="str">
        <f>IF(AND(O245=3,O246=3),"X","")</f>
        <v/>
      </c>
      <c r="K242" s="387" t="str">
        <f>IF(AND(O245=3,O246=4),"X","")</f>
        <v/>
      </c>
      <c r="L242" s="388" t="str">
        <f>IF(AND(O245=3,O246=5),"X","")</f>
        <v/>
      </c>
      <c r="N242" s="372"/>
      <c r="O242" s="372"/>
      <c r="W242" s="377"/>
    </row>
    <row r="243" spans="7:23" ht="23.25" x14ac:dyDescent="0.2">
      <c r="G243" s="497"/>
      <c r="H243" s="391" t="str">
        <f>IF(AND(O245=2,O246=1),"X","")</f>
        <v/>
      </c>
      <c r="I243" s="392" t="str">
        <f>IF(AND(O245=2,O246=2),"X","")</f>
        <v/>
      </c>
      <c r="J243" s="390" t="str">
        <f>IF(AND(O245=2,O246=3),"X","")</f>
        <v/>
      </c>
      <c r="K243" s="390" t="str">
        <f>IF(AND(O245=2,O246=4),"X","")</f>
        <v/>
      </c>
      <c r="L243" s="387" t="str">
        <f>IF(AND(O245=2,O246=5),"X","")</f>
        <v/>
      </c>
      <c r="M243" s="372"/>
      <c r="N243" s="383" t="s">
        <v>236</v>
      </c>
      <c r="O243" s="382"/>
      <c r="P243" s="382"/>
      <c r="Q243" s="382"/>
      <c r="S243" s="385" t="s">
        <v>250</v>
      </c>
      <c r="T243" s="384"/>
      <c r="U243" s="384"/>
      <c r="V243" s="384"/>
      <c r="W243" s="377"/>
    </row>
    <row r="244" spans="7:23" ht="24" thickBot="1" x14ac:dyDescent="0.25">
      <c r="G244" s="376"/>
      <c r="H244" s="393" t="str">
        <f>IF(AND(O245=1,O246=1),"X","")</f>
        <v/>
      </c>
      <c r="I244" s="394" t="str">
        <f>IF(AND(O245=1,O246=2),"X","")</f>
        <v/>
      </c>
      <c r="J244" s="395" t="str">
        <f>IF(AND(O245=1,O246=3),"X","")</f>
        <v/>
      </c>
      <c r="K244" s="395" t="str">
        <f>IF(AND(O245=1,O246=4),"X","")</f>
        <v/>
      </c>
      <c r="L244" s="396" t="str">
        <f>IF(AND(O245=1,O246=5),"X","")</f>
        <v/>
      </c>
      <c r="M244" s="372"/>
      <c r="N244" s="406"/>
      <c r="O244" s="408" t="s">
        <v>237</v>
      </c>
      <c r="P244" s="408" t="s">
        <v>238</v>
      </c>
      <c r="Q244" s="406"/>
      <c r="R244" s="307"/>
      <c r="S244" s="420"/>
      <c r="T244" s="409" t="s">
        <v>237</v>
      </c>
      <c r="U244" s="409" t="s">
        <v>238</v>
      </c>
      <c r="V244" s="384"/>
      <c r="W244" s="377"/>
    </row>
    <row r="245" spans="7:23" ht="19.5" thickTop="1" thickBot="1" x14ac:dyDescent="0.25">
      <c r="G245" s="376"/>
      <c r="H245" s="484" t="s">
        <v>16</v>
      </c>
      <c r="I245" s="484"/>
      <c r="J245" s="484"/>
      <c r="K245" s="484"/>
      <c r="L245" s="484"/>
      <c r="M245" s="372"/>
      <c r="N245" s="407" t="s">
        <v>248</v>
      </c>
      <c r="O245" s="417" t="str">
        <f>VLOOKUP($K237,Risques!$D$21:$AB$40,17,FALSE)</f>
        <v/>
      </c>
      <c r="P245" s="418" t="str">
        <f>VLOOKUP(K237,Risques!$D$21:$AB$40,23,FALSE)</f>
        <v/>
      </c>
      <c r="Q245" s="382"/>
      <c r="S245" s="410" t="s">
        <v>248</v>
      </c>
      <c r="T245" s="419"/>
      <c r="U245" s="419"/>
      <c r="V245" s="384"/>
      <c r="W245" s="377"/>
    </row>
    <row r="246" spans="7:23" ht="19.5" thickTop="1" thickBot="1" x14ac:dyDescent="0.25">
      <c r="G246" s="376"/>
      <c r="H246" s="372"/>
      <c r="I246" s="372"/>
      <c r="J246" s="372"/>
      <c r="K246" s="372"/>
      <c r="L246" s="372"/>
      <c r="M246" s="372"/>
      <c r="N246" s="407" t="s">
        <v>249</v>
      </c>
      <c r="O246" s="417" t="str">
        <f>VLOOKUP(K237,Risques!$D$21:$AB$40,18,FALSE)</f>
        <v/>
      </c>
      <c r="P246" s="418" t="str">
        <f>VLOOKUP(K237,Risques!$D$21:$AB$40,24,FALSE)</f>
        <v/>
      </c>
      <c r="Q246" s="382"/>
      <c r="S246" s="410" t="s">
        <v>249</v>
      </c>
      <c r="T246" s="419"/>
      <c r="U246" s="419"/>
      <c r="V246" s="384"/>
      <c r="W246" s="377"/>
    </row>
    <row r="247" spans="7:23" ht="19.5" thickTop="1" thickBot="1" x14ac:dyDescent="0.25">
      <c r="G247" s="376"/>
      <c r="H247" s="372"/>
      <c r="I247" s="372"/>
      <c r="J247" s="372"/>
      <c r="K247" s="372"/>
      <c r="L247" s="372"/>
      <c r="M247" s="372"/>
      <c r="N247" s="407" t="s">
        <v>251</v>
      </c>
      <c r="O247" s="417" t="str">
        <f>VLOOKUP(K237,Risques!$D$21:$AB$40,19,FALSE)</f>
        <v/>
      </c>
      <c r="P247" s="418" t="str">
        <f>VLOOKUP(K237,Risques!$D$21:$AB$40,25,FALSE)</f>
        <v/>
      </c>
      <c r="Q247" s="382"/>
      <c r="S247" s="410" t="s">
        <v>251</v>
      </c>
      <c r="T247" s="419"/>
      <c r="U247" s="419"/>
      <c r="V247" s="384"/>
      <c r="W247" s="377"/>
    </row>
    <row r="248" spans="7:23" ht="13.5" thickTop="1" x14ac:dyDescent="0.2">
      <c r="G248" s="376"/>
      <c r="H248" s="372"/>
      <c r="I248" s="372"/>
      <c r="J248" s="372"/>
      <c r="K248" s="372"/>
      <c r="L248" s="372"/>
      <c r="M248" s="372"/>
      <c r="N248" s="382"/>
      <c r="O248" s="382"/>
      <c r="P248" s="382"/>
      <c r="Q248" s="382"/>
      <c r="S248" s="384"/>
      <c r="T248" s="384"/>
      <c r="U248" s="384"/>
      <c r="V248" s="384"/>
      <c r="W248" s="377"/>
    </row>
    <row r="249" spans="7:23" x14ac:dyDescent="0.2">
      <c r="G249" s="376"/>
      <c r="H249" s="372"/>
      <c r="I249" s="372"/>
      <c r="J249" s="372"/>
      <c r="K249" s="372"/>
      <c r="L249" s="372"/>
      <c r="M249" s="372"/>
      <c r="W249" s="377"/>
    </row>
    <row r="250" spans="7:23" ht="18" customHeight="1" x14ac:dyDescent="0.2">
      <c r="G250" s="376"/>
      <c r="H250" s="372"/>
      <c r="I250" s="372"/>
      <c r="J250" s="492" t="s">
        <v>253</v>
      </c>
      <c r="K250" s="492"/>
      <c r="L250" s="493"/>
      <c r="M250" s="485" t="str">
        <f>VLOOKUP($K237,Risques!$D$21:$AB$40,3,FALSE)</f>
        <v/>
      </c>
      <c r="N250" s="486"/>
      <c r="O250" s="486"/>
      <c r="P250" s="486"/>
      <c r="Q250" s="486"/>
      <c r="R250" s="486"/>
      <c r="S250" s="486"/>
      <c r="T250" s="486"/>
      <c r="U250" s="486"/>
      <c r="V250" s="487"/>
      <c r="W250" s="377"/>
    </row>
    <row r="251" spans="7:23" ht="45.75" customHeight="1" x14ac:dyDescent="0.25">
      <c r="G251" s="399"/>
      <c r="H251" s="400"/>
      <c r="I251" s="400"/>
      <c r="J251" s="492"/>
      <c r="K251" s="492"/>
      <c r="L251" s="493"/>
      <c r="M251" s="488"/>
      <c r="N251" s="489"/>
      <c r="O251" s="489"/>
      <c r="P251" s="489"/>
      <c r="Q251" s="489"/>
      <c r="R251" s="489"/>
      <c r="S251" s="489"/>
      <c r="T251" s="489"/>
      <c r="U251" s="489"/>
      <c r="V251" s="490"/>
      <c r="W251" s="401"/>
    </row>
    <row r="252" spans="7:23" x14ac:dyDescent="0.2">
      <c r="G252" s="376"/>
      <c r="H252" s="372"/>
      <c r="I252" s="372"/>
      <c r="J252" s="372"/>
      <c r="K252" s="372"/>
      <c r="L252" s="372"/>
      <c r="M252" s="372"/>
      <c r="N252" s="403"/>
      <c r="O252" s="403"/>
      <c r="P252" s="403"/>
      <c r="Q252" s="403"/>
      <c r="R252" s="403"/>
      <c r="S252" s="403"/>
      <c r="T252" s="403"/>
      <c r="U252" s="403"/>
      <c r="V252" s="404"/>
      <c r="W252" s="377"/>
    </row>
    <row r="253" spans="7:23" ht="31.5" customHeight="1" x14ac:dyDescent="0.2">
      <c r="G253" s="376"/>
      <c r="H253" s="372"/>
      <c r="I253" s="372"/>
      <c r="J253" s="491" t="s">
        <v>239</v>
      </c>
      <c r="K253" s="491"/>
      <c r="L253" s="491"/>
      <c r="M253" s="416" t="s">
        <v>240</v>
      </c>
      <c r="N253" s="416" t="s">
        <v>241</v>
      </c>
      <c r="O253" s="491" t="s">
        <v>242</v>
      </c>
      <c r="P253" s="491"/>
      <c r="Q253" s="491"/>
      <c r="R253" s="491"/>
      <c r="S253" s="491"/>
      <c r="T253" s="491"/>
      <c r="U253" s="491"/>
      <c r="V253" s="416" t="s">
        <v>243</v>
      </c>
      <c r="W253" s="377"/>
    </row>
    <row r="254" spans="7:23" ht="7.5" customHeight="1" x14ac:dyDescent="0.2">
      <c r="G254" s="376"/>
      <c r="H254" s="372"/>
      <c r="I254" s="372"/>
      <c r="J254" s="414" t="str">
        <f t="array" ref="J254">IF($K$237="","",IF(INDEX('Plan d''actions détaillé'!A:A,MIN(IF((COUNTIF(J$252:J253,'Plan d''actions détaillé'!$A$6:$A$30)=0)*(INDEX('Plan d''actions détaillé'!$U$6:$AL$30,,MATCH($K$237,'Plan d''actions détaillé'!$U$5:$AL$5,0))="X"),ROW('Plan d''actions détaillé'!$T$6:$T$30))))=0,"",INDEX('Plan d''actions détaillé'!A:A,MIN(IF((COUNTIF(J$252:J253,'Plan d''actions détaillé'!$A$6:$A$30)=0)*(INDEX('Plan d''actions détaillé'!$U$6:$AL$30,,MATCH($K$237,'Plan d''actions détaillé'!$U$5:$AL$5,0))="X"),ROW('Plan d''actions détaillé'!$T$6:$T$30))))))</f>
        <v/>
      </c>
      <c r="K254" s="414"/>
      <c r="L254" s="415"/>
      <c r="M254" s="413" t="str">
        <f t="array" ref="M254">IF($K$237="","",IF(INDEX('Plan d''actions détaillé'!D:D,MIN(IF((COUNTIF(M$252:M253,'Plan d''actions détaillé'!$D$6:$D$30)=0)*(INDEX('Plan d''actions détaillé'!$U$6:$AL$30,,MATCH($K$237,'Plan d''actions détaillé'!$U$5:$AL$5,0))="X"),ROW('Plan d''actions détaillé'!$T$6:$T$30))))=0,"",INDEX('Plan d''actions détaillé'!D:D,MIN(IF((COUNTIF(M$252:M253,'Plan d''actions détaillé'!$D$6:$D$30)=0)*(INDEX('Plan d''actions détaillé'!$U$6:$AL$30,,MATCH($K$237,'Plan d''actions détaillé'!$U$5:$AL$5,0))="X"),ROW('Plan d''actions détaillé'!$T$6:$T$30))))))</f>
        <v/>
      </c>
      <c r="N254" s="411" t="str">
        <f>IF($M254&lt;&gt;"",IF(VLOOKUP($M254,'Plan d''actions détaillé'!$D$6:$P$30,8,FALSE)="","",VLOOKUP($M254,'Plan d''actions détaillé'!$D$6:$P$30,8,FALSE)),"")</f>
        <v/>
      </c>
      <c r="O254" s="483" t="str">
        <f>IF($M254&lt;&gt;"",IF(VLOOKUP($M254,'Plan d''actions détaillé'!$D$6:$P$30,6,FALSE)="","",VLOOKUP($M254,'Plan d''actions détaillé'!$D$6:$P$30,6,FALSE)),"")</f>
        <v/>
      </c>
      <c r="P254" s="483"/>
      <c r="Q254" s="483"/>
      <c r="R254" s="483"/>
      <c r="S254" s="483"/>
      <c r="T254" s="483"/>
      <c r="U254" s="483"/>
      <c r="V254" s="412" t="str">
        <f>IF($M254&lt;&gt;"",IF(VLOOKUP($M254,'Plan d''actions détaillé'!$D$6:$P$30,12,FALSE)="","",VLOOKUP($M254,'Plan d''actions détaillé'!$D$6:$P$30,12,FALSE)),"")</f>
        <v/>
      </c>
      <c r="W254" s="377"/>
    </row>
    <row r="255" spans="7:23" ht="7.5" customHeight="1" x14ac:dyDescent="0.2">
      <c r="G255" s="376"/>
      <c r="H255" s="372"/>
      <c r="I255" s="372"/>
      <c r="J255" s="414" t="str">
        <f t="array" ref="J255">IF($K$237="","",IF(INDEX('Plan d''actions détaillé'!A:A,MIN(IF((COUNTIF(J$252:J254,'Plan d''actions détaillé'!$A$6:$A$30)=0)*(INDEX('Plan d''actions détaillé'!$U$6:$AL$30,,MATCH($K$237,'Plan d''actions détaillé'!$U$5:$AL$5,0))="X"),ROW('Plan d''actions détaillé'!$T$6:$T$30))))=0,"",INDEX('Plan d''actions détaillé'!A:A,MIN(IF((COUNTIF(J$252:J254,'Plan d''actions détaillé'!$A$6:$A$30)=0)*(INDEX('Plan d''actions détaillé'!$U$6:$AL$30,,MATCH($K$237,'Plan d''actions détaillé'!$U$5:$AL$5,0))="X"),ROW('Plan d''actions détaillé'!$T$6:$T$30))))))</f>
        <v/>
      </c>
      <c r="K255" s="414"/>
      <c r="L255" s="415"/>
      <c r="M255" s="413" t="str">
        <f t="array" ref="M255">IF($K$237="","",IF(INDEX('Plan d''actions détaillé'!D:D,MIN(IF((COUNTIF(M$252:M254,'Plan d''actions détaillé'!$D$6:$D$30)=0)*(INDEX('Plan d''actions détaillé'!$U$6:$AL$30,,MATCH($K$237,'Plan d''actions détaillé'!$U$5:$AL$5,0))="X"),ROW('Plan d''actions détaillé'!$T$6:$T$30))))=0,"",INDEX('Plan d''actions détaillé'!D:D,MIN(IF((COUNTIF(M$252:M254,'Plan d''actions détaillé'!$D$6:$D$30)=0)*(INDEX('Plan d''actions détaillé'!$U$6:$AL$30,,MATCH($K$237,'Plan d''actions détaillé'!$U$5:$AL$5,0))="X"),ROW('Plan d''actions détaillé'!$T$6:$T$30))))))</f>
        <v/>
      </c>
      <c r="N255" s="411" t="str">
        <f>IF($M255&lt;&gt;"",IF(VLOOKUP($M255,'Plan d''actions détaillé'!$D$6:$P$30,8,FALSE)="","",VLOOKUP($M255,'Plan d''actions détaillé'!$D$6:$P$30,8,FALSE)),"")</f>
        <v/>
      </c>
      <c r="O255" s="483" t="str">
        <f>IF($M255&lt;&gt;"",IF(VLOOKUP($M255,'Plan d''actions détaillé'!$D$6:$P$30,6,FALSE)="","",VLOOKUP($M255,'Plan d''actions détaillé'!$D$6:$P$30,6,FALSE)),"")</f>
        <v/>
      </c>
      <c r="P255" s="483"/>
      <c r="Q255" s="483"/>
      <c r="R255" s="483"/>
      <c r="S255" s="483"/>
      <c r="T255" s="483"/>
      <c r="U255" s="483"/>
      <c r="V255" s="412" t="str">
        <f>IF($M255&lt;&gt;"",IF(VLOOKUP($M255,'Plan d''actions détaillé'!$D$6:$P$30,12,FALSE)="","",VLOOKUP($M255,'Plan d''actions détaillé'!$D$6:$P$30,12,FALSE)),"")</f>
        <v/>
      </c>
      <c r="W255" s="377"/>
    </row>
    <row r="256" spans="7:23" ht="7.5" customHeight="1" x14ac:dyDescent="0.2">
      <c r="G256" s="376"/>
      <c r="H256" s="372"/>
      <c r="I256" s="372"/>
      <c r="J256" s="414" t="str">
        <f t="array" ref="J256">IF($K$237="","",IF(INDEX('Plan d''actions détaillé'!A:A,MIN(IF((COUNTIF(J$252:J255,'Plan d''actions détaillé'!$A$6:$A$30)=0)*(INDEX('Plan d''actions détaillé'!$U$6:$AL$30,,MATCH($K$237,'Plan d''actions détaillé'!$U$5:$AL$5,0))="X"),ROW('Plan d''actions détaillé'!$T$6:$T$30))))=0,"",INDEX('Plan d''actions détaillé'!A:A,MIN(IF((COUNTIF(J$252:J255,'Plan d''actions détaillé'!$A$6:$A$30)=0)*(INDEX('Plan d''actions détaillé'!$U$6:$AL$30,,MATCH($K$237,'Plan d''actions détaillé'!$U$5:$AL$5,0))="X"),ROW('Plan d''actions détaillé'!$T$6:$T$30))))))</f>
        <v/>
      </c>
      <c r="K256" s="414"/>
      <c r="L256" s="415"/>
      <c r="M256" s="413" t="str">
        <f t="array" ref="M256">IF($K$237="","",IF(INDEX('Plan d''actions détaillé'!D:D,MIN(IF((COUNTIF(M$252:M255,'Plan d''actions détaillé'!$D$6:$D$30)=0)*(INDEX('Plan d''actions détaillé'!$U$6:$AL$30,,MATCH($K$237,'Plan d''actions détaillé'!$U$5:$AL$5,0))="X"),ROW('Plan d''actions détaillé'!$T$6:$T$30))))=0,"",INDEX('Plan d''actions détaillé'!D:D,MIN(IF((COUNTIF(M$252:M255,'Plan d''actions détaillé'!$D$6:$D$30)=0)*(INDEX('Plan d''actions détaillé'!$U$6:$AL$30,,MATCH($K$237,'Plan d''actions détaillé'!$U$5:$AL$5,0))="X"),ROW('Plan d''actions détaillé'!$T$6:$T$30))))))</f>
        <v/>
      </c>
      <c r="N256" s="411" t="str">
        <f>IF($M256&lt;&gt;"",IF(VLOOKUP($M256,'Plan d''actions détaillé'!$D$6:$P$30,8,FALSE)="","",VLOOKUP($M256,'Plan d''actions détaillé'!$D$6:$P$30,8,FALSE)),"")</f>
        <v/>
      </c>
      <c r="O256" s="483" t="str">
        <f>IF($M256&lt;&gt;"",IF(VLOOKUP($M256,'Plan d''actions détaillé'!$D$6:$P$30,6,FALSE)="","",VLOOKUP($M256,'Plan d''actions détaillé'!$D$6:$P$30,6,FALSE)),"")</f>
        <v/>
      </c>
      <c r="P256" s="483"/>
      <c r="Q256" s="483"/>
      <c r="R256" s="483"/>
      <c r="S256" s="483"/>
      <c r="T256" s="483"/>
      <c r="U256" s="483"/>
      <c r="V256" s="412" t="str">
        <f>IF($M256&lt;&gt;"",IF(VLOOKUP($M256,'Plan d''actions détaillé'!$D$6:$P$30,12,FALSE)="","",VLOOKUP($M256,'Plan d''actions détaillé'!$D$6:$P$30,12,FALSE)),"")</f>
        <v/>
      </c>
      <c r="W256" s="377"/>
    </row>
    <row r="257" spans="7:23" ht="7.5" customHeight="1" x14ac:dyDescent="0.2">
      <c r="G257" s="376"/>
      <c r="H257" s="372"/>
      <c r="I257" s="372"/>
      <c r="J257" s="414" t="str">
        <f t="array" ref="J257">IF($K$237="","",IF(INDEX('Plan d''actions détaillé'!A:A,MIN(IF((COUNTIF(J$252:J256,'Plan d''actions détaillé'!$A$6:$A$30)=0)*(INDEX('Plan d''actions détaillé'!$U$6:$AL$30,,MATCH($K$237,'Plan d''actions détaillé'!$U$5:$AL$5,0))="X"),ROW('Plan d''actions détaillé'!$T$6:$T$30))))=0,"",INDEX('Plan d''actions détaillé'!A:A,MIN(IF((COUNTIF(J$252:J256,'Plan d''actions détaillé'!$A$6:$A$30)=0)*(INDEX('Plan d''actions détaillé'!$U$6:$AL$30,,MATCH($K$237,'Plan d''actions détaillé'!$U$5:$AL$5,0))="X"),ROW('Plan d''actions détaillé'!$T$6:$T$30))))))</f>
        <v/>
      </c>
      <c r="K257" s="414"/>
      <c r="L257" s="415"/>
      <c r="M257" s="413" t="str">
        <f t="array" ref="M257">IF($K$237="","",IF(INDEX('Plan d''actions détaillé'!D:D,MIN(IF((COUNTIF(M$252:M256,'Plan d''actions détaillé'!$D$6:$D$30)=0)*(INDEX('Plan d''actions détaillé'!$U$6:$AL$30,,MATCH($K$237,'Plan d''actions détaillé'!$U$5:$AL$5,0))="X"),ROW('Plan d''actions détaillé'!$T$6:$T$30))))=0,"",INDEX('Plan d''actions détaillé'!D:D,MIN(IF((COUNTIF(M$252:M256,'Plan d''actions détaillé'!$D$6:$D$30)=0)*(INDEX('Plan d''actions détaillé'!$U$6:$AL$30,,MATCH($K$237,'Plan d''actions détaillé'!$U$5:$AL$5,0))="X"),ROW('Plan d''actions détaillé'!$T$6:$T$30))))))</f>
        <v/>
      </c>
      <c r="N257" s="411" t="str">
        <f>IF($M257&lt;&gt;"",IF(VLOOKUP($M257,'Plan d''actions détaillé'!$D$6:$P$30,8,FALSE)="","",VLOOKUP($M257,'Plan d''actions détaillé'!$D$6:$P$30,8,FALSE)),"")</f>
        <v/>
      </c>
      <c r="O257" s="483" t="str">
        <f>IF($M257&lt;&gt;"",IF(VLOOKUP($M257,'Plan d''actions détaillé'!$D$6:$P$30,6,FALSE)="","",VLOOKUP($M257,'Plan d''actions détaillé'!$D$6:$P$30,6,FALSE)),"")</f>
        <v/>
      </c>
      <c r="P257" s="483"/>
      <c r="Q257" s="483"/>
      <c r="R257" s="483"/>
      <c r="S257" s="483"/>
      <c r="T257" s="483"/>
      <c r="U257" s="483"/>
      <c r="V257" s="412" t="str">
        <f>IF($M257&lt;&gt;"",IF(VLOOKUP($M257,'Plan d''actions détaillé'!$D$6:$P$30,12,FALSE)="","",VLOOKUP($M257,'Plan d''actions détaillé'!$D$6:$P$30,12,FALSE)),"")</f>
        <v/>
      </c>
      <c r="W257" s="377"/>
    </row>
    <row r="258" spans="7:23" ht="7.5" customHeight="1" x14ac:dyDescent="0.2">
      <c r="G258" s="376"/>
      <c r="H258" s="372"/>
      <c r="I258" s="372"/>
      <c r="J258" s="414" t="str">
        <f t="array" ref="J258">IF($K$237="","",IF(INDEX('Plan d''actions détaillé'!A:A,MIN(IF((COUNTIF(J$252:J257,'Plan d''actions détaillé'!$A$6:$A$30)=0)*(INDEX('Plan d''actions détaillé'!$U$6:$AL$30,,MATCH($K$237,'Plan d''actions détaillé'!$U$5:$AL$5,0))="X"),ROW('Plan d''actions détaillé'!$T$6:$T$30))))=0,"",INDEX('Plan d''actions détaillé'!A:A,MIN(IF((COUNTIF(J$252:J257,'Plan d''actions détaillé'!$A$6:$A$30)=0)*(INDEX('Plan d''actions détaillé'!$U$6:$AL$30,,MATCH($K$237,'Plan d''actions détaillé'!$U$5:$AL$5,0))="X"),ROW('Plan d''actions détaillé'!$T$6:$T$30))))))</f>
        <v/>
      </c>
      <c r="K258" s="414"/>
      <c r="L258" s="415"/>
      <c r="M258" s="413" t="str">
        <f t="array" ref="M258">IF($K$237="","",IF(INDEX('Plan d''actions détaillé'!D:D,MIN(IF((COUNTIF(M$252:M257,'Plan d''actions détaillé'!$D$6:$D$30)=0)*(INDEX('Plan d''actions détaillé'!$U$6:$AL$30,,MATCH($K$237,'Plan d''actions détaillé'!$U$5:$AL$5,0))="X"),ROW('Plan d''actions détaillé'!$T$6:$T$30))))=0,"",INDEX('Plan d''actions détaillé'!D:D,MIN(IF((COUNTIF(M$252:M257,'Plan d''actions détaillé'!$D$6:$D$30)=0)*(INDEX('Plan d''actions détaillé'!$U$6:$AL$30,,MATCH($K$237,'Plan d''actions détaillé'!$U$5:$AL$5,0))="X"),ROW('Plan d''actions détaillé'!$T$6:$T$30))))))</f>
        <v/>
      </c>
      <c r="N258" s="411" t="str">
        <f>IF($M258&lt;&gt;"",IF(VLOOKUP($M258,'Plan d''actions détaillé'!$D$6:$P$30,8,FALSE)="","",VLOOKUP($M258,'Plan d''actions détaillé'!$D$6:$P$30,8,FALSE)),"")</f>
        <v/>
      </c>
      <c r="O258" s="483" t="str">
        <f>IF($M258&lt;&gt;"",IF(VLOOKUP($M258,'Plan d''actions détaillé'!$D$6:$P$30,6,FALSE)="","",VLOOKUP($M258,'Plan d''actions détaillé'!$D$6:$P$30,6,FALSE)),"")</f>
        <v/>
      </c>
      <c r="P258" s="483"/>
      <c r="Q258" s="483"/>
      <c r="R258" s="483"/>
      <c r="S258" s="483"/>
      <c r="T258" s="483"/>
      <c r="U258" s="483"/>
      <c r="V258" s="412" t="str">
        <f>IF($M258&lt;&gt;"",IF(VLOOKUP($M258,'Plan d''actions détaillé'!$D$6:$P$30,12,FALSE)="","",VLOOKUP($M258,'Plan d''actions détaillé'!$D$6:$P$30,12,FALSE)),"")</f>
        <v/>
      </c>
      <c r="W258" s="377"/>
    </row>
    <row r="259" spans="7:23" ht="7.5" customHeight="1" x14ac:dyDescent="0.2">
      <c r="G259" s="376"/>
      <c r="H259" s="372"/>
      <c r="I259" s="372"/>
      <c r="J259" s="414" t="str">
        <f t="array" ref="J259">IF($K$237="","",IF(INDEX('Plan d''actions détaillé'!A:A,MIN(IF((COUNTIF(J$252:J258,'Plan d''actions détaillé'!$A$6:$A$30)=0)*(INDEX('Plan d''actions détaillé'!$U$6:$AL$30,,MATCH($K$237,'Plan d''actions détaillé'!$U$5:$AL$5,0))="X"),ROW('Plan d''actions détaillé'!$T$6:$T$30))))=0,"",INDEX('Plan d''actions détaillé'!A:A,MIN(IF((COUNTIF(J$252:J258,'Plan d''actions détaillé'!$A$6:$A$30)=0)*(INDEX('Plan d''actions détaillé'!$U$6:$AL$30,,MATCH($K$237,'Plan d''actions détaillé'!$U$5:$AL$5,0))="X"),ROW('Plan d''actions détaillé'!$T$6:$T$30))))))</f>
        <v/>
      </c>
      <c r="K259" s="414"/>
      <c r="L259" s="415"/>
      <c r="M259" s="413" t="str">
        <f t="array" ref="M259">IF($K$237="","",IF(INDEX('Plan d''actions détaillé'!D:D,MIN(IF((COUNTIF(M$252:M258,'Plan d''actions détaillé'!$D$6:$D$30)=0)*(INDEX('Plan d''actions détaillé'!$U$6:$AL$30,,MATCH($K$237,'Plan d''actions détaillé'!$U$5:$AL$5,0))="X"),ROW('Plan d''actions détaillé'!$T$6:$T$30))))=0,"",INDEX('Plan d''actions détaillé'!D:D,MIN(IF((COUNTIF(M$252:M258,'Plan d''actions détaillé'!$D$6:$D$30)=0)*(INDEX('Plan d''actions détaillé'!$U$6:$AL$30,,MATCH($K$237,'Plan d''actions détaillé'!$U$5:$AL$5,0))="X"),ROW('Plan d''actions détaillé'!$T$6:$T$30))))))</f>
        <v/>
      </c>
      <c r="N259" s="411" t="str">
        <f>IF($M259&lt;&gt;"",IF(VLOOKUP($M259,'Plan d''actions détaillé'!$D$6:$P$30,8,FALSE)="","",VLOOKUP($M259,'Plan d''actions détaillé'!$D$6:$P$30,8,FALSE)),"")</f>
        <v/>
      </c>
      <c r="O259" s="483" t="str">
        <f>IF($M259&lt;&gt;"",IF(VLOOKUP($M259,'Plan d''actions détaillé'!$D$6:$P$30,6,FALSE)="","",VLOOKUP($M259,'Plan d''actions détaillé'!$D$6:$P$30,6,FALSE)),"")</f>
        <v/>
      </c>
      <c r="P259" s="483"/>
      <c r="Q259" s="483"/>
      <c r="R259" s="483"/>
      <c r="S259" s="483"/>
      <c r="T259" s="483"/>
      <c r="U259" s="483"/>
      <c r="V259" s="412" t="str">
        <f>IF($M259&lt;&gt;"",IF(VLOOKUP($M259,'Plan d''actions détaillé'!$D$6:$P$30,12,FALSE)="","",VLOOKUP($M259,'Plan d''actions détaillé'!$D$6:$P$30,12,FALSE)),"")</f>
        <v/>
      </c>
      <c r="W259" s="377"/>
    </row>
    <row r="260" spans="7:23" ht="7.5" customHeight="1" x14ac:dyDescent="0.2">
      <c r="G260" s="376"/>
      <c r="H260" s="372"/>
      <c r="I260" s="372"/>
      <c r="J260" s="414" t="str">
        <f t="array" ref="J260">IF($K$237="","",IF(INDEX('Plan d''actions détaillé'!A:A,MIN(IF((COUNTIF(J$252:J259,'Plan d''actions détaillé'!$A$6:$A$30)=0)*(INDEX('Plan d''actions détaillé'!$U$6:$AL$30,,MATCH($K$237,'Plan d''actions détaillé'!$U$5:$AL$5,0))="X"),ROW('Plan d''actions détaillé'!$T$6:$T$30))))=0,"",INDEX('Plan d''actions détaillé'!A:A,MIN(IF((COUNTIF(J$252:J259,'Plan d''actions détaillé'!$A$6:$A$30)=0)*(INDEX('Plan d''actions détaillé'!$U$6:$AL$30,,MATCH($K$237,'Plan d''actions détaillé'!$U$5:$AL$5,0))="X"),ROW('Plan d''actions détaillé'!$T$6:$T$30))))))</f>
        <v/>
      </c>
      <c r="K260" s="414"/>
      <c r="L260" s="415"/>
      <c r="M260" s="413" t="str">
        <f t="array" ref="M260">IF($K$237="","",IF(INDEX('Plan d''actions détaillé'!D:D,MIN(IF((COUNTIF(M$252:M259,'Plan d''actions détaillé'!$D$6:$D$30)=0)*(INDEX('Plan d''actions détaillé'!$U$6:$AL$30,,MATCH($K$237,'Plan d''actions détaillé'!$U$5:$AL$5,0))="X"),ROW('Plan d''actions détaillé'!$T$6:$T$30))))=0,"",INDEX('Plan d''actions détaillé'!D:D,MIN(IF((COUNTIF(M$252:M259,'Plan d''actions détaillé'!$D$6:$D$30)=0)*(INDEX('Plan d''actions détaillé'!$U$6:$AL$30,,MATCH($K$237,'Plan d''actions détaillé'!$U$5:$AL$5,0))="X"),ROW('Plan d''actions détaillé'!$T$6:$T$30))))))</f>
        <v/>
      </c>
      <c r="N260" s="411" t="str">
        <f>IF($M260&lt;&gt;"",IF(VLOOKUP($M260,'Plan d''actions détaillé'!$D$6:$P$30,8,FALSE)="","",VLOOKUP($M260,'Plan d''actions détaillé'!$D$6:$P$30,8,FALSE)),"")</f>
        <v/>
      </c>
      <c r="O260" s="483" t="str">
        <f>IF($M260&lt;&gt;"",IF(VLOOKUP($M260,'Plan d''actions détaillé'!$D$6:$P$30,6,FALSE)="","",VLOOKUP($M260,'Plan d''actions détaillé'!$D$6:$P$30,6,FALSE)),"")</f>
        <v/>
      </c>
      <c r="P260" s="483"/>
      <c r="Q260" s="483"/>
      <c r="R260" s="483"/>
      <c r="S260" s="483"/>
      <c r="T260" s="483"/>
      <c r="U260" s="483"/>
      <c r="V260" s="412" t="str">
        <f>IF($M260&lt;&gt;"",IF(VLOOKUP($M260,'Plan d''actions détaillé'!$D$6:$P$30,12,FALSE)="","",VLOOKUP($M260,'Plan d''actions détaillé'!$D$6:$P$30,12,FALSE)),"")</f>
        <v/>
      </c>
      <c r="W260" s="377"/>
    </row>
    <row r="261" spans="7:23" ht="7.5" customHeight="1" x14ac:dyDescent="0.2">
      <c r="G261" s="376"/>
      <c r="H261" s="372"/>
      <c r="I261" s="372"/>
      <c r="J261" s="414" t="str">
        <f t="array" ref="J261">IF($K$237="","",IF(INDEX('Plan d''actions détaillé'!A:A,MIN(IF((COUNTIF(J$252:J260,'Plan d''actions détaillé'!$A$6:$A$30)=0)*(INDEX('Plan d''actions détaillé'!$U$6:$AL$30,,MATCH($K$237,'Plan d''actions détaillé'!$U$5:$AL$5,0))="X"),ROW('Plan d''actions détaillé'!$T$6:$T$30))))=0,"",INDEX('Plan d''actions détaillé'!A:A,MIN(IF((COUNTIF(J$252:J260,'Plan d''actions détaillé'!$A$6:$A$30)=0)*(INDEX('Plan d''actions détaillé'!$U$6:$AL$30,,MATCH($K$237,'Plan d''actions détaillé'!$U$5:$AL$5,0))="X"),ROW('Plan d''actions détaillé'!$T$6:$T$30))))))</f>
        <v/>
      </c>
      <c r="K261" s="414"/>
      <c r="L261" s="415"/>
      <c r="M261" s="413" t="str">
        <f t="array" ref="M261">IF($K$237="","",IF(INDEX('Plan d''actions détaillé'!D:D,MIN(IF((COUNTIF(M$252:M260,'Plan d''actions détaillé'!$D$6:$D$30)=0)*(INDEX('Plan d''actions détaillé'!$U$6:$AL$30,,MATCH($K$237,'Plan d''actions détaillé'!$U$5:$AL$5,0))="X"),ROW('Plan d''actions détaillé'!$T$6:$T$30))))=0,"",INDEX('Plan d''actions détaillé'!D:D,MIN(IF((COUNTIF(M$252:M260,'Plan d''actions détaillé'!$D$6:$D$30)=0)*(INDEX('Plan d''actions détaillé'!$U$6:$AL$30,,MATCH($K$237,'Plan d''actions détaillé'!$U$5:$AL$5,0))="X"),ROW('Plan d''actions détaillé'!$T$6:$T$30))))))</f>
        <v/>
      </c>
      <c r="N261" s="411" t="str">
        <f>IF($M261&lt;&gt;"",IF(VLOOKUP($M261,'Plan d''actions détaillé'!$D$6:$P$30,8,FALSE)="","",VLOOKUP($M261,'Plan d''actions détaillé'!$D$6:$P$30,8,FALSE)),"")</f>
        <v/>
      </c>
      <c r="O261" s="483" t="str">
        <f>IF($M261&lt;&gt;"",IF(VLOOKUP($M261,'Plan d''actions détaillé'!$D$6:$P$30,6,FALSE)="","",VLOOKUP($M261,'Plan d''actions détaillé'!$D$6:$P$30,6,FALSE)),"")</f>
        <v/>
      </c>
      <c r="P261" s="483"/>
      <c r="Q261" s="483"/>
      <c r="R261" s="483"/>
      <c r="S261" s="483"/>
      <c r="T261" s="483"/>
      <c r="U261" s="483"/>
      <c r="V261" s="412" t="str">
        <f>IF($M261&lt;&gt;"",IF(VLOOKUP($M261,'Plan d''actions détaillé'!$D$6:$P$30,12,FALSE)="","",VLOOKUP($M261,'Plan d''actions détaillé'!$D$6:$P$30,12,FALSE)),"")</f>
        <v/>
      </c>
      <c r="W261" s="377"/>
    </row>
    <row r="262" spans="7:23" ht="7.5" customHeight="1" x14ac:dyDescent="0.2">
      <c r="G262" s="376"/>
      <c r="H262" s="372"/>
      <c r="I262" s="372"/>
      <c r="J262" s="414" t="str">
        <f t="array" ref="J262">IF($K$237="","",IF(INDEX('Plan d''actions détaillé'!A:A,MIN(IF((COUNTIF(J$252:J261,'Plan d''actions détaillé'!$A$6:$A$30)=0)*(INDEX('Plan d''actions détaillé'!$U$6:$AL$30,,MATCH($K$237,'Plan d''actions détaillé'!$U$5:$AL$5,0))="X"),ROW('Plan d''actions détaillé'!$T$6:$T$30))))=0,"",INDEX('Plan d''actions détaillé'!A:A,MIN(IF((COUNTIF(J$252:J261,'Plan d''actions détaillé'!$A$6:$A$30)=0)*(INDEX('Plan d''actions détaillé'!$U$6:$AL$30,,MATCH($K$237,'Plan d''actions détaillé'!$U$5:$AL$5,0))="X"),ROW('Plan d''actions détaillé'!$T$6:$T$30))))))</f>
        <v/>
      </c>
      <c r="K262" s="414"/>
      <c r="L262" s="415"/>
      <c r="M262" s="413" t="str">
        <f t="array" ref="M262">IF($K$237="","",IF(INDEX('Plan d''actions détaillé'!D:D,MIN(IF((COUNTIF(M$252:M261,'Plan d''actions détaillé'!$D$6:$D$30)=0)*(INDEX('Plan d''actions détaillé'!$U$6:$AL$30,,MATCH($K$237,'Plan d''actions détaillé'!$U$5:$AL$5,0))="X"),ROW('Plan d''actions détaillé'!$T$6:$T$30))))=0,"",INDEX('Plan d''actions détaillé'!D:D,MIN(IF((COUNTIF(M$252:M261,'Plan d''actions détaillé'!$D$6:$D$30)=0)*(INDEX('Plan d''actions détaillé'!$U$6:$AL$30,,MATCH($K$237,'Plan d''actions détaillé'!$U$5:$AL$5,0))="X"),ROW('Plan d''actions détaillé'!$T$6:$T$30))))))</f>
        <v/>
      </c>
      <c r="N262" s="411" t="str">
        <f>IF($M262&lt;&gt;"",IF(VLOOKUP($M262,'Plan d''actions détaillé'!$D$6:$P$30,8,FALSE)="","",VLOOKUP($M262,'Plan d''actions détaillé'!$D$6:$P$30,8,FALSE)),"")</f>
        <v/>
      </c>
      <c r="O262" s="483" t="str">
        <f>IF($M262&lt;&gt;"",IF(VLOOKUP($M262,'Plan d''actions détaillé'!$D$6:$P$30,6,FALSE)="","",VLOOKUP($M262,'Plan d''actions détaillé'!$D$6:$P$30,6,FALSE)),"")</f>
        <v/>
      </c>
      <c r="P262" s="483"/>
      <c r="Q262" s="483"/>
      <c r="R262" s="483"/>
      <c r="S262" s="483"/>
      <c r="T262" s="483"/>
      <c r="U262" s="483"/>
      <c r="V262" s="412" t="str">
        <f>IF($M262&lt;&gt;"",IF(VLOOKUP($M262,'Plan d''actions détaillé'!$D$6:$P$30,12,FALSE)="","",VLOOKUP($M262,'Plan d''actions détaillé'!$D$6:$P$30,12,FALSE)),"")</f>
        <v/>
      </c>
      <c r="W262" s="377"/>
    </row>
    <row r="263" spans="7:23" ht="7.5" customHeight="1" x14ac:dyDescent="0.2">
      <c r="G263" s="376"/>
      <c r="H263" s="372"/>
      <c r="I263" s="372"/>
      <c r="J263" s="414" t="str">
        <f t="array" ref="J263">IF($K$237="","",IF(INDEX('Plan d''actions détaillé'!A:A,MIN(IF((COUNTIF(J$252:J262,'Plan d''actions détaillé'!$A$6:$A$30)=0)*(INDEX('Plan d''actions détaillé'!$U$6:$AL$30,,MATCH($K$237,'Plan d''actions détaillé'!$U$5:$AL$5,0))="X"),ROW('Plan d''actions détaillé'!$T$6:$T$30))))=0,"",INDEX('Plan d''actions détaillé'!A:A,MIN(IF((COUNTIF(J$252:J262,'Plan d''actions détaillé'!$A$6:$A$30)=0)*(INDEX('Plan d''actions détaillé'!$U$6:$AL$30,,MATCH($K$237,'Plan d''actions détaillé'!$U$5:$AL$5,0))="X"),ROW('Plan d''actions détaillé'!$T$6:$T$30))))))</f>
        <v/>
      </c>
      <c r="K263" s="414"/>
      <c r="L263" s="415"/>
      <c r="M263" s="413" t="str">
        <f t="array" ref="M263">IF($K$237="","",IF(INDEX('Plan d''actions détaillé'!D:D,MIN(IF((COUNTIF(M$252:M262,'Plan d''actions détaillé'!$D$6:$D$30)=0)*(INDEX('Plan d''actions détaillé'!$U$6:$AL$30,,MATCH($K$237,'Plan d''actions détaillé'!$U$5:$AL$5,0))="X"),ROW('Plan d''actions détaillé'!$T$6:$T$30))))=0,"",INDEX('Plan d''actions détaillé'!D:D,MIN(IF((COUNTIF(M$252:M262,'Plan d''actions détaillé'!$D$6:$D$30)=0)*(INDEX('Plan d''actions détaillé'!$U$6:$AL$30,,MATCH($K$237,'Plan d''actions détaillé'!$U$5:$AL$5,0))="X"),ROW('Plan d''actions détaillé'!$T$6:$T$30))))))</f>
        <v/>
      </c>
      <c r="N263" s="411" t="str">
        <f>IF($M263&lt;&gt;"",IF(VLOOKUP($M263,'Plan d''actions détaillé'!$D$6:$P$30,8,FALSE)="","",VLOOKUP($M263,'Plan d''actions détaillé'!$D$6:$P$30,8,FALSE)),"")</f>
        <v/>
      </c>
      <c r="O263" s="483" t="str">
        <f>IF($M263&lt;&gt;"",IF(VLOOKUP($M263,'Plan d''actions détaillé'!$D$6:$P$30,6,FALSE)="","",VLOOKUP($M263,'Plan d''actions détaillé'!$D$6:$P$30,6,FALSE)),"")</f>
        <v/>
      </c>
      <c r="P263" s="483"/>
      <c r="Q263" s="483"/>
      <c r="R263" s="483"/>
      <c r="S263" s="483"/>
      <c r="T263" s="483"/>
      <c r="U263" s="483"/>
      <c r="V263" s="412" t="str">
        <f>IF($M263&lt;&gt;"",IF(VLOOKUP($M263,'Plan d''actions détaillé'!$D$6:$P$30,12,FALSE)="","",VLOOKUP($M263,'Plan d''actions détaillé'!$D$6:$P$30,12,FALSE)),"")</f>
        <v/>
      </c>
      <c r="W263" s="377"/>
    </row>
    <row r="264" spans="7:23" ht="7.5" customHeight="1" x14ac:dyDescent="0.2">
      <c r="G264" s="376"/>
      <c r="H264" s="372"/>
      <c r="I264" s="372"/>
      <c r="J264" s="414" t="str">
        <f t="array" ref="J264">IF($K$237="","",IF(INDEX('Plan d''actions détaillé'!A:A,MIN(IF((COUNTIF(J$252:J263,'Plan d''actions détaillé'!$A$6:$A$30)=0)*(INDEX('Plan d''actions détaillé'!$U$6:$AL$30,,MATCH($K$237,'Plan d''actions détaillé'!$U$5:$AL$5,0))="X"),ROW('Plan d''actions détaillé'!$T$6:$T$30))))=0,"",INDEX('Plan d''actions détaillé'!A:A,MIN(IF((COUNTIF(J$252:J263,'Plan d''actions détaillé'!$A$6:$A$30)=0)*(INDEX('Plan d''actions détaillé'!$U$6:$AL$30,,MATCH($K$237,'Plan d''actions détaillé'!$U$5:$AL$5,0))="X"),ROW('Plan d''actions détaillé'!$T$6:$T$30))))))</f>
        <v/>
      </c>
      <c r="K264" s="414"/>
      <c r="L264" s="415"/>
      <c r="M264" s="413" t="str">
        <f t="array" ref="M264">IF($K$237="","",IF(INDEX('Plan d''actions détaillé'!D:D,MIN(IF((COUNTIF(M$252:M263,'Plan d''actions détaillé'!$D$6:$D$30)=0)*(INDEX('Plan d''actions détaillé'!$U$6:$AL$30,,MATCH($K$237,'Plan d''actions détaillé'!$U$5:$AL$5,0))="X"),ROW('Plan d''actions détaillé'!$T$6:$T$30))))=0,"",INDEX('Plan d''actions détaillé'!D:D,MIN(IF((COUNTIF(M$252:M263,'Plan d''actions détaillé'!$D$6:$D$30)=0)*(INDEX('Plan d''actions détaillé'!$U$6:$AL$30,,MATCH($K$237,'Plan d''actions détaillé'!$U$5:$AL$5,0))="X"),ROW('Plan d''actions détaillé'!$T$6:$T$30))))))</f>
        <v/>
      </c>
      <c r="N264" s="411" t="str">
        <f>IF($M264&lt;&gt;"",IF(VLOOKUP($M264,'Plan d''actions détaillé'!$D$6:$P$30,8,FALSE)="","",VLOOKUP($M264,'Plan d''actions détaillé'!$D$6:$P$30,8,FALSE)),"")</f>
        <v/>
      </c>
      <c r="O264" s="483" t="str">
        <f>IF($M264&lt;&gt;"",IF(VLOOKUP($M264,'Plan d''actions détaillé'!$D$6:$P$30,6,FALSE)="","",VLOOKUP($M264,'Plan d''actions détaillé'!$D$6:$P$30,6,FALSE)),"")</f>
        <v/>
      </c>
      <c r="P264" s="483"/>
      <c r="Q264" s="483"/>
      <c r="R264" s="483"/>
      <c r="S264" s="483"/>
      <c r="T264" s="483"/>
      <c r="U264" s="483"/>
      <c r="V264" s="412" t="str">
        <f>IF($M264&lt;&gt;"",IF(VLOOKUP($M264,'Plan d''actions détaillé'!$D$6:$P$30,12,FALSE)="","",VLOOKUP($M264,'Plan d''actions détaillé'!$D$6:$P$30,12,FALSE)),"")</f>
        <v/>
      </c>
      <c r="W264" s="377"/>
    </row>
    <row r="265" spans="7:23" ht="7.5" customHeight="1" x14ac:dyDescent="0.2">
      <c r="G265" s="376"/>
      <c r="H265" s="372"/>
      <c r="I265" s="372"/>
      <c r="J265" s="414" t="str">
        <f t="array" ref="J265">IF($K$237="","",IF(INDEX('Plan d''actions détaillé'!A:A,MIN(IF((COUNTIF(J$252:J264,'Plan d''actions détaillé'!$A$6:$A$30)=0)*(INDEX('Plan d''actions détaillé'!$U$6:$AL$30,,MATCH($K$237,'Plan d''actions détaillé'!$U$5:$AL$5,0))="X"),ROW('Plan d''actions détaillé'!$T$6:$T$30))))=0,"",INDEX('Plan d''actions détaillé'!A:A,MIN(IF((COUNTIF(J$252:J264,'Plan d''actions détaillé'!$A$6:$A$30)=0)*(INDEX('Plan d''actions détaillé'!$U$6:$AL$30,,MATCH($K$237,'Plan d''actions détaillé'!$U$5:$AL$5,0))="X"),ROW('Plan d''actions détaillé'!$T$6:$T$30))))))</f>
        <v/>
      </c>
      <c r="K265" s="414"/>
      <c r="L265" s="415"/>
      <c r="M265" s="413" t="str">
        <f t="array" ref="M265">IF($K$237="","",IF(INDEX('Plan d''actions détaillé'!D:D,MIN(IF((COUNTIF(M$252:M264,'Plan d''actions détaillé'!$D$6:$D$30)=0)*(INDEX('Plan d''actions détaillé'!$U$6:$AL$30,,MATCH($K$237,'Plan d''actions détaillé'!$U$5:$AL$5,0))="X"),ROW('Plan d''actions détaillé'!$T$6:$T$30))))=0,"",INDEX('Plan d''actions détaillé'!D:D,MIN(IF((COUNTIF(M$252:M264,'Plan d''actions détaillé'!$D$6:$D$30)=0)*(INDEX('Plan d''actions détaillé'!$U$6:$AL$30,,MATCH($K$237,'Plan d''actions détaillé'!$U$5:$AL$5,0))="X"),ROW('Plan d''actions détaillé'!$T$6:$T$30))))))</f>
        <v/>
      </c>
      <c r="N265" s="411" t="str">
        <f>IF($M265&lt;&gt;"",IF(VLOOKUP($M265,'Plan d''actions détaillé'!$D$6:$P$30,8,FALSE)="","",VLOOKUP($M265,'Plan d''actions détaillé'!$D$6:$P$30,8,FALSE)),"")</f>
        <v/>
      </c>
      <c r="O265" s="483" t="str">
        <f>IF($M265&lt;&gt;"",IF(VLOOKUP($M265,'Plan d''actions détaillé'!$D$6:$P$30,6,FALSE)="","",VLOOKUP($M265,'Plan d''actions détaillé'!$D$6:$P$30,6,FALSE)),"")</f>
        <v/>
      </c>
      <c r="P265" s="483"/>
      <c r="Q265" s="483"/>
      <c r="R265" s="483"/>
      <c r="S265" s="483"/>
      <c r="T265" s="483"/>
      <c r="U265" s="483"/>
      <c r="V265" s="412" t="str">
        <f>IF($M265&lt;&gt;"",IF(VLOOKUP($M265,'Plan d''actions détaillé'!$D$6:$P$30,12,FALSE)="","",VLOOKUP($M265,'Plan d''actions détaillé'!$D$6:$P$30,12,FALSE)),"")</f>
        <v/>
      </c>
      <c r="W265" s="377"/>
    </row>
    <row r="266" spans="7:23" ht="7.5" customHeight="1" x14ac:dyDescent="0.2">
      <c r="G266" s="376"/>
      <c r="H266" s="372"/>
      <c r="I266" s="372"/>
      <c r="J266" s="414" t="str">
        <f t="array" ref="J266">IF($K$237="","",IF(INDEX('Plan d''actions détaillé'!A:A,MIN(IF((COUNTIF(J$252:J265,'Plan d''actions détaillé'!$A$6:$A$30)=0)*(INDEX('Plan d''actions détaillé'!$U$6:$AL$30,,MATCH($K$237,'Plan d''actions détaillé'!$U$5:$AL$5,0))="X"),ROW('Plan d''actions détaillé'!$T$6:$T$30))))=0,"",INDEX('Plan d''actions détaillé'!A:A,MIN(IF((COUNTIF(J$252:J265,'Plan d''actions détaillé'!$A$6:$A$30)=0)*(INDEX('Plan d''actions détaillé'!$U$6:$AL$30,,MATCH($K$237,'Plan d''actions détaillé'!$U$5:$AL$5,0))="X"),ROW('Plan d''actions détaillé'!$T$6:$T$30))))))</f>
        <v/>
      </c>
      <c r="K266" s="414"/>
      <c r="L266" s="415"/>
      <c r="M266" s="413" t="str">
        <f t="array" ref="M266">IF($K$237="","",IF(INDEX('Plan d''actions détaillé'!D:D,MIN(IF((COUNTIF(M$252:M265,'Plan d''actions détaillé'!$D$6:$D$30)=0)*(INDEX('Plan d''actions détaillé'!$U$6:$AL$30,,MATCH($K$237,'Plan d''actions détaillé'!$U$5:$AL$5,0))="X"),ROW('Plan d''actions détaillé'!$T$6:$T$30))))=0,"",INDEX('Plan d''actions détaillé'!D:D,MIN(IF((COUNTIF(M$252:M265,'Plan d''actions détaillé'!$D$6:$D$30)=0)*(INDEX('Plan d''actions détaillé'!$U$6:$AL$30,,MATCH($K$237,'Plan d''actions détaillé'!$U$5:$AL$5,0))="X"),ROW('Plan d''actions détaillé'!$T$6:$T$30))))))</f>
        <v/>
      </c>
      <c r="N266" s="411" t="str">
        <f>IF($M266&lt;&gt;"",IF(VLOOKUP($M266,'Plan d''actions détaillé'!$D$6:$P$30,8,FALSE)="","",VLOOKUP($M266,'Plan d''actions détaillé'!$D$6:$P$30,8,FALSE)),"")</f>
        <v/>
      </c>
      <c r="O266" s="483" t="str">
        <f>IF($M266&lt;&gt;"",IF(VLOOKUP($M266,'Plan d''actions détaillé'!$D$6:$P$30,6,FALSE)="","",VLOOKUP($M266,'Plan d''actions détaillé'!$D$6:$P$30,6,FALSE)),"")</f>
        <v/>
      </c>
      <c r="P266" s="483"/>
      <c r="Q266" s="483"/>
      <c r="R266" s="483"/>
      <c r="S266" s="483"/>
      <c r="T266" s="483"/>
      <c r="U266" s="483"/>
      <c r="V266" s="412" t="str">
        <f>IF($M266&lt;&gt;"",IF(VLOOKUP($M266,'Plan d''actions détaillé'!$D$6:$P$30,12,FALSE)="","",VLOOKUP($M266,'Plan d''actions détaillé'!$D$6:$P$30,12,FALSE)),"")</f>
        <v/>
      </c>
      <c r="W266" s="377"/>
    </row>
    <row r="267" spans="7:23" ht="7.5" customHeight="1" x14ac:dyDescent="0.2">
      <c r="G267" s="376"/>
      <c r="H267" s="372"/>
      <c r="I267" s="372"/>
      <c r="J267" s="414" t="str">
        <f t="array" ref="J267">IF($K$237="","",IF(INDEX('Plan d''actions détaillé'!A:A,MIN(IF((COUNTIF(J$252:J266,'Plan d''actions détaillé'!$A$6:$A$30)=0)*(INDEX('Plan d''actions détaillé'!$U$6:$AL$30,,MATCH($K$237,'Plan d''actions détaillé'!$U$5:$AL$5,0))="X"),ROW('Plan d''actions détaillé'!$T$6:$T$30))))=0,"",INDEX('Plan d''actions détaillé'!A:A,MIN(IF((COUNTIF(J$252:J266,'Plan d''actions détaillé'!$A$6:$A$30)=0)*(INDEX('Plan d''actions détaillé'!$U$6:$AL$30,,MATCH($K$237,'Plan d''actions détaillé'!$U$5:$AL$5,0))="X"),ROW('Plan d''actions détaillé'!$T$6:$T$30))))))</f>
        <v/>
      </c>
      <c r="K267" s="414"/>
      <c r="L267" s="415"/>
      <c r="M267" s="413" t="str">
        <f t="array" ref="M267">IF($K$237="","",IF(INDEX('Plan d''actions détaillé'!D:D,MIN(IF((COUNTIF(M$252:M266,'Plan d''actions détaillé'!$D$6:$D$30)=0)*(INDEX('Plan d''actions détaillé'!$U$6:$AL$30,,MATCH($K$237,'Plan d''actions détaillé'!$U$5:$AL$5,0))="X"),ROW('Plan d''actions détaillé'!$T$6:$T$30))))=0,"",INDEX('Plan d''actions détaillé'!D:D,MIN(IF((COUNTIF(M$252:M266,'Plan d''actions détaillé'!$D$6:$D$30)=0)*(INDEX('Plan d''actions détaillé'!$U$6:$AL$30,,MATCH($K$237,'Plan d''actions détaillé'!$U$5:$AL$5,0))="X"),ROW('Plan d''actions détaillé'!$T$6:$T$30))))))</f>
        <v/>
      </c>
      <c r="N267" s="411" t="str">
        <f>IF($M267&lt;&gt;"",IF(VLOOKUP($M267,'Plan d''actions détaillé'!$D$6:$P$30,8,FALSE)="","",VLOOKUP($M267,'Plan d''actions détaillé'!$D$6:$P$30,8,FALSE)),"")</f>
        <v/>
      </c>
      <c r="O267" s="483" t="str">
        <f>IF($M267&lt;&gt;"",IF(VLOOKUP($M267,'Plan d''actions détaillé'!$D$6:$P$30,6,FALSE)="","",VLOOKUP($M267,'Plan d''actions détaillé'!$D$6:$P$30,6,FALSE)),"")</f>
        <v/>
      </c>
      <c r="P267" s="483"/>
      <c r="Q267" s="483"/>
      <c r="R267" s="483"/>
      <c r="S267" s="483"/>
      <c r="T267" s="483"/>
      <c r="U267" s="483"/>
      <c r="V267" s="412" t="str">
        <f>IF($M267&lt;&gt;"",IF(VLOOKUP($M267,'Plan d''actions détaillé'!$D$6:$P$30,12,FALSE)="","",VLOOKUP($M267,'Plan d''actions détaillé'!$D$6:$P$30,12,FALSE)),"")</f>
        <v/>
      </c>
      <c r="W267" s="377"/>
    </row>
    <row r="268" spans="7:23" ht="7.5" customHeight="1" x14ac:dyDescent="0.2">
      <c r="G268" s="376"/>
      <c r="H268" s="372"/>
      <c r="I268" s="372"/>
      <c r="J268" s="414" t="str">
        <f t="array" ref="J268">IF($K$237="","",IF(INDEX('Plan d''actions détaillé'!A:A,MIN(IF((COUNTIF(J$252:J267,'Plan d''actions détaillé'!$A$6:$A$30)=0)*(INDEX('Plan d''actions détaillé'!$U$6:$AL$30,,MATCH($K$237,'Plan d''actions détaillé'!$U$5:$AL$5,0))="X"),ROW('Plan d''actions détaillé'!$T$6:$T$30))))=0,"",INDEX('Plan d''actions détaillé'!A:A,MIN(IF((COUNTIF(J$252:J267,'Plan d''actions détaillé'!$A$6:$A$30)=0)*(INDEX('Plan d''actions détaillé'!$U$6:$AL$30,,MATCH($K$237,'Plan d''actions détaillé'!$U$5:$AL$5,0))="X"),ROW('Plan d''actions détaillé'!$T$6:$T$30))))))</f>
        <v/>
      </c>
      <c r="K268" s="414"/>
      <c r="L268" s="415"/>
      <c r="M268" s="413" t="str">
        <f t="array" ref="M268">IF($K$237="","",IF(INDEX('Plan d''actions détaillé'!D:D,MIN(IF((COUNTIF(M$252:M267,'Plan d''actions détaillé'!$D$6:$D$30)=0)*(INDEX('Plan d''actions détaillé'!$U$6:$AL$30,,MATCH($K$237,'Plan d''actions détaillé'!$U$5:$AL$5,0))="X"),ROW('Plan d''actions détaillé'!$T$6:$T$30))))=0,"",INDEX('Plan d''actions détaillé'!D:D,MIN(IF((COUNTIF(M$252:M267,'Plan d''actions détaillé'!$D$6:$D$30)=0)*(INDEX('Plan d''actions détaillé'!$U$6:$AL$30,,MATCH($K$237,'Plan d''actions détaillé'!$U$5:$AL$5,0))="X"),ROW('Plan d''actions détaillé'!$T$6:$T$30))))))</f>
        <v/>
      </c>
      <c r="N268" s="411" t="str">
        <f>IF($M268&lt;&gt;"",IF(VLOOKUP($M268,'Plan d''actions détaillé'!$D$6:$P$30,8,FALSE)="","",VLOOKUP($M268,'Plan d''actions détaillé'!$D$6:$P$30,8,FALSE)),"")</f>
        <v/>
      </c>
      <c r="O268" s="483" t="str">
        <f>IF($M268&lt;&gt;"",IF(VLOOKUP($M268,'Plan d''actions détaillé'!$D$6:$P$30,6,FALSE)="","",VLOOKUP($M268,'Plan d''actions détaillé'!$D$6:$P$30,6,FALSE)),"")</f>
        <v/>
      </c>
      <c r="P268" s="483"/>
      <c r="Q268" s="483"/>
      <c r="R268" s="483"/>
      <c r="S268" s="483"/>
      <c r="T268" s="483"/>
      <c r="U268" s="483"/>
      <c r="V268" s="412" t="str">
        <f>IF($M268&lt;&gt;"",IF(VLOOKUP($M268,'Plan d''actions détaillé'!$D$6:$P$30,12,FALSE)="","",VLOOKUP($M268,'Plan d''actions détaillé'!$D$6:$P$30,12,FALSE)),"")</f>
        <v/>
      </c>
      <c r="W268" s="377"/>
    </row>
    <row r="269" spans="7:23" ht="13.5" thickBot="1" x14ac:dyDescent="0.25">
      <c r="G269" s="378"/>
      <c r="H269" s="379"/>
      <c r="I269" s="379"/>
      <c r="J269" s="379"/>
      <c r="K269" s="379"/>
      <c r="L269" s="379"/>
      <c r="M269" s="379"/>
      <c r="N269" s="380"/>
      <c r="O269" s="379"/>
      <c r="P269" s="379"/>
      <c r="Q269" s="379"/>
      <c r="R269" s="379"/>
      <c r="S269" s="379"/>
      <c r="T269" s="379"/>
      <c r="U269" s="379"/>
      <c r="V269" s="379"/>
      <c r="W269" s="381"/>
    </row>
    <row r="270" spans="7:23" ht="13.5" thickBot="1" x14ac:dyDescent="0.25"/>
    <row r="271" spans="7:23" x14ac:dyDescent="0.2">
      <c r="G271" s="373"/>
      <c r="H271" s="374"/>
      <c r="I271" s="374"/>
      <c r="J271" s="374"/>
      <c r="K271" s="374"/>
      <c r="L271" s="374"/>
      <c r="M271" s="374"/>
      <c r="N271" s="374"/>
      <c r="O271" s="374"/>
      <c r="P271" s="374"/>
      <c r="Q271" s="374"/>
      <c r="R271" s="374"/>
      <c r="S271" s="374"/>
      <c r="T271" s="374"/>
      <c r="U271" s="374"/>
      <c r="V271" s="374"/>
      <c r="W271" s="375"/>
    </row>
    <row r="272" spans="7:23" ht="12.75" customHeight="1" x14ac:dyDescent="0.2">
      <c r="G272" s="494" t="str">
        <f>C11</f>
        <v/>
      </c>
      <c r="H272" s="495"/>
      <c r="I272" s="495"/>
      <c r="J272" s="495"/>
      <c r="K272" s="496" t="str">
        <f>D11</f>
        <v/>
      </c>
      <c r="L272" s="496"/>
      <c r="M272" s="496"/>
      <c r="N272" s="496"/>
      <c r="O272" s="496"/>
      <c r="P272" s="496"/>
      <c r="Q272" s="496"/>
      <c r="R272" s="496"/>
      <c r="S272" s="496"/>
      <c r="T272" s="496"/>
      <c r="U272" s="496"/>
      <c r="V272" s="496"/>
      <c r="W272" s="397"/>
    </row>
    <row r="273" spans="7:23" ht="12.75" customHeight="1" x14ac:dyDescent="0.2">
      <c r="G273" s="494"/>
      <c r="H273" s="495"/>
      <c r="I273" s="495"/>
      <c r="J273" s="495"/>
      <c r="K273" s="496"/>
      <c r="L273" s="496"/>
      <c r="M273" s="496"/>
      <c r="N273" s="496"/>
      <c r="O273" s="496"/>
      <c r="P273" s="496"/>
      <c r="Q273" s="496"/>
      <c r="R273" s="496"/>
      <c r="S273" s="496"/>
      <c r="T273" s="496"/>
      <c r="U273" s="496"/>
      <c r="V273" s="496"/>
      <c r="W273" s="397"/>
    </row>
    <row r="274" spans="7:23" x14ac:dyDescent="0.2">
      <c r="G274" s="376"/>
      <c r="H274" s="372"/>
      <c r="I274" s="372"/>
      <c r="J274" s="372"/>
      <c r="K274" s="372"/>
      <c r="L274" s="372"/>
      <c r="M274" s="372"/>
      <c r="N274" s="372"/>
      <c r="O274" s="372"/>
      <c r="P274" s="372"/>
      <c r="Q274" s="372"/>
      <c r="R274" s="372"/>
      <c r="S274" s="372"/>
      <c r="T274" s="372"/>
      <c r="U274" s="372"/>
      <c r="V274" s="372"/>
      <c r="W274" s="377"/>
    </row>
    <row r="275" spans="7:23" ht="23.25" customHeight="1" x14ac:dyDescent="0.2">
      <c r="G275" s="497" t="s">
        <v>1</v>
      </c>
      <c r="H275" s="386" t="str">
        <f>IF(AND(O280=5,O281=1),"X","")</f>
        <v/>
      </c>
      <c r="I275" s="387" t="str">
        <f>IF(AND(O280=5,O281=2),"X","")</f>
        <v/>
      </c>
      <c r="J275" s="388" t="str">
        <f>IF(AND(O280=5,O281=3),"X","")</f>
        <v/>
      </c>
      <c r="K275" s="388" t="str">
        <f>IF(AND(O280=5,O281=4),"X","")</f>
        <v/>
      </c>
      <c r="L275" s="388" t="str">
        <f>IF(AND(O280=5,O281=5),"X","")</f>
        <v/>
      </c>
      <c r="N275" s="498" t="str">
        <f>"Processus de rattachement "</f>
        <v xml:space="preserve">Processus de rattachement </v>
      </c>
      <c r="O275" s="499"/>
      <c r="P275" s="499"/>
      <c r="Q275" s="499"/>
      <c r="R275" s="499"/>
      <c r="S275" s="499"/>
      <c r="T275" s="499"/>
      <c r="U275" s="499"/>
      <c r="V275" s="500"/>
      <c r="W275" s="377"/>
    </row>
    <row r="276" spans="7:23" ht="23.25" x14ac:dyDescent="0.2">
      <c r="G276" s="497"/>
      <c r="H276" s="389" t="str">
        <f>IF(AND(O280=4,O281=1),"X","")</f>
        <v/>
      </c>
      <c r="I276" s="390" t="str">
        <f>IF(AND(O280=4,O281=2),"X","")</f>
        <v/>
      </c>
      <c r="J276" s="387" t="str">
        <f>IF(AND(O280=4,O281=3),"X","")</f>
        <v/>
      </c>
      <c r="K276" s="388" t="str">
        <f>IF(AND(O280=4,O281=4),"X","")</f>
        <v/>
      </c>
      <c r="L276" s="388" t="str">
        <f>IF(AND(O280=4,O281=5),"X","")</f>
        <v/>
      </c>
      <c r="N276" s="501" t="str">
        <f>Matrice!$G$1&amp;" - "&amp;Matrice!$J$1</f>
        <v>DI2 - YYY</v>
      </c>
      <c r="O276" s="502"/>
      <c r="P276" s="502"/>
      <c r="Q276" s="502"/>
      <c r="R276" s="502"/>
      <c r="S276" s="502"/>
      <c r="T276" s="502"/>
      <c r="U276" s="502"/>
      <c r="V276" s="503"/>
      <c r="W276" s="377"/>
    </row>
    <row r="277" spans="7:23" ht="23.25" x14ac:dyDescent="0.2">
      <c r="G277" s="497"/>
      <c r="H277" s="389" t="str">
        <f>IF(AND(O280=3,O281=1),"X","")</f>
        <v/>
      </c>
      <c r="I277" s="390" t="str">
        <f>IF(AND(O280=3,O281=2),"X","")</f>
        <v/>
      </c>
      <c r="J277" s="390" t="str">
        <f>IF(AND(O280=3,O281=3),"X","")</f>
        <v/>
      </c>
      <c r="K277" s="387" t="str">
        <f>IF(AND(O280=3,O281=4),"X","")</f>
        <v/>
      </c>
      <c r="L277" s="388" t="str">
        <f>IF(AND(O280=3,O281=5),"X","")</f>
        <v/>
      </c>
      <c r="N277" s="372"/>
      <c r="O277" s="372"/>
      <c r="W277" s="377"/>
    </row>
    <row r="278" spans="7:23" ht="23.25" x14ac:dyDescent="0.2">
      <c r="G278" s="497"/>
      <c r="H278" s="391" t="str">
        <f>IF(AND(O280=2,O281=1),"X","")</f>
        <v/>
      </c>
      <c r="I278" s="392" t="str">
        <f>IF(AND(O280=2,O281=2),"X","")</f>
        <v/>
      </c>
      <c r="J278" s="390" t="str">
        <f>IF(AND(O280=2,O281=3),"X","")</f>
        <v/>
      </c>
      <c r="K278" s="390" t="str">
        <f>IF(AND(O280=2,O281=4),"X","")</f>
        <v/>
      </c>
      <c r="L278" s="387" t="str">
        <f>IF(AND(O280=2,O281=5),"X","")</f>
        <v/>
      </c>
      <c r="M278" s="372"/>
      <c r="N278" s="383" t="s">
        <v>236</v>
      </c>
      <c r="O278" s="382"/>
      <c r="P278" s="382"/>
      <c r="Q278" s="382"/>
      <c r="S278" s="385" t="s">
        <v>250</v>
      </c>
      <c r="T278" s="384"/>
      <c r="U278" s="384"/>
      <c r="V278" s="384"/>
      <c r="W278" s="377"/>
    </row>
    <row r="279" spans="7:23" ht="24" thickBot="1" x14ac:dyDescent="0.25">
      <c r="G279" s="376"/>
      <c r="H279" s="393" t="str">
        <f>IF(AND(O280=1,O281=1),"X","")</f>
        <v/>
      </c>
      <c r="I279" s="394" t="str">
        <f>IF(AND(O280=1,O281=2),"X","")</f>
        <v/>
      </c>
      <c r="J279" s="395" t="str">
        <f>IF(AND(O280=1,O281=3),"X","")</f>
        <v/>
      </c>
      <c r="K279" s="395" t="str">
        <f>IF(AND(O280=1,O281=4),"X","")</f>
        <v/>
      </c>
      <c r="L279" s="396" t="str">
        <f>IF(AND(O280=1,O281=5),"X","")</f>
        <v/>
      </c>
      <c r="M279" s="372"/>
      <c r="N279" s="406"/>
      <c r="O279" s="408" t="s">
        <v>237</v>
      </c>
      <c r="P279" s="408" t="s">
        <v>238</v>
      </c>
      <c r="Q279" s="406"/>
      <c r="R279" s="307"/>
      <c r="S279" s="420"/>
      <c r="T279" s="409" t="s">
        <v>237</v>
      </c>
      <c r="U279" s="409" t="s">
        <v>238</v>
      </c>
      <c r="V279" s="384"/>
      <c r="W279" s="377"/>
    </row>
    <row r="280" spans="7:23" ht="19.5" thickTop="1" thickBot="1" x14ac:dyDescent="0.25">
      <c r="G280" s="376"/>
      <c r="H280" s="484" t="s">
        <v>16</v>
      </c>
      <c r="I280" s="484"/>
      <c r="J280" s="484"/>
      <c r="K280" s="484"/>
      <c r="L280" s="484"/>
      <c r="M280" s="372"/>
      <c r="N280" s="407" t="s">
        <v>248</v>
      </c>
      <c r="O280" s="417" t="str">
        <f>VLOOKUP($K272,Risques!$D$21:$AB$40,17,FALSE)</f>
        <v/>
      </c>
      <c r="P280" s="418" t="str">
        <f>VLOOKUP(K272,Risques!$D$21:$AB$40,23,FALSE)</f>
        <v/>
      </c>
      <c r="Q280" s="382"/>
      <c r="S280" s="410" t="s">
        <v>248</v>
      </c>
      <c r="T280" s="419"/>
      <c r="U280" s="419"/>
      <c r="V280" s="384"/>
      <c r="W280" s="377"/>
    </row>
    <row r="281" spans="7:23" ht="19.5" thickTop="1" thickBot="1" x14ac:dyDescent="0.25">
      <c r="G281" s="376"/>
      <c r="H281" s="372"/>
      <c r="I281" s="372"/>
      <c r="J281" s="372"/>
      <c r="K281" s="372"/>
      <c r="L281" s="372"/>
      <c r="M281" s="372"/>
      <c r="N281" s="407" t="s">
        <v>249</v>
      </c>
      <c r="O281" s="417" t="str">
        <f>VLOOKUP(K272,Risques!$D$21:$AB$40,18,FALSE)</f>
        <v/>
      </c>
      <c r="P281" s="418" t="str">
        <f>VLOOKUP(K272,Risques!$D$21:$AB$40,24,FALSE)</f>
        <v/>
      </c>
      <c r="Q281" s="382"/>
      <c r="S281" s="410" t="s">
        <v>249</v>
      </c>
      <c r="T281" s="419"/>
      <c r="U281" s="419"/>
      <c r="V281" s="384"/>
      <c r="W281" s="377"/>
    </row>
    <row r="282" spans="7:23" ht="19.5" thickTop="1" thickBot="1" x14ac:dyDescent="0.25">
      <c r="G282" s="376"/>
      <c r="H282" s="372"/>
      <c r="I282" s="372"/>
      <c r="J282" s="372"/>
      <c r="K282" s="372"/>
      <c r="L282" s="372"/>
      <c r="M282" s="372"/>
      <c r="N282" s="407" t="s">
        <v>251</v>
      </c>
      <c r="O282" s="417" t="str">
        <f>VLOOKUP(K272,Risques!$D$21:$AB$40,19,FALSE)</f>
        <v/>
      </c>
      <c r="P282" s="418" t="str">
        <f>VLOOKUP(K272,Risques!$D$21:$AB$40,25,FALSE)</f>
        <v/>
      </c>
      <c r="Q282" s="382"/>
      <c r="S282" s="410" t="s">
        <v>251</v>
      </c>
      <c r="T282" s="419"/>
      <c r="U282" s="419"/>
      <c r="V282" s="384"/>
      <c r="W282" s="377"/>
    </row>
    <row r="283" spans="7:23" ht="13.5" thickTop="1" x14ac:dyDescent="0.2">
      <c r="G283" s="376"/>
      <c r="H283" s="372"/>
      <c r="I283" s="372"/>
      <c r="J283" s="372"/>
      <c r="K283" s="372"/>
      <c r="L283" s="372"/>
      <c r="M283" s="372"/>
      <c r="N283" s="382"/>
      <c r="O283" s="382"/>
      <c r="P283" s="382"/>
      <c r="Q283" s="382"/>
      <c r="S283" s="384"/>
      <c r="T283" s="384"/>
      <c r="U283" s="384"/>
      <c r="V283" s="384"/>
      <c r="W283" s="377"/>
    </row>
    <row r="284" spans="7:23" x14ac:dyDescent="0.2">
      <c r="G284" s="376"/>
      <c r="H284" s="372"/>
      <c r="I284" s="372"/>
      <c r="J284" s="372"/>
      <c r="K284" s="372"/>
      <c r="L284" s="372"/>
      <c r="M284" s="372"/>
      <c r="W284" s="377"/>
    </row>
    <row r="285" spans="7:23" ht="18" customHeight="1" x14ac:dyDescent="0.2">
      <c r="G285" s="376"/>
      <c r="H285" s="372"/>
      <c r="I285" s="372"/>
      <c r="J285" s="492" t="s">
        <v>253</v>
      </c>
      <c r="K285" s="492"/>
      <c r="L285" s="493"/>
      <c r="M285" s="485" t="str">
        <f>VLOOKUP($K272,Risques!$D$21:$AB$40,3,FALSE)</f>
        <v/>
      </c>
      <c r="N285" s="486"/>
      <c r="O285" s="486"/>
      <c r="P285" s="486"/>
      <c r="Q285" s="486"/>
      <c r="R285" s="486"/>
      <c r="S285" s="486"/>
      <c r="T285" s="486"/>
      <c r="U285" s="486"/>
      <c r="V285" s="487"/>
      <c r="W285" s="377"/>
    </row>
    <row r="286" spans="7:23" ht="48" customHeight="1" x14ac:dyDescent="0.25">
      <c r="G286" s="399"/>
      <c r="H286" s="400"/>
      <c r="I286" s="400"/>
      <c r="J286" s="492"/>
      <c r="K286" s="492"/>
      <c r="L286" s="493"/>
      <c r="M286" s="488"/>
      <c r="N286" s="489"/>
      <c r="O286" s="489"/>
      <c r="P286" s="489"/>
      <c r="Q286" s="489"/>
      <c r="R286" s="489"/>
      <c r="S286" s="489"/>
      <c r="T286" s="489"/>
      <c r="U286" s="489"/>
      <c r="V286" s="490"/>
      <c r="W286" s="401"/>
    </row>
    <row r="287" spans="7:23" x14ac:dyDescent="0.2">
      <c r="G287" s="376"/>
      <c r="H287" s="372"/>
      <c r="I287" s="372"/>
      <c r="J287" s="372"/>
      <c r="K287" s="372"/>
      <c r="L287" s="372"/>
      <c r="M287" s="372"/>
      <c r="N287" s="403"/>
      <c r="O287" s="403"/>
      <c r="P287" s="403"/>
      <c r="Q287" s="403"/>
      <c r="R287" s="403"/>
      <c r="S287" s="403"/>
      <c r="T287" s="403"/>
      <c r="U287" s="403"/>
      <c r="V287" s="404"/>
      <c r="W287" s="377"/>
    </row>
    <row r="288" spans="7:23" ht="31.5" customHeight="1" x14ac:dyDescent="0.2">
      <c r="G288" s="376"/>
      <c r="H288" s="372"/>
      <c r="I288" s="372"/>
      <c r="J288" s="491" t="s">
        <v>239</v>
      </c>
      <c r="K288" s="491"/>
      <c r="L288" s="491"/>
      <c r="M288" s="416" t="s">
        <v>240</v>
      </c>
      <c r="N288" s="416" t="s">
        <v>241</v>
      </c>
      <c r="O288" s="491" t="s">
        <v>242</v>
      </c>
      <c r="P288" s="491"/>
      <c r="Q288" s="491"/>
      <c r="R288" s="491"/>
      <c r="S288" s="491"/>
      <c r="T288" s="491"/>
      <c r="U288" s="491"/>
      <c r="V288" s="416" t="s">
        <v>243</v>
      </c>
      <c r="W288" s="377"/>
    </row>
    <row r="289" spans="7:23" ht="6.75" customHeight="1" x14ac:dyDescent="0.2">
      <c r="G289" s="376"/>
      <c r="H289" s="372"/>
      <c r="I289" s="372"/>
      <c r="J289" s="414" t="str">
        <f t="array" ref="J289">IF($K$272="","",IF(INDEX('Plan d''actions détaillé'!A:A,MIN(IF((COUNTIF(J$287:J288,'Plan d''actions détaillé'!$A$6:$A$30)=0)*(INDEX('Plan d''actions détaillé'!$U$6:$AL$30,,MATCH($K$272,'Plan d''actions détaillé'!$U$5:$AL$5,0))="X"),ROW('Plan d''actions détaillé'!$T$6:$T$30))))=0,"",INDEX('Plan d''actions détaillé'!A:A,MIN(IF((COUNTIF(J$287:J288,'Plan d''actions détaillé'!$A$6:$A$30)=0)*(INDEX('Plan d''actions détaillé'!$U$6:$AL$30,,MATCH($K$272,'Plan d''actions détaillé'!$U$5:$AL$5,0))="X"),ROW('Plan d''actions détaillé'!$T$6:$T$30))))))</f>
        <v/>
      </c>
      <c r="K289" s="414"/>
      <c r="L289" s="415"/>
      <c r="M289" s="413" t="str">
        <f t="array" ref="M289">IF($K$272="","",IF(INDEX('Plan d''actions détaillé'!D:D,MIN(IF((COUNTIF(M$287:M288,'Plan d''actions détaillé'!$D$6:$D$30)=0)*(INDEX('Plan d''actions détaillé'!$U$6:$AL$30,,MATCH($K$272,'Plan d''actions détaillé'!$U$5:$AL$5,0))="X"),ROW('Plan d''actions détaillé'!$T$6:$T$30))))=0,"",INDEX('Plan d''actions détaillé'!D:D,MIN(IF((COUNTIF(M$287:M288,'Plan d''actions détaillé'!$D$6:$D$30)=0)*(INDEX('Plan d''actions détaillé'!$U$6:$AL$30,,MATCH($K$272,'Plan d''actions détaillé'!$U$5:$AL$5,0))="X"),ROW('Plan d''actions détaillé'!$T$6:$T$30))))))</f>
        <v/>
      </c>
      <c r="N289" s="411" t="str">
        <f>IF($M289&lt;&gt;"",IF(VLOOKUP($M289,'Plan d''actions détaillé'!$D$6:$P$30,8,FALSE)="","",VLOOKUP($M289,'Plan d''actions détaillé'!$D$6:$P$30,8,FALSE)),"")</f>
        <v/>
      </c>
      <c r="O289" s="483" t="str">
        <f>IF($M289&lt;&gt;"",IF(VLOOKUP($M289,'Plan d''actions détaillé'!$D$6:$P$30,6,FALSE)="","",VLOOKUP($M289,'Plan d''actions détaillé'!$D$6:$P$30,6,FALSE)),"")</f>
        <v/>
      </c>
      <c r="P289" s="483"/>
      <c r="Q289" s="483"/>
      <c r="R289" s="483"/>
      <c r="S289" s="483"/>
      <c r="T289" s="483"/>
      <c r="U289" s="483"/>
      <c r="V289" s="412" t="str">
        <f>IF($M289&lt;&gt;"",IF(VLOOKUP($M289,'Plan d''actions détaillé'!$D$6:$P$30,12,FALSE)="","",VLOOKUP($M289,'Plan d''actions détaillé'!$D$6:$P$30,12,FALSE)),"")</f>
        <v/>
      </c>
      <c r="W289" s="377"/>
    </row>
    <row r="290" spans="7:23" ht="6.75" customHeight="1" x14ac:dyDescent="0.2">
      <c r="G290" s="376"/>
      <c r="H290" s="372"/>
      <c r="I290" s="372"/>
      <c r="J290" s="414" t="str">
        <f t="array" ref="J290">IF($K$272="","",IF(INDEX('Plan d''actions détaillé'!A:A,MIN(IF((COUNTIF(J$287:J289,'Plan d''actions détaillé'!$A$6:$A$30)=0)*(INDEX('Plan d''actions détaillé'!$U$6:$AL$30,,MATCH($K$272,'Plan d''actions détaillé'!$U$5:$AL$5,0))="X"),ROW('Plan d''actions détaillé'!$T$6:$T$30))))=0,"",INDEX('Plan d''actions détaillé'!A:A,MIN(IF((COUNTIF(J$287:J289,'Plan d''actions détaillé'!$A$6:$A$30)=0)*(INDEX('Plan d''actions détaillé'!$U$6:$AL$30,,MATCH($K$272,'Plan d''actions détaillé'!$U$5:$AL$5,0))="X"),ROW('Plan d''actions détaillé'!$T$6:$T$30))))))</f>
        <v/>
      </c>
      <c r="K290" s="414"/>
      <c r="L290" s="415"/>
      <c r="M290" s="413" t="str">
        <f t="array" ref="M290">IF($K$272="","",IF(INDEX('Plan d''actions détaillé'!D:D,MIN(IF((COUNTIF(M$287:M289,'Plan d''actions détaillé'!$D$6:$D$30)=0)*(INDEX('Plan d''actions détaillé'!$U$6:$AL$30,,MATCH($K$272,'Plan d''actions détaillé'!$U$5:$AL$5,0))="X"),ROW('Plan d''actions détaillé'!$T$6:$T$30))))=0,"",INDEX('Plan d''actions détaillé'!D:D,MIN(IF((COUNTIF(M$287:M289,'Plan d''actions détaillé'!$D$6:$D$30)=0)*(INDEX('Plan d''actions détaillé'!$U$6:$AL$30,,MATCH($K$272,'Plan d''actions détaillé'!$U$5:$AL$5,0))="X"),ROW('Plan d''actions détaillé'!$T$6:$T$30))))))</f>
        <v/>
      </c>
      <c r="N290" s="411" t="str">
        <f>IF($M290&lt;&gt;"",IF(VLOOKUP($M290,'Plan d''actions détaillé'!$D$6:$P$30,8,FALSE)="","",VLOOKUP($M290,'Plan d''actions détaillé'!$D$6:$P$30,8,FALSE)),"")</f>
        <v/>
      </c>
      <c r="O290" s="483" t="str">
        <f>IF($M290&lt;&gt;"",IF(VLOOKUP($M290,'Plan d''actions détaillé'!$D$6:$P$30,6,FALSE)="","",VLOOKUP($M290,'Plan d''actions détaillé'!$D$6:$P$30,6,FALSE)),"")</f>
        <v/>
      </c>
      <c r="P290" s="483"/>
      <c r="Q290" s="483"/>
      <c r="R290" s="483"/>
      <c r="S290" s="483"/>
      <c r="T290" s="483"/>
      <c r="U290" s="483"/>
      <c r="V290" s="412" t="str">
        <f>IF($M290&lt;&gt;"",IF(VLOOKUP($M290,'Plan d''actions détaillé'!$D$6:$P$30,12,FALSE)="","",VLOOKUP($M290,'Plan d''actions détaillé'!$D$6:$P$30,12,FALSE)),"")</f>
        <v/>
      </c>
      <c r="W290" s="377"/>
    </row>
    <row r="291" spans="7:23" ht="6.75" customHeight="1" x14ac:dyDescent="0.2">
      <c r="G291" s="376"/>
      <c r="H291" s="372"/>
      <c r="I291" s="372"/>
      <c r="J291" s="414" t="str">
        <f t="array" ref="J291">IF($K$272="","",IF(INDEX('Plan d''actions détaillé'!A:A,MIN(IF((COUNTIF(J$287:J290,'Plan d''actions détaillé'!$A$6:$A$30)=0)*(INDEX('Plan d''actions détaillé'!$U$6:$AL$30,,MATCH($K$272,'Plan d''actions détaillé'!$U$5:$AL$5,0))="X"),ROW('Plan d''actions détaillé'!$T$6:$T$30))))=0,"",INDEX('Plan d''actions détaillé'!A:A,MIN(IF((COUNTIF(J$287:J290,'Plan d''actions détaillé'!$A$6:$A$30)=0)*(INDEX('Plan d''actions détaillé'!$U$6:$AL$30,,MATCH($K$272,'Plan d''actions détaillé'!$U$5:$AL$5,0))="X"),ROW('Plan d''actions détaillé'!$T$6:$T$30))))))</f>
        <v/>
      </c>
      <c r="K291" s="414"/>
      <c r="L291" s="415"/>
      <c r="M291" s="413" t="str">
        <f t="array" ref="M291">IF($K$272="","",IF(INDEX('Plan d''actions détaillé'!D:D,MIN(IF((COUNTIF(M$287:M290,'Plan d''actions détaillé'!$D$6:$D$30)=0)*(INDEX('Plan d''actions détaillé'!$U$6:$AL$30,,MATCH($K$272,'Plan d''actions détaillé'!$U$5:$AL$5,0))="X"),ROW('Plan d''actions détaillé'!$T$6:$T$30))))=0,"",INDEX('Plan d''actions détaillé'!D:D,MIN(IF((COUNTIF(M$287:M290,'Plan d''actions détaillé'!$D$6:$D$30)=0)*(INDEX('Plan d''actions détaillé'!$U$6:$AL$30,,MATCH($K$272,'Plan d''actions détaillé'!$U$5:$AL$5,0))="X"),ROW('Plan d''actions détaillé'!$T$6:$T$30))))))</f>
        <v/>
      </c>
      <c r="N291" s="411" t="str">
        <f>IF($M291&lt;&gt;"",IF(VLOOKUP($M291,'Plan d''actions détaillé'!$D$6:$P$30,8,FALSE)="","",VLOOKUP($M291,'Plan d''actions détaillé'!$D$6:$P$30,8,FALSE)),"")</f>
        <v/>
      </c>
      <c r="O291" s="483" t="str">
        <f>IF($M291&lt;&gt;"",IF(VLOOKUP($M291,'Plan d''actions détaillé'!$D$6:$P$30,6,FALSE)="","",VLOOKUP($M291,'Plan d''actions détaillé'!$D$6:$P$30,6,FALSE)),"")</f>
        <v/>
      </c>
      <c r="P291" s="483"/>
      <c r="Q291" s="483"/>
      <c r="R291" s="483"/>
      <c r="S291" s="483"/>
      <c r="T291" s="483"/>
      <c r="U291" s="483"/>
      <c r="V291" s="412" t="str">
        <f>IF($M291&lt;&gt;"",IF(VLOOKUP($M291,'Plan d''actions détaillé'!$D$6:$P$30,12,FALSE)="","",VLOOKUP($M291,'Plan d''actions détaillé'!$D$6:$P$30,12,FALSE)),"")</f>
        <v/>
      </c>
      <c r="W291" s="377"/>
    </row>
    <row r="292" spans="7:23" ht="6.75" customHeight="1" x14ac:dyDescent="0.2">
      <c r="G292" s="376"/>
      <c r="H292" s="372"/>
      <c r="I292" s="372"/>
      <c r="J292" s="414" t="str">
        <f t="array" ref="J292">IF($K$272="","",IF(INDEX('Plan d''actions détaillé'!A:A,MIN(IF((COUNTIF(J$287:J291,'Plan d''actions détaillé'!$A$6:$A$30)=0)*(INDEX('Plan d''actions détaillé'!$U$6:$AL$30,,MATCH($K$272,'Plan d''actions détaillé'!$U$5:$AL$5,0))="X"),ROW('Plan d''actions détaillé'!$T$6:$T$30))))=0,"",INDEX('Plan d''actions détaillé'!A:A,MIN(IF((COUNTIF(J$287:J291,'Plan d''actions détaillé'!$A$6:$A$30)=0)*(INDEX('Plan d''actions détaillé'!$U$6:$AL$30,,MATCH($K$272,'Plan d''actions détaillé'!$U$5:$AL$5,0))="X"),ROW('Plan d''actions détaillé'!$T$6:$T$30))))))</f>
        <v/>
      </c>
      <c r="K292" s="414"/>
      <c r="L292" s="415"/>
      <c r="M292" s="413" t="str">
        <f t="array" ref="M292">IF($K$272="","",IF(INDEX('Plan d''actions détaillé'!D:D,MIN(IF((COUNTIF(M$287:M291,'Plan d''actions détaillé'!$D$6:$D$30)=0)*(INDEX('Plan d''actions détaillé'!$U$6:$AL$30,,MATCH($K$272,'Plan d''actions détaillé'!$U$5:$AL$5,0))="X"),ROW('Plan d''actions détaillé'!$T$6:$T$30))))=0,"",INDEX('Plan d''actions détaillé'!D:D,MIN(IF((COUNTIF(M$287:M291,'Plan d''actions détaillé'!$D$6:$D$30)=0)*(INDEX('Plan d''actions détaillé'!$U$6:$AL$30,,MATCH($K$272,'Plan d''actions détaillé'!$U$5:$AL$5,0))="X"),ROW('Plan d''actions détaillé'!$T$6:$T$30))))))</f>
        <v/>
      </c>
      <c r="N292" s="411" t="str">
        <f>IF($M292&lt;&gt;"",IF(VLOOKUP($M292,'Plan d''actions détaillé'!$D$6:$P$30,8,FALSE)="","",VLOOKUP($M292,'Plan d''actions détaillé'!$D$6:$P$30,8,FALSE)),"")</f>
        <v/>
      </c>
      <c r="O292" s="483" t="str">
        <f>IF($M292&lt;&gt;"",IF(VLOOKUP($M292,'Plan d''actions détaillé'!$D$6:$P$30,6,FALSE)="","",VLOOKUP($M292,'Plan d''actions détaillé'!$D$6:$P$30,6,FALSE)),"")</f>
        <v/>
      </c>
      <c r="P292" s="483"/>
      <c r="Q292" s="483"/>
      <c r="R292" s="483"/>
      <c r="S292" s="483"/>
      <c r="T292" s="483"/>
      <c r="U292" s="483"/>
      <c r="V292" s="412" t="str">
        <f>IF($M292&lt;&gt;"",IF(VLOOKUP($M292,'Plan d''actions détaillé'!$D$6:$P$30,12,FALSE)="","",VLOOKUP($M292,'Plan d''actions détaillé'!$D$6:$P$30,12,FALSE)),"")</f>
        <v/>
      </c>
      <c r="W292" s="377"/>
    </row>
    <row r="293" spans="7:23" ht="6.75" customHeight="1" x14ac:dyDescent="0.2">
      <c r="G293" s="376"/>
      <c r="H293" s="372"/>
      <c r="I293" s="372"/>
      <c r="J293" s="414" t="str">
        <f t="array" ref="J293">IF($K$272="","",IF(INDEX('Plan d''actions détaillé'!A:A,MIN(IF((COUNTIF(J$287:J292,'Plan d''actions détaillé'!$A$6:$A$30)=0)*(INDEX('Plan d''actions détaillé'!$U$6:$AL$30,,MATCH($K$272,'Plan d''actions détaillé'!$U$5:$AL$5,0))="X"),ROW('Plan d''actions détaillé'!$T$6:$T$30))))=0,"",INDEX('Plan d''actions détaillé'!A:A,MIN(IF((COUNTIF(J$287:J292,'Plan d''actions détaillé'!$A$6:$A$30)=0)*(INDEX('Plan d''actions détaillé'!$U$6:$AL$30,,MATCH($K$272,'Plan d''actions détaillé'!$U$5:$AL$5,0))="X"),ROW('Plan d''actions détaillé'!$T$6:$T$30))))))</f>
        <v/>
      </c>
      <c r="K293" s="414"/>
      <c r="L293" s="415"/>
      <c r="M293" s="413" t="str">
        <f t="array" ref="M293">IF($K$272="","",IF(INDEX('Plan d''actions détaillé'!D:D,MIN(IF((COUNTIF(M$287:M292,'Plan d''actions détaillé'!$D$6:$D$30)=0)*(INDEX('Plan d''actions détaillé'!$U$6:$AL$30,,MATCH($K$272,'Plan d''actions détaillé'!$U$5:$AL$5,0))="X"),ROW('Plan d''actions détaillé'!$T$6:$T$30))))=0,"",INDEX('Plan d''actions détaillé'!D:D,MIN(IF((COUNTIF(M$287:M292,'Plan d''actions détaillé'!$D$6:$D$30)=0)*(INDEX('Plan d''actions détaillé'!$U$6:$AL$30,,MATCH($K$272,'Plan d''actions détaillé'!$U$5:$AL$5,0))="X"),ROW('Plan d''actions détaillé'!$T$6:$T$30))))))</f>
        <v/>
      </c>
      <c r="N293" s="411" t="str">
        <f>IF($M293&lt;&gt;"",IF(VLOOKUP($M293,'Plan d''actions détaillé'!$D$6:$P$30,8,FALSE)="","",VLOOKUP($M293,'Plan d''actions détaillé'!$D$6:$P$30,8,FALSE)),"")</f>
        <v/>
      </c>
      <c r="O293" s="483" t="str">
        <f>IF($M293&lt;&gt;"",IF(VLOOKUP($M293,'Plan d''actions détaillé'!$D$6:$P$30,6,FALSE)="","",VLOOKUP($M293,'Plan d''actions détaillé'!$D$6:$P$30,6,FALSE)),"")</f>
        <v/>
      </c>
      <c r="P293" s="483"/>
      <c r="Q293" s="483"/>
      <c r="R293" s="483"/>
      <c r="S293" s="483"/>
      <c r="T293" s="483"/>
      <c r="U293" s="483"/>
      <c r="V293" s="412" t="str">
        <f>IF($M293&lt;&gt;"",IF(VLOOKUP($M293,'Plan d''actions détaillé'!$D$6:$P$30,12,FALSE)="","",VLOOKUP($M293,'Plan d''actions détaillé'!$D$6:$P$30,12,FALSE)),"")</f>
        <v/>
      </c>
      <c r="W293" s="377"/>
    </row>
    <row r="294" spans="7:23" ht="6.75" customHeight="1" x14ac:dyDescent="0.2">
      <c r="G294" s="376"/>
      <c r="H294" s="372"/>
      <c r="I294" s="372"/>
      <c r="J294" s="414" t="str">
        <f t="array" ref="J294">IF($K$272="","",IF(INDEX('Plan d''actions détaillé'!A:A,MIN(IF((COUNTIF(J$287:J293,'Plan d''actions détaillé'!$A$6:$A$30)=0)*(INDEX('Plan d''actions détaillé'!$U$6:$AL$30,,MATCH($K$272,'Plan d''actions détaillé'!$U$5:$AL$5,0))="X"),ROW('Plan d''actions détaillé'!$T$6:$T$30))))=0,"",INDEX('Plan d''actions détaillé'!A:A,MIN(IF((COUNTIF(J$287:J293,'Plan d''actions détaillé'!$A$6:$A$30)=0)*(INDEX('Plan d''actions détaillé'!$U$6:$AL$30,,MATCH($K$272,'Plan d''actions détaillé'!$U$5:$AL$5,0))="X"),ROW('Plan d''actions détaillé'!$T$6:$T$30))))))</f>
        <v/>
      </c>
      <c r="K294" s="414"/>
      <c r="L294" s="415"/>
      <c r="M294" s="413" t="str">
        <f t="array" ref="M294">IF($K$272="","",IF(INDEX('Plan d''actions détaillé'!D:D,MIN(IF((COUNTIF(M$287:M293,'Plan d''actions détaillé'!$D$6:$D$30)=0)*(INDEX('Plan d''actions détaillé'!$U$6:$AL$30,,MATCH($K$272,'Plan d''actions détaillé'!$U$5:$AL$5,0))="X"),ROW('Plan d''actions détaillé'!$T$6:$T$30))))=0,"",INDEX('Plan d''actions détaillé'!D:D,MIN(IF((COUNTIF(M$287:M293,'Plan d''actions détaillé'!$D$6:$D$30)=0)*(INDEX('Plan d''actions détaillé'!$U$6:$AL$30,,MATCH($K$272,'Plan d''actions détaillé'!$U$5:$AL$5,0))="X"),ROW('Plan d''actions détaillé'!$T$6:$T$30))))))</f>
        <v/>
      </c>
      <c r="N294" s="411" t="str">
        <f>IF($M294&lt;&gt;"",IF(VLOOKUP($M294,'Plan d''actions détaillé'!$D$6:$P$30,8,FALSE)="","",VLOOKUP($M294,'Plan d''actions détaillé'!$D$6:$P$30,8,FALSE)),"")</f>
        <v/>
      </c>
      <c r="O294" s="483" t="str">
        <f>IF($M294&lt;&gt;"",IF(VLOOKUP($M294,'Plan d''actions détaillé'!$D$6:$P$30,6,FALSE)="","",VLOOKUP($M294,'Plan d''actions détaillé'!$D$6:$P$30,6,FALSE)),"")</f>
        <v/>
      </c>
      <c r="P294" s="483"/>
      <c r="Q294" s="483"/>
      <c r="R294" s="483"/>
      <c r="S294" s="483"/>
      <c r="T294" s="483"/>
      <c r="U294" s="483"/>
      <c r="V294" s="412" t="str">
        <f>IF($M294&lt;&gt;"",IF(VLOOKUP($M294,'Plan d''actions détaillé'!$D$6:$P$30,12,FALSE)="","",VLOOKUP($M294,'Plan d''actions détaillé'!$D$6:$P$30,12,FALSE)),"")</f>
        <v/>
      </c>
      <c r="W294" s="377"/>
    </row>
    <row r="295" spans="7:23" ht="6.75" customHeight="1" x14ac:dyDescent="0.2">
      <c r="G295" s="376"/>
      <c r="H295" s="372"/>
      <c r="I295" s="372"/>
      <c r="J295" s="414" t="str">
        <f t="array" ref="J295">IF($K$272="","",IF(INDEX('Plan d''actions détaillé'!A:A,MIN(IF((COUNTIF(J$287:J294,'Plan d''actions détaillé'!$A$6:$A$30)=0)*(INDEX('Plan d''actions détaillé'!$U$6:$AL$30,,MATCH($K$272,'Plan d''actions détaillé'!$U$5:$AL$5,0))="X"),ROW('Plan d''actions détaillé'!$T$6:$T$30))))=0,"",INDEX('Plan d''actions détaillé'!A:A,MIN(IF((COUNTIF(J$287:J294,'Plan d''actions détaillé'!$A$6:$A$30)=0)*(INDEX('Plan d''actions détaillé'!$U$6:$AL$30,,MATCH($K$272,'Plan d''actions détaillé'!$U$5:$AL$5,0))="X"),ROW('Plan d''actions détaillé'!$T$6:$T$30))))))</f>
        <v/>
      </c>
      <c r="K295" s="414"/>
      <c r="L295" s="415"/>
      <c r="M295" s="413" t="str">
        <f t="array" ref="M295">IF($K$272="","",IF(INDEX('Plan d''actions détaillé'!D:D,MIN(IF((COUNTIF(M$287:M294,'Plan d''actions détaillé'!$D$6:$D$30)=0)*(INDEX('Plan d''actions détaillé'!$U$6:$AL$30,,MATCH($K$272,'Plan d''actions détaillé'!$U$5:$AL$5,0))="X"),ROW('Plan d''actions détaillé'!$T$6:$T$30))))=0,"",INDEX('Plan d''actions détaillé'!D:D,MIN(IF((COUNTIF(M$287:M294,'Plan d''actions détaillé'!$D$6:$D$30)=0)*(INDEX('Plan d''actions détaillé'!$U$6:$AL$30,,MATCH($K$272,'Plan d''actions détaillé'!$U$5:$AL$5,0))="X"),ROW('Plan d''actions détaillé'!$T$6:$T$30))))))</f>
        <v/>
      </c>
      <c r="N295" s="411" t="str">
        <f>IF($M295&lt;&gt;"",IF(VLOOKUP($M295,'Plan d''actions détaillé'!$D$6:$P$30,8,FALSE)="","",VLOOKUP($M295,'Plan d''actions détaillé'!$D$6:$P$30,8,FALSE)),"")</f>
        <v/>
      </c>
      <c r="O295" s="483" t="str">
        <f>IF($M295&lt;&gt;"",IF(VLOOKUP($M295,'Plan d''actions détaillé'!$D$6:$P$30,6,FALSE)="","",VLOOKUP($M295,'Plan d''actions détaillé'!$D$6:$P$30,6,FALSE)),"")</f>
        <v/>
      </c>
      <c r="P295" s="483"/>
      <c r="Q295" s="483"/>
      <c r="R295" s="483"/>
      <c r="S295" s="483"/>
      <c r="T295" s="483"/>
      <c r="U295" s="483"/>
      <c r="V295" s="412" t="str">
        <f>IF($M295&lt;&gt;"",IF(VLOOKUP($M295,'Plan d''actions détaillé'!$D$6:$P$30,12,FALSE)="","",VLOOKUP($M295,'Plan d''actions détaillé'!$D$6:$P$30,12,FALSE)),"")</f>
        <v/>
      </c>
      <c r="W295" s="377"/>
    </row>
    <row r="296" spans="7:23" ht="6.75" customHeight="1" x14ac:dyDescent="0.2">
      <c r="G296" s="376"/>
      <c r="H296" s="372"/>
      <c r="I296" s="372"/>
      <c r="J296" s="414" t="str">
        <f t="array" ref="J296">IF($K$272="","",IF(INDEX('Plan d''actions détaillé'!A:A,MIN(IF((COUNTIF(J$287:J295,'Plan d''actions détaillé'!$A$6:$A$30)=0)*(INDEX('Plan d''actions détaillé'!$U$6:$AL$30,,MATCH($K$272,'Plan d''actions détaillé'!$U$5:$AL$5,0))="X"),ROW('Plan d''actions détaillé'!$T$6:$T$30))))=0,"",INDEX('Plan d''actions détaillé'!A:A,MIN(IF((COUNTIF(J$287:J295,'Plan d''actions détaillé'!$A$6:$A$30)=0)*(INDEX('Plan d''actions détaillé'!$U$6:$AL$30,,MATCH($K$272,'Plan d''actions détaillé'!$U$5:$AL$5,0))="X"),ROW('Plan d''actions détaillé'!$T$6:$T$30))))))</f>
        <v/>
      </c>
      <c r="K296" s="414"/>
      <c r="L296" s="415"/>
      <c r="M296" s="413" t="str">
        <f t="array" ref="M296">IF($K$272="","",IF(INDEX('Plan d''actions détaillé'!D:D,MIN(IF((COUNTIF(M$287:M295,'Plan d''actions détaillé'!$D$6:$D$30)=0)*(INDEX('Plan d''actions détaillé'!$U$6:$AL$30,,MATCH($K$272,'Plan d''actions détaillé'!$U$5:$AL$5,0))="X"),ROW('Plan d''actions détaillé'!$T$6:$T$30))))=0,"",INDEX('Plan d''actions détaillé'!D:D,MIN(IF((COUNTIF(M$287:M295,'Plan d''actions détaillé'!$D$6:$D$30)=0)*(INDEX('Plan d''actions détaillé'!$U$6:$AL$30,,MATCH($K$272,'Plan d''actions détaillé'!$U$5:$AL$5,0))="X"),ROW('Plan d''actions détaillé'!$T$6:$T$30))))))</f>
        <v/>
      </c>
      <c r="N296" s="411" t="str">
        <f>IF($M296&lt;&gt;"",IF(VLOOKUP($M296,'Plan d''actions détaillé'!$D$6:$P$30,8,FALSE)="","",VLOOKUP($M296,'Plan d''actions détaillé'!$D$6:$P$30,8,FALSE)),"")</f>
        <v/>
      </c>
      <c r="O296" s="483" t="str">
        <f>IF($M296&lt;&gt;"",IF(VLOOKUP($M296,'Plan d''actions détaillé'!$D$6:$P$30,6,FALSE)="","",VLOOKUP($M296,'Plan d''actions détaillé'!$D$6:$P$30,6,FALSE)),"")</f>
        <v/>
      </c>
      <c r="P296" s="483"/>
      <c r="Q296" s="483"/>
      <c r="R296" s="483"/>
      <c r="S296" s="483"/>
      <c r="T296" s="483"/>
      <c r="U296" s="483"/>
      <c r="V296" s="412" t="str">
        <f>IF($M296&lt;&gt;"",IF(VLOOKUP($M296,'Plan d''actions détaillé'!$D$6:$P$30,12,FALSE)="","",VLOOKUP($M296,'Plan d''actions détaillé'!$D$6:$P$30,12,FALSE)),"")</f>
        <v/>
      </c>
      <c r="W296" s="377"/>
    </row>
    <row r="297" spans="7:23" ht="6.75" customHeight="1" x14ac:dyDescent="0.2">
      <c r="G297" s="376"/>
      <c r="H297" s="372"/>
      <c r="I297" s="372"/>
      <c r="J297" s="414" t="str">
        <f t="array" ref="J297">IF($K$272="","",IF(INDEX('Plan d''actions détaillé'!A:A,MIN(IF((COUNTIF(J$287:J296,'Plan d''actions détaillé'!$A$6:$A$30)=0)*(INDEX('Plan d''actions détaillé'!$U$6:$AL$30,,MATCH($K$272,'Plan d''actions détaillé'!$U$5:$AL$5,0))="X"),ROW('Plan d''actions détaillé'!$T$6:$T$30))))=0,"",INDEX('Plan d''actions détaillé'!A:A,MIN(IF((COUNTIF(J$287:J296,'Plan d''actions détaillé'!$A$6:$A$30)=0)*(INDEX('Plan d''actions détaillé'!$U$6:$AL$30,,MATCH($K$272,'Plan d''actions détaillé'!$U$5:$AL$5,0))="X"),ROW('Plan d''actions détaillé'!$T$6:$T$30))))))</f>
        <v/>
      </c>
      <c r="K297" s="414"/>
      <c r="L297" s="415"/>
      <c r="M297" s="413" t="str">
        <f t="array" ref="M297">IF($K$272="","",IF(INDEX('Plan d''actions détaillé'!D:D,MIN(IF((COUNTIF(M$287:M296,'Plan d''actions détaillé'!$D$6:$D$30)=0)*(INDEX('Plan d''actions détaillé'!$U$6:$AL$30,,MATCH($K$272,'Plan d''actions détaillé'!$U$5:$AL$5,0))="X"),ROW('Plan d''actions détaillé'!$T$6:$T$30))))=0,"",INDEX('Plan d''actions détaillé'!D:D,MIN(IF((COUNTIF(M$287:M296,'Plan d''actions détaillé'!$D$6:$D$30)=0)*(INDEX('Plan d''actions détaillé'!$U$6:$AL$30,,MATCH($K$272,'Plan d''actions détaillé'!$U$5:$AL$5,0))="X"),ROW('Plan d''actions détaillé'!$T$6:$T$30))))))</f>
        <v/>
      </c>
      <c r="N297" s="411" t="str">
        <f>IF($M297&lt;&gt;"",IF(VLOOKUP($M297,'Plan d''actions détaillé'!$D$6:$P$30,8,FALSE)="","",VLOOKUP($M297,'Plan d''actions détaillé'!$D$6:$P$30,8,FALSE)),"")</f>
        <v/>
      </c>
      <c r="O297" s="483" t="str">
        <f>IF($M297&lt;&gt;"",IF(VLOOKUP($M297,'Plan d''actions détaillé'!$D$6:$P$30,6,FALSE)="","",VLOOKUP($M297,'Plan d''actions détaillé'!$D$6:$P$30,6,FALSE)),"")</f>
        <v/>
      </c>
      <c r="P297" s="483"/>
      <c r="Q297" s="483"/>
      <c r="R297" s="483"/>
      <c r="S297" s="483"/>
      <c r="T297" s="483"/>
      <c r="U297" s="483"/>
      <c r="V297" s="412" t="str">
        <f>IF($M297&lt;&gt;"",IF(VLOOKUP($M297,'Plan d''actions détaillé'!$D$6:$P$30,12,FALSE)="","",VLOOKUP($M297,'Plan d''actions détaillé'!$D$6:$P$30,12,FALSE)),"")</f>
        <v/>
      </c>
      <c r="W297" s="377"/>
    </row>
    <row r="298" spans="7:23" ht="6.75" customHeight="1" x14ac:dyDescent="0.2">
      <c r="G298" s="376"/>
      <c r="H298" s="372"/>
      <c r="I298" s="372"/>
      <c r="J298" s="414" t="str">
        <f t="array" ref="J298">IF($K$272="","",IF(INDEX('Plan d''actions détaillé'!A:A,MIN(IF((COUNTIF(J$287:J297,'Plan d''actions détaillé'!$A$6:$A$30)=0)*(INDEX('Plan d''actions détaillé'!$U$6:$AL$30,,MATCH($K$272,'Plan d''actions détaillé'!$U$5:$AL$5,0))="X"),ROW('Plan d''actions détaillé'!$T$6:$T$30))))=0,"",INDEX('Plan d''actions détaillé'!A:A,MIN(IF((COUNTIF(J$287:J297,'Plan d''actions détaillé'!$A$6:$A$30)=0)*(INDEX('Plan d''actions détaillé'!$U$6:$AL$30,,MATCH($K$272,'Plan d''actions détaillé'!$U$5:$AL$5,0))="X"),ROW('Plan d''actions détaillé'!$T$6:$T$30))))))</f>
        <v/>
      </c>
      <c r="K298" s="414"/>
      <c r="L298" s="415"/>
      <c r="M298" s="413" t="str">
        <f t="array" ref="M298">IF($K$272="","",IF(INDEX('Plan d''actions détaillé'!D:D,MIN(IF((COUNTIF(M$287:M297,'Plan d''actions détaillé'!$D$6:$D$30)=0)*(INDEX('Plan d''actions détaillé'!$U$6:$AL$30,,MATCH($K$272,'Plan d''actions détaillé'!$U$5:$AL$5,0))="X"),ROW('Plan d''actions détaillé'!$T$6:$T$30))))=0,"",INDEX('Plan d''actions détaillé'!D:D,MIN(IF((COUNTIF(M$287:M297,'Plan d''actions détaillé'!$D$6:$D$30)=0)*(INDEX('Plan d''actions détaillé'!$U$6:$AL$30,,MATCH($K$272,'Plan d''actions détaillé'!$U$5:$AL$5,0))="X"),ROW('Plan d''actions détaillé'!$T$6:$T$30))))))</f>
        <v/>
      </c>
      <c r="N298" s="411" t="str">
        <f>IF($M298&lt;&gt;"",IF(VLOOKUP($M298,'Plan d''actions détaillé'!$D$6:$P$30,8,FALSE)="","",VLOOKUP($M298,'Plan d''actions détaillé'!$D$6:$P$30,8,FALSE)),"")</f>
        <v/>
      </c>
      <c r="O298" s="483" t="str">
        <f>IF($M298&lt;&gt;"",IF(VLOOKUP($M298,'Plan d''actions détaillé'!$D$6:$P$30,6,FALSE)="","",VLOOKUP($M298,'Plan d''actions détaillé'!$D$6:$P$30,6,FALSE)),"")</f>
        <v/>
      </c>
      <c r="P298" s="483"/>
      <c r="Q298" s="483"/>
      <c r="R298" s="483"/>
      <c r="S298" s="483"/>
      <c r="T298" s="483"/>
      <c r="U298" s="483"/>
      <c r="V298" s="412" t="str">
        <f>IF($M298&lt;&gt;"",IF(VLOOKUP($M298,'Plan d''actions détaillé'!$D$6:$P$30,12,FALSE)="","",VLOOKUP($M298,'Plan d''actions détaillé'!$D$6:$P$30,12,FALSE)),"")</f>
        <v/>
      </c>
      <c r="W298" s="377"/>
    </row>
    <row r="299" spans="7:23" ht="6.75" customHeight="1" x14ac:dyDescent="0.2">
      <c r="G299" s="376"/>
      <c r="H299" s="372"/>
      <c r="I299" s="372"/>
      <c r="J299" s="414" t="str">
        <f t="array" ref="J299">IF($K$272="","",IF(INDEX('Plan d''actions détaillé'!A:A,MIN(IF((COUNTIF(J$287:J298,'Plan d''actions détaillé'!$A$6:$A$30)=0)*(INDEX('Plan d''actions détaillé'!$U$6:$AL$30,,MATCH($K$272,'Plan d''actions détaillé'!$U$5:$AL$5,0))="X"),ROW('Plan d''actions détaillé'!$T$6:$T$30))))=0,"",INDEX('Plan d''actions détaillé'!A:A,MIN(IF((COUNTIF(J$287:J298,'Plan d''actions détaillé'!$A$6:$A$30)=0)*(INDEX('Plan d''actions détaillé'!$U$6:$AL$30,,MATCH($K$272,'Plan d''actions détaillé'!$U$5:$AL$5,0))="X"),ROW('Plan d''actions détaillé'!$T$6:$T$30))))))</f>
        <v/>
      </c>
      <c r="K299" s="414"/>
      <c r="L299" s="415"/>
      <c r="M299" s="413" t="str">
        <f t="array" ref="M299">IF($K$272="","",IF(INDEX('Plan d''actions détaillé'!D:D,MIN(IF((COUNTIF(M$287:M298,'Plan d''actions détaillé'!$D$6:$D$30)=0)*(INDEX('Plan d''actions détaillé'!$U$6:$AL$30,,MATCH($K$272,'Plan d''actions détaillé'!$U$5:$AL$5,0))="X"),ROW('Plan d''actions détaillé'!$T$6:$T$30))))=0,"",INDEX('Plan d''actions détaillé'!D:D,MIN(IF((COUNTIF(M$287:M298,'Plan d''actions détaillé'!$D$6:$D$30)=0)*(INDEX('Plan d''actions détaillé'!$U$6:$AL$30,,MATCH($K$272,'Plan d''actions détaillé'!$U$5:$AL$5,0))="X"),ROW('Plan d''actions détaillé'!$T$6:$T$30))))))</f>
        <v/>
      </c>
      <c r="N299" s="411" t="str">
        <f>IF($M299&lt;&gt;"",IF(VLOOKUP($M299,'Plan d''actions détaillé'!$D$6:$P$30,8,FALSE)="","",VLOOKUP($M299,'Plan d''actions détaillé'!$D$6:$P$30,8,FALSE)),"")</f>
        <v/>
      </c>
      <c r="O299" s="483" t="str">
        <f>IF($M299&lt;&gt;"",IF(VLOOKUP($M299,'Plan d''actions détaillé'!$D$6:$P$30,6,FALSE)="","",VLOOKUP($M299,'Plan d''actions détaillé'!$D$6:$P$30,6,FALSE)),"")</f>
        <v/>
      </c>
      <c r="P299" s="483"/>
      <c r="Q299" s="483"/>
      <c r="R299" s="483"/>
      <c r="S299" s="483"/>
      <c r="T299" s="483"/>
      <c r="U299" s="483"/>
      <c r="V299" s="412" t="str">
        <f>IF($M299&lt;&gt;"",IF(VLOOKUP($M299,'Plan d''actions détaillé'!$D$6:$P$30,12,FALSE)="","",VLOOKUP($M299,'Plan d''actions détaillé'!$D$6:$P$30,12,FALSE)),"")</f>
        <v/>
      </c>
      <c r="W299" s="377"/>
    </row>
    <row r="300" spans="7:23" ht="6.75" customHeight="1" x14ac:dyDescent="0.2">
      <c r="G300" s="376"/>
      <c r="H300" s="372"/>
      <c r="I300" s="372"/>
      <c r="J300" s="414" t="str">
        <f t="array" ref="J300">IF($K$272="","",IF(INDEX('Plan d''actions détaillé'!A:A,MIN(IF((COUNTIF(J$287:J299,'Plan d''actions détaillé'!$A$6:$A$30)=0)*(INDEX('Plan d''actions détaillé'!$U$6:$AL$30,,MATCH($K$272,'Plan d''actions détaillé'!$U$5:$AL$5,0))="X"),ROW('Plan d''actions détaillé'!$T$6:$T$30))))=0,"",INDEX('Plan d''actions détaillé'!A:A,MIN(IF((COUNTIF(J$287:J299,'Plan d''actions détaillé'!$A$6:$A$30)=0)*(INDEX('Plan d''actions détaillé'!$U$6:$AL$30,,MATCH($K$272,'Plan d''actions détaillé'!$U$5:$AL$5,0))="X"),ROW('Plan d''actions détaillé'!$T$6:$T$30))))))</f>
        <v/>
      </c>
      <c r="K300" s="414"/>
      <c r="L300" s="415"/>
      <c r="M300" s="413" t="str">
        <f t="array" ref="M300">IF($K$272="","",IF(INDEX('Plan d''actions détaillé'!D:D,MIN(IF((COUNTIF(M$287:M299,'Plan d''actions détaillé'!$D$6:$D$30)=0)*(INDEX('Plan d''actions détaillé'!$U$6:$AL$30,,MATCH($K$272,'Plan d''actions détaillé'!$U$5:$AL$5,0))="X"),ROW('Plan d''actions détaillé'!$T$6:$T$30))))=0,"",INDEX('Plan d''actions détaillé'!D:D,MIN(IF((COUNTIF(M$287:M299,'Plan d''actions détaillé'!$D$6:$D$30)=0)*(INDEX('Plan d''actions détaillé'!$U$6:$AL$30,,MATCH($K$272,'Plan d''actions détaillé'!$U$5:$AL$5,0))="X"),ROW('Plan d''actions détaillé'!$T$6:$T$30))))))</f>
        <v/>
      </c>
      <c r="N300" s="411" t="str">
        <f>IF($M300&lt;&gt;"",IF(VLOOKUP($M300,'Plan d''actions détaillé'!$D$6:$P$30,8,FALSE)="","",VLOOKUP($M300,'Plan d''actions détaillé'!$D$6:$P$30,8,FALSE)),"")</f>
        <v/>
      </c>
      <c r="O300" s="483" t="str">
        <f>IF($M300&lt;&gt;"",IF(VLOOKUP($M300,'Plan d''actions détaillé'!$D$6:$P$30,6,FALSE)="","",VLOOKUP($M300,'Plan d''actions détaillé'!$D$6:$P$30,6,FALSE)),"")</f>
        <v/>
      </c>
      <c r="P300" s="483"/>
      <c r="Q300" s="483"/>
      <c r="R300" s="483"/>
      <c r="S300" s="483"/>
      <c r="T300" s="483"/>
      <c r="U300" s="483"/>
      <c r="V300" s="412" t="str">
        <f>IF($M300&lt;&gt;"",IF(VLOOKUP($M300,'Plan d''actions détaillé'!$D$6:$P$30,12,FALSE)="","",VLOOKUP($M300,'Plan d''actions détaillé'!$D$6:$P$30,12,FALSE)),"")</f>
        <v/>
      </c>
      <c r="W300" s="377"/>
    </row>
    <row r="301" spans="7:23" ht="6.75" customHeight="1" x14ac:dyDescent="0.2">
      <c r="G301" s="376"/>
      <c r="H301" s="372"/>
      <c r="I301" s="372"/>
      <c r="J301" s="414" t="str">
        <f t="array" ref="J301">IF($K$272="","",IF(INDEX('Plan d''actions détaillé'!A:A,MIN(IF((COUNTIF(J$287:J300,'Plan d''actions détaillé'!$A$6:$A$30)=0)*(INDEX('Plan d''actions détaillé'!$U$6:$AL$30,,MATCH($K$272,'Plan d''actions détaillé'!$U$5:$AL$5,0))="X"),ROW('Plan d''actions détaillé'!$T$6:$T$30))))=0,"",INDEX('Plan d''actions détaillé'!A:A,MIN(IF((COUNTIF(J$287:J300,'Plan d''actions détaillé'!$A$6:$A$30)=0)*(INDEX('Plan d''actions détaillé'!$U$6:$AL$30,,MATCH($K$272,'Plan d''actions détaillé'!$U$5:$AL$5,0))="X"),ROW('Plan d''actions détaillé'!$T$6:$T$30))))))</f>
        <v/>
      </c>
      <c r="K301" s="414"/>
      <c r="L301" s="415"/>
      <c r="M301" s="413" t="str">
        <f t="array" ref="M301">IF($K$272="","",IF(INDEX('Plan d''actions détaillé'!D:D,MIN(IF((COUNTIF(M$287:M300,'Plan d''actions détaillé'!$D$6:$D$30)=0)*(INDEX('Plan d''actions détaillé'!$U$6:$AL$30,,MATCH($K$272,'Plan d''actions détaillé'!$U$5:$AL$5,0))="X"),ROW('Plan d''actions détaillé'!$T$6:$T$30))))=0,"",INDEX('Plan d''actions détaillé'!D:D,MIN(IF((COUNTIF(M$287:M300,'Plan d''actions détaillé'!$D$6:$D$30)=0)*(INDEX('Plan d''actions détaillé'!$U$6:$AL$30,,MATCH($K$272,'Plan d''actions détaillé'!$U$5:$AL$5,0))="X"),ROW('Plan d''actions détaillé'!$T$6:$T$30))))))</f>
        <v/>
      </c>
      <c r="N301" s="411" t="str">
        <f>IF($M301&lt;&gt;"",IF(VLOOKUP($M301,'Plan d''actions détaillé'!$D$6:$P$30,8,FALSE)="","",VLOOKUP($M301,'Plan d''actions détaillé'!$D$6:$P$30,8,FALSE)),"")</f>
        <v/>
      </c>
      <c r="O301" s="483" t="str">
        <f>IF($M301&lt;&gt;"",IF(VLOOKUP($M301,'Plan d''actions détaillé'!$D$6:$P$30,6,FALSE)="","",VLOOKUP($M301,'Plan d''actions détaillé'!$D$6:$P$30,6,FALSE)),"")</f>
        <v/>
      </c>
      <c r="P301" s="483"/>
      <c r="Q301" s="483"/>
      <c r="R301" s="483"/>
      <c r="S301" s="483"/>
      <c r="T301" s="483"/>
      <c r="U301" s="483"/>
      <c r="V301" s="412" t="str">
        <f>IF($M301&lt;&gt;"",IF(VLOOKUP($M301,'Plan d''actions détaillé'!$D$6:$P$30,12,FALSE)="","",VLOOKUP($M301,'Plan d''actions détaillé'!$D$6:$P$30,12,FALSE)),"")</f>
        <v/>
      </c>
      <c r="W301" s="377"/>
    </row>
    <row r="302" spans="7:23" ht="6.75" customHeight="1" x14ac:dyDescent="0.2">
      <c r="G302" s="376"/>
      <c r="H302" s="372"/>
      <c r="I302" s="372"/>
      <c r="J302" s="414" t="str">
        <f t="array" ref="J302">IF($K$272="","",IF(INDEX('Plan d''actions détaillé'!A:A,MIN(IF((COUNTIF(J$287:J301,'Plan d''actions détaillé'!$A$6:$A$30)=0)*(INDEX('Plan d''actions détaillé'!$U$6:$AL$30,,MATCH($K$272,'Plan d''actions détaillé'!$U$5:$AL$5,0))="X"),ROW('Plan d''actions détaillé'!$T$6:$T$30))))=0,"",INDEX('Plan d''actions détaillé'!A:A,MIN(IF((COUNTIF(J$287:J301,'Plan d''actions détaillé'!$A$6:$A$30)=0)*(INDEX('Plan d''actions détaillé'!$U$6:$AL$30,,MATCH($K$272,'Plan d''actions détaillé'!$U$5:$AL$5,0))="X"),ROW('Plan d''actions détaillé'!$T$6:$T$30))))))</f>
        <v/>
      </c>
      <c r="K302" s="414"/>
      <c r="L302" s="415"/>
      <c r="M302" s="413" t="str">
        <f t="array" ref="M302">IF($K$272="","",IF(INDEX('Plan d''actions détaillé'!D:D,MIN(IF((COUNTIF(M$287:M301,'Plan d''actions détaillé'!$D$6:$D$30)=0)*(INDEX('Plan d''actions détaillé'!$U$6:$AL$30,,MATCH($K$272,'Plan d''actions détaillé'!$U$5:$AL$5,0))="X"),ROW('Plan d''actions détaillé'!$T$6:$T$30))))=0,"",INDEX('Plan d''actions détaillé'!D:D,MIN(IF((COUNTIF(M$287:M301,'Plan d''actions détaillé'!$D$6:$D$30)=0)*(INDEX('Plan d''actions détaillé'!$U$6:$AL$30,,MATCH($K$272,'Plan d''actions détaillé'!$U$5:$AL$5,0))="X"),ROW('Plan d''actions détaillé'!$T$6:$T$30))))))</f>
        <v/>
      </c>
      <c r="N302" s="411" t="str">
        <f>IF($M302&lt;&gt;"",IF(VLOOKUP($M302,'Plan d''actions détaillé'!$D$6:$P$30,8,FALSE)="","",VLOOKUP($M302,'Plan d''actions détaillé'!$D$6:$P$30,8,FALSE)),"")</f>
        <v/>
      </c>
      <c r="O302" s="483" t="str">
        <f>IF($M302&lt;&gt;"",IF(VLOOKUP($M302,'Plan d''actions détaillé'!$D$6:$P$30,6,FALSE)="","",VLOOKUP($M302,'Plan d''actions détaillé'!$D$6:$P$30,6,FALSE)),"")</f>
        <v/>
      </c>
      <c r="P302" s="483"/>
      <c r="Q302" s="483"/>
      <c r="R302" s="483"/>
      <c r="S302" s="483"/>
      <c r="T302" s="483"/>
      <c r="U302" s="483"/>
      <c r="V302" s="412" t="str">
        <f>IF($M302&lt;&gt;"",IF(VLOOKUP($M302,'Plan d''actions détaillé'!$D$6:$P$30,12,FALSE)="","",VLOOKUP($M302,'Plan d''actions détaillé'!$D$6:$P$30,12,FALSE)),"")</f>
        <v/>
      </c>
      <c r="W302" s="377"/>
    </row>
    <row r="303" spans="7:23" ht="6.75" customHeight="1" x14ac:dyDescent="0.2">
      <c r="G303" s="376"/>
      <c r="H303" s="372"/>
      <c r="I303" s="372"/>
      <c r="J303" s="414" t="str">
        <f t="array" ref="J303">IF($K$272="","",IF(INDEX('Plan d''actions détaillé'!A:A,MIN(IF((COUNTIF(J$287:J302,'Plan d''actions détaillé'!$A$6:$A$30)=0)*(INDEX('Plan d''actions détaillé'!$U$6:$AL$30,,MATCH($K$272,'Plan d''actions détaillé'!$U$5:$AL$5,0))="X"),ROW('Plan d''actions détaillé'!$T$6:$T$30))))=0,"",INDEX('Plan d''actions détaillé'!A:A,MIN(IF((COUNTIF(J$287:J302,'Plan d''actions détaillé'!$A$6:$A$30)=0)*(INDEX('Plan d''actions détaillé'!$U$6:$AL$30,,MATCH($K$272,'Plan d''actions détaillé'!$U$5:$AL$5,0))="X"),ROW('Plan d''actions détaillé'!$T$6:$T$30))))))</f>
        <v/>
      </c>
      <c r="K303" s="414"/>
      <c r="L303" s="415"/>
      <c r="M303" s="413" t="str">
        <f t="array" ref="M303">IF($K$272="","",IF(INDEX('Plan d''actions détaillé'!D:D,MIN(IF((COUNTIF(M$287:M302,'Plan d''actions détaillé'!$D$6:$D$30)=0)*(INDEX('Plan d''actions détaillé'!$U$6:$AL$30,,MATCH($K$272,'Plan d''actions détaillé'!$U$5:$AL$5,0))="X"),ROW('Plan d''actions détaillé'!$T$6:$T$30))))=0,"",INDEX('Plan d''actions détaillé'!D:D,MIN(IF((COUNTIF(M$287:M302,'Plan d''actions détaillé'!$D$6:$D$30)=0)*(INDEX('Plan d''actions détaillé'!$U$6:$AL$30,,MATCH($K$272,'Plan d''actions détaillé'!$U$5:$AL$5,0))="X"),ROW('Plan d''actions détaillé'!$T$6:$T$30))))))</f>
        <v/>
      </c>
      <c r="N303" s="411" t="str">
        <f>IF($M303&lt;&gt;"",IF(VLOOKUP($M303,'Plan d''actions détaillé'!$D$6:$P$30,8,FALSE)="","",VLOOKUP($M303,'Plan d''actions détaillé'!$D$6:$P$30,8,FALSE)),"")</f>
        <v/>
      </c>
      <c r="O303" s="483" t="str">
        <f>IF($M303&lt;&gt;"",IF(VLOOKUP($M303,'Plan d''actions détaillé'!$D$6:$P$30,6,FALSE)="","",VLOOKUP($M303,'Plan d''actions détaillé'!$D$6:$P$30,6,FALSE)),"")</f>
        <v/>
      </c>
      <c r="P303" s="483"/>
      <c r="Q303" s="483"/>
      <c r="R303" s="483"/>
      <c r="S303" s="483"/>
      <c r="T303" s="483"/>
      <c r="U303" s="483"/>
      <c r="V303" s="412" t="str">
        <f>IF($M303&lt;&gt;"",IF(VLOOKUP($M303,'Plan d''actions détaillé'!$D$6:$P$30,12,FALSE)="","",VLOOKUP($M303,'Plan d''actions détaillé'!$D$6:$P$30,12,FALSE)),"")</f>
        <v/>
      </c>
      <c r="W303" s="377"/>
    </row>
    <row r="304" spans="7:23" ht="13.5" thickBot="1" x14ac:dyDescent="0.25">
      <c r="G304" s="378"/>
      <c r="H304" s="379"/>
      <c r="I304" s="379"/>
      <c r="J304" s="379"/>
      <c r="K304" s="379"/>
      <c r="L304" s="379"/>
      <c r="M304" s="379"/>
      <c r="N304" s="380"/>
      <c r="O304" s="379"/>
      <c r="P304" s="379"/>
      <c r="Q304" s="379"/>
      <c r="R304" s="379"/>
      <c r="S304" s="379"/>
      <c r="T304" s="379"/>
      <c r="U304" s="379"/>
      <c r="V304" s="379"/>
      <c r="W304" s="381"/>
    </row>
    <row r="305" spans="7:23" ht="13.5" thickBot="1" x14ac:dyDescent="0.25"/>
    <row r="306" spans="7:23" x14ac:dyDescent="0.2">
      <c r="G306" s="373"/>
      <c r="H306" s="374"/>
      <c r="I306" s="374"/>
      <c r="J306" s="374"/>
      <c r="K306" s="374"/>
      <c r="L306" s="374"/>
      <c r="M306" s="374"/>
      <c r="N306" s="374"/>
      <c r="O306" s="374"/>
      <c r="P306" s="374"/>
      <c r="Q306" s="374"/>
      <c r="R306" s="374"/>
      <c r="S306" s="374"/>
      <c r="T306" s="374"/>
      <c r="U306" s="374"/>
      <c r="V306" s="374"/>
      <c r="W306" s="375"/>
    </row>
    <row r="307" spans="7:23" ht="12.75" customHeight="1" x14ac:dyDescent="0.2">
      <c r="G307" s="494" t="str">
        <f>C12</f>
        <v/>
      </c>
      <c r="H307" s="495"/>
      <c r="I307" s="495"/>
      <c r="J307" s="495"/>
      <c r="K307" s="496" t="str">
        <f>D12</f>
        <v/>
      </c>
      <c r="L307" s="496"/>
      <c r="M307" s="496"/>
      <c r="N307" s="496"/>
      <c r="O307" s="496"/>
      <c r="P307" s="496"/>
      <c r="Q307" s="496"/>
      <c r="R307" s="496"/>
      <c r="S307" s="496"/>
      <c r="T307" s="496"/>
      <c r="U307" s="496"/>
      <c r="V307" s="496"/>
      <c r="W307" s="397"/>
    </row>
    <row r="308" spans="7:23" ht="12.75" customHeight="1" x14ac:dyDescent="0.2">
      <c r="G308" s="494"/>
      <c r="H308" s="495"/>
      <c r="I308" s="495"/>
      <c r="J308" s="495"/>
      <c r="K308" s="496"/>
      <c r="L308" s="496"/>
      <c r="M308" s="496"/>
      <c r="N308" s="496"/>
      <c r="O308" s="496"/>
      <c r="P308" s="496"/>
      <c r="Q308" s="496"/>
      <c r="R308" s="496"/>
      <c r="S308" s="496"/>
      <c r="T308" s="496"/>
      <c r="U308" s="496"/>
      <c r="V308" s="496"/>
      <c r="W308" s="397"/>
    </row>
    <row r="309" spans="7:23" x14ac:dyDescent="0.2">
      <c r="G309" s="376"/>
      <c r="H309" s="372"/>
      <c r="I309" s="372"/>
      <c r="J309" s="372"/>
      <c r="K309" s="372"/>
      <c r="L309" s="372"/>
      <c r="M309" s="372"/>
      <c r="N309" s="372"/>
      <c r="O309" s="372"/>
      <c r="P309" s="372"/>
      <c r="Q309" s="372"/>
      <c r="R309" s="372"/>
      <c r="S309" s="372"/>
      <c r="T309" s="372"/>
      <c r="U309" s="372"/>
      <c r="V309" s="372"/>
      <c r="W309" s="377"/>
    </row>
    <row r="310" spans="7:23" ht="23.25" customHeight="1" x14ac:dyDescent="0.2">
      <c r="G310" s="497" t="s">
        <v>1</v>
      </c>
      <c r="H310" s="386" t="str">
        <f>IF(AND(O315=5,O316=1),"X","")</f>
        <v/>
      </c>
      <c r="I310" s="387" t="str">
        <f>IF(AND(O315=5,O316=2),"X","")</f>
        <v/>
      </c>
      <c r="J310" s="388" t="str">
        <f>IF(AND(O315=5,O316=3),"X","")</f>
        <v/>
      </c>
      <c r="K310" s="388" t="str">
        <f>IF(AND(O315=5,O316=4),"X","")</f>
        <v/>
      </c>
      <c r="L310" s="388" t="str">
        <f>IF(AND(O315=5,O316=5),"X","")</f>
        <v/>
      </c>
      <c r="N310" s="498" t="str">
        <f>"Processus de rattachement "</f>
        <v xml:space="preserve">Processus de rattachement </v>
      </c>
      <c r="O310" s="499"/>
      <c r="P310" s="499"/>
      <c r="Q310" s="499"/>
      <c r="R310" s="499"/>
      <c r="S310" s="499"/>
      <c r="T310" s="499"/>
      <c r="U310" s="499"/>
      <c r="V310" s="500"/>
      <c r="W310" s="377"/>
    </row>
    <row r="311" spans="7:23" ht="23.25" x14ac:dyDescent="0.2">
      <c r="G311" s="497"/>
      <c r="H311" s="389" t="str">
        <f>IF(AND(O315=4,O316=1),"X","")</f>
        <v/>
      </c>
      <c r="I311" s="390" t="str">
        <f>IF(AND(O315=4,O316=2),"X","")</f>
        <v/>
      </c>
      <c r="J311" s="387" t="str">
        <f>IF(AND(O315=4,O316=3),"X","")</f>
        <v/>
      </c>
      <c r="K311" s="388" t="str">
        <f>IF(AND(O315=4,O316=4),"X","")</f>
        <v/>
      </c>
      <c r="L311" s="388" t="str">
        <f>IF(AND(O315=4,O316=5),"X","")</f>
        <v/>
      </c>
      <c r="N311" s="501" t="str">
        <f>Matrice!$G$1&amp;" - "&amp;Matrice!$J$1</f>
        <v>DI2 - YYY</v>
      </c>
      <c r="O311" s="502"/>
      <c r="P311" s="502"/>
      <c r="Q311" s="502"/>
      <c r="R311" s="502"/>
      <c r="S311" s="502"/>
      <c r="T311" s="502"/>
      <c r="U311" s="502"/>
      <c r="V311" s="503"/>
      <c r="W311" s="377"/>
    </row>
    <row r="312" spans="7:23" ht="23.25" x14ac:dyDescent="0.2">
      <c r="G312" s="497"/>
      <c r="H312" s="389" t="str">
        <f>IF(AND(O315=3,O316=1),"X","")</f>
        <v/>
      </c>
      <c r="I312" s="390" t="str">
        <f>IF(AND(O315=3,O316=2),"X","")</f>
        <v/>
      </c>
      <c r="J312" s="390" t="str">
        <f>IF(AND(O315=3,O316=3),"X","")</f>
        <v/>
      </c>
      <c r="K312" s="387" t="str">
        <f>IF(AND(O315=3,O316=4),"X","")</f>
        <v/>
      </c>
      <c r="L312" s="388" t="str">
        <f>IF(AND(O315=3,O316=5),"X","")</f>
        <v/>
      </c>
      <c r="N312" s="372"/>
      <c r="O312" s="372"/>
      <c r="W312" s="377"/>
    </row>
    <row r="313" spans="7:23" ht="23.25" x14ac:dyDescent="0.2">
      <c r="G313" s="497"/>
      <c r="H313" s="391" t="str">
        <f>IF(AND(O315=2,O316=1),"X","")</f>
        <v/>
      </c>
      <c r="I313" s="392" t="str">
        <f>IF(AND(O315=2,O316=2),"X","")</f>
        <v/>
      </c>
      <c r="J313" s="390" t="str">
        <f>IF(AND(O315=2,O316=3),"X","")</f>
        <v/>
      </c>
      <c r="K313" s="390" t="str">
        <f>IF(AND(O315=2,O316=4),"X","")</f>
        <v/>
      </c>
      <c r="L313" s="387" t="str">
        <f>IF(AND(O315=2,O316=5),"X","")</f>
        <v/>
      </c>
      <c r="M313" s="372"/>
      <c r="N313" s="383" t="s">
        <v>236</v>
      </c>
      <c r="O313" s="382"/>
      <c r="P313" s="382"/>
      <c r="Q313" s="382"/>
      <c r="S313" s="385" t="s">
        <v>250</v>
      </c>
      <c r="T313" s="384"/>
      <c r="U313" s="384"/>
      <c r="V313" s="384"/>
      <c r="W313" s="377"/>
    </row>
    <row r="314" spans="7:23" ht="24" thickBot="1" x14ac:dyDescent="0.25">
      <c r="G314" s="376"/>
      <c r="H314" s="393" t="str">
        <f>IF(AND(O315=1,O316=1),"X","")</f>
        <v/>
      </c>
      <c r="I314" s="394" t="str">
        <f>IF(AND(O315=1,O316=2),"X","")</f>
        <v/>
      </c>
      <c r="J314" s="395" t="str">
        <f>IF(AND(O315=1,O316=3),"X","")</f>
        <v/>
      </c>
      <c r="K314" s="395" t="str">
        <f>IF(AND(O315=1,O316=4),"X","")</f>
        <v/>
      </c>
      <c r="L314" s="396" t="str">
        <f>IF(AND(O315=1,O316=5),"X","")</f>
        <v/>
      </c>
      <c r="M314" s="372"/>
      <c r="N314" s="406"/>
      <c r="O314" s="408" t="s">
        <v>237</v>
      </c>
      <c r="P314" s="408" t="s">
        <v>238</v>
      </c>
      <c r="Q314" s="406"/>
      <c r="R314" s="307"/>
      <c r="S314" s="420"/>
      <c r="T314" s="409" t="s">
        <v>237</v>
      </c>
      <c r="U314" s="409" t="s">
        <v>238</v>
      </c>
      <c r="V314" s="384"/>
      <c r="W314" s="377"/>
    </row>
    <row r="315" spans="7:23" ht="19.5" thickTop="1" thickBot="1" x14ac:dyDescent="0.25">
      <c r="G315" s="376"/>
      <c r="H315" s="484" t="s">
        <v>16</v>
      </c>
      <c r="I315" s="484"/>
      <c r="J315" s="484"/>
      <c r="K315" s="484"/>
      <c r="L315" s="484"/>
      <c r="M315" s="372"/>
      <c r="N315" s="407" t="s">
        <v>248</v>
      </c>
      <c r="O315" s="417" t="str">
        <f>VLOOKUP($K307,Risques!$D$21:$AB$40,17,FALSE)</f>
        <v/>
      </c>
      <c r="P315" s="418" t="str">
        <f>VLOOKUP(K307,Risques!$D$21:$AB$40,23,FALSE)</f>
        <v/>
      </c>
      <c r="Q315" s="382"/>
      <c r="S315" s="410" t="s">
        <v>248</v>
      </c>
      <c r="T315" s="419"/>
      <c r="U315" s="419"/>
      <c r="V315" s="384"/>
      <c r="W315" s="377"/>
    </row>
    <row r="316" spans="7:23" ht="19.5" thickTop="1" thickBot="1" x14ac:dyDescent="0.25">
      <c r="G316" s="376"/>
      <c r="H316" s="372"/>
      <c r="I316" s="372"/>
      <c r="J316" s="372"/>
      <c r="K316" s="372"/>
      <c r="L316" s="372"/>
      <c r="M316" s="372"/>
      <c r="N316" s="407" t="s">
        <v>249</v>
      </c>
      <c r="O316" s="417" t="str">
        <f>VLOOKUP(K307,Risques!$D$21:$AB$40,18,FALSE)</f>
        <v/>
      </c>
      <c r="P316" s="418" t="str">
        <f>VLOOKUP(K307,Risques!$D$21:$AB$40,24,FALSE)</f>
        <v/>
      </c>
      <c r="Q316" s="382"/>
      <c r="S316" s="410" t="s">
        <v>249</v>
      </c>
      <c r="T316" s="419"/>
      <c r="U316" s="419"/>
      <c r="V316" s="384"/>
      <c r="W316" s="377"/>
    </row>
    <row r="317" spans="7:23" ht="19.5" thickTop="1" thickBot="1" x14ac:dyDescent="0.25">
      <c r="G317" s="376"/>
      <c r="H317" s="372"/>
      <c r="I317" s="372"/>
      <c r="J317" s="372"/>
      <c r="K317" s="372"/>
      <c r="L317" s="372"/>
      <c r="M317" s="372"/>
      <c r="N317" s="407" t="s">
        <v>251</v>
      </c>
      <c r="O317" s="417" t="str">
        <f>VLOOKUP(K307,Risques!$D$21:$AB$40,19,FALSE)</f>
        <v/>
      </c>
      <c r="P317" s="418" t="str">
        <f>VLOOKUP(K307,Risques!$D$21:$AB$40,25,FALSE)</f>
        <v/>
      </c>
      <c r="Q317" s="382"/>
      <c r="S317" s="410" t="s">
        <v>251</v>
      </c>
      <c r="T317" s="419"/>
      <c r="U317" s="419"/>
      <c r="V317" s="384"/>
      <c r="W317" s="377"/>
    </row>
    <row r="318" spans="7:23" ht="13.5" thickTop="1" x14ac:dyDescent="0.2">
      <c r="G318" s="376"/>
      <c r="H318" s="372"/>
      <c r="I318" s="372"/>
      <c r="J318" s="372"/>
      <c r="K318" s="372"/>
      <c r="L318" s="372"/>
      <c r="M318" s="372"/>
      <c r="N318" s="382"/>
      <c r="O318" s="382"/>
      <c r="P318" s="382"/>
      <c r="Q318" s="382"/>
      <c r="S318" s="384"/>
      <c r="T318" s="384"/>
      <c r="U318" s="384"/>
      <c r="V318" s="384"/>
      <c r="W318" s="377"/>
    </row>
    <row r="319" spans="7:23" x14ac:dyDescent="0.2">
      <c r="G319" s="376"/>
      <c r="H319" s="372"/>
      <c r="I319" s="372"/>
      <c r="J319" s="372"/>
      <c r="K319" s="372"/>
      <c r="L319" s="372"/>
      <c r="M319" s="372"/>
      <c r="W319" s="377"/>
    </row>
    <row r="320" spans="7:23" ht="18" customHeight="1" x14ac:dyDescent="0.2">
      <c r="G320" s="376"/>
      <c r="H320" s="372"/>
      <c r="I320" s="372"/>
      <c r="J320" s="492" t="s">
        <v>253</v>
      </c>
      <c r="K320" s="492"/>
      <c r="L320" s="493"/>
      <c r="M320" s="485" t="str">
        <f>VLOOKUP($K307,Risques!$D$21:$AB$40,3,FALSE)</f>
        <v/>
      </c>
      <c r="N320" s="486"/>
      <c r="O320" s="486"/>
      <c r="P320" s="486"/>
      <c r="Q320" s="486"/>
      <c r="R320" s="486"/>
      <c r="S320" s="486"/>
      <c r="T320" s="486"/>
      <c r="U320" s="486"/>
      <c r="V320" s="487"/>
      <c r="W320" s="377"/>
    </row>
    <row r="321" spans="7:23" ht="48" customHeight="1" x14ac:dyDescent="0.25">
      <c r="G321" s="399"/>
      <c r="H321" s="400"/>
      <c r="I321" s="400"/>
      <c r="J321" s="492"/>
      <c r="K321" s="492"/>
      <c r="L321" s="493"/>
      <c r="M321" s="488"/>
      <c r="N321" s="489"/>
      <c r="O321" s="489"/>
      <c r="P321" s="489"/>
      <c r="Q321" s="489"/>
      <c r="R321" s="489"/>
      <c r="S321" s="489"/>
      <c r="T321" s="489"/>
      <c r="U321" s="489"/>
      <c r="V321" s="490"/>
      <c r="W321" s="401"/>
    </row>
    <row r="322" spans="7:23" x14ac:dyDescent="0.2">
      <c r="G322" s="376"/>
      <c r="H322" s="372"/>
      <c r="I322" s="372"/>
      <c r="J322" s="372"/>
      <c r="K322" s="372"/>
      <c r="L322" s="372"/>
      <c r="M322" s="372"/>
      <c r="N322" s="403"/>
      <c r="O322" s="403"/>
      <c r="P322" s="403"/>
      <c r="Q322" s="403"/>
      <c r="R322" s="403"/>
      <c r="S322" s="403"/>
      <c r="T322" s="403"/>
      <c r="U322" s="403"/>
      <c r="V322" s="404"/>
      <c r="W322" s="377"/>
    </row>
    <row r="323" spans="7:23" ht="31.5" customHeight="1" x14ac:dyDescent="0.2">
      <c r="G323" s="376"/>
      <c r="H323" s="372"/>
      <c r="I323" s="372"/>
      <c r="J323" s="491" t="s">
        <v>239</v>
      </c>
      <c r="K323" s="491"/>
      <c r="L323" s="491"/>
      <c r="M323" s="416" t="s">
        <v>240</v>
      </c>
      <c r="N323" s="416" t="s">
        <v>241</v>
      </c>
      <c r="O323" s="491" t="s">
        <v>242</v>
      </c>
      <c r="P323" s="491"/>
      <c r="Q323" s="491"/>
      <c r="R323" s="491"/>
      <c r="S323" s="491"/>
      <c r="T323" s="491"/>
      <c r="U323" s="491"/>
      <c r="V323" s="416" t="s">
        <v>243</v>
      </c>
      <c r="W323" s="377"/>
    </row>
    <row r="324" spans="7:23" ht="6" customHeight="1" x14ac:dyDescent="0.2">
      <c r="G324" s="376"/>
      <c r="H324" s="372"/>
      <c r="I324" s="372"/>
      <c r="J324" s="414" t="str">
        <f t="array" ref="J324">IF($K$307="","",IF(INDEX('Plan d''actions détaillé'!A:A,MIN(IF((COUNTIF(J$322:J323,'Plan d''actions détaillé'!$A$6:$A$30)=0)*(INDEX('Plan d''actions détaillé'!$U$6:$AL$30,,MATCH($K$307,'Plan d''actions détaillé'!$U$5:$AL$5,0))="X"),ROW('Plan d''actions détaillé'!$T$6:$T$30))))=0,"",INDEX('Plan d''actions détaillé'!A:A,MIN(IF((COUNTIF(J$322:J323,'Plan d''actions détaillé'!$A$6:$A$30)=0)*(INDEX('Plan d''actions détaillé'!$U$6:$AL$30,,MATCH($K$307,'Plan d''actions détaillé'!$U$5:$AL$5,0))="X"),ROW('Plan d''actions détaillé'!$T$6:$T$30))))))</f>
        <v/>
      </c>
      <c r="K324" s="414"/>
      <c r="L324" s="415"/>
      <c r="M324" s="413" t="str">
        <f t="array" ref="M324">IF($K$307="","",IF(INDEX('Plan d''actions détaillé'!D:D,MIN(IF((COUNTIF(M$322:M323,'Plan d''actions détaillé'!$D$6:$D$30)=0)*(INDEX('Plan d''actions détaillé'!$U$6:$AL$30,,MATCH($K$307,'Plan d''actions détaillé'!$U$5:$AL$5,0))="X"),ROW('Plan d''actions détaillé'!$T$6:$T$30))))=0,"",INDEX('Plan d''actions détaillé'!D:D,MIN(IF((COUNTIF(M$322:M323,'Plan d''actions détaillé'!$D$6:$D$30)=0)*(INDEX('Plan d''actions détaillé'!$U$6:$AL$30,,MATCH($K$307,'Plan d''actions détaillé'!$U$5:$AL$5,0))="X"),ROW('Plan d''actions détaillé'!$T$6:$T$30))))))</f>
        <v/>
      </c>
      <c r="N324" s="411" t="str">
        <f>IF($M324&lt;&gt;"",IF(VLOOKUP($M324,'Plan d''actions détaillé'!$D$6:$P$30,8,FALSE)="","",VLOOKUP($M324,'Plan d''actions détaillé'!$D$6:$P$30,8,FALSE)),"")</f>
        <v/>
      </c>
      <c r="O324" s="483" t="str">
        <f>IF($M324&lt;&gt;"",IF(VLOOKUP($M324,'Plan d''actions détaillé'!$D$6:$P$30,6,FALSE)="","",VLOOKUP($M324,'Plan d''actions détaillé'!$D$6:$P$30,6,FALSE)),"")</f>
        <v/>
      </c>
      <c r="P324" s="483"/>
      <c r="Q324" s="483"/>
      <c r="R324" s="483"/>
      <c r="S324" s="483"/>
      <c r="T324" s="483"/>
      <c r="U324" s="483"/>
      <c r="V324" s="412" t="str">
        <f>IF($M324&lt;&gt;"",IF(VLOOKUP($M324,'Plan d''actions détaillé'!$D$6:$P$30,12,FALSE)="","",VLOOKUP($M324,'Plan d''actions détaillé'!$D$6:$P$30,12,FALSE)),"")</f>
        <v/>
      </c>
      <c r="W324" s="377"/>
    </row>
    <row r="325" spans="7:23" ht="6" customHeight="1" x14ac:dyDescent="0.2">
      <c r="G325" s="376"/>
      <c r="H325" s="372"/>
      <c r="I325" s="372"/>
      <c r="J325" s="414" t="str">
        <f t="array" ref="J325">IF($K$307="","",IF(INDEX('Plan d''actions détaillé'!A:A,MIN(IF((COUNTIF(J$322:J324,'Plan d''actions détaillé'!$A$6:$A$30)=0)*(INDEX('Plan d''actions détaillé'!$U$6:$AL$30,,MATCH($K$307,'Plan d''actions détaillé'!$U$5:$AL$5,0))="X"),ROW('Plan d''actions détaillé'!$T$6:$T$30))))=0,"",INDEX('Plan d''actions détaillé'!A:A,MIN(IF((COUNTIF(J$322:J324,'Plan d''actions détaillé'!$A$6:$A$30)=0)*(INDEX('Plan d''actions détaillé'!$U$6:$AL$30,,MATCH($K$307,'Plan d''actions détaillé'!$U$5:$AL$5,0))="X"),ROW('Plan d''actions détaillé'!$T$6:$T$30))))))</f>
        <v/>
      </c>
      <c r="K325" s="414"/>
      <c r="L325" s="415"/>
      <c r="M325" s="413" t="str">
        <f t="array" ref="M325">IF($K$307="","",IF(INDEX('Plan d''actions détaillé'!D:D,MIN(IF((COUNTIF(M$322:M324,'Plan d''actions détaillé'!$D$6:$D$30)=0)*(INDEX('Plan d''actions détaillé'!$U$6:$AL$30,,MATCH($K$307,'Plan d''actions détaillé'!$U$5:$AL$5,0))="X"),ROW('Plan d''actions détaillé'!$T$6:$T$30))))=0,"",INDEX('Plan d''actions détaillé'!D:D,MIN(IF((COUNTIF(M$322:M324,'Plan d''actions détaillé'!$D$6:$D$30)=0)*(INDEX('Plan d''actions détaillé'!$U$6:$AL$30,,MATCH($K$307,'Plan d''actions détaillé'!$U$5:$AL$5,0))="X"),ROW('Plan d''actions détaillé'!$T$6:$T$30))))))</f>
        <v/>
      </c>
      <c r="N325" s="411" t="str">
        <f>IF($M325&lt;&gt;"",IF(VLOOKUP($M325,'Plan d''actions détaillé'!$D$6:$P$30,8,FALSE)="","",VLOOKUP($M325,'Plan d''actions détaillé'!$D$6:$P$30,8,FALSE)),"")</f>
        <v/>
      </c>
      <c r="O325" s="483" t="str">
        <f>IF($M325&lt;&gt;"",IF(VLOOKUP($M325,'Plan d''actions détaillé'!$D$6:$P$30,6,FALSE)="","",VLOOKUP($M325,'Plan d''actions détaillé'!$D$6:$P$30,6,FALSE)),"")</f>
        <v/>
      </c>
      <c r="P325" s="483"/>
      <c r="Q325" s="483"/>
      <c r="R325" s="483"/>
      <c r="S325" s="483"/>
      <c r="T325" s="483"/>
      <c r="U325" s="483"/>
      <c r="V325" s="412" t="str">
        <f>IF($M325&lt;&gt;"",IF(VLOOKUP($M325,'Plan d''actions détaillé'!$D$6:$P$30,12,FALSE)="","",VLOOKUP($M325,'Plan d''actions détaillé'!$D$6:$P$30,12,FALSE)),"")</f>
        <v/>
      </c>
      <c r="W325" s="377"/>
    </row>
    <row r="326" spans="7:23" ht="6" customHeight="1" x14ac:dyDescent="0.2">
      <c r="G326" s="376"/>
      <c r="H326" s="372"/>
      <c r="I326" s="372"/>
      <c r="J326" s="414" t="str">
        <f t="array" ref="J326">IF($K$307="","",IF(INDEX('Plan d''actions détaillé'!A:A,MIN(IF((COUNTIF(J$322:J325,'Plan d''actions détaillé'!$A$6:$A$30)=0)*(INDEX('Plan d''actions détaillé'!$U$6:$AL$30,,MATCH($K$307,'Plan d''actions détaillé'!$U$5:$AL$5,0))="X"),ROW('Plan d''actions détaillé'!$T$6:$T$30))))=0,"",INDEX('Plan d''actions détaillé'!A:A,MIN(IF((COUNTIF(J$322:J325,'Plan d''actions détaillé'!$A$6:$A$30)=0)*(INDEX('Plan d''actions détaillé'!$U$6:$AL$30,,MATCH($K$307,'Plan d''actions détaillé'!$U$5:$AL$5,0))="X"),ROW('Plan d''actions détaillé'!$T$6:$T$30))))))</f>
        <v/>
      </c>
      <c r="K326" s="414"/>
      <c r="L326" s="415"/>
      <c r="M326" s="413" t="str">
        <f t="array" ref="M326">IF($K$307="","",IF(INDEX('Plan d''actions détaillé'!D:D,MIN(IF((COUNTIF(M$322:M325,'Plan d''actions détaillé'!$D$6:$D$30)=0)*(INDEX('Plan d''actions détaillé'!$U$6:$AL$30,,MATCH($K$307,'Plan d''actions détaillé'!$U$5:$AL$5,0))="X"),ROW('Plan d''actions détaillé'!$T$6:$T$30))))=0,"",INDEX('Plan d''actions détaillé'!D:D,MIN(IF((COUNTIF(M$322:M325,'Plan d''actions détaillé'!$D$6:$D$30)=0)*(INDEX('Plan d''actions détaillé'!$U$6:$AL$30,,MATCH($K$307,'Plan d''actions détaillé'!$U$5:$AL$5,0))="X"),ROW('Plan d''actions détaillé'!$T$6:$T$30))))))</f>
        <v/>
      </c>
      <c r="N326" s="411" t="str">
        <f>IF($M326&lt;&gt;"",IF(VLOOKUP($M326,'Plan d''actions détaillé'!$D$6:$P$30,8,FALSE)="","",VLOOKUP($M326,'Plan d''actions détaillé'!$D$6:$P$30,8,FALSE)),"")</f>
        <v/>
      </c>
      <c r="O326" s="483" t="str">
        <f>IF($M326&lt;&gt;"",IF(VLOOKUP($M326,'Plan d''actions détaillé'!$D$6:$P$30,6,FALSE)="","",VLOOKUP($M326,'Plan d''actions détaillé'!$D$6:$P$30,6,FALSE)),"")</f>
        <v/>
      </c>
      <c r="P326" s="483"/>
      <c r="Q326" s="483"/>
      <c r="R326" s="483"/>
      <c r="S326" s="483"/>
      <c r="T326" s="483"/>
      <c r="U326" s="483"/>
      <c r="V326" s="412" t="str">
        <f>IF($M326&lt;&gt;"",IF(VLOOKUP($M326,'Plan d''actions détaillé'!$D$6:$P$30,12,FALSE)="","",VLOOKUP($M326,'Plan d''actions détaillé'!$D$6:$P$30,12,FALSE)),"")</f>
        <v/>
      </c>
      <c r="W326" s="377"/>
    </row>
    <row r="327" spans="7:23" ht="6" customHeight="1" x14ac:dyDescent="0.2">
      <c r="G327" s="376"/>
      <c r="H327" s="372"/>
      <c r="I327" s="372"/>
      <c r="J327" s="414" t="str">
        <f t="array" ref="J327">IF($K$307="","",IF(INDEX('Plan d''actions détaillé'!A:A,MIN(IF((COUNTIF(J$322:J326,'Plan d''actions détaillé'!$A$6:$A$30)=0)*(INDEX('Plan d''actions détaillé'!$U$6:$AL$30,,MATCH($K$307,'Plan d''actions détaillé'!$U$5:$AL$5,0))="X"),ROW('Plan d''actions détaillé'!$T$6:$T$30))))=0,"",INDEX('Plan d''actions détaillé'!A:A,MIN(IF((COUNTIF(J$322:J326,'Plan d''actions détaillé'!$A$6:$A$30)=0)*(INDEX('Plan d''actions détaillé'!$U$6:$AL$30,,MATCH($K$307,'Plan d''actions détaillé'!$U$5:$AL$5,0))="X"),ROW('Plan d''actions détaillé'!$T$6:$T$30))))))</f>
        <v/>
      </c>
      <c r="K327" s="414"/>
      <c r="L327" s="415"/>
      <c r="M327" s="413" t="str">
        <f t="array" ref="M327">IF($K$307="","",IF(INDEX('Plan d''actions détaillé'!D:D,MIN(IF((COUNTIF(M$322:M326,'Plan d''actions détaillé'!$D$6:$D$30)=0)*(INDEX('Plan d''actions détaillé'!$U$6:$AL$30,,MATCH($K$307,'Plan d''actions détaillé'!$U$5:$AL$5,0))="X"),ROW('Plan d''actions détaillé'!$T$6:$T$30))))=0,"",INDEX('Plan d''actions détaillé'!D:D,MIN(IF((COUNTIF(M$322:M326,'Plan d''actions détaillé'!$D$6:$D$30)=0)*(INDEX('Plan d''actions détaillé'!$U$6:$AL$30,,MATCH($K$307,'Plan d''actions détaillé'!$U$5:$AL$5,0))="X"),ROW('Plan d''actions détaillé'!$T$6:$T$30))))))</f>
        <v/>
      </c>
      <c r="N327" s="411" t="str">
        <f>IF($M327&lt;&gt;"",IF(VLOOKUP($M327,'Plan d''actions détaillé'!$D$6:$P$30,8,FALSE)="","",VLOOKUP($M327,'Plan d''actions détaillé'!$D$6:$P$30,8,FALSE)),"")</f>
        <v/>
      </c>
      <c r="O327" s="483" t="str">
        <f>IF($M327&lt;&gt;"",IF(VLOOKUP($M327,'Plan d''actions détaillé'!$D$6:$P$30,6,FALSE)="","",VLOOKUP($M327,'Plan d''actions détaillé'!$D$6:$P$30,6,FALSE)),"")</f>
        <v/>
      </c>
      <c r="P327" s="483"/>
      <c r="Q327" s="483"/>
      <c r="R327" s="483"/>
      <c r="S327" s="483"/>
      <c r="T327" s="483"/>
      <c r="U327" s="483"/>
      <c r="V327" s="412" t="str">
        <f>IF($M327&lt;&gt;"",IF(VLOOKUP($M327,'Plan d''actions détaillé'!$D$6:$P$30,12,FALSE)="","",VLOOKUP($M327,'Plan d''actions détaillé'!$D$6:$P$30,12,FALSE)),"")</f>
        <v/>
      </c>
      <c r="W327" s="377"/>
    </row>
    <row r="328" spans="7:23" ht="6" customHeight="1" x14ac:dyDescent="0.2">
      <c r="G328" s="376"/>
      <c r="H328" s="372"/>
      <c r="I328" s="372"/>
      <c r="J328" s="414" t="str">
        <f t="array" ref="J328">IF($K$307="","",IF(INDEX('Plan d''actions détaillé'!A:A,MIN(IF((COUNTIF(J$322:J327,'Plan d''actions détaillé'!$A$6:$A$30)=0)*(INDEX('Plan d''actions détaillé'!$U$6:$AL$30,,MATCH($K$307,'Plan d''actions détaillé'!$U$5:$AL$5,0))="X"),ROW('Plan d''actions détaillé'!$T$6:$T$30))))=0,"",INDEX('Plan d''actions détaillé'!A:A,MIN(IF((COUNTIF(J$322:J327,'Plan d''actions détaillé'!$A$6:$A$30)=0)*(INDEX('Plan d''actions détaillé'!$U$6:$AL$30,,MATCH($K$307,'Plan d''actions détaillé'!$U$5:$AL$5,0))="X"),ROW('Plan d''actions détaillé'!$T$6:$T$30))))))</f>
        <v/>
      </c>
      <c r="K328" s="414"/>
      <c r="L328" s="415"/>
      <c r="M328" s="413" t="str">
        <f t="array" ref="M328">IF($K$307="","",IF(INDEX('Plan d''actions détaillé'!D:D,MIN(IF((COUNTIF(M$322:M327,'Plan d''actions détaillé'!$D$6:$D$30)=0)*(INDEX('Plan d''actions détaillé'!$U$6:$AL$30,,MATCH($K$307,'Plan d''actions détaillé'!$U$5:$AL$5,0))="X"),ROW('Plan d''actions détaillé'!$T$6:$T$30))))=0,"",INDEX('Plan d''actions détaillé'!D:D,MIN(IF((COUNTIF(M$322:M327,'Plan d''actions détaillé'!$D$6:$D$30)=0)*(INDEX('Plan d''actions détaillé'!$U$6:$AL$30,,MATCH($K$307,'Plan d''actions détaillé'!$U$5:$AL$5,0))="X"),ROW('Plan d''actions détaillé'!$T$6:$T$30))))))</f>
        <v/>
      </c>
      <c r="N328" s="411" t="str">
        <f>IF($M328&lt;&gt;"",IF(VLOOKUP($M328,'Plan d''actions détaillé'!$D$6:$P$30,8,FALSE)="","",VLOOKUP($M328,'Plan d''actions détaillé'!$D$6:$P$30,8,FALSE)),"")</f>
        <v/>
      </c>
      <c r="O328" s="483" t="str">
        <f>IF($M328&lt;&gt;"",IF(VLOOKUP($M328,'Plan d''actions détaillé'!$D$6:$P$30,6,FALSE)="","",VLOOKUP($M328,'Plan d''actions détaillé'!$D$6:$P$30,6,FALSE)),"")</f>
        <v/>
      </c>
      <c r="P328" s="483"/>
      <c r="Q328" s="483"/>
      <c r="R328" s="483"/>
      <c r="S328" s="483"/>
      <c r="T328" s="483"/>
      <c r="U328" s="483"/>
      <c r="V328" s="412" t="str">
        <f>IF($M328&lt;&gt;"",IF(VLOOKUP($M328,'Plan d''actions détaillé'!$D$6:$P$30,12,FALSE)="","",VLOOKUP($M328,'Plan d''actions détaillé'!$D$6:$P$30,12,FALSE)),"")</f>
        <v/>
      </c>
      <c r="W328" s="377"/>
    </row>
    <row r="329" spans="7:23" ht="6" customHeight="1" x14ac:dyDescent="0.2">
      <c r="G329" s="376"/>
      <c r="H329" s="372"/>
      <c r="I329" s="372"/>
      <c r="J329" s="414" t="str">
        <f t="array" ref="J329">IF($K$307="","",IF(INDEX('Plan d''actions détaillé'!A:A,MIN(IF((COUNTIF(J$322:J328,'Plan d''actions détaillé'!$A$6:$A$30)=0)*(INDEX('Plan d''actions détaillé'!$U$6:$AL$30,,MATCH($K$307,'Plan d''actions détaillé'!$U$5:$AL$5,0))="X"),ROW('Plan d''actions détaillé'!$T$6:$T$30))))=0,"",INDEX('Plan d''actions détaillé'!A:A,MIN(IF((COUNTIF(J$322:J328,'Plan d''actions détaillé'!$A$6:$A$30)=0)*(INDEX('Plan d''actions détaillé'!$U$6:$AL$30,,MATCH($K$307,'Plan d''actions détaillé'!$U$5:$AL$5,0))="X"),ROW('Plan d''actions détaillé'!$T$6:$T$30))))))</f>
        <v/>
      </c>
      <c r="K329" s="414"/>
      <c r="L329" s="415"/>
      <c r="M329" s="413" t="str">
        <f t="array" ref="M329">IF($K$307="","",IF(INDEX('Plan d''actions détaillé'!D:D,MIN(IF((COUNTIF(M$322:M328,'Plan d''actions détaillé'!$D$6:$D$30)=0)*(INDEX('Plan d''actions détaillé'!$U$6:$AL$30,,MATCH($K$307,'Plan d''actions détaillé'!$U$5:$AL$5,0))="X"),ROW('Plan d''actions détaillé'!$T$6:$T$30))))=0,"",INDEX('Plan d''actions détaillé'!D:D,MIN(IF((COUNTIF(M$322:M328,'Plan d''actions détaillé'!$D$6:$D$30)=0)*(INDEX('Plan d''actions détaillé'!$U$6:$AL$30,,MATCH($K$307,'Plan d''actions détaillé'!$U$5:$AL$5,0))="X"),ROW('Plan d''actions détaillé'!$T$6:$T$30))))))</f>
        <v/>
      </c>
      <c r="N329" s="411" t="str">
        <f>IF($M329&lt;&gt;"",IF(VLOOKUP($M329,'Plan d''actions détaillé'!$D$6:$P$30,8,FALSE)="","",VLOOKUP($M329,'Plan d''actions détaillé'!$D$6:$P$30,8,FALSE)),"")</f>
        <v/>
      </c>
      <c r="O329" s="483" t="str">
        <f>IF($M329&lt;&gt;"",IF(VLOOKUP($M329,'Plan d''actions détaillé'!$D$6:$P$30,6,FALSE)="","",VLOOKUP($M329,'Plan d''actions détaillé'!$D$6:$P$30,6,FALSE)),"")</f>
        <v/>
      </c>
      <c r="P329" s="483"/>
      <c r="Q329" s="483"/>
      <c r="R329" s="483"/>
      <c r="S329" s="483"/>
      <c r="T329" s="483"/>
      <c r="U329" s="483"/>
      <c r="V329" s="412" t="str">
        <f>IF($M329&lt;&gt;"",IF(VLOOKUP($M329,'Plan d''actions détaillé'!$D$6:$P$30,12,FALSE)="","",VLOOKUP($M329,'Plan d''actions détaillé'!$D$6:$P$30,12,FALSE)),"")</f>
        <v/>
      </c>
      <c r="W329" s="377"/>
    </row>
    <row r="330" spans="7:23" ht="6" customHeight="1" x14ac:dyDescent="0.2">
      <c r="G330" s="376"/>
      <c r="H330" s="372"/>
      <c r="I330" s="372"/>
      <c r="J330" s="414" t="str">
        <f t="array" ref="J330">IF($K$307="","",IF(INDEX('Plan d''actions détaillé'!A:A,MIN(IF((COUNTIF(J$322:J329,'Plan d''actions détaillé'!$A$6:$A$30)=0)*(INDEX('Plan d''actions détaillé'!$U$6:$AL$30,,MATCH($K$307,'Plan d''actions détaillé'!$U$5:$AL$5,0))="X"),ROW('Plan d''actions détaillé'!$T$6:$T$30))))=0,"",INDEX('Plan d''actions détaillé'!A:A,MIN(IF((COUNTIF(J$322:J329,'Plan d''actions détaillé'!$A$6:$A$30)=0)*(INDEX('Plan d''actions détaillé'!$U$6:$AL$30,,MATCH($K$307,'Plan d''actions détaillé'!$U$5:$AL$5,0))="X"),ROW('Plan d''actions détaillé'!$T$6:$T$30))))))</f>
        <v/>
      </c>
      <c r="K330" s="414"/>
      <c r="L330" s="415"/>
      <c r="M330" s="413" t="str">
        <f t="array" ref="M330">IF($K$307="","",IF(INDEX('Plan d''actions détaillé'!D:D,MIN(IF((COUNTIF(M$322:M329,'Plan d''actions détaillé'!$D$6:$D$30)=0)*(INDEX('Plan d''actions détaillé'!$U$6:$AL$30,,MATCH($K$307,'Plan d''actions détaillé'!$U$5:$AL$5,0))="X"),ROW('Plan d''actions détaillé'!$T$6:$T$30))))=0,"",INDEX('Plan d''actions détaillé'!D:D,MIN(IF((COUNTIF(M$322:M329,'Plan d''actions détaillé'!$D$6:$D$30)=0)*(INDEX('Plan d''actions détaillé'!$U$6:$AL$30,,MATCH($K$307,'Plan d''actions détaillé'!$U$5:$AL$5,0))="X"),ROW('Plan d''actions détaillé'!$T$6:$T$30))))))</f>
        <v/>
      </c>
      <c r="N330" s="411" t="str">
        <f>IF($M330&lt;&gt;"",IF(VLOOKUP($M330,'Plan d''actions détaillé'!$D$6:$P$30,8,FALSE)="","",VLOOKUP($M330,'Plan d''actions détaillé'!$D$6:$P$30,8,FALSE)),"")</f>
        <v/>
      </c>
      <c r="O330" s="483" t="str">
        <f>IF($M330&lt;&gt;"",IF(VLOOKUP($M330,'Plan d''actions détaillé'!$D$6:$P$30,6,FALSE)="","",VLOOKUP($M330,'Plan d''actions détaillé'!$D$6:$P$30,6,FALSE)),"")</f>
        <v/>
      </c>
      <c r="P330" s="483"/>
      <c r="Q330" s="483"/>
      <c r="R330" s="483"/>
      <c r="S330" s="483"/>
      <c r="T330" s="483"/>
      <c r="U330" s="483"/>
      <c r="V330" s="412" t="str">
        <f>IF($M330&lt;&gt;"",IF(VLOOKUP($M330,'Plan d''actions détaillé'!$D$6:$P$30,12,FALSE)="","",VLOOKUP($M330,'Plan d''actions détaillé'!$D$6:$P$30,12,FALSE)),"")</f>
        <v/>
      </c>
      <c r="W330" s="377"/>
    </row>
    <row r="331" spans="7:23" ht="6" customHeight="1" x14ac:dyDescent="0.2">
      <c r="G331" s="376"/>
      <c r="H331" s="372"/>
      <c r="I331" s="372"/>
      <c r="J331" s="414" t="str">
        <f t="array" ref="J331">IF($K$307="","",IF(INDEX('Plan d''actions détaillé'!A:A,MIN(IF((COUNTIF(J$322:J330,'Plan d''actions détaillé'!$A$6:$A$30)=0)*(INDEX('Plan d''actions détaillé'!$U$6:$AL$30,,MATCH($K$307,'Plan d''actions détaillé'!$U$5:$AL$5,0))="X"),ROW('Plan d''actions détaillé'!$T$6:$T$30))))=0,"",INDEX('Plan d''actions détaillé'!A:A,MIN(IF((COUNTIF(J$322:J330,'Plan d''actions détaillé'!$A$6:$A$30)=0)*(INDEX('Plan d''actions détaillé'!$U$6:$AL$30,,MATCH($K$307,'Plan d''actions détaillé'!$U$5:$AL$5,0))="X"),ROW('Plan d''actions détaillé'!$T$6:$T$30))))))</f>
        <v/>
      </c>
      <c r="K331" s="414"/>
      <c r="L331" s="415"/>
      <c r="M331" s="413" t="str">
        <f t="array" ref="M331">IF($K$307="","",IF(INDEX('Plan d''actions détaillé'!D:D,MIN(IF((COUNTIF(M$322:M330,'Plan d''actions détaillé'!$D$6:$D$30)=0)*(INDEX('Plan d''actions détaillé'!$U$6:$AL$30,,MATCH($K$307,'Plan d''actions détaillé'!$U$5:$AL$5,0))="X"),ROW('Plan d''actions détaillé'!$T$6:$T$30))))=0,"",INDEX('Plan d''actions détaillé'!D:D,MIN(IF((COUNTIF(M$322:M330,'Plan d''actions détaillé'!$D$6:$D$30)=0)*(INDEX('Plan d''actions détaillé'!$U$6:$AL$30,,MATCH($K$307,'Plan d''actions détaillé'!$U$5:$AL$5,0))="X"),ROW('Plan d''actions détaillé'!$T$6:$T$30))))))</f>
        <v/>
      </c>
      <c r="N331" s="411" t="str">
        <f>IF($M331&lt;&gt;"",IF(VLOOKUP($M331,'Plan d''actions détaillé'!$D$6:$P$30,8,FALSE)="","",VLOOKUP($M331,'Plan d''actions détaillé'!$D$6:$P$30,8,FALSE)),"")</f>
        <v/>
      </c>
      <c r="O331" s="483" t="str">
        <f>IF($M331&lt;&gt;"",IF(VLOOKUP($M331,'Plan d''actions détaillé'!$D$6:$P$30,6,FALSE)="","",VLOOKUP($M331,'Plan d''actions détaillé'!$D$6:$P$30,6,FALSE)),"")</f>
        <v/>
      </c>
      <c r="P331" s="483"/>
      <c r="Q331" s="483"/>
      <c r="R331" s="483"/>
      <c r="S331" s="483"/>
      <c r="T331" s="483"/>
      <c r="U331" s="483"/>
      <c r="V331" s="412" t="str">
        <f>IF($M331&lt;&gt;"",IF(VLOOKUP($M331,'Plan d''actions détaillé'!$D$6:$P$30,12,FALSE)="","",VLOOKUP($M331,'Plan d''actions détaillé'!$D$6:$P$30,12,FALSE)),"")</f>
        <v/>
      </c>
      <c r="W331" s="377"/>
    </row>
    <row r="332" spans="7:23" ht="6" customHeight="1" x14ac:dyDescent="0.2">
      <c r="G332" s="376"/>
      <c r="H332" s="372"/>
      <c r="I332" s="372"/>
      <c r="J332" s="414" t="str">
        <f t="array" ref="J332">IF($K$307="","",IF(INDEX('Plan d''actions détaillé'!A:A,MIN(IF((COUNTIF(J$322:J331,'Plan d''actions détaillé'!$A$6:$A$30)=0)*(INDEX('Plan d''actions détaillé'!$U$6:$AL$30,,MATCH($K$307,'Plan d''actions détaillé'!$U$5:$AL$5,0))="X"),ROW('Plan d''actions détaillé'!$T$6:$T$30))))=0,"",INDEX('Plan d''actions détaillé'!A:A,MIN(IF((COUNTIF(J$322:J331,'Plan d''actions détaillé'!$A$6:$A$30)=0)*(INDEX('Plan d''actions détaillé'!$U$6:$AL$30,,MATCH($K$307,'Plan d''actions détaillé'!$U$5:$AL$5,0))="X"),ROW('Plan d''actions détaillé'!$T$6:$T$30))))))</f>
        <v/>
      </c>
      <c r="K332" s="414"/>
      <c r="L332" s="415"/>
      <c r="M332" s="413" t="str">
        <f t="array" ref="M332">IF($K$307="","",IF(INDEX('Plan d''actions détaillé'!D:D,MIN(IF((COUNTIF(M$322:M331,'Plan d''actions détaillé'!$D$6:$D$30)=0)*(INDEX('Plan d''actions détaillé'!$U$6:$AL$30,,MATCH($K$307,'Plan d''actions détaillé'!$U$5:$AL$5,0))="X"),ROW('Plan d''actions détaillé'!$T$6:$T$30))))=0,"",INDEX('Plan d''actions détaillé'!D:D,MIN(IF((COUNTIF(M$322:M331,'Plan d''actions détaillé'!$D$6:$D$30)=0)*(INDEX('Plan d''actions détaillé'!$U$6:$AL$30,,MATCH($K$307,'Plan d''actions détaillé'!$U$5:$AL$5,0))="X"),ROW('Plan d''actions détaillé'!$T$6:$T$30))))))</f>
        <v/>
      </c>
      <c r="N332" s="411" t="str">
        <f>IF($M332&lt;&gt;"",IF(VLOOKUP($M332,'Plan d''actions détaillé'!$D$6:$P$30,8,FALSE)="","",VLOOKUP($M332,'Plan d''actions détaillé'!$D$6:$P$30,8,FALSE)),"")</f>
        <v/>
      </c>
      <c r="O332" s="483" t="str">
        <f>IF($M332&lt;&gt;"",IF(VLOOKUP($M332,'Plan d''actions détaillé'!$D$6:$P$30,6,FALSE)="","",VLOOKUP($M332,'Plan d''actions détaillé'!$D$6:$P$30,6,FALSE)),"")</f>
        <v/>
      </c>
      <c r="P332" s="483"/>
      <c r="Q332" s="483"/>
      <c r="R332" s="483"/>
      <c r="S332" s="483"/>
      <c r="T332" s="483"/>
      <c r="U332" s="483"/>
      <c r="V332" s="412" t="str">
        <f>IF($M332&lt;&gt;"",IF(VLOOKUP($M332,'Plan d''actions détaillé'!$D$6:$P$30,12,FALSE)="","",VLOOKUP($M332,'Plan d''actions détaillé'!$D$6:$P$30,12,FALSE)),"")</f>
        <v/>
      </c>
      <c r="W332" s="377"/>
    </row>
    <row r="333" spans="7:23" ht="6" customHeight="1" x14ac:dyDescent="0.2">
      <c r="G333" s="376"/>
      <c r="H333" s="372"/>
      <c r="I333" s="372"/>
      <c r="J333" s="414" t="str">
        <f t="array" ref="J333">IF($K$307="","",IF(INDEX('Plan d''actions détaillé'!A:A,MIN(IF((COUNTIF(J$322:J332,'Plan d''actions détaillé'!$A$6:$A$30)=0)*(INDEX('Plan d''actions détaillé'!$U$6:$AL$30,,MATCH($K$307,'Plan d''actions détaillé'!$U$5:$AL$5,0))="X"),ROW('Plan d''actions détaillé'!$T$6:$T$30))))=0,"",INDEX('Plan d''actions détaillé'!A:A,MIN(IF((COUNTIF(J$322:J332,'Plan d''actions détaillé'!$A$6:$A$30)=0)*(INDEX('Plan d''actions détaillé'!$U$6:$AL$30,,MATCH($K$307,'Plan d''actions détaillé'!$U$5:$AL$5,0))="X"),ROW('Plan d''actions détaillé'!$T$6:$T$30))))))</f>
        <v/>
      </c>
      <c r="K333" s="414"/>
      <c r="L333" s="415"/>
      <c r="M333" s="413" t="str">
        <f t="array" ref="M333">IF($K$307="","",IF(INDEX('Plan d''actions détaillé'!D:D,MIN(IF((COUNTIF(M$322:M332,'Plan d''actions détaillé'!$D$6:$D$30)=0)*(INDEX('Plan d''actions détaillé'!$U$6:$AL$30,,MATCH($K$307,'Plan d''actions détaillé'!$U$5:$AL$5,0))="X"),ROW('Plan d''actions détaillé'!$T$6:$T$30))))=0,"",INDEX('Plan d''actions détaillé'!D:D,MIN(IF((COUNTIF(M$322:M332,'Plan d''actions détaillé'!$D$6:$D$30)=0)*(INDEX('Plan d''actions détaillé'!$U$6:$AL$30,,MATCH($K$307,'Plan d''actions détaillé'!$U$5:$AL$5,0))="X"),ROW('Plan d''actions détaillé'!$T$6:$T$30))))))</f>
        <v/>
      </c>
      <c r="N333" s="411" t="str">
        <f>IF($M333&lt;&gt;"",IF(VLOOKUP($M333,'Plan d''actions détaillé'!$D$6:$P$30,8,FALSE)="","",VLOOKUP($M333,'Plan d''actions détaillé'!$D$6:$P$30,8,FALSE)),"")</f>
        <v/>
      </c>
      <c r="O333" s="483" t="str">
        <f>IF($M333&lt;&gt;"",IF(VLOOKUP($M333,'Plan d''actions détaillé'!$D$6:$P$30,6,FALSE)="","",VLOOKUP($M333,'Plan d''actions détaillé'!$D$6:$P$30,6,FALSE)),"")</f>
        <v/>
      </c>
      <c r="P333" s="483"/>
      <c r="Q333" s="483"/>
      <c r="R333" s="483"/>
      <c r="S333" s="483"/>
      <c r="T333" s="483"/>
      <c r="U333" s="483"/>
      <c r="V333" s="412" t="str">
        <f>IF($M333&lt;&gt;"",IF(VLOOKUP($M333,'Plan d''actions détaillé'!$D$6:$P$30,12,FALSE)="","",VLOOKUP($M333,'Plan d''actions détaillé'!$D$6:$P$30,12,FALSE)),"")</f>
        <v/>
      </c>
      <c r="W333" s="377"/>
    </row>
    <row r="334" spans="7:23" ht="6" customHeight="1" x14ac:dyDescent="0.2">
      <c r="G334" s="376"/>
      <c r="H334" s="372"/>
      <c r="I334" s="372"/>
      <c r="J334" s="414" t="str">
        <f t="array" ref="J334">IF($K$307="","",IF(INDEX('Plan d''actions détaillé'!A:A,MIN(IF((COUNTIF(J$322:J333,'Plan d''actions détaillé'!$A$6:$A$30)=0)*(INDEX('Plan d''actions détaillé'!$U$6:$AL$30,,MATCH($K$307,'Plan d''actions détaillé'!$U$5:$AL$5,0))="X"),ROW('Plan d''actions détaillé'!$T$6:$T$30))))=0,"",INDEX('Plan d''actions détaillé'!A:A,MIN(IF((COUNTIF(J$322:J333,'Plan d''actions détaillé'!$A$6:$A$30)=0)*(INDEX('Plan d''actions détaillé'!$U$6:$AL$30,,MATCH($K$307,'Plan d''actions détaillé'!$U$5:$AL$5,0))="X"),ROW('Plan d''actions détaillé'!$T$6:$T$30))))))</f>
        <v/>
      </c>
      <c r="K334" s="414"/>
      <c r="L334" s="415"/>
      <c r="M334" s="413" t="str">
        <f t="array" ref="M334">IF($K$307="","",IF(INDEX('Plan d''actions détaillé'!D:D,MIN(IF((COUNTIF(M$322:M333,'Plan d''actions détaillé'!$D$6:$D$30)=0)*(INDEX('Plan d''actions détaillé'!$U$6:$AL$30,,MATCH($K$307,'Plan d''actions détaillé'!$U$5:$AL$5,0))="X"),ROW('Plan d''actions détaillé'!$T$6:$T$30))))=0,"",INDEX('Plan d''actions détaillé'!D:D,MIN(IF((COUNTIF(M$322:M333,'Plan d''actions détaillé'!$D$6:$D$30)=0)*(INDEX('Plan d''actions détaillé'!$U$6:$AL$30,,MATCH($K$307,'Plan d''actions détaillé'!$U$5:$AL$5,0))="X"),ROW('Plan d''actions détaillé'!$T$6:$T$30))))))</f>
        <v/>
      </c>
      <c r="N334" s="411" t="str">
        <f>IF($M334&lt;&gt;"",IF(VLOOKUP($M334,'Plan d''actions détaillé'!$D$6:$P$30,8,FALSE)="","",VLOOKUP($M334,'Plan d''actions détaillé'!$D$6:$P$30,8,FALSE)),"")</f>
        <v/>
      </c>
      <c r="O334" s="483" t="str">
        <f>IF($M334&lt;&gt;"",IF(VLOOKUP($M334,'Plan d''actions détaillé'!$D$6:$P$30,6,FALSE)="","",VLOOKUP($M334,'Plan d''actions détaillé'!$D$6:$P$30,6,FALSE)),"")</f>
        <v/>
      </c>
      <c r="P334" s="483"/>
      <c r="Q334" s="483"/>
      <c r="R334" s="483"/>
      <c r="S334" s="483"/>
      <c r="T334" s="483"/>
      <c r="U334" s="483"/>
      <c r="V334" s="412" t="str">
        <f>IF($M334&lt;&gt;"",IF(VLOOKUP($M334,'Plan d''actions détaillé'!$D$6:$P$30,12,FALSE)="","",VLOOKUP($M334,'Plan d''actions détaillé'!$D$6:$P$30,12,FALSE)),"")</f>
        <v/>
      </c>
      <c r="W334" s="377"/>
    </row>
    <row r="335" spans="7:23" ht="6" customHeight="1" x14ac:dyDescent="0.2">
      <c r="G335" s="376"/>
      <c r="H335" s="372"/>
      <c r="I335" s="372"/>
      <c r="J335" s="414" t="str">
        <f t="array" ref="J335">IF($K$307="","",IF(INDEX('Plan d''actions détaillé'!A:A,MIN(IF((COUNTIF(J$322:J334,'Plan d''actions détaillé'!$A$6:$A$30)=0)*(INDEX('Plan d''actions détaillé'!$U$6:$AL$30,,MATCH($K$307,'Plan d''actions détaillé'!$U$5:$AL$5,0))="X"),ROW('Plan d''actions détaillé'!$T$6:$T$30))))=0,"",INDEX('Plan d''actions détaillé'!A:A,MIN(IF((COUNTIF(J$322:J334,'Plan d''actions détaillé'!$A$6:$A$30)=0)*(INDEX('Plan d''actions détaillé'!$U$6:$AL$30,,MATCH($K$307,'Plan d''actions détaillé'!$U$5:$AL$5,0))="X"),ROW('Plan d''actions détaillé'!$T$6:$T$30))))))</f>
        <v/>
      </c>
      <c r="K335" s="414"/>
      <c r="L335" s="415"/>
      <c r="M335" s="413" t="str">
        <f t="array" ref="M335">IF($K$307="","",IF(INDEX('Plan d''actions détaillé'!D:D,MIN(IF((COUNTIF(M$322:M334,'Plan d''actions détaillé'!$D$6:$D$30)=0)*(INDEX('Plan d''actions détaillé'!$U$6:$AL$30,,MATCH($K$307,'Plan d''actions détaillé'!$U$5:$AL$5,0))="X"),ROW('Plan d''actions détaillé'!$T$6:$T$30))))=0,"",INDEX('Plan d''actions détaillé'!D:D,MIN(IF((COUNTIF(M$322:M334,'Plan d''actions détaillé'!$D$6:$D$30)=0)*(INDEX('Plan d''actions détaillé'!$U$6:$AL$30,,MATCH($K$307,'Plan d''actions détaillé'!$U$5:$AL$5,0))="X"),ROW('Plan d''actions détaillé'!$T$6:$T$30))))))</f>
        <v/>
      </c>
      <c r="N335" s="411" t="str">
        <f>IF($M335&lt;&gt;"",IF(VLOOKUP($M335,'Plan d''actions détaillé'!$D$6:$P$30,8,FALSE)="","",VLOOKUP($M335,'Plan d''actions détaillé'!$D$6:$P$30,8,FALSE)),"")</f>
        <v/>
      </c>
      <c r="O335" s="483" t="str">
        <f>IF($M335&lt;&gt;"",IF(VLOOKUP($M335,'Plan d''actions détaillé'!$D$6:$P$30,6,FALSE)="","",VLOOKUP($M335,'Plan d''actions détaillé'!$D$6:$P$30,6,FALSE)),"")</f>
        <v/>
      </c>
      <c r="P335" s="483"/>
      <c r="Q335" s="483"/>
      <c r="R335" s="483"/>
      <c r="S335" s="483"/>
      <c r="T335" s="483"/>
      <c r="U335" s="483"/>
      <c r="V335" s="412" t="str">
        <f>IF($M335&lt;&gt;"",IF(VLOOKUP($M335,'Plan d''actions détaillé'!$D$6:$P$30,12,FALSE)="","",VLOOKUP($M335,'Plan d''actions détaillé'!$D$6:$P$30,12,FALSE)),"")</f>
        <v/>
      </c>
      <c r="W335" s="377"/>
    </row>
    <row r="336" spans="7:23" ht="6" customHeight="1" x14ac:dyDescent="0.2">
      <c r="G336" s="376"/>
      <c r="H336" s="372"/>
      <c r="I336" s="372"/>
      <c r="J336" s="414" t="str">
        <f t="array" ref="J336">IF($K$307="","",IF(INDEX('Plan d''actions détaillé'!A:A,MIN(IF((COUNTIF(J$322:J335,'Plan d''actions détaillé'!$A$6:$A$30)=0)*(INDEX('Plan d''actions détaillé'!$U$6:$AL$30,,MATCH($K$307,'Plan d''actions détaillé'!$U$5:$AL$5,0))="X"),ROW('Plan d''actions détaillé'!$T$6:$T$30))))=0,"",INDEX('Plan d''actions détaillé'!A:A,MIN(IF((COUNTIF(J$322:J335,'Plan d''actions détaillé'!$A$6:$A$30)=0)*(INDEX('Plan d''actions détaillé'!$U$6:$AL$30,,MATCH($K$307,'Plan d''actions détaillé'!$U$5:$AL$5,0))="X"),ROW('Plan d''actions détaillé'!$T$6:$T$30))))))</f>
        <v/>
      </c>
      <c r="K336" s="414"/>
      <c r="L336" s="415"/>
      <c r="M336" s="413" t="str">
        <f t="array" ref="M336">IF($K$307="","",IF(INDEX('Plan d''actions détaillé'!D:D,MIN(IF((COUNTIF(M$322:M335,'Plan d''actions détaillé'!$D$6:$D$30)=0)*(INDEX('Plan d''actions détaillé'!$U$6:$AL$30,,MATCH($K$307,'Plan d''actions détaillé'!$U$5:$AL$5,0))="X"),ROW('Plan d''actions détaillé'!$T$6:$T$30))))=0,"",INDEX('Plan d''actions détaillé'!D:D,MIN(IF((COUNTIF(M$322:M335,'Plan d''actions détaillé'!$D$6:$D$30)=0)*(INDEX('Plan d''actions détaillé'!$U$6:$AL$30,,MATCH($K$307,'Plan d''actions détaillé'!$U$5:$AL$5,0))="X"),ROW('Plan d''actions détaillé'!$T$6:$T$30))))))</f>
        <v/>
      </c>
      <c r="N336" s="411" t="str">
        <f>IF($M336&lt;&gt;"",IF(VLOOKUP($M336,'Plan d''actions détaillé'!$D$6:$P$30,8,FALSE)="","",VLOOKUP($M336,'Plan d''actions détaillé'!$D$6:$P$30,8,FALSE)),"")</f>
        <v/>
      </c>
      <c r="O336" s="483" t="str">
        <f>IF($M336&lt;&gt;"",IF(VLOOKUP($M336,'Plan d''actions détaillé'!$D$6:$P$30,6,FALSE)="","",VLOOKUP($M336,'Plan d''actions détaillé'!$D$6:$P$30,6,FALSE)),"")</f>
        <v/>
      </c>
      <c r="P336" s="483"/>
      <c r="Q336" s="483"/>
      <c r="R336" s="483"/>
      <c r="S336" s="483"/>
      <c r="T336" s="483"/>
      <c r="U336" s="483"/>
      <c r="V336" s="412" t="str">
        <f>IF($M336&lt;&gt;"",IF(VLOOKUP($M336,'Plan d''actions détaillé'!$D$6:$P$30,12,FALSE)="","",VLOOKUP($M336,'Plan d''actions détaillé'!$D$6:$P$30,12,FALSE)),"")</f>
        <v/>
      </c>
      <c r="W336" s="377"/>
    </row>
    <row r="337" spans="7:23" ht="6" customHeight="1" x14ac:dyDescent="0.2">
      <c r="G337" s="376"/>
      <c r="H337" s="372"/>
      <c r="I337" s="372"/>
      <c r="J337" s="414" t="str">
        <f t="array" ref="J337">IF($K$307="","",IF(INDEX('Plan d''actions détaillé'!A:A,MIN(IF((COUNTIF(J$322:J336,'Plan d''actions détaillé'!$A$6:$A$30)=0)*(INDEX('Plan d''actions détaillé'!$U$6:$AL$30,,MATCH($K$307,'Plan d''actions détaillé'!$U$5:$AL$5,0))="X"),ROW('Plan d''actions détaillé'!$T$6:$T$30))))=0,"",INDEX('Plan d''actions détaillé'!A:A,MIN(IF((COUNTIF(J$322:J336,'Plan d''actions détaillé'!$A$6:$A$30)=0)*(INDEX('Plan d''actions détaillé'!$U$6:$AL$30,,MATCH($K$307,'Plan d''actions détaillé'!$U$5:$AL$5,0))="X"),ROW('Plan d''actions détaillé'!$T$6:$T$30))))))</f>
        <v/>
      </c>
      <c r="K337" s="414"/>
      <c r="L337" s="415"/>
      <c r="M337" s="413" t="str">
        <f t="array" ref="M337">IF($K$307="","",IF(INDEX('Plan d''actions détaillé'!D:D,MIN(IF((COUNTIF(M$322:M336,'Plan d''actions détaillé'!$D$6:$D$30)=0)*(INDEX('Plan d''actions détaillé'!$U$6:$AL$30,,MATCH($K$307,'Plan d''actions détaillé'!$U$5:$AL$5,0))="X"),ROW('Plan d''actions détaillé'!$T$6:$T$30))))=0,"",INDEX('Plan d''actions détaillé'!D:D,MIN(IF((COUNTIF(M$322:M336,'Plan d''actions détaillé'!$D$6:$D$30)=0)*(INDEX('Plan d''actions détaillé'!$U$6:$AL$30,,MATCH($K$307,'Plan d''actions détaillé'!$U$5:$AL$5,0))="X"),ROW('Plan d''actions détaillé'!$T$6:$T$30))))))</f>
        <v/>
      </c>
      <c r="N337" s="411" t="str">
        <f>IF($M337&lt;&gt;"",IF(VLOOKUP($M337,'Plan d''actions détaillé'!$D$6:$P$30,8,FALSE)="","",VLOOKUP($M337,'Plan d''actions détaillé'!$D$6:$P$30,8,FALSE)),"")</f>
        <v/>
      </c>
      <c r="O337" s="483" t="str">
        <f>IF($M337&lt;&gt;"",IF(VLOOKUP($M337,'Plan d''actions détaillé'!$D$6:$P$30,6,FALSE)="","",VLOOKUP($M337,'Plan d''actions détaillé'!$D$6:$P$30,6,FALSE)),"")</f>
        <v/>
      </c>
      <c r="P337" s="483"/>
      <c r="Q337" s="483"/>
      <c r="R337" s="483"/>
      <c r="S337" s="483"/>
      <c r="T337" s="483"/>
      <c r="U337" s="483"/>
      <c r="V337" s="412" t="str">
        <f>IF($M337&lt;&gt;"",IF(VLOOKUP($M337,'Plan d''actions détaillé'!$D$6:$P$30,12,FALSE)="","",VLOOKUP($M337,'Plan d''actions détaillé'!$D$6:$P$30,12,FALSE)),"")</f>
        <v/>
      </c>
      <c r="W337" s="377"/>
    </row>
    <row r="338" spans="7:23" ht="6" customHeight="1" x14ac:dyDescent="0.2">
      <c r="G338" s="376"/>
      <c r="H338" s="372"/>
      <c r="I338" s="372"/>
      <c r="J338" s="414" t="str">
        <f t="array" ref="J338">IF($K$307="","",IF(INDEX('Plan d''actions détaillé'!A:A,MIN(IF((COUNTIF(J$322:J337,'Plan d''actions détaillé'!$A$6:$A$30)=0)*(INDEX('Plan d''actions détaillé'!$U$6:$AL$30,,MATCH($K$307,'Plan d''actions détaillé'!$U$5:$AL$5,0))="X"),ROW('Plan d''actions détaillé'!$T$6:$T$30))))=0,"",INDEX('Plan d''actions détaillé'!A:A,MIN(IF((COUNTIF(J$322:J337,'Plan d''actions détaillé'!$A$6:$A$30)=0)*(INDEX('Plan d''actions détaillé'!$U$6:$AL$30,,MATCH($K$307,'Plan d''actions détaillé'!$U$5:$AL$5,0))="X"),ROW('Plan d''actions détaillé'!$T$6:$T$30))))))</f>
        <v/>
      </c>
      <c r="K338" s="414"/>
      <c r="L338" s="415"/>
      <c r="M338" s="413" t="str">
        <f t="array" ref="M338">IF($K$307="","",IF(INDEX('Plan d''actions détaillé'!D:D,MIN(IF((COUNTIF(M$322:M337,'Plan d''actions détaillé'!$D$6:$D$30)=0)*(INDEX('Plan d''actions détaillé'!$U$6:$AL$30,,MATCH($K$307,'Plan d''actions détaillé'!$U$5:$AL$5,0))="X"),ROW('Plan d''actions détaillé'!$T$6:$T$30))))=0,"",INDEX('Plan d''actions détaillé'!D:D,MIN(IF((COUNTIF(M$322:M337,'Plan d''actions détaillé'!$D$6:$D$30)=0)*(INDEX('Plan d''actions détaillé'!$U$6:$AL$30,,MATCH($K$307,'Plan d''actions détaillé'!$U$5:$AL$5,0))="X"),ROW('Plan d''actions détaillé'!$T$6:$T$30))))))</f>
        <v/>
      </c>
      <c r="N338" s="411" t="str">
        <f>IF($M338&lt;&gt;"",IF(VLOOKUP($M338,'Plan d''actions détaillé'!$D$6:$P$30,8,FALSE)="","",VLOOKUP($M338,'Plan d''actions détaillé'!$D$6:$P$30,8,FALSE)),"")</f>
        <v/>
      </c>
      <c r="O338" s="483" t="str">
        <f>IF($M338&lt;&gt;"",IF(VLOOKUP($M338,'Plan d''actions détaillé'!$D$6:$P$30,6,FALSE)="","",VLOOKUP($M338,'Plan d''actions détaillé'!$D$6:$P$30,6,FALSE)),"")</f>
        <v/>
      </c>
      <c r="P338" s="483"/>
      <c r="Q338" s="483"/>
      <c r="R338" s="483"/>
      <c r="S338" s="483"/>
      <c r="T338" s="483"/>
      <c r="U338" s="483"/>
      <c r="V338" s="412" t="str">
        <f>IF($M338&lt;&gt;"",IF(VLOOKUP($M338,'Plan d''actions détaillé'!$D$6:$P$30,12,FALSE)="","",VLOOKUP($M338,'Plan d''actions détaillé'!$D$6:$P$30,12,FALSE)),"")</f>
        <v/>
      </c>
      <c r="W338" s="377"/>
    </row>
    <row r="339" spans="7:23" ht="13.5" thickBot="1" x14ac:dyDescent="0.25">
      <c r="G339" s="378"/>
      <c r="H339" s="379"/>
      <c r="I339" s="379"/>
      <c r="J339" s="379"/>
      <c r="K339" s="379"/>
      <c r="L339" s="379"/>
      <c r="M339" s="379"/>
      <c r="N339" s="380"/>
      <c r="O339" s="379"/>
      <c r="P339" s="379"/>
      <c r="Q339" s="379"/>
      <c r="R339" s="379"/>
      <c r="S339" s="379"/>
      <c r="T339" s="379"/>
      <c r="U339" s="379"/>
      <c r="V339" s="379"/>
      <c r="W339" s="381"/>
    </row>
    <row r="340" spans="7:23" ht="13.5" thickBot="1" x14ac:dyDescent="0.25"/>
    <row r="341" spans="7:23" x14ac:dyDescent="0.2">
      <c r="G341" s="373"/>
      <c r="H341" s="374"/>
      <c r="I341" s="374"/>
      <c r="J341" s="374"/>
      <c r="K341" s="374"/>
      <c r="L341" s="374"/>
      <c r="M341" s="374"/>
      <c r="N341" s="374"/>
      <c r="O341" s="374"/>
      <c r="P341" s="374"/>
      <c r="Q341" s="374"/>
      <c r="R341" s="374"/>
      <c r="S341" s="374"/>
      <c r="T341" s="374"/>
      <c r="U341" s="374"/>
      <c r="V341" s="374"/>
      <c r="W341" s="375"/>
    </row>
    <row r="342" spans="7:23" ht="12.75" customHeight="1" x14ac:dyDescent="0.2">
      <c r="G342" s="494" t="str">
        <f>C13</f>
        <v/>
      </c>
      <c r="H342" s="495"/>
      <c r="I342" s="495"/>
      <c r="J342" s="495"/>
      <c r="K342" s="496" t="str">
        <f>D13</f>
        <v/>
      </c>
      <c r="L342" s="496"/>
      <c r="M342" s="496"/>
      <c r="N342" s="496"/>
      <c r="O342" s="496"/>
      <c r="P342" s="496"/>
      <c r="Q342" s="496"/>
      <c r="R342" s="496"/>
      <c r="S342" s="496"/>
      <c r="T342" s="496"/>
      <c r="U342" s="496"/>
      <c r="V342" s="496"/>
      <c r="W342" s="397"/>
    </row>
    <row r="343" spans="7:23" ht="12.75" customHeight="1" x14ac:dyDescent="0.2">
      <c r="G343" s="494"/>
      <c r="H343" s="495"/>
      <c r="I343" s="495"/>
      <c r="J343" s="495"/>
      <c r="K343" s="496"/>
      <c r="L343" s="496"/>
      <c r="M343" s="496"/>
      <c r="N343" s="496"/>
      <c r="O343" s="496"/>
      <c r="P343" s="496"/>
      <c r="Q343" s="496"/>
      <c r="R343" s="496"/>
      <c r="S343" s="496"/>
      <c r="T343" s="496"/>
      <c r="U343" s="496"/>
      <c r="V343" s="496"/>
      <c r="W343" s="397"/>
    </row>
    <row r="344" spans="7:23" x14ac:dyDescent="0.2">
      <c r="G344" s="376"/>
      <c r="H344" s="372"/>
      <c r="I344" s="372"/>
      <c r="J344" s="372"/>
      <c r="K344" s="372"/>
      <c r="L344" s="372"/>
      <c r="M344" s="372"/>
      <c r="N344" s="372"/>
      <c r="O344" s="372"/>
      <c r="P344" s="372"/>
      <c r="Q344" s="372"/>
      <c r="R344" s="372"/>
      <c r="S344" s="372"/>
      <c r="T344" s="372"/>
      <c r="U344" s="372"/>
      <c r="V344" s="372"/>
      <c r="W344" s="377"/>
    </row>
    <row r="345" spans="7:23" ht="23.25" customHeight="1" x14ac:dyDescent="0.2">
      <c r="G345" s="497" t="s">
        <v>1</v>
      </c>
      <c r="H345" s="386" t="str">
        <f>IF(AND(O350=5,O351=1),"X","")</f>
        <v/>
      </c>
      <c r="I345" s="387" t="str">
        <f>IF(AND(O350=5,O351=2),"X","")</f>
        <v/>
      </c>
      <c r="J345" s="388" t="str">
        <f>IF(AND(O350=5,O351=3),"X","")</f>
        <v/>
      </c>
      <c r="K345" s="388" t="str">
        <f>IF(AND(O350=5,O351=4),"X","")</f>
        <v/>
      </c>
      <c r="L345" s="388" t="str">
        <f>IF(AND(O350=5,O351=5),"X","")</f>
        <v/>
      </c>
      <c r="N345" s="498" t="str">
        <f>"Processus de rattachement "</f>
        <v xml:space="preserve">Processus de rattachement </v>
      </c>
      <c r="O345" s="499"/>
      <c r="P345" s="499"/>
      <c r="Q345" s="499"/>
      <c r="R345" s="499"/>
      <c r="S345" s="499"/>
      <c r="T345" s="499"/>
      <c r="U345" s="499"/>
      <c r="V345" s="500"/>
      <c r="W345" s="377"/>
    </row>
    <row r="346" spans="7:23" ht="23.25" x14ac:dyDescent="0.2">
      <c r="G346" s="497"/>
      <c r="H346" s="389" t="str">
        <f>IF(AND(O350=4,O351=1),"X","")</f>
        <v/>
      </c>
      <c r="I346" s="390" t="str">
        <f>IF(AND(O350=4,O351=2),"X","")</f>
        <v/>
      </c>
      <c r="J346" s="387" t="str">
        <f>IF(AND(O350=4,O351=3),"X","")</f>
        <v/>
      </c>
      <c r="K346" s="388" t="str">
        <f>IF(AND(O350=4,O351=4),"X","")</f>
        <v/>
      </c>
      <c r="L346" s="388" t="str">
        <f>IF(AND(O350=4,O351=5),"X","")</f>
        <v/>
      </c>
      <c r="N346" s="501" t="str">
        <f>Matrice!$G$1&amp;" - "&amp;Matrice!$J$1</f>
        <v>DI2 - YYY</v>
      </c>
      <c r="O346" s="502"/>
      <c r="P346" s="502"/>
      <c r="Q346" s="502"/>
      <c r="R346" s="502"/>
      <c r="S346" s="502"/>
      <c r="T346" s="502"/>
      <c r="U346" s="502"/>
      <c r="V346" s="503"/>
      <c r="W346" s="377"/>
    </row>
    <row r="347" spans="7:23" ht="23.25" x14ac:dyDescent="0.2">
      <c r="G347" s="497"/>
      <c r="H347" s="389" t="str">
        <f>IF(AND(O350=3,O351=1),"X","")</f>
        <v/>
      </c>
      <c r="I347" s="390" t="str">
        <f>IF(AND(O350=3,O351=2),"X","")</f>
        <v/>
      </c>
      <c r="J347" s="390" t="str">
        <f>IF(AND(O350=3,O351=3),"X","")</f>
        <v/>
      </c>
      <c r="K347" s="387" t="str">
        <f>IF(AND(O350=3,O351=4),"X","")</f>
        <v/>
      </c>
      <c r="L347" s="388" t="str">
        <f>IF(AND(O350=3,O351=5),"X","")</f>
        <v/>
      </c>
      <c r="N347" s="372"/>
      <c r="O347" s="372"/>
      <c r="W347" s="377"/>
    </row>
    <row r="348" spans="7:23" ht="23.25" x14ac:dyDescent="0.2">
      <c r="G348" s="497"/>
      <c r="H348" s="391" t="str">
        <f>IF(AND(O350=2,O351=1),"X","")</f>
        <v/>
      </c>
      <c r="I348" s="392" t="str">
        <f>IF(AND(O350=2,O351=2),"X","")</f>
        <v/>
      </c>
      <c r="J348" s="390" t="str">
        <f>IF(AND(O350=2,O351=3),"X","")</f>
        <v/>
      </c>
      <c r="K348" s="390" t="str">
        <f>IF(AND(O350=2,O351=4),"X","")</f>
        <v/>
      </c>
      <c r="L348" s="387" t="str">
        <f>IF(AND(O350=2,O351=5),"X","")</f>
        <v/>
      </c>
      <c r="M348" s="372"/>
      <c r="N348" s="383" t="s">
        <v>236</v>
      </c>
      <c r="O348" s="382"/>
      <c r="P348" s="382"/>
      <c r="Q348" s="382"/>
      <c r="S348" s="385" t="s">
        <v>250</v>
      </c>
      <c r="T348" s="384"/>
      <c r="U348" s="384"/>
      <c r="V348" s="384"/>
      <c r="W348" s="377"/>
    </row>
    <row r="349" spans="7:23" ht="24" thickBot="1" x14ac:dyDescent="0.25">
      <c r="G349" s="376"/>
      <c r="H349" s="393" t="str">
        <f>IF(AND(O350=1,O351=1),"X","")</f>
        <v/>
      </c>
      <c r="I349" s="394" t="str">
        <f>IF(AND(O350=1,O351=2),"X","")</f>
        <v/>
      </c>
      <c r="J349" s="395" t="str">
        <f>IF(AND(O350=1,O351=3),"X","")</f>
        <v/>
      </c>
      <c r="K349" s="395" t="str">
        <f>IF(AND(O350=1,O351=4),"X","")</f>
        <v/>
      </c>
      <c r="L349" s="396" t="str">
        <f>IF(AND(O350=1,O351=5),"X","")</f>
        <v/>
      </c>
      <c r="M349" s="372"/>
      <c r="N349" s="406"/>
      <c r="O349" s="408" t="s">
        <v>237</v>
      </c>
      <c r="P349" s="408" t="s">
        <v>238</v>
      </c>
      <c r="Q349" s="406"/>
      <c r="R349" s="307"/>
      <c r="S349" s="420"/>
      <c r="T349" s="409" t="s">
        <v>237</v>
      </c>
      <c r="U349" s="409" t="s">
        <v>238</v>
      </c>
      <c r="V349" s="384"/>
      <c r="W349" s="377"/>
    </row>
    <row r="350" spans="7:23" ht="19.5" thickTop="1" thickBot="1" x14ac:dyDescent="0.25">
      <c r="G350" s="376"/>
      <c r="H350" s="484" t="s">
        <v>16</v>
      </c>
      <c r="I350" s="484"/>
      <c r="J350" s="484"/>
      <c r="K350" s="484"/>
      <c r="L350" s="484"/>
      <c r="M350" s="372"/>
      <c r="N350" s="407" t="s">
        <v>248</v>
      </c>
      <c r="O350" s="417" t="str">
        <f>VLOOKUP($K342,Risques!$D$21:$AB$40,17,FALSE)</f>
        <v/>
      </c>
      <c r="P350" s="418" t="str">
        <f>VLOOKUP(K342,Risques!$D$21:$AB$40,23,FALSE)</f>
        <v/>
      </c>
      <c r="Q350" s="382"/>
      <c r="S350" s="410" t="s">
        <v>248</v>
      </c>
      <c r="T350" s="419"/>
      <c r="U350" s="419"/>
      <c r="V350" s="384"/>
      <c r="W350" s="377"/>
    </row>
    <row r="351" spans="7:23" ht="19.5" thickTop="1" thickBot="1" x14ac:dyDescent="0.25">
      <c r="G351" s="376"/>
      <c r="H351" s="372"/>
      <c r="I351" s="372"/>
      <c r="J351" s="372"/>
      <c r="K351" s="372"/>
      <c r="L351" s="372"/>
      <c r="M351" s="372"/>
      <c r="N351" s="407" t="s">
        <v>249</v>
      </c>
      <c r="O351" s="417" t="str">
        <f>VLOOKUP(K342,Risques!$D$21:$AB$40,18,FALSE)</f>
        <v/>
      </c>
      <c r="P351" s="418" t="str">
        <f>VLOOKUP(K342,Risques!$D$21:$AB$40,24,FALSE)</f>
        <v/>
      </c>
      <c r="Q351" s="382"/>
      <c r="S351" s="410" t="s">
        <v>249</v>
      </c>
      <c r="T351" s="419"/>
      <c r="U351" s="419"/>
      <c r="V351" s="384"/>
      <c r="W351" s="377"/>
    </row>
    <row r="352" spans="7:23" ht="19.5" thickTop="1" thickBot="1" x14ac:dyDescent="0.25">
      <c r="G352" s="376"/>
      <c r="H352" s="372"/>
      <c r="I352" s="372"/>
      <c r="J352" s="372"/>
      <c r="K352" s="372"/>
      <c r="L352" s="372"/>
      <c r="M352" s="372"/>
      <c r="N352" s="407" t="s">
        <v>251</v>
      </c>
      <c r="O352" s="417" t="str">
        <f>VLOOKUP(K342,Risques!$D$21:$AB$40,19,FALSE)</f>
        <v/>
      </c>
      <c r="P352" s="418" t="str">
        <f>VLOOKUP(K342,Risques!$D$21:$AB$40,25,FALSE)</f>
        <v/>
      </c>
      <c r="Q352" s="382"/>
      <c r="S352" s="410" t="s">
        <v>251</v>
      </c>
      <c r="T352" s="419"/>
      <c r="U352" s="419"/>
      <c r="V352" s="384"/>
      <c r="W352" s="377"/>
    </row>
    <row r="353" spans="7:23" ht="13.5" thickTop="1" x14ac:dyDescent="0.2">
      <c r="G353" s="376"/>
      <c r="H353" s="372"/>
      <c r="I353" s="372"/>
      <c r="J353" s="372"/>
      <c r="K353" s="372"/>
      <c r="L353" s="372"/>
      <c r="M353" s="372"/>
      <c r="N353" s="382"/>
      <c r="O353" s="382"/>
      <c r="P353" s="382"/>
      <c r="Q353" s="382"/>
      <c r="S353" s="384"/>
      <c r="T353" s="384"/>
      <c r="U353" s="384"/>
      <c r="V353" s="384"/>
      <c r="W353" s="377"/>
    </row>
    <row r="354" spans="7:23" x14ac:dyDescent="0.2">
      <c r="G354" s="376"/>
      <c r="H354" s="372"/>
      <c r="I354" s="372"/>
      <c r="J354" s="372"/>
      <c r="K354" s="372"/>
      <c r="L354" s="372"/>
      <c r="M354" s="372"/>
      <c r="W354" s="377"/>
    </row>
    <row r="355" spans="7:23" ht="18" customHeight="1" x14ac:dyDescent="0.2">
      <c r="G355" s="376"/>
      <c r="H355" s="372"/>
      <c r="I355" s="372"/>
      <c r="J355" s="492" t="s">
        <v>253</v>
      </c>
      <c r="K355" s="492"/>
      <c r="L355" s="493"/>
      <c r="M355" s="485" t="str">
        <f>VLOOKUP($K342,Risques!$D$21:$AB$40,3,FALSE)</f>
        <v/>
      </c>
      <c r="N355" s="486"/>
      <c r="O355" s="486"/>
      <c r="P355" s="486"/>
      <c r="Q355" s="486"/>
      <c r="R355" s="486"/>
      <c r="S355" s="486"/>
      <c r="T355" s="486"/>
      <c r="U355" s="486"/>
      <c r="V355" s="487"/>
      <c r="W355" s="377"/>
    </row>
    <row r="356" spans="7:23" ht="45.75" customHeight="1" x14ac:dyDescent="0.25">
      <c r="G356" s="399"/>
      <c r="H356" s="400"/>
      <c r="I356" s="400"/>
      <c r="J356" s="492"/>
      <c r="K356" s="492"/>
      <c r="L356" s="493"/>
      <c r="M356" s="488"/>
      <c r="N356" s="489"/>
      <c r="O356" s="489"/>
      <c r="P356" s="489"/>
      <c r="Q356" s="489"/>
      <c r="R356" s="489"/>
      <c r="S356" s="489"/>
      <c r="T356" s="489"/>
      <c r="U356" s="489"/>
      <c r="V356" s="490"/>
      <c r="W356" s="401"/>
    </row>
    <row r="357" spans="7:23" x14ac:dyDescent="0.2">
      <c r="G357" s="376"/>
      <c r="H357" s="372"/>
      <c r="I357" s="372"/>
      <c r="J357" s="372"/>
      <c r="K357" s="372"/>
      <c r="L357" s="372"/>
      <c r="M357" s="372"/>
      <c r="N357" s="403"/>
      <c r="O357" s="403"/>
      <c r="P357" s="403"/>
      <c r="Q357" s="403"/>
      <c r="R357" s="403"/>
      <c r="S357" s="403"/>
      <c r="T357" s="403"/>
      <c r="U357" s="403"/>
      <c r="V357" s="404"/>
      <c r="W357" s="377"/>
    </row>
    <row r="358" spans="7:23" ht="31.5" customHeight="1" x14ac:dyDescent="0.2">
      <c r="G358" s="376"/>
      <c r="H358" s="372"/>
      <c r="I358" s="372"/>
      <c r="J358" s="491" t="s">
        <v>239</v>
      </c>
      <c r="K358" s="491"/>
      <c r="L358" s="491"/>
      <c r="M358" s="416" t="s">
        <v>240</v>
      </c>
      <c r="N358" s="416" t="s">
        <v>241</v>
      </c>
      <c r="O358" s="491" t="s">
        <v>242</v>
      </c>
      <c r="P358" s="491"/>
      <c r="Q358" s="491"/>
      <c r="R358" s="491"/>
      <c r="S358" s="491"/>
      <c r="T358" s="491"/>
      <c r="U358" s="491"/>
      <c r="V358" s="416" t="s">
        <v>243</v>
      </c>
      <c r="W358" s="377"/>
    </row>
    <row r="359" spans="7:23" ht="7.5" customHeight="1" x14ac:dyDescent="0.2">
      <c r="G359" s="376"/>
      <c r="H359" s="372"/>
      <c r="I359" s="372"/>
      <c r="J359" s="414" t="str">
        <f t="array" ref="J359">IF($K$342="","",IF(INDEX('Plan d''actions détaillé'!A:A,MIN(IF((COUNTIF(J$357:J358,'Plan d''actions détaillé'!$A$6:$A$30)=0)*(INDEX('Plan d''actions détaillé'!$U$6:$AL$30,,MATCH($K$342,'Plan d''actions détaillé'!$U$5:$AL$5,0))="X"),ROW('Plan d''actions détaillé'!$T$6:$T$30))))=0,"",INDEX('Plan d''actions détaillé'!A:A,MIN(IF((COUNTIF(J$357:J358,'Plan d''actions détaillé'!$A$6:$A$30)=0)*(INDEX('Plan d''actions détaillé'!$U$6:$AL$30,,MATCH($K$342,'Plan d''actions détaillé'!$U$5:$AL$5,0))="X"),ROW('Plan d''actions détaillé'!$T$6:$T$30))))))</f>
        <v/>
      </c>
      <c r="K359" s="414"/>
      <c r="L359" s="415"/>
      <c r="M359" s="413" t="str">
        <f t="array" ref="M359">IF($K$342="","",IF(INDEX('Plan d''actions détaillé'!D:D,MIN(IF((COUNTIF(M$357:M358,'Plan d''actions détaillé'!$D$6:$D$30)=0)*(INDEX('Plan d''actions détaillé'!$U$6:$AL$30,,MATCH($K$342,'Plan d''actions détaillé'!$U$5:$AL$5,0))="X"),ROW('Plan d''actions détaillé'!$T$6:$T$30))))=0,"",INDEX('Plan d''actions détaillé'!D:D,MIN(IF((COUNTIF(M$357:M358,'Plan d''actions détaillé'!$D$6:$D$30)=0)*(INDEX('Plan d''actions détaillé'!$U$6:$AL$30,,MATCH($K$342,'Plan d''actions détaillé'!$U$5:$AL$5,0))="X"),ROW('Plan d''actions détaillé'!$T$6:$T$30))))))</f>
        <v/>
      </c>
      <c r="N359" s="411" t="str">
        <f>IF($M359&lt;&gt;"",IF(VLOOKUP($M359,'Plan d''actions détaillé'!$D$6:$P$30,8,FALSE)="","",VLOOKUP($M359,'Plan d''actions détaillé'!$D$6:$P$30,8,FALSE)),"")</f>
        <v/>
      </c>
      <c r="O359" s="483" t="str">
        <f>IF($M359&lt;&gt;"",IF(VLOOKUP($M359,'Plan d''actions détaillé'!$D$6:$P$30,6,FALSE)="","",VLOOKUP($M359,'Plan d''actions détaillé'!$D$6:$P$30,6,FALSE)),"")</f>
        <v/>
      </c>
      <c r="P359" s="483"/>
      <c r="Q359" s="483"/>
      <c r="R359" s="483"/>
      <c r="S359" s="483"/>
      <c r="T359" s="483"/>
      <c r="U359" s="483"/>
      <c r="V359" s="412" t="str">
        <f>IF($M359&lt;&gt;"",IF(VLOOKUP($M359,'Plan d''actions détaillé'!$D$6:$P$30,12,FALSE)="","",VLOOKUP($M359,'Plan d''actions détaillé'!$D$6:$P$30,12,FALSE)),"")</f>
        <v/>
      </c>
      <c r="W359" s="377"/>
    </row>
    <row r="360" spans="7:23" ht="7.5" customHeight="1" x14ac:dyDescent="0.2">
      <c r="G360" s="376"/>
      <c r="H360" s="372"/>
      <c r="I360" s="372"/>
      <c r="J360" s="414" t="str">
        <f t="array" ref="J360">IF($K$342="","",IF(INDEX('Plan d''actions détaillé'!A:A,MIN(IF((COUNTIF(J$357:J359,'Plan d''actions détaillé'!$A$6:$A$30)=0)*(INDEX('Plan d''actions détaillé'!$U$6:$AL$30,,MATCH($K$342,'Plan d''actions détaillé'!$U$5:$AL$5,0))="X"),ROW('Plan d''actions détaillé'!$T$6:$T$30))))=0,"",INDEX('Plan d''actions détaillé'!A:A,MIN(IF((COUNTIF(J$357:J359,'Plan d''actions détaillé'!$A$6:$A$30)=0)*(INDEX('Plan d''actions détaillé'!$U$6:$AL$30,,MATCH($K$342,'Plan d''actions détaillé'!$U$5:$AL$5,0))="X"),ROW('Plan d''actions détaillé'!$T$6:$T$30))))))</f>
        <v/>
      </c>
      <c r="K360" s="414"/>
      <c r="L360" s="415"/>
      <c r="M360" s="413" t="str">
        <f t="array" ref="M360">IF($K$342="","",IF(INDEX('Plan d''actions détaillé'!D:D,MIN(IF((COUNTIF(M$357:M359,'Plan d''actions détaillé'!$D$6:$D$30)=0)*(INDEX('Plan d''actions détaillé'!$U$6:$AL$30,,MATCH($K$342,'Plan d''actions détaillé'!$U$5:$AL$5,0))="X"),ROW('Plan d''actions détaillé'!$T$6:$T$30))))=0,"",INDEX('Plan d''actions détaillé'!D:D,MIN(IF((COUNTIF(M$357:M359,'Plan d''actions détaillé'!$D$6:$D$30)=0)*(INDEX('Plan d''actions détaillé'!$U$6:$AL$30,,MATCH($K$342,'Plan d''actions détaillé'!$U$5:$AL$5,0))="X"),ROW('Plan d''actions détaillé'!$T$6:$T$30))))))</f>
        <v/>
      </c>
      <c r="N360" s="411" t="str">
        <f>IF($M360&lt;&gt;"",IF(VLOOKUP($M360,'Plan d''actions détaillé'!$D$6:$P$30,8,FALSE)="","",VLOOKUP($M360,'Plan d''actions détaillé'!$D$6:$P$30,8,FALSE)),"")</f>
        <v/>
      </c>
      <c r="O360" s="483" t="str">
        <f>IF($M360&lt;&gt;"",IF(VLOOKUP($M360,'Plan d''actions détaillé'!$D$6:$P$30,6,FALSE)="","",VLOOKUP($M360,'Plan d''actions détaillé'!$D$6:$P$30,6,FALSE)),"")</f>
        <v/>
      </c>
      <c r="P360" s="483"/>
      <c r="Q360" s="483"/>
      <c r="R360" s="483"/>
      <c r="S360" s="483"/>
      <c r="T360" s="483"/>
      <c r="U360" s="483"/>
      <c r="V360" s="412" t="str">
        <f>IF($M360&lt;&gt;"",IF(VLOOKUP($M360,'Plan d''actions détaillé'!$D$6:$P$30,12,FALSE)="","",VLOOKUP($M360,'Plan d''actions détaillé'!$D$6:$P$30,12,FALSE)),"")</f>
        <v/>
      </c>
      <c r="W360" s="377"/>
    </row>
    <row r="361" spans="7:23" ht="7.5" customHeight="1" x14ac:dyDescent="0.2">
      <c r="G361" s="376"/>
      <c r="H361" s="372"/>
      <c r="I361" s="372"/>
      <c r="J361" s="414" t="str">
        <f t="array" ref="J361">IF($K$342="","",IF(INDEX('Plan d''actions détaillé'!A:A,MIN(IF((COUNTIF(J$357:J360,'Plan d''actions détaillé'!$A$6:$A$30)=0)*(INDEX('Plan d''actions détaillé'!$U$6:$AL$30,,MATCH($K$342,'Plan d''actions détaillé'!$U$5:$AL$5,0))="X"),ROW('Plan d''actions détaillé'!$T$6:$T$30))))=0,"",INDEX('Plan d''actions détaillé'!A:A,MIN(IF((COUNTIF(J$357:J360,'Plan d''actions détaillé'!$A$6:$A$30)=0)*(INDEX('Plan d''actions détaillé'!$U$6:$AL$30,,MATCH($K$342,'Plan d''actions détaillé'!$U$5:$AL$5,0))="X"),ROW('Plan d''actions détaillé'!$T$6:$T$30))))))</f>
        <v/>
      </c>
      <c r="K361" s="414"/>
      <c r="L361" s="415"/>
      <c r="M361" s="413" t="str">
        <f t="array" ref="M361">IF($K$342="","",IF(INDEX('Plan d''actions détaillé'!D:D,MIN(IF((COUNTIF(M$357:M360,'Plan d''actions détaillé'!$D$6:$D$30)=0)*(INDEX('Plan d''actions détaillé'!$U$6:$AL$30,,MATCH($K$342,'Plan d''actions détaillé'!$U$5:$AL$5,0))="X"),ROW('Plan d''actions détaillé'!$T$6:$T$30))))=0,"",INDEX('Plan d''actions détaillé'!D:D,MIN(IF((COUNTIF(M$357:M360,'Plan d''actions détaillé'!$D$6:$D$30)=0)*(INDEX('Plan d''actions détaillé'!$U$6:$AL$30,,MATCH($K$342,'Plan d''actions détaillé'!$U$5:$AL$5,0))="X"),ROW('Plan d''actions détaillé'!$T$6:$T$30))))))</f>
        <v/>
      </c>
      <c r="N361" s="411" t="str">
        <f>IF($M361&lt;&gt;"",IF(VLOOKUP($M361,'Plan d''actions détaillé'!$D$6:$P$30,8,FALSE)="","",VLOOKUP($M361,'Plan d''actions détaillé'!$D$6:$P$30,8,FALSE)),"")</f>
        <v/>
      </c>
      <c r="O361" s="483" t="str">
        <f>IF($M361&lt;&gt;"",IF(VLOOKUP($M361,'Plan d''actions détaillé'!$D$6:$P$30,6,FALSE)="","",VLOOKUP($M361,'Plan d''actions détaillé'!$D$6:$P$30,6,FALSE)),"")</f>
        <v/>
      </c>
      <c r="P361" s="483"/>
      <c r="Q361" s="483"/>
      <c r="R361" s="483"/>
      <c r="S361" s="483"/>
      <c r="T361" s="483"/>
      <c r="U361" s="483"/>
      <c r="V361" s="412" t="str">
        <f>IF($M361&lt;&gt;"",IF(VLOOKUP($M361,'Plan d''actions détaillé'!$D$6:$P$30,12,FALSE)="","",VLOOKUP($M361,'Plan d''actions détaillé'!$D$6:$P$30,12,FALSE)),"")</f>
        <v/>
      </c>
      <c r="W361" s="377"/>
    </row>
    <row r="362" spans="7:23" ht="7.5" customHeight="1" x14ac:dyDescent="0.2">
      <c r="G362" s="376"/>
      <c r="H362" s="372"/>
      <c r="I362" s="372"/>
      <c r="J362" s="414" t="str">
        <f t="array" ref="J362">IF($K$342="","",IF(INDEX('Plan d''actions détaillé'!A:A,MIN(IF((COUNTIF(J$357:J361,'Plan d''actions détaillé'!$A$6:$A$30)=0)*(INDEX('Plan d''actions détaillé'!$U$6:$AL$30,,MATCH($K$342,'Plan d''actions détaillé'!$U$5:$AL$5,0))="X"),ROW('Plan d''actions détaillé'!$T$6:$T$30))))=0,"",INDEX('Plan d''actions détaillé'!A:A,MIN(IF((COUNTIF(J$357:J361,'Plan d''actions détaillé'!$A$6:$A$30)=0)*(INDEX('Plan d''actions détaillé'!$U$6:$AL$30,,MATCH($K$342,'Plan d''actions détaillé'!$U$5:$AL$5,0))="X"),ROW('Plan d''actions détaillé'!$T$6:$T$30))))))</f>
        <v/>
      </c>
      <c r="K362" s="414"/>
      <c r="L362" s="415"/>
      <c r="M362" s="413" t="str">
        <f t="array" ref="M362">IF($K$342="","",IF(INDEX('Plan d''actions détaillé'!D:D,MIN(IF((COUNTIF(M$357:M361,'Plan d''actions détaillé'!$D$6:$D$30)=0)*(INDEX('Plan d''actions détaillé'!$U$6:$AL$30,,MATCH($K$342,'Plan d''actions détaillé'!$U$5:$AL$5,0))="X"),ROW('Plan d''actions détaillé'!$T$6:$T$30))))=0,"",INDEX('Plan d''actions détaillé'!D:D,MIN(IF((COUNTIF(M$357:M361,'Plan d''actions détaillé'!$D$6:$D$30)=0)*(INDEX('Plan d''actions détaillé'!$U$6:$AL$30,,MATCH($K$342,'Plan d''actions détaillé'!$U$5:$AL$5,0))="X"),ROW('Plan d''actions détaillé'!$T$6:$T$30))))))</f>
        <v/>
      </c>
      <c r="N362" s="411" t="str">
        <f>IF($M362&lt;&gt;"",IF(VLOOKUP($M362,'Plan d''actions détaillé'!$D$6:$P$30,8,FALSE)="","",VLOOKUP($M362,'Plan d''actions détaillé'!$D$6:$P$30,8,FALSE)),"")</f>
        <v/>
      </c>
      <c r="O362" s="483" t="str">
        <f>IF($M362&lt;&gt;"",IF(VLOOKUP($M362,'Plan d''actions détaillé'!$D$6:$P$30,6,FALSE)="","",VLOOKUP($M362,'Plan d''actions détaillé'!$D$6:$P$30,6,FALSE)),"")</f>
        <v/>
      </c>
      <c r="P362" s="483"/>
      <c r="Q362" s="483"/>
      <c r="R362" s="483"/>
      <c r="S362" s="483"/>
      <c r="T362" s="483"/>
      <c r="U362" s="483"/>
      <c r="V362" s="412" t="str">
        <f>IF($M362&lt;&gt;"",IF(VLOOKUP($M362,'Plan d''actions détaillé'!$D$6:$P$30,12,FALSE)="","",VLOOKUP($M362,'Plan d''actions détaillé'!$D$6:$P$30,12,FALSE)),"")</f>
        <v/>
      </c>
      <c r="W362" s="377"/>
    </row>
    <row r="363" spans="7:23" ht="7.5" customHeight="1" x14ac:dyDescent="0.2">
      <c r="G363" s="376"/>
      <c r="H363" s="372"/>
      <c r="I363" s="372"/>
      <c r="J363" s="414" t="str">
        <f t="array" ref="J363">IF($K$342="","",IF(INDEX('Plan d''actions détaillé'!A:A,MIN(IF((COUNTIF(J$357:J362,'Plan d''actions détaillé'!$A$6:$A$30)=0)*(INDEX('Plan d''actions détaillé'!$U$6:$AL$30,,MATCH($K$342,'Plan d''actions détaillé'!$U$5:$AL$5,0))="X"),ROW('Plan d''actions détaillé'!$T$6:$T$30))))=0,"",INDEX('Plan d''actions détaillé'!A:A,MIN(IF((COUNTIF(J$357:J362,'Plan d''actions détaillé'!$A$6:$A$30)=0)*(INDEX('Plan d''actions détaillé'!$U$6:$AL$30,,MATCH($K$342,'Plan d''actions détaillé'!$U$5:$AL$5,0))="X"),ROW('Plan d''actions détaillé'!$T$6:$T$30))))))</f>
        <v/>
      </c>
      <c r="K363" s="414"/>
      <c r="L363" s="415"/>
      <c r="M363" s="413" t="str">
        <f t="array" ref="M363">IF($K$342="","",IF(INDEX('Plan d''actions détaillé'!D:D,MIN(IF((COUNTIF(M$357:M362,'Plan d''actions détaillé'!$D$6:$D$30)=0)*(INDEX('Plan d''actions détaillé'!$U$6:$AL$30,,MATCH($K$342,'Plan d''actions détaillé'!$U$5:$AL$5,0))="X"),ROW('Plan d''actions détaillé'!$T$6:$T$30))))=0,"",INDEX('Plan d''actions détaillé'!D:D,MIN(IF((COUNTIF(M$357:M362,'Plan d''actions détaillé'!$D$6:$D$30)=0)*(INDEX('Plan d''actions détaillé'!$U$6:$AL$30,,MATCH($K$342,'Plan d''actions détaillé'!$U$5:$AL$5,0))="X"),ROW('Plan d''actions détaillé'!$T$6:$T$30))))))</f>
        <v/>
      </c>
      <c r="N363" s="411" t="str">
        <f>IF($M363&lt;&gt;"",IF(VLOOKUP($M363,'Plan d''actions détaillé'!$D$6:$P$30,8,FALSE)="","",VLOOKUP($M363,'Plan d''actions détaillé'!$D$6:$P$30,8,FALSE)),"")</f>
        <v/>
      </c>
      <c r="O363" s="483" t="str">
        <f>IF($M363&lt;&gt;"",IF(VLOOKUP($M363,'Plan d''actions détaillé'!$D$6:$P$30,6,FALSE)="","",VLOOKUP($M363,'Plan d''actions détaillé'!$D$6:$P$30,6,FALSE)),"")</f>
        <v/>
      </c>
      <c r="P363" s="483"/>
      <c r="Q363" s="483"/>
      <c r="R363" s="483"/>
      <c r="S363" s="483"/>
      <c r="T363" s="483"/>
      <c r="U363" s="483"/>
      <c r="V363" s="412" t="str">
        <f>IF($M363&lt;&gt;"",IF(VLOOKUP($M363,'Plan d''actions détaillé'!$D$6:$P$30,12,FALSE)="","",VLOOKUP($M363,'Plan d''actions détaillé'!$D$6:$P$30,12,FALSE)),"")</f>
        <v/>
      </c>
      <c r="W363" s="377"/>
    </row>
    <row r="364" spans="7:23" ht="7.5" customHeight="1" x14ac:dyDescent="0.2">
      <c r="G364" s="376"/>
      <c r="H364" s="372"/>
      <c r="I364" s="372"/>
      <c r="J364" s="414" t="str">
        <f t="array" ref="J364">IF($K$342="","",IF(INDEX('Plan d''actions détaillé'!A:A,MIN(IF((COUNTIF(J$357:J363,'Plan d''actions détaillé'!$A$6:$A$30)=0)*(INDEX('Plan d''actions détaillé'!$U$6:$AL$30,,MATCH($K$342,'Plan d''actions détaillé'!$U$5:$AL$5,0))="X"),ROW('Plan d''actions détaillé'!$T$6:$T$30))))=0,"",INDEX('Plan d''actions détaillé'!A:A,MIN(IF((COUNTIF(J$357:J363,'Plan d''actions détaillé'!$A$6:$A$30)=0)*(INDEX('Plan d''actions détaillé'!$U$6:$AL$30,,MATCH($K$342,'Plan d''actions détaillé'!$U$5:$AL$5,0))="X"),ROW('Plan d''actions détaillé'!$T$6:$T$30))))))</f>
        <v/>
      </c>
      <c r="K364" s="414"/>
      <c r="L364" s="415"/>
      <c r="M364" s="413" t="str">
        <f t="array" ref="M364">IF($K$342="","",IF(INDEX('Plan d''actions détaillé'!D:D,MIN(IF((COUNTIF(M$357:M363,'Plan d''actions détaillé'!$D$6:$D$30)=0)*(INDEX('Plan d''actions détaillé'!$U$6:$AL$30,,MATCH($K$342,'Plan d''actions détaillé'!$U$5:$AL$5,0))="X"),ROW('Plan d''actions détaillé'!$T$6:$T$30))))=0,"",INDEX('Plan d''actions détaillé'!D:D,MIN(IF((COUNTIF(M$357:M363,'Plan d''actions détaillé'!$D$6:$D$30)=0)*(INDEX('Plan d''actions détaillé'!$U$6:$AL$30,,MATCH($K$342,'Plan d''actions détaillé'!$U$5:$AL$5,0))="X"),ROW('Plan d''actions détaillé'!$T$6:$T$30))))))</f>
        <v/>
      </c>
      <c r="N364" s="411" t="str">
        <f>IF($M364&lt;&gt;"",IF(VLOOKUP($M364,'Plan d''actions détaillé'!$D$6:$P$30,8,FALSE)="","",VLOOKUP($M364,'Plan d''actions détaillé'!$D$6:$P$30,8,FALSE)),"")</f>
        <v/>
      </c>
      <c r="O364" s="483" t="str">
        <f>IF($M364&lt;&gt;"",IF(VLOOKUP($M364,'Plan d''actions détaillé'!$D$6:$P$30,6,FALSE)="","",VLOOKUP($M364,'Plan d''actions détaillé'!$D$6:$P$30,6,FALSE)),"")</f>
        <v/>
      </c>
      <c r="P364" s="483"/>
      <c r="Q364" s="483"/>
      <c r="R364" s="483"/>
      <c r="S364" s="483"/>
      <c r="T364" s="483"/>
      <c r="U364" s="483"/>
      <c r="V364" s="412" t="str">
        <f>IF($M364&lt;&gt;"",IF(VLOOKUP($M364,'Plan d''actions détaillé'!$D$6:$P$30,12,FALSE)="","",VLOOKUP($M364,'Plan d''actions détaillé'!$D$6:$P$30,12,FALSE)),"")</f>
        <v/>
      </c>
      <c r="W364" s="377"/>
    </row>
    <row r="365" spans="7:23" ht="7.5" customHeight="1" x14ac:dyDescent="0.2">
      <c r="G365" s="376"/>
      <c r="H365" s="372"/>
      <c r="I365" s="372"/>
      <c r="J365" s="414" t="str">
        <f t="array" ref="J365">IF($K$342="","",IF(INDEX('Plan d''actions détaillé'!A:A,MIN(IF((COUNTIF(J$357:J364,'Plan d''actions détaillé'!$A$6:$A$30)=0)*(INDEX('Plan d''actions détaillé'!$U$6:$AL$30,,MATCH($K$342,'Plan d''actions détaillé'!$U$5:$AL$5,0))="X"),ROW('Plan d''actions détaillé'!$T$6:$T$30))))=0,"",INDEX('Plan d''actions détaillé'!A:A,MIN(IF((COUNTIF(J$357:J364,'Plan d''actions détaillé'!$A$6:$A$30)=0)*(INDEX('Plan d''actions détaillé'!$U$6:$AL$30,,MATCH($K$342,'Plan d''actions détaillé'!$U$5:$AL$5,0))="X"),ROW('Plan d''actions détaillé'!$T$6:$T$30))))))</f>
        <v/>
      </c>
      <c r="K365" s="414"/>
      <c r="L365" s="415"/>
      <c r="M365" s="413" t="str">
        <f t="array" ref="M365">IF($K$342="","",IF(INDEX('Plan d''actions détaillé'!D:D,MIN(IF((COUNTIF(M$357:M364,'Plan d''actions détaillé'!$D$6:$D$30)=0)*(INDEX('Plan d''actions détaillé'!$U$6:$AL$30,,MATCH($K$342,'Plan d''actions détaillé'!$U$5:$AL$5,0))="X"),ROW('Plan d''actions détaillé'!$T$6:$T$30))))=0,"",INDEX('Plan d''actions détaillé'!D:D,MIN(IF((COUNTIF(M$357:M364,'Plan d''actions détaillé'!$D$6:$D$30)=0)*(INDEX('Plan d''actions détaillé'!$U$6:$AL$30,,MATCH($K$342,'Plan d''actions détaillé'!$U$5:$AL$5,0))="X"),ROW('Plan d''actions détaillé'!$T$6:$T$30))))))</f>
        <v/>
      </c>
      <c r="N365" s="411" t="str">
        <f>IF($M365&lt;&gt;"",IF(VLOOKUP($M365,'Plan d''actions détaillé'!$D$6:$P$30,8,FALSE)="","",VLOOKUP($M365,'Plan d''actions détaillé'!$D$6:$P$30,8,FALSE)),"")</f>
        <v/>
      </c>
      <c r="O365" s="483" t="str">
        <f>IF($M365&lt;&gt;"",IF(VLOOKUP($M365,'Plan d''actions détaillé'!$D$6:$P$30,6,FALSE)="","",VLOOKUP($M365,'Plan d''actions détaillé'!$D$6:$P$30,6,FALSE)),"")</f>
        <v/>
      </c>
      <c r="P365" s="483"/>
      <c r="Q365" s="483"/>
      <c r="R365" s="483"/>
      <c r="S365" s="483"/>
      <c r="T365" s="483"/>
      <c r="U365" s="483"/>
      <c r="V365" s="412" t="str">
        <f>IF($M365&lt;&gt;"",IF(VLOOKUP($M365,'Plan d''actions détaillé'!$D$6:$P$30,12,FALSE)="","",VLOOKUP($M365,'Plan d''actions détaillé'!$D$6:$P$30,12,FALSE)),"")</f>
        <v/>
      </c>
      <c r="W365" s="377"/>
    </row>
    <row r="366" spans="7:23" ht="7.5" customHeight="1" x14ac:dyDescent="0.2">
      <c r="G366" s="376"/>
      <c r="H366" s="372"/>
      <c r="I366" s="372"/>
      <c r="J366" s="414" t="str">
        <f t="array" ref="J366">IF($K$342="","",IF(INDEX('Plan d''actions détaillé'!A:A,MIN(IF((COUNTIF(J$357:J365,'Plan d''actions détaillé'!$A$6:$A$30)=0)*(INDEX('Plan d''actions détaillé'!$U$6:$AL$30,,MATCH($K$342,'Plan d''actions détaillé'!$U$5:$AL$5,0))="X"),ROW('Plan d''actions détaillé'!$T$6:$T$30))))=0,"",INDEX('Plan d''actions détaillé'!A:A,MIN(IF((COUNTIF(J$357:J365,'Plan d''actions détaillé'!$A$6:$A$30)=0)*(INDEX('Plan d''actions détaillé'!$U$6:$AL$30,,MATCH($K$342,'Plan d''actions détaillé'!$U$5:$AL$5,0))="X"),ROW('Plan d''actions détaillé'!$T$6:$T$30))))))</f>
        <v/>
      </c>
      <c r="K366" s="414"/>
      <c r="L366" s="415"/>
      <c r="M366" s="413" t="str">
        <f t="array" ref="M366">IF($K$342="","",IF(INDEX('Plan d''actions détaillé'!D:D,MIN(IF((COUNTIF(M$357:M365,'Plan d''actions détaillé'!$D$6:$D$30)=0)*(INDEX('Plan d''actions détaillé'!$U$6:$AL$30,,MATCH($K$342,'Plan d''actions détaillé'!$U$5:$AL$5,0))="X"),ROW('Plan d''actions détaillé'!$T$6:$T$30))))=0,"",INDEX('Plan d''actions détaillé'!D:D,MIN(IF((COUNTIF(M$357:M365,'Plan d''actions détaillé'!$D$6:$D$30)=0)*(INDEX('Plan d''actions détaillé'!$U$6:$AL$30,,MATCH($K$342,'Plan d''actions détaillé'!$U$5:$AL$5,0))="X"),ROW('Plan d''actions détaillé'!$T$6:$T$30))))))</f>
        <v/>
      </c>
      <c r="N366" s="411" t="str">
        <f>IF($M366&lt;&gt;"",IF(VLOOKUP($M366,'Plan d''actions détaillé'!$D$6:$P$30,8,FALSE)="","",VLOOKUP($M366,'Plan d''actions détaillé'!$D$6:$P$30,8,FALSE)),"")</f>
        <v/>
      </c>
      <c r="O366" s="483" t="str">
        <f>IF($M366&lt;&gt;"",IF(VLOOKUP($M366,'Plan d''actions détaillé'!$D$6:$P$30,6,FALSE)="","",VLOOKUP($M366,'Plan d''actions détaillé'!$D$6:$P$30,6,FALSE)),"")</f>
        <v/>
      </c>
      <c r="P366" s="483"/>
      <c r="Q366" s="483"/>
      <c r="R366" s="483"/>
      <c r="S366" s="483"/>
      <c r="T366" s="483"/>
      <c r="U366" s="483"/>
      <c r="V366" s="412" t="str">
        <f>IF($M366&lt;&gt;"",IF(VLOOKUP($M366,'Plan d''actions détaillé'!$D$6:$P$30,12,FALSE)="","",VLOOKUP($M366,'Plan d''actions détaillé'!$D$6:$P$30,12,FALSE)),"")</f>
        <v/>
      </c>
      <c r="W366" s="377"/>
    </row>
    <row r="367" spans="7:23" ht="7.5" customHeight="1" x14ac:dyDescent="0.2">
      <c r="G367" s="376"/>
      <c r="H367" s="372"/>
      <c r="I367" s="372"/>
      <c r="J367" s="414" t="str">
        <f t="array" ref="J367">IF($K$342="","",IF(INDEX('Plan d''actions détaillé'!A:A,MIN(IF((COUNTIF(J$357:J366,'Plan d''actions détaillé'!$A$6:$A$30)=0)*(INDEX('Plan d''actions détaillé'!$U$6:$AL$30,,MATCH($K$342,'Plan d''actions détaillé'!$U$5:$AL$5,0))="X"),ROW('Plan d''actions détaillé'!$T$6:$T$30))))=0,"",INDEX('Plan d''actions détaillé'!A:A,MIN(IF((COUNTIF(J$357:J366,'Plan d''actions détaillé'!$A$6:$A$30)=0)*(INDEX('Plan d''actions détaillé'!$U$6:$AL$30,,MATCH($K$342,'Plan d''actions détaillé'!$U$5:$AL$5,0))="X"),ROW('Plan d''actions détaillé'!$T$6:$T$30))))))</f>
        <v/>
      </c>
      <c r="K367" s="414"/>
      <c r="L367" s="415"/>
      <c r="M367" s="413" t="str">
        <f t="array" ref="M367">IF($K$342="","",IF(INDEX('Plan d''actions détaillé'!D:D,MIN(IF((COUNTIF(M$357:M366,'Plan d''actions détaillé'!$D$6:$D$30)=0)*(INDEX('Plan d''actions détaillé'!$U$6:$AL$30,,MATCH($K$342,'Plan d''actions détaillé'!$U$5:$AL$5,0))="X"),ROW('Plan d''actions détaillé'!$T$6:$T$30))))=0,"",INDEX('Plan d''actions détaillé'!D:D,MIN(IF((COUNTIF(M$357:M366,'Plan d''actions détaillé'!$D$6:$D$30)=0)*(INDEX('Plan d''actions détaillé'!$U$6:$AL$30,,MATCH($K$342,'Plan d''actions détaillé'!$U$5:$AL$5,0))="X"),ROW('Plan d''actions détaillé'!$T$6:$T$30))))))</f>
        <v/>
      </c>
      <c r="N367" s="411" t="str">
        <f>IF($M367&lt;&gt;"",IF(VLOOKUP($M367,'Plan d''actions détaillé'!$D$6:$P$30,8,FALSE)="","",VLOOKUP($M367,'Plan d''actions détaillé'!$D$6:$P$30,8,FALSE)),"")</f>
        <v/>
      </c>
      <c r="O367" s="483" t="str">
        <f>IF($M367&lt;&gt;"",IF(VLOOKUP($M367,'Plan d''actions détaillé'!$D$6:$P$30,6,FALSE)="","",VLOOKUP($M367,'Plan d''actions détaillé'!$D$6:$P$30,6,FALSE)),"")</f>
        <v/>
      </c>
      <c r="P367" s="483"/>
      <c r="Q367" s="483"/>
      <c r="R367" s="483"/>
      <c r="S367" s="483"/>
      <c r="T367" s="483"/>
      <c r="U367" s="483"/>
      <c r="V367" s="412" t="str">
        <f>IF($M367&lt;&gt;"",IF(VLOOKUP($M367,'Plan d''actions détaillé'!$D$6:$P$30,12,FALSE)="","",VLOOKUP($M367,'Plan d''actions détaillé'!$D$6:$P$30,12,FALSE)),"")</f>
        <v/>
      </c>
      <c r="W367" s="377"/>
    </row>
    <row r="368" spans="7:23" ht="7.5" customHeight="1" x14ac:dyDescent="0.2">
      <c r="G368" s="376"/>
      <c r="H368" s="372"/>
      <c r="I368" s="372"/>
      <c r="J368" s="414" t="str">
        <f t="array" ref="J368">IF($K$342="","",IF(INDEX('Plan d''actions détaillé'!A:A,MIN(IF((COUNTIF(J$357:J367,'Plan d''actions détaillé'!$A$6:$A$30)=0)*(INDEX('Plan d''actions détaillé'!$U$6:$AL$30,,MATCH($K$342,'Plan d''actions détaillé'!$U$5:$AL$5,0))="X"),ROW('Plan d''actions détaillé'!$T$6:$T$30))))=0,"",INDEX('Plan d''actions détaillé'!A:A,MIN(IF((COUNTIF(J$357:J367,'Plan d''actions détaillé'!$A$6:$A$30)=0)*(INDEX('Plan d''actions détaillé'!$U$6:$AL$30,,MATCH($K$342,'Plan d''actions détaillé'!$U$5:$AL$5,0))="X"),ROW('Plan d''actions détaillé'!$T$6:$T$30))))))</f>
        <v/>
      </c>
      <c r="K368" s="414"/>
      <c r="L368" s="415"/>
      <c r="M368" s="413" t="str">
        <f t="array" ref="M368">IF($K$342="","",IF(INDEX('Plan d''actions détaillé'!D:D,MIN(IF((COUNTIF(M$357:M367,'Plan d''actions détaillé'!$D$6:$D$30)=0)*(INDEX('Plan d''actions détaillé'!$U$6:$AL$30,,MATCH($K$342,'Plan d''actions détaillé'!$U$5:$AL$5,0))="X"),ROW('Plan d''actions détaillé'!$T$6:$T$30))))=0,"",INDEX('Plan d''actions détaillé'!D:D,MIN(IF((COUNTIF(M$357:M367,'Plan d''actions détaillé'!$D$6:$D$30)=0)*(INDEX('Plan d''actions détaillé'!$U$6:$AL$30,,MATCH($K$342,'Plan d''actions détaillé'!$U$5:$AL$5,0))="X"),ROW('Plan d''actions détaillé'!$T$6:$T$30))))))</f>
        <v/>
      </c>
      <c r="N368" s="411" t="str">
        <f>IF($M368&lt;&gt;"",IF(VLOOKUP($M368,'Plan d''actions détaillé'!$D$6:$P$30,8,FALSE)="","",VLOOKUP($M368,'Plan d''actions détaillé'!$D$6:$P$30,8,FALSE)),"")</f>
        <v/>
      </c>
      <c r="O368" s="483" t="str">
        <f>IF($M368&lt;&gt;"",IF(VLOOKUP($M368,'Plan d''actions détaillé'!$D$6:$P$30,6,FALSE)="","",VLOOKUP($M368,'Plan d''actions détaillé'!$D$6:$P$30,6,FALSE)),"")</f>
        <v/>
      </c>
      <c r="P368" s="483"/>
      <c r="Q368" s="483"/>
      <c r="R368" s="483"/>
      <c r="S368" s="483"/>
      <c r="T368" s="483"/>
      <c r="U368" s="483"/>
      <c r="V368" s="412" t="str">
        <f>IF($M368&lt;&gt;"",IF(VLOOKUP($M368,'Plan d''actions détaillé'!$D$6:$P$30,12,FALSE)="","",VLOOKUP($M368,'Plan d''actions détaillé'!$D$6:$P$30,12,FALSE)),"")</f>
        <v/>
      </c>
      <c r="W368" s="377"/>
    </row>
    <row r="369" spans="7:23" ht="7.5" customHeight="1" x14ac:dyDescent="0.2">
      <c r="G369" s="376"/>
      <c r="H369" s="372"/>
      <c r="I369" s="372"/>
      <c r="J369" s="414" t="str">
        <f t="array" ref="J369">IF($K$342="","",IF(INDEX('Plan d''actions détaillé'!A:A,MIN(IF((COUNTIF(J$357:J368,'Plan d''actions détaillé'!$A$6:$A$30)=0)*(INDEX('Plan d''actions détaillé'!$U$6:$AL$30,,MATCH($K$342,'Plan d''actions détaillé'!$U$5:$AL$5,0))="X"),ROW('Plan d''actions détaillé'!$T$6:$T$30))))=0,"",INDEX('Plan d''actions détaillé'!A:A,MIN(IF((COUNTIF(J$357:J368,'Plan d''actions détaillé'!$A$6:$A$30)=0)*(INDEX('Plan d''actions détaillé'!$U$6:$AL$30,,MATCH($K$342,'Plan d''actions détaillé'!$U$5:$AL$5,0))="X"),ROW('Plan d''actions détaillé'!$T$6:$T$30))))))</f>
        <v/>
      </c>
      <c r="K369" s="414"/>
      <c r="L369" s="415"/>
      <c r="M369" s="413" t="str">
        <f t="array" ref="M369">IF($K$342="","",IF(INDEX('Plan d''actions détaillé'!D:D,MIN(IF((COUNTIF(M$357:M368,'Plan d''actions détaillé'!$D$6:$D$30)=0)*(INDEX('Plan d''actions détaillé'!$U$6:$AL$30,,MATCH($K$342,'Plan d''actions détaillé'!$U$5:$AL$5,0))="X"),ROW('Plan d''actions détaillé'!$T$6:$T$30))))=0,"",INDEX('Plan d''actions détaillé'!D:D,MIN(IF((COUNTIF(M$357:M368,'Plan d''actions détaillé'!$D$6:$D$30)=0)*(INDEX('Plan d''actions détaillé'!$U$6:$AL$30,,MATCH($K$342,'Plan d''actions détaillé'!$U$5:$AL$5,0))="X"),ROW('Plan d''actions détaillé'!$T$6:$T$30))))))</f>
        <v/>
      </c>
      <c r="N369" s="411" t="str">
        <f>IF($M369&lt;&gt;"",IF(VLOOKUP($M369,'Plan d''actions détaillé'!$D$6:$P$30,8,FALSE)="","",VLOOKUP($M369,'Plan d''actions détaillé'!$D$6:$P$30,8,FALSE)),"")</f>
        <v/>
      </c>
      <c r="O369" s="483" t="str">
        <f>IF($M369&lt;&gt;"",IF(VLOOKUP($M369,'Plan d''actions détaillé'!$D$6:$P$30,6,FALSE)="","",VLOOKUP($M369,'Plan d''actions détaillé'!$D$6:$P$30,6,FALSE)),"")</f>
        <v/>
      </c>
      <c r="P369" s="483"/>
      <c r="Q369" s="483"/>
      <c r="R369" s="483"/>
      <c r="S369" s="483"/>
      <c r="T369" s="483"/>
      <c r="U369" s="483"/>
      <c r="V369" s="412" t="str">
        <f>IF($M369&lt;&gt;"",IF(VLOOKUP($M369,'Plan d''actions détaillé'!$D$6:$P$30,12,FALSE)="","",VLOOKUP($M369,'Plan d''actions détaillé'!$D$6:$P$30,12,FALSE)),"")</f>
        <v/>
      </c>
      <c r="W369" s="377"/>
    </row>
    <row r="370" spans="7:23" ht="7.5" customHeight="1" x14ac:dyDescent="0.2">
      <c r="G370" s="376"/>
      <c r="H370" s="372"/>
      <c r="I370" s="372"/>
      <c r="J370" s="414" t="str">
        <f t="array" ref="J370">IF($K$342="","",IF(INDEX('Plan d''actions détaillé'!A:A,MIN(IF((COUNTIF(J$357:J369,'Plan d''actions détaillé'!$A$6:$A$30)=0)*(INDEX('Plan d''actions détaillé'!$U$6:$AL$30,,MATCH($K$342,'Plan d''actions détaillé'!$U$5:$AL$5,0))="X"),ROW('Plan d''actions détaillé'!$T$6:$T$30))))=0,"",INDEX('Plan d''actions détaillé'!A:A,MIN(IF((COUNTIF(J$357:J369,'Plan d''actions détaillé'!$A$6:$A$30)=0)*(INDEX('Plan d''actions détaillé'!$U$6:$AL$30,,MATCH($K$342,'Plan d''actions détaillé'!$U$5:$AL$5,0))="X"),ROW('Plan d''actions détaillé'!$T$6:$T$30))))))</f>
        <v/>
      </c>
      <c r="K370" s="414"/>
      <c r="L370" s="415"/>
      <c r="M370" s="413" t="str">
        <f t="array" ref="M370">IF($K$342="","",IF(INDEX('Plan d''actions détaillé'!D:D,MIN(IF((COUNTIF(M$357:M369,'Plan d''actions détaillé'!$D$6:$D$30)=0)*(INDEX('Plan d''actions détaillé'!$U$6:$AL$30,,MATCH($K$342,'Plan d''actions détaillé'!$U$5:$AL$5,0))="X"),ROW('Plan d''actions détaillé'!$T$6:$T$30))))=0,"",INDEX('Plan d''actions détaillé'!D:D,MIN(IF((COUNTIF(M$357:M369,'Plan d''actions détaillé'!$D$6:$D$30)=0)*(INDEX('Plan d''actions détaillé'!$U$6:$AL$30,,MATCH($K$342,'Plan d''actions détaillé'!$U$5:$AL$5,0))="X"),ROW('Plan d''actions détaillé'!$T$6:$T$30))))))</f>
        <v/>
      </c>
      <c r="N370" s="411" t="str">
        <f>IF($M370&lt;&gt;"",IF(VLOOKUP($M370,'Plan d''actions détaillé'!$D$6:$P$30,8,FALSE)="","",VLOOKUP($M370,'Plan d''actions détaillé'!$D$6:$P$30,8,FALSE)),"")</f>
        <v/>
      </c>
      <c r="O370" s="483" t="str">
        <f>IF($M370&lt;&gt;"",IF(VLOOKUP($M370,'Plan d''actions détaillé'!$D$6:$P$30,6,FALSE)="","",VLOOKUP($M370,'Plan d''actions détaillé'!$D$6:$P$30,6,FALSE)),"")</f>
        <v/>
      </c>
      <c r="P370" s="483"/>
      <c r="Q370" s="483"/>
      <c r="R370" s="483"/>
      <c r="S370" s="483"/>
      <c r="T370" s="483"/>
      <c r="U370" s="483"/>
      <c r="V370" s="412" t="str">
        <f>IF($M370&lt;&gt;"",IF(VLOOKUP($M370,'Plan d''actions détaillé'!$D$6:$P$30,12,FALSE)="","",VLOOKUP($M370,'Plan d''actions détaillé'!$D$6:$P$30,12,FALSE)),"")</f>
        <v/>
      </c>
      <c r="W370" s="377"/>
    </row>
    <row r="371" spans="7:23" ht="7.5" customHeight="1" x14ac:dyDescent="0.2">
      <c r="G371" s="376"/>
      <c r="H371" s="372"/>
      <c r="I371" s="372"/>
      <c r="J371" s="414" t="str">
        <f t="array" ref="J371">IF($K$342="","",IF(INDEX('Plan d''actions détaillé'!A:A,MIN(IF((COUNTIF(J$357:J370,'Plan d''actions détaillé'!$A$6:$A$30)=0)*(INDEX('Plan d''actions détaillé'!$U$6:$AL$30,,MATCH($K$342,'Plan d''actions détaillé'!$U$5:$AL$5,0))="X"),ROW('Plan d''actions détaillé'!$T$6:$T$30))))=0,"",INDEX('Plan d''actions détaillé'!A:A,MIN(IF((COUNTIF(J$357:J370,'Plan d''actions détaillé'!$A$6:$A$30)=0)*(INDEX('Plan d''actions détaillé'!$U$6:$AL$30,,MATCH($K$342,'Plan d''actions détaillé'!$U$5:$AL$5,0))="X"),ROW('Plan d''actions détaillé'!$T$6:$T$30))))))</f>
        <v/>
      </c>
      <c r="K371" s="414"/>
      <c r="L371" s="415"/>
      <c r="M371" s="413" t="str">
        <f t="array" ref="M371">IF($K$342="","",IF(INDEX('Plan d''actions détaillé'!D:D,MIN(IF((COUNTIF(M$357:M370,'Plan d''actions détaillé'!$D$6:$D$30)=0)*(INDEX('Plan d''actions détaillé'!$U$6:$AL$30,,MATCH($K$342,'Plan d''actions détaillé'!$U$5:$AL$5,0))="X"),ROW('Plan d''actions détaillé'!$T$6:$T$30))))=0,"",INDEX('Plan d''actions détaillé'!D:D,MIN(IF((COUNTIF(M$357:M370,'Plan d''actions détaillé'!$D$6:$D$30)=0)*(INDEX('Plan d''actions détaillé'!$U$6:$AL$30,,MATCH($K$342,'Plan d''actions détaillé'!$U$5:$AL$5,0))="X"),ROW('Plan d''actions détaillé'!$T$6:$T$30))))))</f>
        <v/>
      </c>
      <c r="N371" s="411" t="str">
        <f>IF($M371&lt;&gt;"",IF(VLOOKUP($M371,'Plan d''actions détaillé'!$D$6:$P$30,8,FALSE)="","",VLOOKUP($M371,'Plan d''actions détaillé'!$D$6:$P$30,8,FALSE)),"")</f>
        <v/>
      </c>
      <c r="O371" s="483" t="str">
        <f>IF($M371&lt;&gt;"",IF(VLOOKUP($M371,'Plan d''actions détaillé'!$D$6:$P$30,6,FALSE)="","",VLOOKUP($M371,'Plan d''actions détaillé'!$D$6:$P$30,6,FALSE)),"")</f>
        <v/>
      </c>
      <c r="P371" s="483"/>
      <c r="Q371" s="483"/>
      <c r="R371" s="483"/>
      <c r="S371" s="483"/>
      <c r="T371" s="483"/>
      <c r="U371" s="483"/>
      <c r="V371" s="412" t="str">
        <f>IF($M371&lt;&gt;"",IF(VLOOKUP($M371,'Plan d''actions détaillé'!$D$6:$P$30,12,FALSE)="","",VLOOKUP($M371,'Plan d''actions détaillé'!$D$6:$P$30,12,FALSE)),"")</f>
        <v/>
      </c>
      <c r="W371" s="377"/>
    </row>
    <row r="372" spans="7:23" ht="7.5" customHeight="1" x14ac:dyDescent="0.2">
      <c r="G372" s="376"/>
      <c r="H372" s="372"/>
      <c r="I372" s="372"/>
      <c r="J372" s="414" t="str">
        <f t="array" ref="J372">IF($K$342="","",IF(INDEX('Plan d''actions détaillé'!A:A,MIN(IF((COUNTIF(J$357:J371,'Plan d''actions détaillé'!$A$6:$A$30)=0)*(INDEX('Plan d''actions détaillé'!$U$6:$AL$30,,MATCH($K$342,'Plan d''actions détaillé'!$U$5:$AL$5,0))="X"),ROW('Plan d''actions détaillé'!$T$6:$T$30))))=0,"",INDEX('Plan d''actions détaillé'!A:A,MIN(IF((COUNTIF(J$357:J371,'Plan d''actions détaillé'!$A$6:$A$30)=0)*(INDEX('Plan d''actions détaillé'!$U$6:$AL$30,,MATCH($K$342,'Plan d''actions détaillé'!$U$5:$AL$5,0))="X"),ROW('Plan d''actions détaillé'!$T$6:$T$30))))))</f>
        <v/>
      </c>
      <c r="K372" s="414"/>
      <c r="L372" s="415"/>
      <c r="M372" s="413" t="str">
        <f t="array" ref="M372">IF($K$342="","",IF(INDEX('Plan d''actions détaillé'!D:D,MIN(IF((COUNTIF(M$357:M371,'Plan d''actions détaillé'!$D$6:$D$30)=0)*(INDEX('Plan d''actions détaillé'!$U$6:$AL$30,,MATCH($K$342,'Plan d''actions détaillé'!$U$5:$AL$5,0))="X"),ROW('Plan d''actions détaillé'!$T$6:$T$30))))=0,"",INDEX('Plan d''actions détaillé'!D:D,MIN(IF((COUNTIF(M$357:M371,'Plan d''actions détaillé'!$D$6:$D$30)=0)*(INDEX('Plan d''actions détaillé'!$U$6:$AL$30,,MATCH($K$342,'Plan d''actions détaillé'!$U$5:$AL$5,0))="X"),ROW('Plan d''actions détaillé'!$T$6:$T$30))))))</f>
        <v/>
      </c>
      <c r="N372" s="411" t="str">
        <f>IF($M372&lt;&gt;"",IF(VLOOKUP($M372,'Plan d''actions détaillé'!$D$6:$P$30,8,FALSE)="","",VLOOKUP($M372,'Plan d''actions détaillé'!$D$6:$P$30,8,FALSE)),"")</f>
        <v/>
      </c>
      <c r="O372" s="483" t="str">
        <f>IF($M372&lt;&gt;"",IF(VLOOKUP($M372,'Plan d''actions détaillé'!$D$6:$P$30,6,FALSE)="","",VLOOKUP($M372,'Plan d''actions détaillé'!$D$6:$P$30,6,FALSE)),"")</f>
        <v/>
      </c>
      <c r="P372" s="483"/>
      <c r="Q372" s="483"/>
      <c r="R372" s="483"/>
      <c r="S372" s="483"/>
      <c r="T372" s="483"/>
      <c r="U372" s="483"/>
      <c r="V372" s="412" t="str">
        <f>IF($M372&lt;&gt;"",IF(VLOOKUP($M372,'Plan d''actions détaillé'!$D$6:$P$30,12,FALSE)="","",VLOOKUP($M372,'Plan d''actions détaillé'!$D$6:$P$30,12,FALSE)),"")</f>
        <v/>
      </c>
      <c r="W372" s="377"/>
    </row>
    <row r="373" spans="7:23" ht="7.5" customHeight="1" x14ac:dyDescent="0.2">
      <c r="G373" s="376"/>
      <c r="H373" s="372"/>
      <c r="I373" s="372"/>
      <c r="J373" s="414" t="str">
        <f t="array" ref="J373">IF($K$342="","",IF(INDEX('Plan d''actions détaillé'!A:A,MIN(IF((COUNTIF(J$357:J372,'Plan d''actions détaillé'!$A$6:$A$30)=0)*(INDEX('Plan d''actions détaillé'!$U$6:$AL$30,,MATCH($K$342,'Plan d''actions détaillé'!$U$5:$AL$5,0))="X"),ROW('Plan d''actions détaillé'!$T$6:$T$30))))=0,"",INDEX('Plan d''actions détaillé'!A:A,MIN(IF((COUNTIF(J$357:J372,'Plan d''actions détaillé'!$A$6:$A$30)=0)*(INDEX('Plan d''actions détaillé'!$U$6:$AL$30,,MATCH($K$342,'Plan d''actions détaillé'!$U$5:$AL$5,0))="X"),ROW('Plan d''actions détaillé'!$T$6:$T$30))))))</f>
        <v/>
      </c>
      <c r="K373" s="414"/>
      <c r="L373" s="415"/>
      <c r="M373" s="413" t="str">
        <f t="array" ref="M373">IF($K$342="","",IF(INDEX('Plan d''actions détaillé'!D:D,MIN(IF((COUNTIF(M$357:M372,'Plan d''actions détaillé'!$D$6:$D$30)=0)*(INDEX('Plan d''actions détaillé'!$U$6:$AL$30,,MATCH($K$342,'Plan d''actions détaillé'!$U$5:$AL$5,0))="X"),ROW('Plan d''actions détaillé'!$T$6:$T$30))))=0,"",INDEX('Plan d''actions détaillé'!D:D,MIN(IF((COUNTIF(M$357:M372,'Plan d''actions détaillé'!$D$6:$D$30)=0)*(INDEX('Plan d''actions détaillé'!$U$6:$AL$30,,MATCH($K$342,'Plan d''actions détaillé'!$U$5:$AL$5,0))="X"),ROW('Plan d''actions détaillé'!$T$6:$T$30))))))</f>
        <v/>
      </c>
      <c r="N373" s="411" t="str">
        <f>IF($M373&lt;&gt;"",IF(VLOOKUP($M373,'Plan d''actions détaillé'!$D$6:$P$30,8,FALSE)="","",VLOOKUP($M373,'Plan d''actions détaillé'!$D$6:$P$30,8,FALSE)),"")</f>
        <v/>
      </c>
      <c r="O373" s="483" t="str">
        <f>IF($M373&lt;&gt;"",IF(VLOOKUP($M373,'Plan d''actions détaillé'!$D$6:$P$30,6,FALSE)="","",VLOOKUP($M373,'Plan d''actions détaillé'!$D$6:$P$30,6,FALSE)),"")</f>
        <v/>
      </c>
      <c r="P373" s="483"/>
      <c r="Q373" s="483"/>
      <c r="R373" s="483"/>
      <c r="S373" s="483"/>
      <c r="T373" s="483"/>
      <c r="U373" s="483"/>
      <c r="V373" s="412" t="str">
        <f>IF($M373&lt;&gt;"",IF(VLOOKUP($M373,'Plan d''actions détaillé'!$D$6:$P$30,12,FALSE)="","",VLOOKUP($M373,'Plan d''actions détaillé'!$D$6:$P$30,12,FALSE)),"")</f>
        <v/>
      </c>
      <c r="W373" s="377"/>
    </row>
    <row r="374" spans="7:23" ht="13.5" thickBot="1" x14ac:dyDescent="0.25">
      <c r="G374" s="378"/>
      <c r="H374" s="379"/>
      <c r="I374" s="379"/>
      <c r="J374" s="379"/>
      <c r="K374" s="379"/>
      <c r="L374" s="379"/>
      <c r="M374" s="379"/>
      <c r="N374" s="380"/>
      <c r="O374" s="379"/>
      <c r="P374" s="379"/>
      <c r="Q374" s="379"/>
      <c r="R374" s="379"/>
      <c r="S374" s="379"/>
      <c r="T374" s="379"/>
      <c r="U374" s="379"/>
      <c r="V374" s="379"/>
      <c r="W374" s="381"/>
    </row>
    <row r="375" spans="7:23" ht="13.5" thickBot="1" x14ac:dyDescent="0.25"/>
    <row r="376" spans="7:23" x14ac:dyDescent="0.2">
      <c r="G376" s="373"/>
      <c r="H376" s="374"/>
      <c r="I376" s="374"/>
      <c r="J376" s="374"/>
      <c r="K376" s="374"/>
      <c r="L376" s="374"/>
      <c r="M376" s="374"/>
      <c r="N376" s="374"/>
      <c r="O376" s="374"/>
      <c r="P376" s="374"/>
      <c r="Q376" s="374"/>
      <c r="R376" s="374"/>
      <c r="S376" s="374"/>
      <c r="T376" s="374"/>
      <c r="U376" s="374"/>
      <c r="V376" s="374"/>
      <c r="W376" s="375"/>
    </row>
    <row r="377" spans="7:23" ht="12.75" customHeight="1" x14ac:dyDescent="0.2">
      <c r="G377" s="494" t="str">
        <f>C14</f>
        <v/>
      </c>
      <c r="H377" s="495"/>
      <c r="I377" s="495"/>
      <c r="J377" s="495"/>
      <c r="K377" s="496" t="str">
        <f>D14</f>
        <v/>
      </c>
      <c r="L377" s="496"/>
      <c r="M377" s="496"/>
      <c r="N377" s="496"/>
      <c r="O377" s="496"/>
      <c r="P377" s="496"/>
      <c r="Q377" s="496"/>
      <c r="R377" s="496"/>
      <c r="S377" s="496"/>
      <c r="T377" s="496"/>
      <c r="U377" s="496"/>
      <c r="V377" s="496"/>
      <c r="W377" s="397"/>
    </row>
    <row r="378" spans="7:23" ht="12.75" customHeight="1" x14ac:dyDescent="0.2">
      <c r="G378" s="494"/>
      <c r="H378" s="495"/>
      <c r="I378" s="495"/>
      <c r="J378" s="495"/>
      <c r="K378" s="496"/>
      <c r="L378" s="496"/>
      <c r="M378" s="496"/>
      <c r="N378" s="496"/>
      <c r="O378" s="496"/>
      <c r="P378" s="496"/>
      <c r="Q378" s="496"/>
      <c r="R378" s="496"/>
      <c r="S378" s="496"/>
      <c r="T378" s="496"/>
      <c r="U378" s="496"/>
      <c r="V378" s="496"/>
      <c r="W378" s="397"/>
    </row>
    <row r="379" spans="7:23" x14ac:dyDescent="0.2">
      <c r="G379" s="376"/>
      <c r="H379" s="372"/>
      <c r="I379" s="372"/>
      <c r="J379" s="372"/>
      <c r="K379" s="372"/>
      <c r="L379" s="372"/>
      <c r="M379" s="372"/>
      <c r="N379" s="372"/>
      <c r="O379" s="372"/>
      <c r="P379" s="372"/>
      <c r="Q379" s="372"/>
      <c r="R379" s="372"/>
      <c r="S379" s="372"/>
      <c r="T379" s="372"/>
      <c r="U379" s="372"/>
      <c r="V379" s="372"/>
      <c r="W379" s="377"/>
    </row>
    <row r="380" spans="7:23" ht="23.25" customHeight="1" x14ac:dyDescent="0.2">
      <c r="G380" s="497" t="s">
        <v>1</v>
      </c>
      <c r="H380" s="386" t="str">
        <f>IF(AND(O385=5,O386=1),"X","")</f>
        <v/>
      </c>
      <c r="I380" s="387" t="str">
        <f>IF(AND(O385=5,O386=2),"X","")</f>
        <v/>
      </c>
      <c r="J380" s="388" t="str">
        <f>IF(AND(O385=5,O386=3),"X","")</f>
        <v/>
      </c>
      <c r="K380" s="388" t="str">
        <f>IF(AND(O385=5,O386=4),"X","")</f>
        <v/>
      </c>
      <c r="L380" s="388" t="str">
        <f>IF(AND(O385=5,O386=5),"X","")</f>
        <v/>
      </c>
      <c r="N380" s="498" t="str">
        <f>"Processus de rattachement "</f>
        <v xml:space="preserve">Processus de rattachement </v>
      </c>
      <c r="O380" s="499"/>
      <c r="P380" s="499"/>
      <c r="Q380" s="499"/>
      <c r="R380" s="499"/>
      <c r="S380" s="499"/>
      <c r="T380" s="499"/>
      <c r="U380" s="499"/>
      <c r="V380" s="500"/>
      <c r="W380" s="377"/>
    </row>
    <row r="381" spans="7:23" ht="23.25" x14ac:dyDescent="0.2">
      <c r="G381" s="497"/>
      <c r="H381" s="389" t="str">
        <f>IF(AND(O385=4,O386=1),"X","")</f>
        <v/>
      </c>
      <c r="I381" s="390" t="str">
        <f>IF(AND(O385=4,O386=2),"X","")</f>
        <v/>
      </c>
      <c r="J381" s="387" t="str">
        <f>IF(AND(O385=4,O386=3),"X","")</f>
        <v/>
      </c>
      <c r="K381" s="388" t="str">
        <f>IF(AND(O385=4,O386=4),"X","")</f>
        <v/>
      </c>
      <c r="L381" s="388" t="str">
        <f>IF(AND(O385=4,O386=5),"X","")</f>
        <v/>
      </c>
      <c r="N381" s="501" t="str">
        <f>Matrice!$G$1&amp;" - "&amp;Matrice!$J$1</f>
        <v>DI2 - YYY</v>
      </c>
      <c r="O381" s="502"/>
      <c r="P381" s="502"/>
      <c r="Q381" s="502"/>
      <c r="R381" s="502"/>
      <c r="S381" s="502"/>
      <c r="T381" s="502"/>
      <c r="U381" s="502"/>
      <c r="V381" s="503"/>
      <c r="W381" s="377"/>
    </row>
    <row r="382" spans="7:23" ht="23.25" x14ac:dyDescent="0.2">
      <c r="G382" s="497"/>
      <c r="H382" s="389" t="str">
        <f>IF(AND(O385=3,O386=1),"X","")</f>
        <v/>
      </c>
      <c r="I382" s="390" t="str">
        <f>IF(AND(O385=3,O386=2),"X","")</f>
        <v/>
      </c>
      <c r="J382" s="390" t="str">
        <f>IF(AND(O385=3,O386=3),"X","")</f>
        <v/>
      </c>
      <c r="K382" s="387" t="str">
        <f>IF(AND(O385=3,O386=4),"X","")</f>
        <v/>
      </c>
      <c r="L382" s="388" t="str">
        <f>IF(AND(O385=3,O386=5),"X","")</f>
        <v/>
      </c>
      <c r="N382" s="372"/>
      <c r="O382" s="372"/>
      <c r="W382" s="377"/>
    </row>
    <row r="383" spans="7:23" ht="23.25" x14ac:dyDescent="0.2">
      <c r="G383" s="497"/>
      <c r="H383" s="391" t="str">
        <f>IF(AND(O385=2,O386=1),"X","")</f>
        <v/>
      </c>
      <c r="I383" s="392" t="str">
        <f>IF(AND(O385=2,O386=2),"X","")</f>
        <v/>
      </c>
      <c r="J383" s="390" t="str">
        <f>IF(AND(O385=2,O386=3),"X","")</f>
        <v/>
      </c>
      <c r="K383" s="390" t="str">
        <f>IF(AND(O385=2,O386=4),"X","")</f>
        <v/>
      </c>
      <c r="L383" s="387" t="str">
        <f>IF(AND(O385=2,O386=5),"X","")</f>
        <v/>
      </c>
      <c r="M383" s="372"/>
      <c r="N383" s="383" t="s">
        <v>236</v>
      </c>
      <c r="O383" s="382"/>
      <c r="P383" s="382"/>
      <c r="Q383" s="382"/>
      <c r="S383" s="385" t="s">
        <v>250</v>
      </c>
      <c r="T383" s="384"/>
      <c r="U383" s="384"/>
      <c r="V383" s="384"/>
      <c r="W383" s="377"/>
    </row>
    <row r="384" spans="7:23" ht="24" thickBot="1" x14ac:dyDescent="0.25">
      <c r="G384" s="376"/>
      <c r="H384" s="393" t="str">
        <f>IF(AND(O385=1,O386=1),"X","")</f>
        <v/>
      </c>
      <c r="I384" s="394" t="str">
        <f>IF(AND(O385=1,O386=2),"X","")</f>
        <v/>
      </c>
      <c r="J384" s="395" t="str">
        <f>IF(AND(O385=1,O386=3),"X","")</f>
        <v/>
      </c>
      <c r="K384" s="395" t="str">
        <f>IF(AND(O385=1,O386=4),"X","")</f>
        <v/>
      </c>
      <c r="L384" s="396" t="str">
        <f>IF(AND(O385=1,O386=5),"X","")</f>
        <v/>
      </c>
      <c r="M384" s="372"/>
      <c r="N384" s="406"/>
      <c r="O384" s="408" t="s">
        <v>237</v>
      </c>
      <c r="P384" s="408" t="s">
        <v>238</v>
      </c>
      <c r="Q384" s="406"/>
      <c r="R384" s="307"/>
      <c r="S384" s="420"/>
      <c r="T384" s="409" t="s">
        <v>237</v>
      </c>
      <c r="U384" s="409" t="s">
        <v>238</v>
      </c>
      <c r="V384" s="384"/>
      <c r="W384" s="377"/>
    </row>
    <row r="385" spans="7:23" ht="19.5" thickTop="1" thickBot="1" x14ac:dyDescent="0.25">
      <c r="G385" s="376"/>
      <c r="H385" s="484" t="s">
        <v>16</v>
      </c>
      <c r="I385" s="484"/>
      <c r="J385" s="484"/>
      <c r="K385" s="484"/>
      <c r="L385" s="484"/>
      <c r="M385" s="372"/>
      <c r="N385" s="407" t="s">
        <v>248</v>
      </c>
      <c r="O385" s="417" t="str">
        <f>VLOOKUP($K377,Risques!$D$21:$AB$40,17,FALSE)</f>
        <v/>
      </c>
      <c r="P385" s="418" t="str">
        <f>VLOOKUP(K377,Risques!$D$21:$AB$40,23,FALSE)</f>
        <v/>
      </c>
      <c r="Q385" s="382"/>
      <c r="S385" s="410" t="s">
        <v>248</v>
      </c>
      <c r="T385" s="419"/>
      <c r="U385" s="419"/>
      <c r="V385" s="384"/>
      <c r="W385" s="377"/>
    </row>
    <row r="386" spans="7:23" ht="19.5" thickTop="1" thickBot="1" x14ac:dyDescent="0.25">
      <c r="G386" s="376"/>
      <c r="H386" s="372"/>
      <c r="I386" s="372"/>
      <c r="J386" s="372"/>
      <c r="K386" s="372"/>
      <c r="L386" s="372"/>
      <c r="M386" s="372"/>
      <c r="N386" s="407" t="s">
        <v>249</v>
      </c>
      <c r="O386" s="417" t="str">
        <f>VLOOKUP(K377,Risques!$D$21:$AB$40,18,FALSE)</f>
        <v/>
      </c>
      <c r="P386" s="418" t="str">
        <f>VLOOKUP(K377,Risques!$D$21:$AB$40,24,FALSE)</f>
        <v/>
      </c>
      <c r="Q386" s="382"/>
      <c r="S386" s="410" t="s">
        <v>249</v>
      </c>
      <c r="T386" s="419"/>
      <c r="U386" s="419"/>
      <c r="V386" s="384"/>
      <c r="W386" s="377"/>
    </row>
    <row r="387" spans="7:23" ht="19.5" thickTop="1" thickBot="1" x14ac:dyDescent="0.25">
      <c r="G387" s="376"/>
      <c r="H387" s="372"/>
      <c r="I387" s="372"/>
      <c r="J387" s="372"/>
      <c r="K387" s="372"/>
      <c r="L387" s="372"/>
      <c r="M387" s="372"/>
      <c r="N387" s="407" t="s">
        <v>251</v>
      </c>
      <c r="O387" s="417" t="str">
        <f>VLOOKUP(K377,Risques!$D$21:$AB$40,19,FALSE)</f>
        <v/>
      </c>
      <c r="P387" s="418" t="str">
        <f>VLOOKUP(K377,Risques!$D$21:$AB$40,25,FALSE)</f>
        <v/>
      </c>
      <c r="Q387" s="382"/>
      <c r="S387" s="410" t="s">
        <v>251</v>
      </c>
      <c r="T387" s="419"/>
      <c r="U387" s="419"/>
      <c r="V387" s="384"/>
      <c r="W387" s="377"/>
    </row>
    <row r="388" spans="7:23" ht="13.5" thickTop="1" x14ac:dyDescent="0.2">
      <c r="G388" s="376"/>
      <c r="H388" s="372"/>
      <c r="I388" s="372"/>
      <c r="J388" s="372"/>
      <c r="K388" s="372"/>
      <c r="L388" s="372"/>
      <c r="M388" s="372"/>
      <c r="N388" s="382"/>
      <c r="O388" s="382"/>
      <c r="P388" s="382"/>
      <c r="Q388" s="382"/>
      <c r="S388" s="384"/>
      <c r="T388" s="384"/>
      <c r="U388" s="384"/>
      <c r="V388" s="384"/>
      <c r="W388" s="377"/>
    </row>
    <row r="389" spans="7:23" x14ac:dyDescent="0.2">
      <c r="G389" s="376"/>
      <c r="H389" s="372"/>
      <c r="I389" s="372"/>
      <c r="J389" s="372"/>
      <c r="K389" s="372"/>
      <c r="L389" s="372"/>
      <c r="M389" s="372"/>
      <c r="W389" s="377"/>
    </row>
    <row r="390" spans="7:23" ht="18" customHeight="1" x14ac:dyDescent="0.2">
      <c r="G390" s="376"/>
      <c r="H390" s="372"/>
      <c r="I390" s="372"/>
      <c r="J390" s="492" t="s">
        <v>253</v>
      </c>
      <c r="K390" s="492"/>
      <c r="L390" s="493"/>
      <c r="M390" s="485" t="str">
        <f>VLOOKUP($K377,Risques!$D$21:$AB$40,3,FALSE)</f>
        <v/>
      </c>
      <c r="N390" s="486"/>
      <c r="O390" s="486"/>
      <c r="P390" s="486"/>
      <c r="Q390" s="486"/>
      <c r="R390" s="486"/>
      <c r="S390" s="486"/>
      <c r="T390" s="486"/>
      <c r="U390" s="486"/>
      <c r="V390" s="487"/>
      <c r="W390" s="377"/>
    </row>
    <row r="391" spans="7:23" ht="46.5" customHeight="1" x14ac:dyDescent="0.25">
      <c r="G391" s="399"/>
      <c r="H391" s="400"/>
      <c r="I391" s="400"/>
      <c r="J391" s="492"/>
      <c r="K391" s="492"/>
      <c r="L391" s="493"/>
      <c r="M391" s="488"/>
      <c r="N391" s="489"/>
      <c r="O391" s="489"/>
      <c r="P391" s="489"/>
      <c r="Q391" s="489"/>
      <c r="R391" s="489"/>
      <c r="S391" s="489"/>
      <c r="T391" s="489"/>
      <c r="U391" s="489"/>
      <c r="V391" s="490"/>
      <c r="W391" s="401"/>
    </row>
    <row r="392" spans="7:23" x14ac:dyDescent="0.2">
      <c r="G392" s="376"/>
      <c r="H392" s="372"/>
      <c r="I392" s="372"/>
      <c r="J392" s="372"/>
      <c r="K392" s="372"/>
      <c r="L392" s="372"/>
      <c r="M392" s="372"/>
      <c r="N392" s="403"/>
      <c r="O392" s="403"/>
      <c r="P392" s="403"/>
      <c r="Q392" s="403"/>
      <c r="R392" s="403"/>
      <c r="S392" s="403"/>
      <c r="T392" s="403"/>
      <c r="U392" s="403"/>
      <c r="V392" s="404"/>
      <c r="W392" s="377"/>
    </row>
    <row r="393" spans="7:23" ht="31.5" customHeight="1" x14ac:dyDescent="0.2">
      <c r="G393" s="376"/>
      <c r="H393" s="372"/>
      <c r="I393" s="372"/>
      <c r="J393" s="491" t="s">
        <v>239</v>
      </c>
      <c r="K393" s="491"/>
      <c r="L393" s="491"/>
      <c r="M393" s="416" t="s">
        <v>240</v>
      </c>
      <c r="N393" s="416" t="s">
        <v>241</v>
      </c>
      <c r="O393" s="491" t="s">
        <v>242</v>
      </c>
      <c r="P393" s="491"/>
      <c r="Q393" s="491"/>
      <c r="R393" s="491"/>
      <c r="S393" s="491"/>
      <c r="T393" s="491"/>
      <c r="U393" s="491"/>
      <c r="V393" s="416" t="s">
        <v>243</v>
      </c>
      <c r="W393" s="377"/>
    </row>
    <row r="394" spans="7:23" ht="7.5" customHeight="1" x14ac:dyDescent="0.2">
      <c r="G394" s="376"/>
      <c r="H394" s="372"/>
      <c r="I394" s="372"/>
      <c r="J394" s="414" t="str">
        <f t="array" ref="J394">IF($K$377="","",IF(INDEX('Plan d''actions détaillé'!A:A,MIN(IF((COUNTIF(J$392:J393,'Plan d''actions détaillé'!$A$6:$A$30)=0)*(INDEX('Plan d''actions détaillé'!$U$6:$AL$30,,MATCH($K$377,'Plan d''actions détaillé'!$U$5:$AL$5,0))="X"),ROW('Plan d''actions détaillé'!$T$6:$T$30))))=0,"",INDEX('Plan d''actions détaillé'!A:A,MIN(IF((COUNTIF(J$392:J393,'Plan d''actions détaillé'!$A$6:$A$30)=0)*(INDEX('Plan d''actions détaillé'!$U$6:$AL$30,,MATCH($K$377,'Plan d''actions détaillé'!$U$5:$AL$5,0))="X"),ROW('Plan d''actions détaillé'!$T$6:$T$30))))))</f>
        <v/>
      </c>
      <c r="K394" s="414"/>
      <c r="L394" s="415"/>
      <c r="M394" s="413" t="str">
        <f t="array" ref="M394">IF($K$377="","",IF(INDEX('Plan d''actions détaillé'!D:D,MIN(IF((COUNTIF(M$392:M393,'Plan d''actions détaillé'!$D$6:$D$30)=0)*(INDEX('Plan d''actions détaillé'!$U$6:$AL$30,,MATCH($K$377,'Plan d''actions détaillé'!$U$5:$AL$5,0))="X"),ROW('Plan d''actions détaillé'!$T$6:$T$30))))=0,"",INDEX('Plan d''actions détaillé'!D:D,MIN(IF((COUNTIF(M$392:M393,'Plan d''actions détaillé'!$D$6:$D$30)=0)*(INDEX('Plan d''actions détaillé'!$U$6:$AL$30,,MATCH($K$377,'Plan d''actions détaillé'!$U$5:$AL$5,0))="X"),ROW('Plan d''actions détaillé'!$T$6:$T$30))))))</f>
        <v/>
      </c>
      <c r="N394" s="411" t="str">
        <f>IF($M394&lt;&gt;"",IF(VLOOKUP($M394,'Plan d''actions détaillé'!$D$6:$P$30,8,FALSE)="","",VLOOKUP($M394,'Plan d''actions détaillé'!$D$6:$P$30,8,FALSE)),"")</f>
        <v/>
      </c>
      <c r="O394" s="483" t="str">
        <f>IF($M394&lt;&gt;"",IF(VLOOKUP($M394,'Plan d''actions détaillé'!$D$6:$P$30,6,FALSE)="","",VLOOKUP($M394,'Plan d''actions détaillé'!$D$6:$P$30,6,FALSE)),"")</f>
        <v/>
      </c>
      <c r="P394" s="483"/>
      <c r="Q394" s="483"/>
      <c r="R394" s="483"/>
      <c r="S394" s="483"/>
      <c r="T394" s="483"/>
      <c r="U394" s="483"/>
      <c r="V394" s="412" t="str">
        <f>IF($M394&lt;&gt;"",IF(VLOOKUP($M394,'Plan d''actions détaillé'!$D$6:$P$30,12,FALSE)="","",VLOOKUP($M394,'Plan d''actions détaillé'!$D$6:$P$30,12,FALSE)),"")</f>
        <v/>
      </c>
      <c r="W394" s="377"/>
    </row>
    <row r="395" spans="7:23" ht="7.5" customHeight="1" x14ac:dyDescent="0.2">
      <c r="G395" s="376"/>
      <c r="H395" s="372"/>
      <c r="I395" s="372"/>
      <c r="J395" s="414" t="str">
        <f t="array" ref="J395">IF($K$377="","",IF(INDEX('Plan d''actions détaillé'!A:A,MIN(IF((COUNTIF(J$392:J394,'Plan d''actions détaillé'!$A$6:$A$30)=0)*(INDEX('Plan d''actions détaillé'!$U$6:$AL$30,,MATCH($K$377,'Plan d''actions détaillé'!$U$5:$AL$5,0))="X"),ROW('Plan d''actions détaillé'!$T$6:$T$30))))=0,"",INDEX('Plan d''actions détaillé'!A:A,MIN(IF((COUNTIF(J$392:J394,'Plan d''actions détaillé'!$A$6:$A$30)=0)*(INDEX('Plan d''actions détaillé'!$U$6:$AL$30,,MATCH($K$377,'Plan d''actions détaillé'!$U$5:$AL$5,0))="X"),ROW('Plan d''actions détaillé'!$T$6:$T$30))))))</f>
        <v/>
      </c>
      <c r="K395" s="414"/>
      <c r="L395" s="415"/>
      <c r="M395" s="413" t="str">
        <f t="array" ref="M395">IF($K$377="","",IF(INDEX('Plan d''actions détaillé'!D:D,MIN(IF((COUNTIF(M$392:M394,'Plan d''actions détaillé'!$D$6:$D$30)=0)*(INDEX('Plan d''actions détaillé'!$U$6:$AL$30,,MATCH($K$377,'Plan d''actions détaillé'!$U$5:$AL$5,0))="X"),ROW('Plan d''actions détaillé'!$T$6:$T$30))))=0,"",INDEX('Plan d''actions détaillé'!D:D,MIN(IF((COUNTIF(M$392:M394,'Plan d''actions détaillé'!$D$6:$D$30)=0)*(INDEX('Plan d''actions détaillé'!$U$6:$AL$30,,MATCH($K$377,'Plan d''actions détaillé'!$U$5:$AL$5,0))="X"),ROW('Plan d''actions détaillé'!$T$6:$T$30))))))</f>
        <v/>
      </c>
      <c r="N395" s="411" t="str">
        <f>IF($M395&lt;&gt;"",IF(VLOOKUP($M395,'Plan d''actions détaillé'!$D$6:$P$30,8,FALSE)="","",VLOOKUP($M395,'Plan d''actions détaillé'!$D$6:$P$30,8,FALSE)),"")</f>
        <v/>
      </c>
      <c r="O395" s="483" t="str">
        <f>IF($M395&lt;&gt;"",IF(VLOOKUP($M395,'Plan d''actions détaillé'!$D$6:$P$30,6,FALSE)="","",VLOOKUP($M395,'Plan d''actions détaillé'!$D$6:$P$30,6,FALSE)),"")</f>
        <v/>
      </c>
      <c r="P395" s="483"/>
      <c r="Q395" s="483"/>
      <c r="R395" s="483"/>
      <c r="S395" s="483"/>
      <c r="T395" s="483"/>
      <c r="U395" s="483"/>
      <c r="V395" s="412" t="str">
        <f>IF($M395&lt;&gt;"",IF(VLOOKUP($M395,'Plan d''actions détaillé'!$D$6:$P$30,12,FALSE)="","",VLOOKUP($M395,'Plan d''actions détaillé'!$D$6:$P$30,12,FALSE)),"")</f>
        <v/>
      </c>
      <c r="W395" s="377"/>
    </row>
    <row r="396" spans="7:23" ht="7.5" customHeight="1" x14ac:dyDescent="0.2">
      <c r="G396" s="376"/>
      <c r="H396" s="372"/>
      <c r="I396" s="372"/>
      <c r="J396" s="414" t="str">
        <f t="array" ref="J396">IF($K$377="","",IF(INDEX('Plan d''actions détaillé'!A:A,MIN(IF((COUNTIF(J$392:J395,'Plan d''actions détaillé'!$A$6:$A$30)=0)*(INDEX('Plan d''actions détaillé'!$U$6:$AL$30,,MATCH($K$377,'Plan d''actions détaillé'!$U$5:$AL$5,0))="X"),ROW('Plan d''actions détaillé'!$T$6:$T$30))))=0,"",INDEX('Plan d''actions détaillé'!A:A,MIN(IF((COUNTIF(J$392:J395,'Plan d''actions détaillé'!$A$6:$A$30)=0)*(INDEX('Plan d''actions détaillé'!$U$6:$AL$30,,MATCH($K$377,'Plan d''actions détaillé'!$U$5:$AL$5,0))="X"),ROW('Plan d''actions détaillé'!$T$6:$T$30))))))</f>
        <v/>
      </c>
      <c r="K396" s="414"/>
      <c r="L396" s="415"/>
      <c r="M396" s="413" t="str">
        <f t="array" ref="M396">IF($K$377="","",IF(INDEX('Plan d''actions détaillé'!D:D,MIN(IF((COUNTIF(M$392:M395,'Plan d''actions détaillé'!$D$6:$D$30)=0)*(INDEX('Plan d''actions détaillé'!$U$6:$AL$30,,MATCH($K$377,'Plan d''actions détaillé'!$U$5:$AL$5,0))="X"),ROW('Plan d''actions détaillé'!$T$6:$T$30))))=0,"",INDEX('Plan d''actions détaillé'!D:D,MIN(IF((COUNTIF(M$392:M395,'Plan d''actions détaillé'!$D$6:$D$30)=0)*(INDEX('Plan d''actions détaillé'!$U$6:$AL$30,,MATCH($K$377,'Plan d''actions détaillé'!$U$5:$AL$5,0))="X"),ROW('Plan d''actions détaillé'!$T$6:$T$30))))))</f>
        <v/>
      </c>
      <c r="N396" s="411" t="str">
        <f>IF($M396&lt;&gt;"",IF(VLOOKUP($M396,'Plan d''actions détaillé'!$D$6:$P$30,8,FALSE)="","",VLOOKUP($M396,'Plan d''actions détaillé'!$D$6:$P$30,8,FALSE)),"")</f>
        <v/>
      </c>
      <c r="O396" s="483" t="str">
        <f>IF($M396&lt;&gt;"",IF(VLOOKUP($M396,'Plan d''actions détaillé'!$D$6:$P$30,6,FALSE)="","",VLOOKUP($M396,'Plan d''actions détaillé'!$D$6:$P$30,6,FALSE)),"")</f>
        <v/>
      </c>
      <c r="P396" s="483"/>
      <c r="Q396" s="483"/>
      <c r="R396" s="483"/>
      <c r="S396" s="483"/>
      <c r="T396" s="483"/>
      <c r="U396" s="483"/>
      <c r="V396" s="412" t="str">
        <f>IF($M396&lt;&gt;"",IF(VLOOKUP($M396,'Plan d''actions détaillé'!$D$6:$P$30,12,FALSE)="","",VLOOKUP($M396,'Plan d''actions détaillé'!$D$6:$P$30,12,FALSE)),"")</f>
        <v/>
      </c>
      <c r="W396" s="377"/>
    </row>
    <row r="397" spans="7:23" ht="7.5" customHeight="1" x14ac:dyDescent="0.2">
      <c r="G397" s="376"/>
      <c r="H397" s="372"/>
      <c r="I397" s="372"/>
      <c r="J397" s="414" t="str">
        <f t="array" ref="J397">IF($K$377="","",IF(INDEX('Plan d''actions détaillé'!A:A,MIN(IF((COUNTIF(J$392:J396,'Plan d''actions détaillé'!$A$6:$A$30)=0)*(INDEX('Plan d''actions détaillé'!$U$6:$AL$30,,MATCH($K$377,'Plan d''actions détaillé'!$U$5:$AL$5,0))="X"),ROW('Plan d''actions détaillé'!$T$6:$T$30))))=0,"",INDEX('Plan d''actions détaillé'!A:A,MIN(IF((COUNTIF(J$392:J396,'Plan d''actions détaillé'!$A$6:$A$30)=0)*(INDEX('Plan d''actions détaillé'!$U$6:$AL$30,,MATCH($K$377,'Plan d''actions détaillé'!$U$5:$AL$5,0))="X"),ROW('Plan d''actions détaillé'!$T$6:$T$30))))))</f>
        <v/>
      </c>
      <c r="K397" s="414"/>
      <c r="L397" s="415"/>
      <c r="M397" s="413" t="str">
        <f t="array" ref="M397">IF($K$377="","",IF(INDEX('Plan d''actions détaillé'!D:D,MIN(IF((COUNTIF(M$392:M396,'Plan d''actions détaillé'!$D$6:$D$30)=0)*(INDEX('Plan d''actions détaillé'!$U$6:$AL$30,,MATCH($K$377,'Plan d''actions détaillé'!$U$5:$AL$5,0))="X"),ROW('Plan d''actions détaillé'!$T$6:$T$30))))=0,"",INDEX('Plan d''actions détaillé'!D:D,MIN(IF((COUNTIF(M$392:M396,'Plan d''actions détaillé'!$D$6:$D$30)=0)*(INDEX('Plan d''actions détaillé'!$U$6:$AL$30,,MATCH($K$377,'Plan d''actions détaillé'!$U$5:$AL$5,0))="X"),ROW('Plan d''actions détaillé'!$T$6:$T$30))))))</f>
        <v/>
      </c>
      <c r="N397" s="411" t="str">
        <f>IF($M397&lt;&gt;"",IF(VLOOKUP($M397,'Plan d''actions détaillé'!$D$6:$P$30,8,FALSE)="","",VLOOKUP($M397,'Plan d''actions détaillé'!$D$6:$P$30,8,FALSE)),"")</f>
        <v/>
      </c>
      <c r="O397" s="483" t="str">
        <f>IF($M397&lt;&gt;"",IF(VLOOKUP($M397,'Plan d''actions détaillé'!$D$6:$P$30,6,FALSE)="","",VLOOKUP($M397,'Plan d''actions détaillé'!$D$6:$P$30,6,FALSE)),"")</f>
        <v/>
      </c>
      <c r="P397" s="483"/>
      <c r="Q397" s="483"/>
      <c r="R397" s="483"/>
      <c r="S397" s="483"/>
      <c r="T397" s="483"/>
      <c r="U397" s="483"/>
      <c r="V397" s="412" t="str">
        <f>IF($M397&lt;&gt;"",IF(VLOOKUP($M397,'Plan d''actions détaillé'!$D$6:$P$30,12,FALSE)="","",VLOOKUP($M397,'Plan d''actions détaillé'!$D$6:$P$30,12,FALSE)),"")</f>
        <v/>
      </c>
      <c r="W397" s="377"/>
    </row>
    <row r="398" spans="7:23" ht="7.5" customHeight="1" x14ac:dyDescent="0.2">
      <c r="G398" s="376"/>
      <c r="H398" s="372"/>
      <c r="I398" s="372"/>
      <c r="J398" s="414" t="str">
        <f t="array" ref="J398">IF($K$377="","",IF(INDEX('Plan d''actions détaillé'!A:A,MIN(IF((COUNTIF(J$392:J397,'Plan d''actions détaillé'!$A$6:$A$30)=0)*(INDEX('Plan d''actions détaillé'!$U$6:$AL$30,,MATCH($K$377,'Plan d''actions détaillé'!$U$5:$AL$5,0))="X"),ROW('Plan d''actions détaillé'!$T$6:$T$30))))=0,"",INDEX('Plan d''actions détaillé'!A:A,MIN(IF((COUNTIF(J$392:J397,'Plan d''actions détaillé'!$A$6:$A$30)=0)*(INDEX('Plan d''actions détaillé'!$U$6:$AL$30,,MATCH($K$377,'Plan d''actions détaillé'!$U$5:$AL$5,0))="X"),ROW('Plan d''actions détaillé'!$T$6:$T$30))))))</f>
        <v/>
      </c>
      <c r="K398" s="414"/>
      <c r="L398" s="415"/>
      <c r="M398" s="413" t="str">
        <f t="array" ref="M398">IF($K$377="","",IF(INDEX('Plan d''actions détaillé'!D:D,MIN(IF((COUNTIF(M$392:M397,'Plan d''actions détaillé'!$D$6:$D$30)=0)*(INDEX('Plan d''actions détaillé'!$U$6:$AL$30,,MATCH($K$377,'Plan d''actions détaillé'!$U$5:$AL$5,0))="X"),ROW('Plan d''actions détaillé'!$T$6:$T$30))))=0,"",INDEX('Plan d''actions détaillé'!D:D,MIN(IF((COUNTIF(M$392:M397,'Plan d''actions détaillé'!$D$6:$D$30)=0)*(INDEX('Plan d''actions détaillé'!$U$6:$AL$30,,MATCH($K$377,'Plan d''actions détaillé'!$U$5:$AL$5,0))="X"),ROW('Plan d''actions détaillé'!$T$6:$T$30))))))</f>
        <v/>
      </c>
      <c r="N398" s="411" t="str">
        <f>IF($M398&lt;&gt;"",IF(VLOOKUP($M398,'Plan d''actions détaillé'!$D$6:$P$30,8,FALSE)="","",VLOOKUP($M398,'Plan d''actions détaillé'!$D$6:$P$30,8,FALSE)),"")</f>
        <v/>
      </c>
      <c r="O398" s="483" t="str">
        <f>IF($M398&lt;&gt;"",IF(VLOOKUP($M398,'Plan d''actions détaillé'!$D$6:$P$30,6,FALSE)="","",VLOOKUP($M398,'Plan d''actions détaillé'!$D$6:$P$30,6,FALSE)),"")</f>
        <v/>
      </c>
      <c r="P398" s="483"/>
      <c r="Q398" s="483"/>
      <c r="R398" s="483"/>
      <c r="S398" s="483"/>
      <c r="T398" s="483"/>
      <c r="U398" s="483"/>
      <c r="V398" s="412" t="str">
        <f>IF($M398&lt;&gt;"",IF(VLOOKUP($M398,'Plan d''actions détaillé'!$D$6:$P$30,12,FALSE)="","",VLOOKUP($M398,'Plan d''actions détaillé'!$D$6:$P$30,12,FALSE)),"")</f>
        <v/>
      </c>
      <c r="W398" s="377"/>
    </row>
    <row r="399" spans="7:23" ht="7.5" customHeight="1" x14ac:dyDescent="0.2">
      <c r="G399" s="376"/>
      <c r="H399" s="372"/>
      <c r="I399" s="372"/>
      <c r="J399" s="414" t="str">
        <f t="array" ref="J399">IF($K$377="","",IF(INDEX('Plan d''actions détaillé'!A:A,MIN(IF((COUNTIF(J$392:J398,'Plan d''actions détaillé'!$A$6:$A$30)=0)*(INDEX('Plan d''actions détaillé'!$U$6:$AL$30,,MATCH($K$377,'Plan d''actions détaillé'!$U$5:$AL$5,0))="X"),ROW('Plan d''actions détaillé'!$T$6:$T$30))))=0,"",INDEX('Plan d''actions détaillé'!A:A,MIN(IF((COUNTIF(J$392:J398,'Plan d''actions détaillé'!$A$6:$A$30)=0)*(INDEX('Plan d''actions détaillé'!$U$6:$AL$30,,MATCH($K$377,'Plan d''actions détaillé'!$U$5:$AL$5,0))="X"),ROW('Plan d''actions détaillé'!$T$6:$T$30))))))</f>
        <v/>
      </c>
      <c r="K399" s="414"/>
      <c r="L399" s="415"/>
      <c r="M399" s="413" t="str">
        <f t="array" ref="M399">IF($K$377="","",IF(INDEX('Plan d''actions détaillé'!D:D,MIN(IF((COUNTIF(M$392:M398,'Plan d''actions détaillé'!$D$6:$D$30)=0)*(INDEX('Plan d''actions détaillé'!$U$6:$AL$30,,MATCH($K$377,'Plan d''actions détaillé'!$U$5:$AL$5,0))="X"),ROW('Plan d''actions détaillé'!$T$6:$T$30))))=0,"",INDEX('Plan d''actions détaillé'!D:D,MIN(IF((COUNTIF(M$392:M398,'Plan d''actions détaillé'!$D$6:$D$30)=0)*(INDEX('Plan d''actions détaillé'!$U$6:$AL$30,,MATCH($K$377,'Plan d''actions détaillé'!$U$5:$AL$5,0))="X"),ROW('Plan d''actions détaillé'!$T$6:$T$30))))))</f>
        <v/>
      </c>
      <c r="N399" s="411" t="str">
        <f>IF($M399&lt;&gt;"",IF(VLOOKUP($M399,'Plan d''actions détaillé'!$D$6:$P$30,8,FALSE)="","",VLOOKUP($M399,'Plan d''actions détaillé'!$D$6:$P$30,8,FALSE)),"")</f>
        <v/>
      </c>
      <c r="O399" s="483" t="str">
        <f>IF($M399&lt;&gt;"",IF(VLOOKUP($M399,'Plan d''actions détaillé'!$D$6:$P$30,6,FALSE)="","",VLOOKUP($M399,'Plan d''actions détaillé'!$D$6:$P$30,6,FALSE)),"")</f>
        <v/>
      </c>
      <c r="P399" s="483"/>
      <c r="Q399" s="483"/>
      <c r="R399" s="483"/>
      <c r="S399" s="483"/>
      <c r="T399" s="483"/>
      <c r="U399" s="483"/>
      <c r="V399" s="412" t="str">
        <f>IF($M399&lt;&gt;"",IF(VLOOKUP($M399,'Plan d''actions détaillé'!$D$6:$P$30,12,FALSE)="","",VLOOKUP($M399,'Plan d''actions détaillé'!$D$6:$P$30,12,FALSE)),"")</f>
        <v/>
      </c>
      <c r="W399" s="377"/>
    </row>
    <row r="400" spans="7:23" ht="7.5" customHeight="1" x14ac:dyDescent="0.2">
      <c r="G400" s="376"/>
      <c r="H400" s="372"/>
      <c r="I400" s="372"/>
      <c r="J400" s="414" t="str">
        <f t="array" ref="J400">IF($K$377="","",IF(INDEX('Plan d''actions détaillé'!A:A,MIN(IF((COUNTIF(J$392:J399,'Plan d''actions détaillé'!$A$6:$A$30)=0)*(INDEX('Plan d''actions détaillé'!$U$6:$AL$30,,MATCH($K$377,'Plan d''actions détaillé'!$U$5:$AL$5,0))="X"),ROW('Plan d''actions détaillé'!$T$6:$T$30))))=0,"",INDEX('Plan d''actions détaillé'!A:A,MIN(IF((COUNTIF(J$392:J399,'Plan d''actions détaillé'!$A$6:$A$30)=0)*(INDEX('Plan d''actions détaillé'!$U$6:$AL$30,,MATCH($K$377,'Plan d''actions détaillé'!$U$5:$AL$5,0))="X"),ROW('Plan d''actions détaillé'!$T$6:$T$30))))))</f>
        <v/>
      </c>
      <c r="K400" s="414"/>
      <c r="L400" s="415"/>
      <c r="M400" s="413" t="str">
        <f t="array" ref="M400">IF($K$377="","",IF(INDEX('Plan d''actions détaillé'!D:D,MIN(IF((COUNTIF(M$392:M399,'Plan d''actions détaillé'!$D$6:$D$30)=0)*(INDEX('Plan d''actions détaillé'!$U$6:$AL$30,,MATCH($K$377,'Plan d''actions détaillé'!$U$5:$AL$5,0))="X"),ROW('Plan d''actions détaillé'!$T$6:$T$30))))=0,"",INDEX('Plan d''actions détaillé'!D:D,MIN(IF((COUNTIF(M$392:M399,'Plan d''actions détaillé'!$D$6:$D$30)=0)*(INDEX('Plan d''actions détaillé'!$U$6:$AL$30,,MATCH($K$377,'Plan d''actions détaillé'!$U$5:$AL$5,0))="X"),ROW('Plan d''actions détaillé'!$T$6:$T$30))))))</f>
        <v/>
      </c>
      <c r="N400" s="411" t="str">
        <f>IF($M400&lt;&gt;"",IF(VLOOKUP($M400,'Plan d''actions détaillé'!$D$6:$P$30,8,FALSE)="","",VLOOKUP($M400,'Plan d''actions détaillé'!$D$6:$P$30,8,FALSE)),"")</f>
        <v/>
      </c>
      <c r="O400" s="483" t="str">
        <f>IF($M400&lt;&gt;"",IF(VLOOKUP($M400,'Plan d''actions détaillé'!$D$6:$P$30,6,FALSE)="","",VLOOKUP($M400,'Plan d''actions détaillé'!$D$6:$P$30,6,FALSE)),"")</f>
        <v/>
      </c>
      <c r="P400" s="483"/>
      <c r="Q400" s="483"/>
      <c r="R400" s="483"/>
      <c r="S400" s="483"/>
      <c r="T400" s="483"/>
      <c r="U400" s="483"/>
      <c r="V400" s="412" t="str">
        <f>IF($M400&lt;&gt;"",IF(VLOOKUP($M400,'Plan d''actions détaillé'!$D$6:$P$30,12,FALSE)="","",VLOOKUP($M400,'Plan d''actions détaillé'!$D$6:$P$30,12,FALSE)),"")</f>
        <v/>
      </c>
      <c r="W400" s="377"/>
    </row>
    <row r="401" spans="7:23" ht="7.5" customHeight="1" x14ac:dyDescent="0.2">
      <c r="G401" s="376"/>
      <c r="H401" s="372"/>
      <c r="I401" s="372"/>
      <c r="J401" s="414" t="str">
        <f t="array" ref="J401">IF($K$377="","",IF(INDEX('Plan d''actions détaillé'!A:A,MIN(IF((COUNTIF(J$392:J400,'Plan d''actions détaillé'!$A$6:$A$30)=0)*(INDEX('Plan d''actions détaillé'!$U$6:$AL$30,,MATCH($K$377,'Plan d''actions détaillé'!$U$5:$AL$5,0))="X"),ROW('Plan d''actions détaillé'!$T$6:$T$30))))=0,"",INDEX('Plan d''actions détaillé'!A:A,MIN(IF((COUNTIF(J$392:J400,'Plan d''actions détaillé'!$A$6:$A$30)=0)*(INDEX('Plan d''actions détaillé'!$U$6:$AL$30,,MATCH($K$377,'Plan d''actions détaillé'!$U$5:$AL$5,0))="X"),ROW('Plan d''actions détaillé'!$T$6:$T$30))))))</f>
        <v/>
      </c>
      <c r="K401" s="414"/>
      <c r="L401" s="415"/>
      <c r="M401" s="413" t="str">
        <f t="array" ref="M401">IF($K$377="","",IF(INDEX('Plan d''actions détaillé'!D:D,MIN(IF((COUNTIF(M$392:M400,'Plan d''actions détaillé'!$D$6:$D$30)=0)*(INDEX('Plan d''actions détaillé'!$U$6:$AL$30,,MATCH($K$377,'Plan d''actions détaillé'!$U$5:$AL$5,0))="X"),ROW('Plan d''actions détaillé'!$T$6:$T$30))))=0,"",INDEX('Plan d''actions détaillé'!D:D,MIN(IF((COUNTIF(M$392:M400,'Plan d''actions détaillé'!$D$6:$D$30)=0)*(INDEX('Plan d''actions détaillé'!$U$6:$AL$30,,MATCH($K$377,'Plan d''actions détaillé'!$U$5:$AL$5,0))="X"),ROW('Plan d''actions détaillé'!$T$6:$T$30))))))</f>
        <v/>
      </c>
      <c r="N401" s="411" t="str">
        <f>IF($M401&lt;&gt;"",IF(VLOOKUP($M401,'Plan d''actions détaillé'!$D$6:$P$30,8,FALSE)="","",VLOOKUP($M401,'Plan d''actions détaillé'!$D$6:$P$30,8,FALSE)),"")</f>
        <v/>
      </c>
      <c r="O401" s="483" t="str">
        <f>IF($M401&lt;&gt;"",IF(VLOOKUP($M401,'Plan d''actions détaillé'!$D$6:$P$30,6,FALSE)="","",VLOOKUP($M401,'Plan d''actions détaillé'!$D$6:$P$30,6,FALSE)),"")</f>
        <v/>
      </c>
      <c r="P401" s="483"/>
      <c r="Q401" s="483"/>
      <c r="R401" s="483"/>
      <c r="S401" s="483"/>
      <c r="T401" s="483"/>
      <c r="U401" s="483"/>
      <c r="V401" s="412" t="str">
        <f>IF($M401&lt;&gt;"",IF(VLOOKUP($M401,'Plan d''actions détaillé'!$D$6:$P$30,12,FALSE)="","",VLOOKUP($M401,'Plan d''actions détaillé'!$D$6:$P$30,12,FALSE)),"")</f>
        <v/>
      </c>
      <c r="W401" s="377"/>
    </row>
    <row r="402" spans="7:23" ht="7.5" customHeight="1" x14ac:dyDescent="0.2">
      <c r="G402" s="376"/>
      <c r="H402" s="372"/>
      <c r="I402" s="372"/>
      <c r="J402" s="414" t="str">
        <f t="array" ref="J402">IF($K$377="","",IF(INDEX('Plan d''actions détaillé'!A:A,MIN(IF((COUNTIF(J$392:J401,'Plan d''actions détaillé'!$A$6:$A$30)=0)*(INDEX('Plan d''actions détaillé'!$U$6:$AL$30,,MATCH($K$377,'Plan d''actions détaillé'!$U$5:$AL$5,0))="X"),ROW('Plan d''actions détaillé'!$T$6:$T$30))))=0,"",INDEX('Plan d''actions détaillé'!A:A,MIN(IF((COUNTIF(J$392:J401,'Plan d''actions détaillé'!$A$6:$A$30)=0)*(INDEX('Plan d''actions détaillé'!$U$6:$AL$30,,MATCH($K$377,'Plan d''actions détaillé'!$U$5:$AL$5,0))="X"),ROW('Plan d''actions détaillé'!$T$6:$T$30))))))</f>
        <v/>
      </c>
      <c r="K402" s="414"/>
      <c r="L402" s="415"/>
      <c r="M402" s="413" t="str">
        <f t="array" ref="M402">IF($K$377="","",IF(INDEX('Plan d''actions détaillé'!D:D,MIN(IF((COUNTIF(M$392:M401,'Plan d''actions détaillé'!$D$6:$D$30)=0)*(INDEX('Plan d''actions détaillé'!$U$6:$AL$30,,MATCH($K$377,'Plan d''actions détaillé'!$U$5:$AL$5,0))="X"),ROW('Plan d''actions détaillé'!$T$6:$T$30))))=0,"",INDEX('Plan d''actions détaillé'!D:D,MIN(IF((COUNTIF(M$392:M401,'Plan d''actions détaillé'!$D$6:$D$30)=0)*(INDEX('Plan d''actions détaillé'!$U$6:$AL$30,,MATCH($K$377,'Plan d''actions détaillé'!$U$5:$AL$5,0))="X"),ROW('Plan d''actions détaillé'!$T$6:$T$30))))))</f>
        <v/>
      </c>
      <c r="N402" s="411" t="str">
        <f>IF($M402&lt;&gt;"",IF(VLOOKUP($M402,'Plan d''actions détaillé'!$D$6:$P$30,8,FALSE)="","",VLOOKUP($M402,'Plan d''actions détaillé'!$D$6:$P$30,8,FALSE)),"")</f>
        <v/>
      </c>
      <c r="O402" s="483" t="str">
        <f>IF($M402&lt;&gt;"",IF(VLOOKUP($M402,'Plan d''actions détaillé'!$D$6:$P$30,6,FALSE)="","",VLOOKUP($M402,'Plan d''actions détaillé'!$D$6:$P$30,6,FALSE)),"")</f>
        <v/>
      </c>
      <c r="P402" s="483"/>
      <c r="Q402" s="483"/>
      <c r="R402" s="483"/>
      <c r="S402" s="483"/>
      <c r="T402" s="483"/>
      <c r="U402" s="483"/>
      <c r="V402" s="412" t="str">
        <f>IF($M402&lt;&gt;"",IF(VLOOKUP($M402,'Plan d''actions détaillé'!$D$6:$P$30,12,FALSE)="","",VLOOKUP($M402,'Plan d''actions détaillé'!$D$6:$P$30,12,FALSE)),"")</f>
        <v/>
      </c>
      <c r="W402" s="377"/>
    </row>
    <row r="403" spans="7:23" ht="7.5" customHeight="1" x14ac:dyDescent="0.2">
      <c r="G403" s="376"/>
      <c r="H403" s="372"/>
      <c r="I403" s="372"/>
      <c r="J403" s="414" t="str">
        <f t="array" ref="J403">IF($K$377="","",IF(INDEX('Plan d''actions détaillé'!A:A,MIN(IF((COUNTIF(J$392:J402,'Plan d''actions détaillé'!$A$6:$A$30)=0)*(INDEX('Plan d''actions détaillé'!$U$6:$AL$30,,MATCH($K$377,'Plan d''actions détaillé'!$U$5:$AL$5,0))="X"),ROW('Plan d''actions détaillé'!$T$6:$T$30))))=0,"",INDEX('Plan d''actions détaillé'!A:A,MIN(IF((COUNTIF(J$392:J402,'Plan d''actions détaillé'!$A$6:$A$30)=0)*(INDEX('Plan d''actions détaillé'!$U$6:$AL$30,,MATCH($K$377,'Plan d''actions détaillé'!$U$5:$AL$5,0))="X"),ROW('Plan d''actions détaillé'!$T$6:$T$30))))))</f>
        <v/>
      </c>
      <c r="K403" s="414"/>
      <c r="L403" s="415"/>
      <c r="M403" s="413" t="str">
        <f t="array" ref="M403">IF($K$377="","",IF(INDEX('Plan d''actions détaillé'!D:D,MIN(IF((COUNTIF(M$392:M402,'Plan d''actions détaillé'!$D$6:$D$30)=0)*(INDEX('Plan d''actions détaillé'!$U$6:$AL$30,,MATCH($K$377,'Plan d''actions détaillé'!$U$5:$AL$5,0))="X"),ROW('Plan d''actions détaillé'!$T$6:$T$30))))=0,"",INDEX('Plan d''actions détaillé'!D:D,MIN(IF((COUNTIF(M$392:M402,'Plan d''actions détaillé'!$D$6:$D$30)=0)*(INDEX('Plan d''actions détaillé'!$U$6:$AL$30,,MATCH($K$377,'Plan d''actions détaillé'!$U$5:$AL$5,0))="X"),ROW('Plan d''actions détaillé'!$T$6:$T$30))))))</f>
        <v/>
      </c>
      <c r="N403" s="411" t="str">
        <f>IF($M403&lt;&gt;"",IF(VLOOKUP($M403,'Plan d''actions détaillé'!$D$6:$P$30,8,FALSE)="","",VLOOKUP($M403,'Plan d''actions détaillé'!$D$6:$P$30,8,FALSE)),"")</f>
        <v/>
      </c>
      <c r="O403" s="483" t="str">
        <f>IF($M403&lt;&gt;"",IF(VLOOKUP($M403,'Plan d''actions détaillé'!$D$6:$P$30,6,FALSE)="","",VLOOKUP($M403,'Plan d''actions détaillé'!$D$6:$P$30,6,FALSE)),"")</f>
        <v/>
      </c>
      <c r="P403" s="483"/>
      <c r="Q403" s="483"/>
      <c r="R403" s="483"/>
      <c r="S403" s="483"/>
      <c r="T403" s="483"/>
      <c r="U403" s="483"/>
      <c r="V403" s="412" t="str">
        <f>IF($M403&lt;&gt;"",IF(VLOOKUP($M403,'Plan d''actions détaillé'!$D$6:$P$30,12,FALSE)="","",VLOOKUP($M403,'Plan d''actions détaillé'!$D$6:$P$30,12,FALSE)),"")</f>
        <v/>
      </c>
      <c r="W403" s="377"/>
    </row>
    <row r="404" spans="7:23" ht="7.5" customHeight="1" x14ac:dyDescent="0.2">
      <c r="G404" s="376"/>
      <c r="H404" s="372"/>
      <c r="I404" s="372"/>
      <c r="J404" s="414" t="str">
        <f t="array" ref="J404">IF($K$377="","",IF(INDEX('Plan d''actions détaillé'!A:A,MIN(IF((COUNTIF(J$392:J403,'Plan d''actions détaillé'!$A$6:$A$30)=0)*(INDEX('Plan d''actions détaillé'!$U$6:$AL$30,,MATCH($K$377,'Plan d''actions détaillé'!$U$5:$AL$5,0))="X"),ROW('Plan d''actions détaillé'!$T$6:$T$30))))=0,"",INDEX('Plan d''actions détaillé'!A:A,MIN(IF((COUNTIF(J$392:J403,'Plan d''actions détaillé'!$A$6:$A$30)=0)*(INDEX('Plan d''actions détaillé'!$U$6:$AL$30,,MATCH($K$377,'Plan d''actions détaillé'!$U$5:$AL$5,0))="X"),ROW('Plan d''actions détaillé'!$T$6:$T$30))))))</f>
        <v/>
      </c>
      <c r="K404" s="414"/>
      <c r="L404" s="415"/>
      <c r="M404" s="413" t="str">
        <f t="array" ref="M404">IF($K$377="","",IF(INDEX('Plan d''actions détaillé'!D:D,MIN(IF((COUNTIF(M$392:M403,'Plan d''actions détaillé'!$D$6:$D$30)=0)*(INDEX('Plan d''actions détaillé'!$U$6:$AL$30,,MATCH($K$377,'Plan d''actions détaillé'!$U$5:$AL$5,0))="X"),ROW('Plan d''actions détaillé'!$T$6:$T$30))))=0,"",INDEX('Plan d''actions détaillé'!D:D,MIN(IF((COUNTIF(M$392:M403,'Plan d''actions détaillé'!$D$6:$D$30)=0)*(INDEX('Plan d''actions détaillé'!$U$6:$AL$30,,MATCH($K$377,'Plan d''actions détaillé'!$U$5:$AL$5,0))="X"),ROW('Plan d''actions détaillé'!$T$6:$T$30))))))</f>
        <v/>
      </c>
      <c r="N404" s="411" t="str">
        <f>IF($M404&lt;&gt;"",IF(VLOOKUP($M404,'Plan d''actions détaillé'!$D$6:$P$30,8,FALSE)="","",VLOOKUP($M404,'Plan d''actions détaillé'!$D$6:$P$30,8,FALSE)),"")</f>
        <v/>
      </c>
      <c r="O404" s="483" t="str">
        <f>IF($M404&lt;&gt;"",IF(VLOOKUP($M404,'Plan d''actions détaillé'!$D$6:$P$30,6,FALSE)="","",VLOOKUP($M404,'Plan d''actions détaillé'!$D$6:$P$30,6,FALSE)),"")</f>
        <v/>
      </c>
      <c r="P404" s="483"/>
      <c r="Q404" s="483"/>
      <c r="R404" s="483"/>
      <c r="S404" s="483"/>
      <c r="T404" s="483"/>
      <c r="U404" s="483"/>
      <c r="V404" s="412" t="str">
        <f>IF($M404&lt;&gt;"",IF(VLOOKUP($M404,'Plan d''actions détaillé'!$D$6:$P$30,12,FALSE)="","",VLOOKUP($M404,'Plan d''actions détaillé'!$D$6:$P$30,12,FALSE)),"")</f>
        <v/>
      </c>
      <c r="W404" s="377"/>
    </row>
    <row r="405" spans="7:23" ht="7.5" customHeight="1" x14ac:dyDescent="0.2">
      <c r="G405" s="376"/>
      <c r="H405" s="372"/>
      <c r="I405" s="372"/>
      <c r="J405" s="414" t="str">
        <f t="array" ref="J405">IF($K$377="","",IF(INDEX('Plan d''actions détaillé'!A:A,MIN(IF((COUNTIF(J$392:J404,'Plan d''actions détaillé'!$A$6:$A$30)=0)*(INDEX('Plan d''actions détaillé'!$U$6:$AL$30,,MATCH($K$377,'Plan d''actions détaillé'!$U$5:$AL$5,0))="X"),ROW('Plan d''actions détaillé'!$T$6:$T$30))))=0,"",INDEX('Plan d''actions détaillé'!A:A,MIN(IF((COUNTIF(J$392:J404,'Plan d''actions détaillé'!$A$6:$A$30)=0)*(INDEX('Plan d''actions détaillé'!$U$6:$AL$30,,MATCH($K$377,'Plan d''actions détaillé'!$U$5:$AL$5,0))="X"),ROW('Plan d''actions détaillé'!$T$6:$T$30))))))</f>
        <v/>
      </c>
      <c r="K405" s="414"/>
      <c r="L405" s="415"/>
      <c r="M405" s="413" t="str">
        <f t="array" ref="M405">IF($K$377="","",IF(INDEX('Plan d''actions détaillé'!D:D,MIN(IF((COUNTIF(M$392:M404,'Plan d''actions détaillé'!$D$6:$D$30)=0)*(INDEX('Plan d''actions détaillé'!$U$6:$AL$30,,MATCH($K$377,'Plan d''actions détaillé'!$U$5:$AL$5,0))="X"),ROW('Plan d''actions détaillé'!$T$6:$T$30))))=0,"",INDEX('Plan d''actions détaillé'!D:D,MIN(IF((COUNTIF(M$392:M404,'Plan d''actions détaillé'!$D$6:$D$30)=0)*(INDEX('Plan d''actions détaillé'!$U$6:$AL$30,,MATCH($K$377,'Plan d''actions détaillé'!$U$5:$AL$5,0))="X"),ROW('Plan d''actions détaillé'!$T$6:$T$30))))))</f>
        <v/>
      </c>
      <c r="N405" s="411" t="str">
        <f>IF($M405&lt;&gt;"",IF(VLOOKUP($M405,'Plan d''actions détaillé'!$D$6:$P$30,8,FALSE)="","",VLOOKUP($M405,'Plan d''actions détaillé'!$D$6:$P$30,8,FALSE)),"")</f>
        <v/>
      </c>
      <c r="O405" s="483" t="str">
        <f>IF($M405&lt;&gt;"",IF(VLOOKUP($M405,'Plan d''actions détaillé'!$D$6:$P$30,6,FALSE)="","",VLOOKUP($M405,'Plan d''actions détaillé'!$D$6:$P$30,6,FALSE)),"")</f>
        <v/>
      </c>
      <c r="P405" s="483"/>
      <c r="Q405" s="483"/>
      <c r="R405" s="483"/>
      <c r="S405" s="483"/>
      <c r="T405" s="483"/>
      <c r="U405" s="483"/>
      <c r="V405" s="412" t="str">
        <f>IF($M405&lt;&gt;"",IF(VLOOKUP($M405,'Plan d''actions détaillé'!$D$6:$P$30,12,FALSE)="","",VLOOKUP($M405,'Plan d''actions détaillé'!$D$6:$P$30,12,FALSE)),"")</f>
        <v/>
      </c>
      <c r="W405" s="377"/>
    </row>
    <row r="406" spans="7:23" ht="7.5" customHeight="1" x14ac:dyDescent="0.2">
      <c r="G406" s="376"/>
      <c r="H406" s="372"/>
      <c r="I406" s="372"/>
      <c r="J406" s="414" t="str">
        <f t="array" ref="J406">IF($K$377="","",IF(INDEX('Plan d''actions détaillé'!A:A,MIN(IF((COUNTIF(J$392:J405,'Plan d''actions détaillé'!$A$6:$A$30)=0)*(INDEX('Plan d''actions détaillé'!$U$6:$AL$30,,MATCH($K$377,'Plan d''actions détaillé'!$U$5:$AL$5,0))="X"),ROW('Plan d''actions détaillé'!$T$6:$T$30))))=0,"",INDEX('Plan d''actions détaillé'!A:A,MIN(IF((COUNTIF(J$392:J405,'Plan d''actions détaillé'!$A$6:$A$30)=0)*(INDEX('Plan d''actions détaillé'!$U$6:$AL$30,,MATCH($K$377,'Plan d''actions détaillé'!$U$5:$AL$5,0))="X"),ROW('Plan d''actions détaillé'!$T$6:$T$30))))))</f>
        <v/>
      </c>
      <c r="K406" s="414"/>
      <c r="L406" s="415"/>
      <c r="M406" s="413" t="str">
        <f t="array" ref="M406">IF($K$377="","",IF(INDEX('Plan d''actions détaillé'!D:D,MIN(IF((COUNTIF(M$392:M405,'Plan d''actions détaillé'!$D$6:$D$30)=0)*(INDEX('Plan d''actions détaillé'!$U$6:$AL$30,,MATCH($K$377,'Plan d''actions détaillé'!$U$5:$AL$5,0))="X"),ROW('Plan d''actions détaillé'!$T$6:$T$30))))=0,"",INDEX('Plan d''actions détaillé'!D:D,MIN(IF((COUNTIF(M$392:M405,'Plan d''actions détaillé'!$D$6:$D$30)=0)*(INDEX('Plan d''actions détaillé'!$U$6:$AL$30,,MATCH($K$377,'Plan d''actions détaillé'!$U$5:$AL$5,0))="X"),ROW('Plan d''actions détaillé'!$T$6:$T$30))))))</f>
        <v/>
      </c>
      <c r="N406" s="411" t="str">
        <f>IF($M406&lt;&gt;"",IF(VLOOKUP($M406,'Plan d''actions détaillé'!$D$6:$P$30,8,FALSE)="","",VLOOKUP($M406,'Plan d''actions détaillé'!$D$6:$P$30,8,FALSE)),"")</f>
        <v/>
      </c>
      <c r="O406" s="483" t="str">
        <f>IF($M406&lt;&gt;"",IF(VLOOKUP($M406,'Plan d''actions détaillé'!$D$6:$P$30,6,FALSE)="","",VLOOKUP($M406,'Plan d''actions détaillé'!$D$6:$P$30,6,FALSE)),"")</f>
        <v/>
      </c>
      <c r="P406" s="483"/>
      <c r="Q406" s="483"/>
      <c r="R406" s="483"/>
      <c r="S406" s="483"/>
      <c r="T406" s="483"/>
      <c r="U406" s="483"/>
      <c r="V406" s="412" t="str">
        <f>IF($M406&lt;&gt;"",IF(VLOOKUP($M406,'Plan d''actions détaillé'!$D$6:$P$30,12,FALSE)="","",VLOOKUP($M406,'Plan d''actions détaillé'!$D$6:$P$30,12,FALSE)),"")</f>
        <v/>
      </c>
      <c r="W406" s="377"/>
    </row>
    <row r="407" spans="7:23" ht="7.5" customHeight="1" x14ac:dyDescent="0.2">
      <c r="G407" s="376"/>
      <c r="H407" s="372"/>
      <c r="I407" s="372"/>
      <c r="J407" s="414" t="str">
        <f t="array" ref="J407">IF($K$377="","",IF(INDEX('Plan d''actions détaillé'!A:A,MIN(IF((COUNTIF(J$392:J406,'Plan d''actions détaillé'!$A$6:$A$30)=0)*(INDEX('Plan d''actions détaillé'!$U$6:$AL$30,,MATCH($K$377,'Plan d''actions détaillé'!$U$5:$AL$5,0))="X"),ROW('Plan d''actions détaillé'!$T$6:$T$30))))=0,"",INDEX('Plan d''actions détaillé'!A:A,MIN(IF((COUNTIF(J$392:J406,'Plan d''actions détaillé'!$A$6:$A$30)=0)*(INDEX('Plan d''actions détaillé'!$U$6:$AL$30,,MATCH($K$377,'Plan d''actions détaillé'!$U$5:$AL$5,0))="X"),ROW('Plan d''actions détaillé'!$T$6:$T$30))))))</f>
        <v/>
      </c>
      <c r="K407" s="414"/>
      <c r="L407" s="415"/>
      <c r="M407" s="413" t="str">
        <f t="array" ref="M407">IF($K$377="","",IF(INDEX('Plan d''actions détaillé'!D:D,MIN(IF((COUNTIF(M$392:M406,'Plan d''actions détaillé'!$D$6:$D$30)=0)*(INDEX('Plan d''actions détaillé'!$U$6:$AL$30,,MATCH($K$377,'Plan d''actions détaillé'!$U$5:$AL$5,0))="X"),ROW('Plan d''actions détaillé'!$T$6:$T$30))))=0,"",INDEX('Plan d''actions détaillé'!D:D,MIN(IF((COUNTIF(M$392:M406,'Plan d''actions détaillé'!$D$6:$D$30)=0)*(INDEX('Plan d''actions détaillé'!$U$6:$AL$30,,MATCH($K$377,'Plan d''actions détaillé'!$U$5:$AL$5,0))="X"),ROW('Plan d''actions détaillé'!$T$6:$T$30))))))</f>
        <v/>
      </c>
      <c r="N407" s="411" t="str">
        <f>IF($M407&lt;&gt;"",IF(VLOOKUP($M407,'Plan d''actions détaillé'!$D$6:$P$30,8,FALSE)="","",VLOOKUP($M407,'Plan d''actions détaillé'!$D$6:$P$30,8,FALSE)),"")</f>
        <v/>
      </c>
      <c r="O407" s="483" t="str">
        <f>IF($M407&lt;&gt;"",IF(VLOOKUP($M407,'Plan d''actions détaillé'!$D$6:$P$30,6,FALSE)="","",VLOOKUP($M407,'Plan d''actions détaillé'!$D$6:$P$30,6,FALSE)),"")</f>
        <v/>
      </c>
      <c r="P407" s="483"/>
      <c r="Q407" s="483"/>
      <c r="R407" s="483"/>
      <c r="S407" s="483"/>
      <c r="T407" s="483"/>
      <c r="U407" s="483"/>
      <c r="V407" s="412" t="str">
        <f>IF($M407&lt;&gt;"",IF(VLOOKUP($M407,'Plan d''actions détaillé'!$D$6:$P$30,12,FALSE)="","",VLOOKUP($M407,'Plan d''actions détaillé'!$D$6:$P$30,12,FALSE)),"")</f>
        <v/>
      </c>
      <c r="W407" s="377"/>
    </row>
    <row r="408" spans="7:23" ht="7.5" customHeight="1" x14ac:dyDescent="0.2">
      <c r="G408" s="376"/>
      <c r="H408" s="372"/>
      <c r="I408" s="372"/>
      <c r="J408" s="414" t="str">
        <f t="array" ref="J408">IF($K$377="","",IF(INDEX('Plan d''actions détaillé'!A:A,MIN(IF((COUNTIF(J$392:J407,'Plan d''actions détaillé'!$A$6:$A$30)=0)*(INDEX('Plan d''actions détaillé'!$U$6:$AL$30,,MATCH($K$377,'Plan d''actions détaillé'!$U$5:$AL$5,0))="X"),ROW('Plan d''actions détaillé'!$T$6:$T$30))))=0,"",INDEX('Plan d''actions détaillé'!A:A,MIN(IF((COUNTIF(J$392:J407,'Plan d''actions détaillé'!$A$6:$A$30)=0)*(INDEX('Plan d''actions détaillé'!$U$6:$AL$30,,MATCH($K$377,'Plan d''actions détaillé'!$U$5:$AL$5,0))="X"),ROW('Plan d''actions détaillé'!$T$6:$T$30))))))</f>
        <v/>
      </c>
      <c r="K408" s="414"/>
      <c r="L408" s="415"/>
      <c r="M408" s="413" t="str">
        <f t="array" ref="M408">IF($K$377="","",IF(INDEX('Plan d''actions détaillé'!D:D,MIN(IF((COUNTIF(M$392:M407,'Plan d''actions détaillé'!$D$6:$D$30)=0)*(INDEX('Plan d''actions détaillé'!$U$6:$AL$30,,MATCH($K$377,'Plan d''actions détaillé'!$U$5:$AL$5,0))="X"),ROW('Plan d''actions détaillé'!$T$6:$T$30))))=0,"",INDEX('Plan d''actions détaillé'!D:D,MIN(IF((COUNTIF(M$392:M407,'Plan d''actions détaillé'!$D$6:$D$30)=0)*(INDEX('Plan d''actions détaillé'!$U$6:$AL$30,,MATCH($K$377,'Plan d''actions détaillé'!$U$5:$AL$5,0))="X"),ROW('Plan d''actions détaillé'!$T$6:$T$30))))))</f>
        <v/>
      </c>
      <c r="N408" s="411" t="str">
        <f>IF($M408&lt;&gt;"",IF(VLOOKUP($M408,'Plan d''actions détaillé'!$D$6:$P$30,8,FALSE)="","",VLOOKUP($M408,'Plan d''actions détaillé'!$D$6:$P$30,8,FALSE)),"")</f>
        <v/>
      </c>
      <c r="O408" s="483" t="str">
        <f>IF($M408&lt;&gt;"",IF(VLOOKUP($M408,'Plan d''actions détaillé'!$D$6:$P$30,6,FALSE)="","",VLOOKUP($M408,'Plan d''actions détaillé'!$D$6:$P$30,6,FALSE)),"")</f>
        <v/>
      </c>
      <c r="P408" s="483"/>
      <c r="Q408" s="483"/>
      <c r="R408" s="483"/>
      <c r="S408" s="483"/>
      <c r="T408" s="483"/>
      <c r="U408" s="483"/>
      <c r="V408" s="412" t="str">
        <f>IF($M408&lt;&gt;"",IF(VLOOKUP($M408,'Plan d''actions détaillé'!$D$6:$P$30,12,FALSE)="","",VLOOKUP($M408,'Plan d''actions détaillé'!$D$6:$P$30,12,FALSE)),"")</f>
        <v/>
      </c>
      <c r="W408" s="377"/>
    </row>
    <row r="409" spans="7:23" ht="13.5" thickBot="1" x14ac:dyDescent="0.25">
      <c r="G409" s="378"/>
      <c r="H409" s="379"/>
      <c r="I409" s="379"/>
      <c r="J409" s="379"/>
      <c r="K409" s="379"/>
      <c r="L409" s="379"/>
      <c r="M409" s="379"/>
      <c r="N409" s="380"/>
      <c r="O409" s="379"/>
      <c r="P409" s="379"/>
      <c r="Q409" s="379"/>
      <c r="R409" s="379"/>
      <c r="S409" s="379"/>
      <c r="T409" s="379"/>
      <c r="U409" s="379"/>
      <c r="V409" s="379"/>
      <c r="W409" s="381"/>
    </row>
    <row r="410" spans="7:23" ht="13.5" thickBot="1" x14ac:dyDescent="0.25"/>
    <row r="411" spans="7:23" x14ac:dyDescent="0.2">
      <c r="G411" s="373"/>
      <c r="H411" s="374"/>
      <c r="I411" s="374"/>
      <c r="J411" s="374"/>
      <c r="K411" s="374"/>
      <c r="L411" s="374"/>
      <c r="M411" s="374"/>
      <c r="N411" s="374"/>
      <c r="O411" s="374"/>
      <c r="P411" s="374"/>
      <c r="Q411" s="374"/>
      <c r="R411" s="374"/>
      <c r="S411" s="374"/>
      <c r="T411" s="374"/>
      <c r="U411" s="374"/>
      <c r="V411" s="374"/>
      <c r="W411" s="375"/>
    </row>
    <row r="412" spans="7:23" ht="12.75" customHeight="1" x14ac:dyDescent="0.2">
      <c r="G412" s="494" t="str">
        <f>C15</f>
        <v/>
      </c>
      <c r="H412" s="495"/>
      <c r="I412" s="495"/>
      <c r="J412" s="495"/>
      <c r="K412" s="496" t="str">
        <f>D15</f>
        <v/>
      </c>
      <c r="L412" s="496"/>
      <c r="M412" s="496"/>
      <c r="N412" s="496"/>
      <c r="O412" s="496"/>
      <c r="P412" s="496"/>
      <c r="Q412" s="496"/>
      <c r="R412" s="496"/>
      <c r="S412" s="496"/>
      <c r="T412" s="496"/>
      <c r="U412" s="496"/>
      <c r="V412" s="496"/>
      <c r="W412" s="397"/>
    </row>
    <row r="413" spans="7:23" ht="12.75" customHeight="1" x14ac:dyDescent="0.2">
      <c r="G413" s="494"/>
      <c r="H413" s="495"/>
      <c r="I413" s="495"/>
      <c r="J413" s="495"/>
      <c r="K413" s="496"/>
      <c r="L413" s="496"/>
      <c r="M413" s="496"/>
      <c r="N413" s="496"/>
      <c r="O413" s="496"/>
      <c r="P413" s="496"/>
      <c r="Q413" s="496"/>
      <c r="R413" s="496"/>
      <c r="S413" s="496"/>
      <c r="T413" s="496"/>
      <c r="U413" s="496"/>
      <c r="V413" s="496"/>
      <c r="W413" s="397"/>
    </row>
    <row r="414" spans="7:23" x14ac:dyDescent="0.2">
      <c r="G414" s="376"/>
      <c r="H414" s="372"/>
      <c r="I414" s="372"/>
      <c r="J414" s="372"/>
      <c r="K414" s="372"/>
      <c r="L414" s="372"/>
      <c r="M414" s="372"/>
      <c r="N414" s="372"/>
      <c r="O414" s="372"/>
      <c r="P414" s="372"/>
      <c r="Q414" s="372"/>
      <c r="R414" s="372"/>
      <c r="S414" s="372"/>
      <c r="T414" s="372"/>
      <c r="U414" s="372"/>
      <c r="V414" s="372"/>
      <c r="W414" s="377"/>
    </row>
    <row r="415" spans="7:23" ht="23.25" customHeight="1" x14ac:dyDescent="0.2">
      <c r="G415" s="497" t="s">
        <v>1</v>
      </c>
      <c r="H415" s="386" t="str">
        <f>IF(AND(O420=5,O421=1),"X","")</f>
        <v/>
      </c>
      <c r="I415" s="387" t="str">
        <f>IF(AND(O420=5,O421=2),"X","")</f>
        <v/>
      </c>
      <c r="J415" s="388" t="str">
        <f>IF(AND(O420=5,O421=3),"X","")</f>
        <v/>
      </c>
      <c r="K415" s="388" t="str">
        <f>IF(AND(O420=5,O421=4),"X","")</f>
        <v/>
      </c>
      <c r="L415" s="388" t="str">
        <f>IF(AND(O420=5,O421=5),"X","")</f>
        <v/>
      </c>
      <c r="N415" s="498" t="str">
        <f>"Processus de rattachement "</f>
        <v xml:space="preserve">Processus de rattachement </v>
      </c>
      <c r="O415" s="499"/>
      <c r="P415" s="499"/>
      <c r="Q415" s="499"/>
      <c r="R415" s="499"/>
      <c r="S415" s="499"/>
      <c r="T415" s="499"/>
      <c r="U415" s="499"/>
      <c r="V415" s="500"/>
      <c r="W415" s="377"/>
    </row>
    <row r="416" spans="7:23" ht="23.25" x14ac:dyDescent="0.2">
      <c r="G416" s="497"/>
      <c r="H416" s="389" t="str">
        <f>IF(AND(O420=4,O421=1),"X","")</f>
        <v/>
      </c>
      <c r="I416" s="390" t="str">
        <f>IF(AND(O420=4,O421=2),"X","")</f>
        <v/>
      </c>
      <c r="J416" s="387" t="str">
        <f>IF(AND(O420=4,O421=3),"X","")</f>
        <v/>
      </c>
      <c r="K416" s="388" t="str">
        <f>IF(AND(O420=4,O421=4),"X","")</f>
        <v/>
      </c>
      <c r="L416" s="388" t="str">
        <f>IF(AND(O420=4,O421=5),"X","")</f>
        <v/>
      </c>
      <c r="N416" s="501" t="str">
        <f>Matrice!$G$1&amp;" - "&amp;Matrice!$J$1</f>
        <v>DI2 - YYY</v>
      </c>
      <c r="O416" s="502"/>
      <c r="P416" s="502"/>
      <c r="Q416" s="502"/>
      <c r="R416" s="502"/>
      <c r="S416" s="502"/>
      <c r="T416" s="502"/>
      <c r="U416" s="502"/>
      <c r="V416" s="503"/>
      <c r="W416" s="377"/>
    </row>
    <row r="417" spans="7:23" ht="23.25" x14ac:dyDescent="0.2">
      <c r="G417" s="497"/>
      <c r="H417" s="389" t="str">
        <f>IF(AND(O420=3,O421=1),"X","")</f>
        <v/>
      </c>
      <c r="I417" s="390" t="str">
        <f>IF(AND(O420=3,O421=2),"X","")</f>
        <v/>
      </c>
      <c r="J417" s="390" t="str">
        <f>IF(AND(O420=3,O421=3),"X","")</f>
        <v/>
      </c>
      <c r="K417" s="387" t="str">
        <f>IF(AND(O420=3,O421=4),"X","")</f>
        <v/>
      </c>
      <c r="L417" s="388" t="str">
        <f>IF(AND(O420=3,O421=5),"X","")</f>
        <v/>
      </c>
      <c r="N417" s="372"/>
      <c r="O417" s="372"/>
      <c r="W417" s="377"/>
    </row>
    <row r="418" spans="7:23" ht="23.25" x14ac:dyDescent="0.2">
      <c r="G418" s="497"/>
      <c r="H418" s="391" t="str">
        <f>IF(AND(O420=2,O421=1),"X","")</f>
        <v/>
      </c>
      <c r="I418" s="392" t="str">
        <f>IF(AND(O420=2,O421=2),"X","")</f>
        <v/>
      </c>
      <c r="J418" s="390" t="str">
        <f>IF(AND(O420=2,O421=3),"X","")</f>
        <v/>
      </c>
      <c r="K418" s="390" t="str">
        <f>IF(AND(O420=2,O421=4),"X","")</f>
        <v/>
      </c>
      <c r="L418" s="387" t="str">
        <f>IF(AND(O420=2,O421=5),"X","")</f>
        <v/>
      </c>
      <c r="M418" s="372"/>
      <c r="N418" s="383" t="s">
        <v>236</v>
      </c>
      <c r="O418" s="382"/>
      <c r="P418" s="382"/>
      <c r="Q418" s="382"/>
      <c r="S418" s="385" t="s">
        <v>250</v>
      </c>
      <c r="T418" s="384"/>
      <c r="U418" s="384"/>
      <c r="V418" s="384"/>
      <c r="W418" s="377"/>
    </row>
    <row r="419" spans="7:23" ht="24" thickBot="1" x14ac:dyDescent="0.25">
      <c r="G419" s="376"/>
      <c r="H419" s="393" t="str">
        <f>IF(AND(O420=1,O421=1),"X","")</f>
        <v/>
      </c>
      <c r="I419" s="394" t="str">
        <f>IF(AND(O420=1,O421=2),"X","")</f>
        <v/>
      </c>
      <c r="J419" s="395" t="str">
        <f>IF(AND(O420=1,O421=3),"X","")</f>
        <v/>
      </c>
      <c r="K419" s="395" t="str">
        <f>IF(AND(O420=1,O421=4),"X","")</f>
        <v/>
      </c>
      <c r="L419" s="396" t="str">
        <f>IF(AND(O420=1,O421=5),"X","")</f>
        <v/>
      </c>
      <c r="M419" s="372"/>
      <c r="N419" s="406"/>
      <c r="O419" s="408" t="s">
        <v>237</v>
      </c>
      <c r="P419" s="408" t="s">
        <v>238</v>
      </c>
      <c r="Q419" s="406"/>
      <c r="R419" s="307"/>
      <c r="S419" s="420"/>
      <c r="T419" s="409" t="s">
        <v>237</v>
      </c>
      <c r="U419" s="409" t="s">
        <v>238</v>
      </c>
      <c r="V419" s="384"/>
      <c r="W419" s="377"/>
    </row>
    <row r="420" spans="7:23" ht="19.5" thickTop="1" thickBot="1" x14ac:dyDescent="0.25">
      <c r="G420" s="376"/>
      <c r="H420" s="484" t="s">
        <v>16</v>
      </c>
      <c r="I420" s="484"/>
      <c r="J420" s="484"/>
      <c r="K420" s="484"/>
      <c r="L420" s="484"/>
      <c r="M420" s="372"/>
      <c r="N420" s="407" t="s">
        <v>248</v>
      </c>
      <c r="O420" s="417" t="str">
        <f>VLOOKUP($K412,Risques!$D$21:$AB$40,17,FALSE)</f>
        <v/>
      </c>
      <c r="P420" s="418" t="str">
        <f>VLOOKUP(K412,Risques!$D$21:$AB$40,23,FALSE)</f>
        <v/>
      </c>
      <c r="Q420" s="382"/>
      <c r="S420" s="410" t="s">
        <v>248</v>
      </c>
      <c r="T420" s="419"/>
      <c r="U420" s="419"/>
      <c r="V420" s="384"/>
      <c r="W420" s="377"/>
    </row>
    <row r="421" spans="7:23" ht="19.5" thickTop="1" thickBot="1" x14ac:dyDescent="0.25">
      <c r="G421" s="376"/>
      <c r="H421" s="372"/>
      <c r="I421" s="372"/>
      <c r="J421" s="372"/>
      <c r="K421" s="372"/>
      <c r="L421" s="372"/>
      <c r="M421" s="372"/>
      <c r="N421" s="407" t="s">
        <v>249</v>
      </c>
      <c r="O421" s="417" t="str">
        <f>VLOOKUP(K412,Risques!$D$21:$AB$40,18,FALSE)</f>
        <v/>
      </c>
      <c r="P421" s="418" t="str">
        <f>VLOOKUP(K412,Risques!$D$21:$AB$40,24,FALSE)</f>
        <v/>
      </c>
      <c r="Q421" s="382"/>
      <c r="S421" s="410" t="s">
        <v>249</v>
      </c>
      <c r="T421" s="419"/>
      <c r="U421" s="419"/>
      <c r="V421" s="384"/>
      <c r="W421" s="377"/>
    </row>
    <row r="422" spans="7:23" ht="19.5" thickTop="1" thickBot="1" x14ac:dyDescent="0.25">
      <c r="G422" s="376"/>
      <c r="H422" s="372"/>
      <c r="I422" s="372"/>
      <c r="J422" s="372"/>
      <c r="K422" s="372"/>
      <c r="L422" s="372"/>
      <c r="M422" s="372"/>
      <c r="N422" s="407" t="s">
        <v>251</v>
      </c>
      <c r="O422" s="417" t="str">
        <f>VLOOKUP(K412,Risques!$D$21:$AB$40,19,FALSE)</f>
        <v/>
      </c>
      <c r="P422" s="418" t="str">
        <f>VLOOKUP(K412,Risques!$D$21:$AB$40,25,FALSE)</f>
        <v/>
      </c>
      <c r="Q422" s="382"/>
      <c r="S422" s="410" t="s">
        <v>251</v>
      </c>
      <c r="T422" s="419"/>
      <c r="U422" s="419"/>
      <c r="V422" s="384"/>
      <c r="W422" s="377"/>
    </row>
    <row r="423" spans="7:23" ht="13.5" thickTop="1" x14ac:dyDescent="0.2">
      <c r="G423" s="376"/>
      <c r="H423" s="372"/>
      <c r="I423" s="372"/>
      <c r="J423" s="372"/>
      <c r="K423" s="372"/>
      <c r="L423" s="372"/>
      <c r="M423" s="372"/>
      <c r="N423" s="382"/>
      <c r="O423" s="382"/>
      <c r="P423" s="382"/>
      <c r="Q423" s="382"/>
      <c r="S423" s="384"/>
      <c r="T423" s="384"/>
      <c r="U423" s="384"/>
      <c r="V423" s="384"/>
      <c r="W423" s="377"/>
    </row>
    <row r="424" spans="7:23" x14ac:dyDescent="0.2">
      <c r="G424" s="376"/>
      <c r="H424" s="372"/>
      <c r="I424" s="372"/>
      <c r="J424" s="372"/>
      <c r="K424" s="372"/>
      <c r="L424" s="372"/>
      <c r="M424" s="372"/>
      <c r="W424" s="377"/>
    </row>
    <row r="425" spans="7:23" ht="18" customHeight="1" x14ac:dyDescent="0.2">
      <c r="G425" s="376"/>
      <c r="H425" s="372"/>
      <c r="I425" s="372"/>
      <c r="J425" s="492" t="s">
        <v>253</v>
      </c>
      <c r="K425" s="492"/>
      <c r="L425" s="493"/>
      <c r="M425" s="485" t="str">
        <f>VLOOKUP($K412,Risques!$D$21:$AB$40,3,FALSE)</f>
        <v/>
      </c>
      <c r="N425" s="486"/>
      <c r="O425" s="486"/>
      <c r="P425" s="486"/>
      <c r="Q425" s="486"/>
      <c r="R425" s="486"/>
      <c r="S425" s="486"/>
      <c r="T425" s="486"/>
      <c r="U425" s="486"/>
      <c r="V425" s="487"/>
      <c r="W425" s="377"/>
    </row>
    <row r="426" spans="7:23" ht="42.75" customHeight="1" x14ac:dyDescent="0.25">
      <c r="G426" s="399"/>
      <c r="H426" s="400"/>
      <c r="I426" s="400"/>
      <c r="J426" s="492"/>
      <c r="K426" s="492"/>
      <c r="L426" s="493"/>
      <c r="M426" s="488"/>
      <c r="N426" s="489"/>
      <c r="O426" s="489"/>
      <c r="P426" s="489"/>
      <c r="Q426" s="489"/>
      <c r="R426" s="489"/>
      <c r="S426" s="489"/>
      <c r="T426" s="489"/>
      <c r="U426" s="489"/>
      <c r="V426" s="490"/>
      <c r="W426" s="401"/>
    </row>
    <row r="427" spans="7:23" x14ac:dyDescent="0.2">
      <c r="G427" s="376"/>
      <c r="H427" s="372"/>
      <c r="I427" s="372"/>
      <c r="J427" s="372"/>
      <c r="K427" s="372"/>
      <c r="L427" s="372"/>
      <c r="M427" s="372"/>
      <c r="N427" s="403"/>
      <c r="O427" s="403"/>
      <c r="P427" s="403"/>
      <c r="Q427" s="403"/>
      <c r="R427" s="403"/>
      <c r="S427" s="403"/>
      <c r="T427" s="403"/>
      <c r="U427" s="403"/>
      <c r="V427" s="404"/>
      <c r="W427" s="377"/>
    </row>
    <row r="428" spans="7:23" ht="31.5" customHeight="1" x14ac:dyDescent="0.2">
      <c r="G428" s="376"/>
      <c r="H428" s="372"/>
      <c r="I428" s="372"/>
      <c r="J428" s="491" t="s">
        <v>239</v>
      </c>
      <c r="K428" s="491"/>
      <c r="L428" s="491"/>
      <c r="M428" s="416" t="s">
        <v>240</v>
      </c>
      <c r="N428" s="416" t="s">
        <v>241</v>
      </c>
      <c r="O428" s="491" t="s">
        <v>242</v>
      </c>
      <c r="P428" s="491"/>
      <c r="Q428" s="491"/>
      <c r="R428" s="491"/>
      <c r="S428" s="491"/>
      <c r="T428" s="491"/>
      <c r="U428" s="491"/>
      <c r="V428" s="416" t="s">
        <v>243</v>
      </c>
      <c r="W428" s="377"/>
    </row>
    <row r="429" spans="7:23" ht="9" customHeight="1" x14ac:dyDescent="0.2">
      <c r="G429" s="376"/>
      <c r="H429" s="372"/>
      <c r="I429" s="372"/>
      <c r="J429" s="414" t="str">
        <f t="array" ref="J429">IF($K$412="","",IF(INDEX('Plan d''actions détaillé'!A:A,MIN(IF((COUNTIF(J$427:J428,'Plan d''actions détaillé'!$A$6:$A$30)=0)*(INDEX('Plan d''actions détaillé'!$U$6:$AL$30,,MATCH($K$412,'Plan d''actions détaillé'!$U$5:$AL$5,0))="X"),ROW('Plan d''actions détaillé'!$T$6:$T$30))))=0,"",INDEX('Plan d''actions détaillé'!A:A,MIN(IF((COUNTIF(J$427:J428,'Plan d''actions détaillé'!$A$6:$A$30)=0)*(INDEX('Plan d''actions détaillé'!$U$6:$AL$30,,MATCH($K$412,'Plan d''actions détaillé'!$U$5:$AL$5,0))="X"),ROW('Plan d''actions détaillé'!$T$6:$T$30))))))</f>
        <v/>
      </c>
      <c r="K429" s="414"/>
      <c r="L429" s="415"/>
      <c r="M429" s="413" t="str">
        <f t="array" ref="M429">IF($K$412="","",IF(INDEX('Plan d''actions détaillé'!D:D,MIN(IF((COUNTIF(M$427:M428,'Plan d''actions détaillé'!$D$6:$D$30)=0)*(INDEX('Plan d''actions détaillé'!$U$6:$AL$30,,MATCH($K$412,'Plan d''actions détaillé'!$U$5:$AL$5,0))="X"),ROW('Plan d''actions détaillé'!$T$6:$T$30))))=0,"",INDEX('Plan d''actions détaillé'!D:D,MIN(IF((COUNTIF(M$427:M428,'Plan d''actions détaillé'!$D$6:$D$30)=0)*(INDEX('Plan d''actions détaillé'!$U$6:$AL$30,,MATCH($K$412,'Plan d''actions détaillé'!$U$5:$AL$5,0))="X"),ROW('Plan d''actions détaillé'!$T$6:$T$30))))))</f>
        <v/>
      </c>
      <c r="N429" s="411" t="str">
        <f>IF($M429&lt;&gt;"",IF(VLOOKUP($M429,'Plan d''actions détaillé'!$D$6:$P$30,8,FALSE)="","",VLOOKUP($M429,'Plan d''actions détaillé'!$D$6:$P$30,8,FALSE)),"")</f>
        <v/>
      </c>
      <c r="O429" s="483" t="str">
        <f>IF($M429&lt;&gt;"",IF(VLOOKUP($M429,'Plan d''actions détaillé'!$D$6:$P$30,6,FALSE)="","",VLOOKUP($M429,'Plan d''actions détaillé'!$D$6:$P$30,6,FALSE)),"")</f>
        <v/>
      </c>
      <c r="P429" s="483"/>
      <c r="Q429" s="483"/>
      <c r="R429" s="483"/>
      <c r="S429" s="483"/>
      <c r="T429" s="483"/>
      <c r="U429" s="483"/>
      <c r="V429" s="412" t="str">
        <f>IF($M429&lt;&gt;"",IF(VLOOKUP($M429,'Plan d''actions détaillé'!$D$6:$P$30,12,FALSE)="","",VLOOKUP($M429,'Plan d''actions détaillé'!$D$6:$P$30,12,FALSE)),"")</f>
        <v/>
      </c>
      <c r="W429" s="377"/>
    </row>
    <row r="430" spans="7:23" ht="9" customHeight="1" x14ac:dyDescent="0.2">
      <c r="G430" s="376"/>
      <c r="H430" s="372"/>
      <c r="I430" s="372"/>
      <c r="J430" s="414" t="str">
        <f t="array" ref="J430">IF($K$412="","",IF(INDEX('Plan d''actions détaillé'!A:A,MIN(IF((COUNTIF(J$427:J429,'Plan d''actions détaillé'!$A$6:$A$30)=0)*(INDEX('Plan d''actions détaillé'!$U$6:$AL$30,,MATCH($K$412,'Plan d''actions détaillé'!$U$5:$AL$5,0))="X"),ROW('Plan d''actions détaillé'!$T$6:$T$30))))=0,"",INDEX('Plan d''actions détaillé'!A:A,MIN(IF((COUNTIF(J$427:J429,'Plan d''actions détaillé'!$A$6:$A$30)=0)*(INDEX('Plan d''actions détaillé'!$U$6:$AL$30,,MATCH($K$412,'Plan d''actions détaillé'!$U$5:$AL$5,0))="X"),ROW('Plan d''actions détaillé'!$T$6:$T$30))))))</f>
        <v/>
      </c>
      <c r="K430" s="414"/>
      <c r="L430" s="415"/>
      <c r="M430" s="413" t="str">
        <f t="array" ref="M430">IF($K$412="","",IF(INDEX('Plan d''actions détaillé'!D:D,MIN(IF((COUNTIF(M$427:M429,'Plan d''actions détaillé'!$D$6:$D$30)=0)*(INDEX('Plan d''actions détaillé'!$U$6:$AL$30,,MATCH($K$412,'Plan d''actions détaillé'!$U$5:$AL$5,0))="X"),ROW('Plan d''actions détaillé'!$T$6:$T$30))))=0,"",INDEX('Plan d''actions détaillé'!D:D,MIN(IF((COUNTIF(M$427:M429,'Plan d''actions détaillé'!$D$6:$D$30)=0)*(INDEX('Plan d''actions détaillé'!$U$6:$AL$30,,MATCH($K$412,'Plan d''actions détaillé'!$U$5:$AL$5,0))="X"),ROW('Plan d''actions détaillé'!$T$6:$T$30))))))</f>
        <v/>
      </c>
      <c r="N430" s="411" t="str">
        <f>IF($M430&lt;&gt;"",IF(VLOOKUP($M430,'Plan d''actions détaillé'!$D$6:$P$30,8,FALSE)="","",VLOOKUP($M430,'Plan d''actions détaillé'!$D$6:$P$30,8,FALSE)),"")</f>
        <v/>
      </c>
      <c r="O430" s="483" t="str">
        <f>IF($M430&lt;&gt;"",IF(VLOOKUP($M430,'Plan d''actions détaillé'!$D$6:$P$30,6,FALSE)="","",VLOOKUP($M430,'Plan d''actions détaillé'!$D$6:$P$30,6,FALSE)),"")</f>
        <v/>
      </c>
      <c r="P430" s="483"/>
      <c r="Q430" s="483"/>
      <c r="R430" s="483"/>
      <c r="S430" s="483"/>
      <c r="T430" s="483"/>
      <c r="U430" s="483"/>
      <c r="V430" s="412" t="str">
        <f>IF($M430&lt;&gt;"",IF(VLOOKUP($M430,'Plan d''actions détaillé'!$D$6:$P$30,12,FALSE)="","",VLOOKUP($M430,'Plan d''actions détaillé'!$D$6:$P$30,12,FALSE)),"")</f>
        <v/>
      </c>
      <c r="W430" s="377"/>
    </row>
    <row r="431" spans="7:23" ht="9" customHeight="1" x14ac:dyDescent="0.2">
      <c r="G431" s="376"/>
      <c r="H431" s="372"/>
      <c r="I431" s="372"/>
      <c r="J431" s="414" t="str">
        <f t="array" ref="J431">IF($K$412="","",IF(INDEX('Plan d''actions détaillé'!A:A,MIN(IF((COUNTIF(J$427:J430,'Plan d''actions détaillé'!$A$6:$A$30)=0)*(INDEX('Plan d''actions détaillé'!$U$6:$AL$30,,MATCH($K$412,'Plan d''actions détaillé'!$U$5:$AL$5,0))="X"),ROW('Plan d''actions détaillé'!$T$6:$T$30))))=0,"",INDEX('Plan d''actions détaillé'!A:A,MIN(IF((COUNTIF(J$427:J430,'Plan d''actions détaillé'!$A$6:$A$30)=0)*(INDEX('Plan d''actions détaillé'!$U$6:$AL$30,,MATCH($K$412,'Plan d''actions détaillé'!$U$5:$AL$5,0))="X"),ROW('Plan d''actions détaillé'!$T$6:$T$30))))))</f>
        <v/>
      </c>
      <c r="K431" s="414"/>
      <c r="L431" s="415"/>
      <c r="M431" s="413" t="str">
        <f t="array" ref="M431">IF($K$412="","",IF(INDEX('Plan d''actions détaillé'!D:D,MIN(IF((COUNTIF(M$427:M430,'Plan d''actions détaillé'!$D$6:$D$30)=0)*(INDEX('Plan d''actions détaillé'!$U$6:$AL$30,,MATCH($K$412,'Plan d''actions détaillé'!$U$5:$AL$5,0))="X"),ROW('Plan d''actions détaillé'!$T$6:$T$30))))=0,"",INDEX('Plan d''actions détaillé'!D:D,MIN(IF((COUNTIF(M$427:M430,'Plan d''actions détaillé'!$D$6:$D$30)=0)*(INDEX('Plan d''actions détaillé'!$U$6:$AL$30,,MATCH($K$412,'Plan d''actions détaillé'!$U$5:$AL$5,0))="X"),ROW('Plan d''actions détaillé'!$T$6:$T$30))))))</f>
        <v/>
      </c>
      <c r="N431" s="411" t="str">
        <f>IF($M431&lt;&gt;"",IF(VLOOKUP($M431,'Plan d''actions détaillé'!$D$6:$P$30,8,FALSE)="","",VLOOKUP($M431,'Plan d''actions détaillé'!$D$6:$P$30,8,FALSE)),"")</f>
        <v/>
      </c>
      <c r="O431" s="483" t="str">
        <f>IF($M431&lt;&gt;"",IF(VLOOKUP($M431,'Plan d''actions détaillé'!$D$6:$P$30,6,FALSE)="","",VLOOKUP($M431,'Plan d''actions détaillé'!$D$6:$P$30,6,FALSE)),"")</f>
        <v/>
      </c>
      <c r="P431" s="483"/>
      <c r="Q431" s="483"/>
      <c r="R431" s="483"/>
      <c r="S431" s="483"/>
      <c r="T431" s="483"/>
      <c r="U431" s="483"/>
      <c r="V431" s="412" t="str">
        <f>IF($M431&lt;&gt;"",IF(VLOOKUP($M431,'Plan d''actions détaillé'!$D$6:$P$30,12,FALSE)="","",VLOOKUP($M431,'Plan d''actions détaillé'!$D$6:$P$30,12,FALSE)),"")</f>
        <v/>
      </c>
      <c r="W431" s="377"/>
    </row>
    <row r="432" spans="7:23" ht="9" customHeight="1" x14ac:dyDescent="0.2">
      <c r="G432" s="376"/>
      <c r="H432" s="372"/>
      <c r="I432" s="372"/>
      <c r="J432" s="414" t="str">
        <f t="array" ref="J432">IF($K$412="","",IF(INDEX('Plan d''actions détaillé'!A:A,MIN(IF((COUNTIF(J$427:J431,'Plan d''actions détaillé'!$A$6:$A$30)=0)*(INDEX('Plan d''actions détaillé'!$U$6:$AL$30,,MATCH($K$412,'Plan d''actions détaillé'!$U$5:$AL$5,0))="X"),ROW('Plan d''actions détaillé'!$T$6:$T$30))))=0,"",INDEX('Plan d''actions détaillé'!A:A,MIN(IF((COUNTIF(J$427:J431,'Plan d''actions détaillé'!$A$6:$A$30)=0)*(INDEX('Plan d''actions détaillé'!$U$6:$AL$30,,MATCH($K$412,'Plan d''actions détaillé'!$U$5:$AL$5,0))="X"),ROW('Plan d''actions détaillé'!$T$6:$T$30))))))</f>
        <v/>
      </c>
      <c r="K432" s="414"/>
      <c r="L432" s="415"/>
      <c r="M432" s="413" t="str">
        <f t="array" ref="M432">IF($K$412="","",IF(INDEX('Plan d''actions détaillé'!D:D,MIN(IF((COUNTIF(M$427:M431,'Plan d''actions détaillé'!$D$6:$D$30)=0)*(INDEX('Plan d''actions détaillé'!$U$6:$AL$30,,MATCH($K$412,'Plan d''actions détaillé'!$U$5:$AL$5,0))="X"),ROW('Plan d''actions détaillé'!$T$6:$T$30))))=0,"",INDEX('Plan d''actions détaillé'!D:D,MIN(IF((COUNTIF(M$427:M431,'Plan d''actions détaillé'!$D$6:$D$30)=0)*(INDEX('Plan d''actions détaillé'!$U$6:$AL$30,,MATCH($K$412,'Plan d''actions détaillé'!$U$5:$AL$5,0))="X"),ROW('Plan d''actions détaillé'!$T$6:$T$30))))))</f>
        <v/>
      </c>
      <c r="N432" s="411" t="str">
        <f>IF($M432&lt;&gt;"",IF(VLOOKUP($M432,'Plan d''actions détaillé'!$D$6:$P$30,8,FALSE)="","",VLOOKUP($M432,'Plan d''actions détaillé'!$D$6:$P$30,8,FALSE)),"")</f>
        <v/>
      </c>
      <c r="O432" s="483" t="str">
        <f>IF($M432&lt;&gt;"",IF(VLOOKUP($M432,'Plan d''actions détaillé'!$D$6:$P$30,6,FALSE)="","",VLOOKUP($M432,'Plan d''actions détaillé'!$D$6:$P$30,6,FALSE)),"")</f>
        <v/>
      </c>
      <c r="P432" s="483"/>
      <c r="Q432" s="483"/>
      <c r="R432" s="483"/>
      <c r="S432" s="483"/>
      <c r="T432" s="483"/>
      <c r="U432" s="483"/>
      <c r="V432" s="412" t="str">
        <f>IF($M432&lt;&gt;"",IF(VLOOKUP($M432,'Plan d''actions détaillé'!$D$6:$P$30,12,FALSE)="","",VLOOKUP($M432,'Plan d''actions détaillé'!$D$6:$P$30,12,FALSE)),"")</f>
        <v/>
      </c>
      <c r="W432" s="377"/>
    </row>
    <row r="433" spans="7:23" ht="9" customHeight="1" x14ac:dyDescent="0.2">
      <c r="G433" s="376"/>
      <c r="H433" s="372"/>
      <c r="I433" s="372"/>
      <c r="J433" s="414" t="str">
        <f t="array" ref="J433">IF($K$412="","",IF(INDEX('Plan d''actions détaillé'!A:A,MIN(IF((COUNTIF(J$427:J432,'Plan d''actions détaillé'!$A$6:$A$30)=0)*(INDEX('Plan d''actions détaillé'!$U$6:$AL$30,,MATCH($K$412,'Plan d''actions détaillé'!$U$5:$AL$5,0))="X"),ROW('Plan d''actions détaillé'!$T$6:$T$30))))=0,"",INDEX('Plan d''actions détaillé'!A:A,MIN(IF((COUNTIF(J$427:J432,'Plan d''actions détaillé'!$A$6:$A$30)=0)*(INDEX('Plan d''actions détaillé'!$U$6:$AL$30,,MATCH($K$412,'Plan d''actions détaillé'!$U$5:$AL$5,0))="X"),ROW('Plan d''actions détaillé'!$T$6:$T$30))))))</f>
        <v/>
      </c>
      <c r="K433" s="414"/>
      <c r="L433" s="415"/>
      <c r="M433" s="413" t="str">
        <f t="array" ref="M433">IF($K$412="","",IF(INDEX('Plan d''actions détaillé'!D:D,MIN(IF((COUNTIF(M$427:M432,'Plan d''actions détaillé'!$D$6:$D$30)=0)*(INDEX('Plan d''actions détaillé'!$U$6:$AL$30,,MATCH($K$412,'Plan d''actions détaillé'!$U$5:$AL$5,0))="X"),ROW('Plan d''actions détaillé'!$T$6:$T$30))))=0,"",INDEX('Plan d''actions détaillé'!D:D,MIN(IF((COUNTIF(M$427:M432,'Plan d''actions détaillé'!$D$6:$D$30)=0)*(INDEX('Plan d''actions détaillé'!$U$6:$AL$30,,MATCH($K$412,'Plan d''actions détaillé'!$U$5:$AL$5,0))="X"),ROW('Plan d''actions détaillé'!$T$6:$T$30))))))</f>
        <v/>
      </c>
      <c r="N433" s="411" t="str">
        <f>IF($M433&lt;&gt;"",IF(VLOOKUP($M433,'Plan d''actions détaillé'!$D$6:$P$30,8,FALSE)="","",VLOOKUP($M433,'Plan d''actions détaillé'!$D$6:$P$30,8,FALSE)),"")</f>
        <v/>
      </c>
      <c r="O433" s="483" t="str">
        <f>IF($M433&lt;&gt;"",IF(VLOOKUP($M433,'Plan d''actions détaillé'!$D$6:$P$30,6,FALSE)="","",VLOOKUP($M433,'Plan d''actions détaillé'!$D$6:$P$30,6,FALSE)),"")</f>
        <v/>
      </c>
      <c r="P433" s="483"/>
      <c r="Q433" s="483"/>
      <c r="R433" s="483"/>
      <c r="S433" s="483"/>
      <c r="T433" s="483"/>
      <c r="U433" s="483"/>
      <c r="V433" s="412" t="str">
        <f>IF($M433&lt;&gt;"",IF(VLOOKUP($M433,'Plan d''actions détaillé'!$D$6:$P$30,12,FALSE)="","",VLOOKUP($M433,'Plan d''actions détaillé'!$D$6:$P$30,12,FALSE)),"")</f>
        <v/>
      </c>
      <c r="W433" s="377"/>
    </row>
    <row r="434" spans="7:23" ht="9" customHeight="1" x14ac:dyDescent="0.2">
      <c r="G434" s="376"/>
      <c r="H434" s="372"/>
      <c r="I434" s="372"/>
      <c r="J434" s="414" t="str">
        <f t="array" ref="J434">IF($K$412="","",IF(INDEX('Plan d''actions détaillé'!A:A,MIN(IF((COUNTIF(J$427:J433,'Plan d''actions détaillé'!$A$6:$A$30)=0)*(INDEX('Plan d''actions détaillé'!$U$6:$AL$30,,MATCH($K$412,'Plan d''actions détaillé'!$U$5:$AL$5,0))="X"),ROW('Plan d''actions détaillé'!$T$6:$T$30))))=0,"",INDEX('Plan d''actions détaillé'!A:A,MIN(IF((COUNTIF(J$427:J433,'Plan d''actions détaillé'!$A$6:$A$30)=0)*(INDEX('Plan d''actions détaillé'!$U$6:$AL$30,,MATCH($K$412,'Plan d''actions détaillé'!$U$5:$AL$5,0))="X"),ROW('Plan d''actions détaillé'!$T$6:$T$30))))))</f>
        <v/>
      </c>
      <c r="K434" s="414"/>
      <c r="L434" s="415"/>
      <c r="M434" s="413" t="str">
        <f t="array" ref="M434">IF($K$412="","",IF(INDEX('Plan d''actions détaillé'!D:D,MIN(IF((COUNTIF(M$427:M433,'Plan d''actions détaillé'!$D$6:$D$30)=0)*(INDEX('Plan d''actions détaillé'!$U$6:$AL$30,,MATCH($K$412,'Plan d''actions détaillé'!$U$5:$AL$5,0))="X"),ROW('Plan d''actions détaillé'!$T$6:$T$30))))=0,"",INDEX('Plan d''actions détaillé'!D:D,MIN(IF((COUNTIF(M$427:M433,'Plan d''actions détaillé'!$D$6:$D$30)=0)*(INDEX('Plan d''actions détaillé'!$U$6:$AL$30,,MATCH($K$412,'Plan d''actions détaillé'!$U$5:$AL$5,0))="X"),ROW('Plan d''actions détaillé'!$T$6:$T$30))))))</f>
        <v/>
      </c>
      <c r="N434" s="411" t="str">
        <f>IF($M434&lt;&gt;"",IF(VLOOKUP($M434,'Plan d''actions détaillé'!$D$6:$P$30,8,FALSE)="","",VLOOKUP($M434,'Plan d''actions détaillé'!$D$6:$P$30,8,FALSE)),"")</f>
        <v/>
      </c>
      <c r="O434" s="483" t="str">
        <f>IF($M434&lt;&gt;"",IF(VLOOKUP($M434,'Plan d''actions détaillé'!$D$6:$P$30,6,FALSE)="","",VLOOKUP($M434,'Plan d''actions détaillé'!$D$6:$P$30,6,FALSE)),"")</f>
        <v/>
      </c>
      <c r="P434" s="483"/>
      <c r="Q434" s="483"/>
      <c r="R434" s="483"/>
      <c r="S434" s="483"/>
      <c r="T434" s="483"/>
      <c r="U434" s="483"/>
      <c r="V434" s="412" t="str">
        <f>IF($M434&lt;&gt;"",IF(VLOOKUP($M434,'Plan d''actions détaillé'!$D$6:$P$30,12,FALSE)="","",VLOOKUP($M434,'Plan d''actions détaillé'!$D$6:$P$30,12,FALSE)),"")</f>
        <v/>
      </c>
      <c r="W434" s="377"/>
    </row>
    <row r="435" spans="7:23" ht="9" customHeight="1" x14ac:dyDescent="0.2">
      <c r="G435" s="376"/>
      <c r="H435" s="372"/>
      <c r="I435" s="372"/>
      <c r="J435" s="414" t="str">
        <f t="array" ref="J435">IF($K$412="","",IF(INDEX('Plan d''actions détaillé'!A:A,MIN(IF((COUNTIF(J$427:J434,'Plan d''actions détaillé'!$A$6:$A$30)=0)*(INDEX('Plan d''actions détaillé'!$U$6:$AL$30,,MATCH($K$412,'Plan d''actions détaillé'!$U$5:$AL$5,0))="X"),ROW('Plan d''actions détaillé'!$T$6:$T$30))))=0,"",INDEX('Plan d''actions détaillé'!A:A,MIN(IF((COUNTIF(J$427:J434,'Plan d''actions détaillé'!$A$6:$A$30)=0)*(INDEX('Plan d''actions détaillé'!$U$6:$AL$30,,MATCH($K$412,'Plan d''actions détaillé'!$U$5:$AL$5,0))="X"),ROW('Plan d''actions détaillé'!$T$6:$T$30))))))</f>
        <v/>
      </c>
      <c r="K435" s="414"/>
      <c r="L435" s="415"/>
      <c r="M435" s="413" t="str">
        <f t="array" ref="M435">IF($K$412="","",IF(INDEX('Plan d''actions détaillé'!D:D,MIN(IF((COUNTIF(M$427:M434,'Plan d''actions détaillé'!$D$6:$D$30)=0)*(INDEX('Plan d''actions détaillé'!$U$6:$AL$30,,MATCH($K$412,'Plan d''actions détaillé'!$U$5:$AL$5,0))="X"),ROW('Plan d''actions détaillé'!$T$6:$T$30))))=0,"",INDEX('Plan d''actions détaillé'!D:D,MIN(IF((COUNTIF(M$427:M434,'Plan d''actions détaillé'!$D$6:$D$30)=0)*(INDEX('Plan d''actions détaillé'!$U$6:$AL$30,,MATCH($K$412,'Plan d''actions détaillé'!$U$5:$AL$5,0))="X"),ROW('Plan d''actions détaillé'!$T$6:$T$30))))))</f>
        <v/>
      </c>
      <c r="N435" s="411" t="str">
        <f>IF($M435&lt;&gt;"",IF(VLOOKUP($M435,'Plan d''actions détaillé'!$D$6:$P$30,8,FALSE)="","",VLOOKUP($M435,'Plan d''actions détaillé'!$D$6:$P$30,8,FALSE)),"")</f>
        <v/>
      </c>
      <c r="O435" s="483" t="str">
        <f>IF($M435&lt;&gt;"",IF(VLOOKUP($M435,'Plan d''actions détaillé'!$D$6:$P$30,6,FALSE)="","",VLOOKUP($M435,'Plan d''actions détaillé'!$D$6:$P$30,6,FALSE)),"")</f>
        <v/>
      </c>
      <c r="P435" s="483"/>
      <c r="Q435" s="483"/>
      <c r="R435" s="483"/>
      <c r="S435" s="483"/>
      <c r="T435" s="483"/>
      <c r="U435" s="483"/>
      <c r="V435" s="412" t="str">
        <f>IF($M435&lt;&gt;"",IF(VLOOKUP($M435,'Plan d''actions détaillé'!$D$6:$P$30,12,FALSE)="","",VLOOKUP($M435,'Plan d''actions détaillé'!$D$6:$P$30,12,FALSE)),"")</f>
        <v/>
      </c>
      <c r="W435" s="377"/>
    </row>
    <row r="436" spans="7:23" ht="9" customHeight="1" x14ac:dyDescent="0.2">
      <c r="G436" s="376"/>
      <c r="H436" s="372"/>
      <c r="I436" s="372"/>
      <c r="J436" s="414" t="str">
        <f t="array" ref="J436">IF($K$412="","",IF(INDEX('Plan d''actions détaillé'!A:A,MIN(IF((COUNTIF(J$427:J435,'Plan d''actions détaillé'!$A$6:$A$30)=0)*(INDEX('Plan d''actions détaillé'!$U$6:$AL$30,,MATCH($K$412,'Plan d''actions détaillé'!$U$5:$AL$5,0))="X"),ROW('Plan d''actions détaillé'!$T$6:$T$30))))=0,"",INDEX('Plan d''actions détaillé'!A:A,MIN(IF((COUNTIF(J$427:J435,'Plan d''actions détaillé'!$A$6:$A$30)=0)*(INDEX('Plan d''actions détaillé'!$U$6:$AL$30,,MATCH($K$412,'Plan d''actions détaillé'!$U$5:$AL$5,0))="X"),ROW('Plan d''actions détaillé'!$T$6:$T$30))))))</f>
        <v/>
      </c>
      <c r="K436" s="414"/>
      <c r="L436" s="415"/>
      <c r="M436" s="413" t="str">
        <f t="array" ref="M436">IF($K$412="","",IF(INDEX('Plan d''actions détaillé'!D:D,MIN(IF((COUNTIF(M$427:M435,'Plan d''actions détaillé'!$D$6:$D$30)=0)*(INDEX('Plan d''actions détaillé'!$U$6:$AL$30,,MATCH($K$412,'Plan d''actions détaillé'!$U$5:$AL$5,0))="X"),ROW('Plan d''actions détaillé'!$T$6:$T$30))))=0,"",INDEX('Plan d''actions détaillé'!D:D,MIN(IF((COUNTIF(M$427:M435,'Plan d''actions détaillé'!$D$6:$D$30)=0)*(INDEX('Plan d''actions détaillé'!$U$6:$AL$30,,MATCH($K$412,'Plan d''actions détaillé'!$U$5:$AL$5,0))="X"),ROW('Plan d''actions détaillé'!$T$6:$T$30))))))</f>
        <v/>
      </c>
      <c r="N436" s="411" t="str">
        <f>IF($M436&lt;&gt;"",IF(VLOOKUP($M436,'Plan d''actions détaillé'!$D$6:$P$30,8,FALSE)="","",VLOOKUP($M436,'Plan d''actions détaillé'!$D$6:$P$30,8,FALSE)),"")</f>
        <v/>
      </c>
      <c r="O436" s="483" t="str">
        <f>IF($M436&lt;&gt;"",IF(VLOOKUP($M436,'Plan d''actions détaillé'!$D$6:$P$30,6,FALSE)="","",VLOOKUP($M436,'Plan d''actions détaillé'!$D$6:$P$30,6,FALSE)),"")</f>
        <v/>
      </c>
      <c r="P436" s="483"/>
      <c r="Q436" s="483"/>
      <c r="R436" s="483"/>
      <c r="S436" s="483"/>
      <c r="T436" s="483"/>
      <c r="U436" s="483"/>
      <c r="V436" s="412" t="str">
        <f>IF($M436&lt;&gt;"",IF(VLOOKUP($M436,'Plan d''actions détaillé'!$D$6:$P$30,12,FALSE)="","",VLOOKUP($M436,'Plan d''actions détaillé'!$D$6:$P$30,12,FALSE)),"")</f>
        <v/>
      </c>
      <c r="W436" s="377"/>
    </row>
    <row r="437" spans="7:23" ht="9" customHeight="1" x14ac:dyDescent="0.2">
      <c r="G437" s="376"/>
      <c r="H437" s="372"/>
      <c r="I437" s="372"/>
      <c r="J437" s="414" t="str">
        <f t="array" ref="J437">IF($K$412="","",IF(INDEX('Plan d''actions détaillé'!A:A,MIN(IF((COUNTIF(J$427:J436,'Plan d''actions détaillé'!$A$6:$A$30)=0)*(INDEX('Plan d''actions détaillé'!$U$6:$AL$30,,MATCH($K$412,'Plan d''actions détaillé'!$U$5:$AL$5,0))="X"),ROW('Plan d''actions détaillé'!$T$6:$T$30))))=0,"",INDEX('Plan d''actions détaillé'!A:A,MIN(IF((COUNTIF(J$427:J436,'Plan d''actions détaillé'!$A$6:$A$30)=0)*(INDEX('Plan d''actions détaillé'!$U$6:$AL$30,,MATCH($K$412,'Plan d''actions détaillé'!$U$5:$AL$5,0))="X"),ROW('Plan d''actions détaillé'!$T$6:$T$30))))))</f>
        <v/>
      </c>
      <c r="K437" s="414"/>
      <c r="L437" s="415"/>
      <c r="M437" s="413" t="str">
        <f t="array" ref="M437">IF($K$412="","",IF(INDEX('Plan d''actions détaillé'!D:D,MIN(IF((COUNTIF(M$427:M436,'Plan d''actions détaillé'!$D$6:$D$30)=0)*(INDEX('Plan d''actions détaillé'!$U$6:$AL$30,,MATCH($K$412,'Plan d''actions détaillé'!$U$5:$AL$5,0))="X"),ROW('Plan d''actions détaillé'!$T$6:$T$30))))=0,"",INDEX('Plan d''actions détaillé'!D:D,MIN(IF((COUNTIF(M$427:M436,'Plan d''actions détaillé'!$D$6:$D$30)=0)*(INDEX('Plan d''actions détaillé'!$U$6:$AL$30,,MATCH($K$412,'Plan d''actions détaillé'!$U$5:$AL$5,0))="X"),ROW('Plan d''actions détaillé'!$T$6:$T$30))))))</f>
        <v/>
      </c>
      <c r="N437" s="411" t="str">
        <f>IF($M437&lt;&gt;"",IF(VLOOKUP($M437,'Plan d''actions détaillé'!$D$6:$P$30,8,FALSE)="","",VLOOKUP($M437,'Plan d''actions détaillé'!$D$6:$P$30,8,FALSE)),"")</f>
        <v/>
      </c>
      <c r="O437" s="483" t="str">
        <f>IF($M437&lt;&gt;"",IF(VLOOKUP($M437,'Plan d''actions détaillé'!$D$6:$P$30,6,FALSE)="","",VLOOKUP($M437,'Plan d''actions détaillé'!$D$6:$P$30,6,FALSE)),"")</f>
        <v/>
      </c>
      <c r="P437" s="483"/>
      <c r="Q437" s="483"/>
      <c r="R437" s="483"/>
      <c r="S437" s="483"/>
      <c r="T437" s="483"/>
      <c r="U437" s="483"/>
      <c r="V437" s="412" t="str">
        <f>IF($M437&lt;&gt;"",IF(VLOOKUP($M437,'Plan d''actions détaillé'!$D$6:$P$30,12,FALSE)="","",VLOOKUP($M437,'Plan d''actions détaillé'!$D$6:$P$30,12,FALSE)),"")</f>
        <v/>
      </c>
      <c r="W437" s="377"/>
    </row>
    <row r="438" spans="7:23" ht="9" customHeight="1" x14ac:dyDescent="0.2">
      <c r="G438" s="376"/>
      <c r="H438" s="372"/>
      <c r="I438" s="372"/>
      <c r="J438" s="414" t="str">
        <f t="array" ref="J438">IF($K$412="","",IF(INDEX('Plan d''actions détaillé'!A:A,MIN(IF((COUNTIF(J$427:J437,'Plan d''actions détaillé'!$A$6:$A$30)=0)*(INDEX('Plan d''actions détaillé'!$U$6:$AL$30,,MATCH($K$412,'Plan d''actions détaillé'!$U$5:$AL$5,0))="X"),ROW('Plan d''actions détaillé'!$T$6:$T$30))))=0,"",INDEX('Plan d''actions détaillé'!A:A,MIN(IF((COUNTIF(J$427:J437,'Plan d''actions détaillé'!$A$6:$A$30)=0)*(INDEX('Plan d''actions détaillé'!$U$6:$AL$30,,MATCH($K$412,'Plan d''actions détaillé'!$U$5:$AL$5,0))="X"),ROW('Plan d''actions détaillé'!$T$6:$T$30))))))</f>
        <v/>
      </c>
      <c r="K438" s="414"/>
      <c r="L438" s="415"/>
      <c r="M438" s="413" t="str">
        <f t="array" ref="M438">IF($K$412="","",IF(INDEX('Plan d''actions détaillé'!D:D,MIN(IF((COUNTIF(M$427:M437,'Plan d''actions détaillé'!$D$6:$D$30)=0)*(INDEX('Plan d''actions détaillé'!$U$6:$AL$30,,MATCH($K$412,'Plan d''actions détaillé'!$U$5:$AL$5,0))="X"),ROW('Plan d''actions détaillé'!$T$6:$T$30))))=0,"",INDEX('Plan d''actions détaillé'!D:D,MIN(IF((COUNTIF(M$427:M437,'Plan d''actions détaillé'!$D$6:$D$30)=0)*(INDEX('Plan d''actions détaillé'!$U$6:$AL$30,,MATCH($K$412,'Plan d''actions détaillé'!$U$5:$AL$5,0))="X"),ROW('Plan d''actions détaillé'!$T$6:$T$30))))))</f>
        <v/>
      </c>
      <c r="N438" s="411" t="str">
        <f>IF($M438&lt;&gt;"",IF(VLOOKUP($M438,'Plan d''actions détaillé'!$D$6:$P$30,8,FALSE)="","",VLOOKUP($M438,'Plan d''actions détaillé'!$D$6:$P$30,8,FALSE)),"")</f>
        <v/>
      </c>
      <c r="O438" s="483" t="str">
        <f>IF($M438&lt;&gt;"",IF(VLOOKUP($M438,'Plan d''actions détaillé'!$D$6:$P$30,6,FALSE)="","",VLOOKUP($M438,'Plan d''actions détaillé'!$D$6:$P$30,6,FALSE)),"")</f>
        <v/>
      </c>
      <c r="P438" s="483"/>
      <c r="Q438" s="483"/>
      <c r="R438" s="483"/>
      <c r="S438" s="483"/>
      <c r="T438" s="483"/>
      <c r="U438" s="483"/>
      <c r="V438" s="412" t="str">
        <f>IF($M438&lt;&gt;"",IF(VLOOKUP($M438,'Plan d''actions détaillé'!$D$6:$P$30,12,FALSE)="","",VLOOKUP($M438,'Plan d''actions détaillé'!$D$6:$P$30,12,FALSE)),"")</f>
        <v/>
      </c>
      <c r="W438" s="377"/>
    </row>
    <row r="439" spans="7:23" ht="9" customHeight="1" x14ac:dyDescent="0.2">
      <c r="G439" s="376"/>
      <c r="H439" s="372"/>
      <c r="I439" s="372"/>
      <c r="J439" s="414" t="str">
        <f t="array" ref="J439">IF($K$412="","",IF(INDEX('Plan d''actions détaillé'!A:A,MIN(IF((COUNTIF(J$427:J438,'Plan d''actions détaillé'!$A$6:$A$30)=0)*(INDEX('Plan d''actions détaillé'!$U$6:$AL$30,,MATCH($K$412,'Plan d''actions détaillé'!$U$5:$AL$5,0))="X"),ROW('Plan d''actions détaillé'!$T$6:$T$30))))=0,"",INDEX('Plan d''actions détaillé'!A:A,MIN(IF((COUNTIF(J$427:J438,'Plan d''actions détaillé'!$A$6:$A$30)=0)*(INDEX('Plan d''actions détaillé'!$U$6:$AL$30,,MATCH($K$412,'Plan d''actions détaillé'!$U$5:$AL$5,0))="X"),ROW('Plan d''actions détaillé'!$T$6:$T$30))))))</f>
        <v/>
      </c>
      <c r="K439" s="414"/>
      <c r="L439" s="415"/>
      <c r="M439" s="413" t="str">
        <f t="array" ref="M439">IF($K$412="","",IF(INDEX('Plan d''actions détaillé'!D:D,MIN(IF((COUNTIF(M$427:M438,'Plan d''actions détaillé'!$D$6:$D$30)=0)*(INDEX('Plan d''actions détaillé'!$U$6:$AL$30,,MATCH($K$412,'Plan d''actions détaillé'!$U$5:$AL$5,0))="X"),ROW('Plan d''actions détaillé'!$T$6:$T$30))))=0,"",INDEX('Plan d''actions détaillé'!D:D,MIN(IF((COUNTIF(M$427:M438,'Plan d''actions détaillé'!$D$6:$D$30)=0)*(INDEX('Plan d''actions détaillé'!$U$6:$AL$30,,MATCH($K$412,'Plan d''actions détaillé'!$U$5:$AL$5,0))="X"),ROW('Plan d''actions détaillé'!$T$6:$T$30))))))</f>
        <v/>
      </c>
      <c r="N439" s="411" t="str">
        <f>IF($M439&lt;&gt;"",IF(VLOOKUP($M439,'Plan d''actions détaillé'!$D$6:$P$30,8,FALSE)="","",VLOOKUP($M439,'Plan d''actions détaillé'!$D$6:$P$30,8,FALSE)),"")</f>
        <v/>
      </c>
      <c r="O439" s="483" t="str">
        <f>IF($M439&lt;&gt;"",IF(VLOOKUP($M439,'Plan d''actions détaillé'!$D$6:$P$30,6,FALSE)="","",VLOOKUP($M439,'Plan d''actions détaillé'!$D$6:$P$30,6,FALSE)),"")</f>
        <v/>
      </c>
      <c r="P439" s="483"/>
      <c r="Q439" s="483"/>
      <c r="R439" s="483"/>
      <c r="S439" s="483"/>
      <c r="T439" s="483"/>
      <c r="U439" s="483"/>
      <c r="V439" s="412" t="str">
        <f>IF($M439&lt;&gt;"",IF(VLOOKUP($M439,'Plan d''actions détaillé'!$D$6:$P$30,12,FALSE)="","",VLOOKUP($M439,'Plan d''actions détaillé'!$D$6:$P$30,12,FALSE)),"")</f>
        <v/>
      </c>
      <c r="W439" s="377"/>
    </row>
    <row r="440" spans="7:23" ht="9" customHeight="1" x14ac:dyDescent="0.2">
      <c r="G440" s="376"/>
      <c r="H440" s="372"/>
      <c r="I440" s="372"/>
      <c r="J440" s="414" t="str">
        <f t="array" ref="J440">IF($K$412="","",IF(INDEX('Plan d''actions détaillé'!A:A,MIN(IF((COUNTIF(J$427:J439,'Plan d''actions détaillé'!$A$6:$A$30)=0)*(INDEX('Plan d''actions détaillé'!$U$6:$AL$30,,MATCH($K$412,'Plan d''actions détaillé'!$U$5:$AL$5,0))="X"),ROW('Plan d''actions détaillé'!$T$6:$T$30))))=0,"",INDEX('Plan d''actions détaillé'!A:A,MIN(IF((COUNTIF(J$427:J439,'Plan d''actions détaillé'!$A$6:$A$30)=0)*(INDEX('Plan d''actions détaillé'!$U$6:$AL$30,,MATCH($K$412,'Plan d''actions détaillé'!$U$5:$AL$5,0))="X"),ROW('Plan d''actions détaillé'!$T$6:$T$30))))))</f>
        <v/>
      </c>
      <c r="K440" s="414"/>
      <c r="L440" s="415"/>
      <c r="M440" s="413" t="str">
        <f t="array" ref="M440">IF($K$412="","",IF(INDEX('Plan d''actions détaillé'!D:D,MIN(IF((COUNTIF(M$427:M439,'Plan d''actions détaillé'!$D$6:$D$30)=0)*(INDEX('Plan d''actions détaillé'!$U$6:$AL$30,,MATCH($K$412,'Plan d''actions détaillé'!$U$5:$AL$5,0))="X"),ROW('Plan d''actions détaillé'!$T$6:$T$30))))=0,"",INDEX('Plan d''actions détaillé'!D:D,MIN(IF((COUNTIF(M$427:M439,'Plan d''actions détaillé'!$D$6:$D$30)=0)*(INDEX('Plan d''actions détaillé'!$U$6:$AL$30,,MATCH($K$412,'Plan d''actions détaillé'!$U$5:$AL$5,0))="X"),ROW('Plan d''actions détaillé'!$T$6:$T$30))))))</f>
        <v/>
      </c>
      <c r="N440" s="411" t="str">
        <f>IF($M440&lt;&gt;"",IF(VLOOKUP($M440,'Plan d''actions détaillé'!$D$6:$P$30,8,FALSE)="","",VLOOKUP($M440,'Plan d''actions détaillé'!$D$6:$P$30,8,FALSE)),"")</f>
        <v/>
      </c>
      <c r="O440" s="483" t="str">
        <f>IF($M440&lt;&gt;"",IF(VLOOKUP($M440,'Plan d''actions détaillé'!$D$6:$P$30,6,FALSE)="","",VLOOKUP($M440,'Plan d''actions détaillé'!$D$6:$P$30,6,FALSE)),"")</f>
        <v/>
      </c>
      <c r="P440" s="483"/>
      <c r="Q440" s="483"/>
      <c r="R440" s="483"/>
      <c r="S440" s="483"/>
      <c r="T440" s="483"/>
      <c r="U440" s="483"/>
      <c r="V440" s="412" t="str">
        <f>IF($M440&lt;&gt;"",IF(VLOOKUP($M440,'Plan d''actions détaillé'!$D$6:$P$30,12,FALSE)="","",VLOOKUP($M440,'Plan d''actions détaillé'!$D$6:$P$30,12,FALSE)),"")</f>
        <v/>
      </c>
      <c r="W440" s="377"/>
    </row>
    <row r="441" spans="7:23" ht="9" customHeight="1" x14ac:dyDescent="0.2">
      <c r="G441" s="376"/>
      <c r="H441" s="372"/>
      <c r="I441" s="372"/>
      <c r="J441" s="414" t="str">
        <f t="array" ref="J441">IF($K$412="","",IF(INDEX('Plan d''actions détaillé'!A:A,MIN(IF((COUNTIF(J$427:J440,'Plan d''actions détaillé'!$A$6:$A$30)=0)*(INDEX('Plan d''actions détaillé'!$U$6:$AL$30,,MATCH($K$412,'Plan d''actions détaillé'!$U$5:$AL$5,0))="X"),ROW('Plan d''actions détaillé'!$T$6:$T$30))))=0,"",INDEX('Plan d''actions détaillé'!A:A,MIN(IF((COUNTIF(J$427:J440,'Plan d''actions détaillé'!$A$6:$A$30)=0)*(INDEX('Plan d''actions détaillé'!$U$6:$AL$30,,MATCH($K$412,'Plan d''actions détaillé'!$U$5:$AL$5,0))="X"),ROW('Plan d''actions détaillé'!$T$6:$T$30))))))</f>
        <v/>
      </c>
      <c r="K441" s="414"/>
      <c r="L441" s="415"/>
      <c r="M441" s="413" t="str">
        <f t="array" ref="M441">IF($K$412="","",IF(INDEX('Plan d''actions détaillé'!D:D,MIN(IF((COUNTIF(M$427:M440,'Plan d''actions détaillé'!$D$6:$D$30)=0)*(INDEX('Plan d''actions détaillé'!$U$6:$AL$30,,MATCH($K$412,'Plan d''actions détaillé'!$U$5:$AL$5,0))="X"),ROW('Plan d''actions détaillé'!$T$6:$T$30))))=0,"",INDEX('Plan d''actions détaillé'!D:D,MIN(IF((COUNTIF(M$427:M440,'Plan d''actions détaillé'!$D$6:$D$30)=0)*(INDEX('Plan d''actions détaillé'!$U$6:$AL$30,,MATCH($K$412,'Plan d''actions détaillé'!$U$5:$AL$5,0))="X"),ROW('Plan d''actions détaillé'!$T$6:$T$30))))))</f>
        <v/>
      </c>
      <c r="N441" s="411" t="str">
        <f>IF($M441&lt;&gt;"",IF(VLOOKUP($M441,'Plan d''actions détaillé'!$D$6:$P$30,8,FALSE)="","",VLOOKUP($M441,'Plan d''actions détaillé'!$D$6:$P$30,8,FALSE)),"")</f>
        <v/>
      </c>
      <c r="O441" s="483" t="str">
        <f>IF($M441&lt;&gt;"",IF(VLOOKUP($M441,'Plan d''actions détaillé'!$D$6:$P$30,6,FALSE)="","",VLOOKUP($M441,'Plan d''actions détaillé'!$D$6:$P$30,6,FALSE)),"")</f>
        <v/>
      </c>
      <c r="P441" s="483"/>
      <c r="Q441" s="483"/>
      <c r="R441" s="483"/>
      <c r="S441" s="483"/>
      <c r="T441" s="483"/>
      <c r="U441" s="483"/>
      <c r="V441" s="412" t="str">
        <f>IF($M441&lt;&gt;"",IF(VLOOKUP($M441,'Plan d''actions détaillé'!$D$6:$P$30,12,FALSE)="","",VLOOKUP($M441,'Plan d''actions détaillé'!$D$6:$P$30,12,FALSE)),"")</f>
        <v/>
      </c>
      <c r="W441" s="377"/>
    </row>
    <row r="442" spans="7:23" ht="9" customHeight="1" x14ac:dyDescent="0.2">
      <c r="G442" s="376"/>
      <c r="H442" s="372"/>
      <c r="I442" s="372"/>
      <c r="J442" s="414" t="str">
        <f t="array" ref="J442">IF($K$412="","",IF(INDEX('Plan d''actions détaillé'!A:A,MIN(IF((COUNTIF(J$427:J441,'Plan d''actions détaillé'!$A$6:$A$30)=0)*(INDEX('Plan d''actions détaillé'!$U$6:$AL$30,,MATCH($K$412,'Plan d''actions détaillé'!$U$5:$AL$5,0))="X"),ROW('Plan d''actions détaillé'!$T$6:$T$30))))=0,"",INDEX('Plan d''actions détaillé'!A:A,MIN(IF((COUNTIF(J$427:J441,'Plan d''actions détaillé'!$A$6:$A$30)=0)*(INDEX('Plan d''actions détaillé'!$U$6:$AL$30,,MATCH($K$412,'Plan d''actions détaillé'!$U$5:$AL$5,0))="X"),ROW('Plan d''actions détaillé'!$T$6:$T$30))))))</f>
        <v/>
      </c>
      <c r="K442" s="414"/>
      <c r="L442" s="415"/>
      <c r="M442" s="413" t="str">
        <f t="array" ref="M442">IF($K$412="","",IF(INDEX('Plan d''actions détaillé'!D:D,MIN(IF((COUNTIF(M$427:M441,'Plan d''actions détaillé'!$D$6:$D$30)=0)*(INDEX('Plan d''actions détaillé'!$U$6:$AL$30,,MATCH($K$412,'Plan d''actions détaillé'!$U$5:$AL$5,0))="X"),ROW('Plan d''actions détaillé'!$T$6:$T$30))))=0,"",INDEX('Plan d''actions détaillé'!D:D,MIN(IF((COUNTIF(M$427:M441,'Plan d''actions détaillé'!$D$6:$D$30)=0)*(INDEX('Plan d''actions détaillé'!$U$6:$AL$30,,MATCH($K$412,'Plan d''actions détaillé'!$U$5:$AL$5,0))="X"),ROW('Plan d''actions détaillé'!$T$6:$T$30))))))</f>
        <v/>
      </c>
      <c r="N442" s="411" t="str">
        <f>IF($M442&lt;&gt;"",IF(VLOOKUP($M442,'Plan d''actions détaillé'!$D$6:$P$30,8,FALSE)="","",VLOOKUP($M442,'Plan d''actions détaillé'!$D$6:$P$30,8,FALSE)),"")</f>
        <v/>
      </c>
      <c r="O442" s="483" t="str">
        <f>IF($M442&lt;&gt;"",IF(VLOOKUP($M442,'Plan d''actions détaillé'!$D$6:$P$30,6,FALSE)="","",VLOOKUP($M442,'Plan d''actions détaillé'!$D$6:$P$30,6,FALSE)),"")</f>
        <v/>
      </c>
      <c r="P442" s="483"/>
      <c r="Q442" s="483"/>
      <c r="R442" s="483"/>
      <c r="S442" s="483"/>
      <c r="T442" s="483"/>
      <c r="U442" s="483"/>
      <c r="V442" s="412" t="str">
        <f>IF($M442&lt;&gt;"",IF(VLOOKUP($M442,'Plan d''actions détaillé'!$D$6:$P$30,12,FALSE)="","",VLOOKUP($M442,'Plan d''actions détaillé'!$D$6:$P$30,12,FALSE)),"")</f>
        <v/>
      </c>
      <c r="W442" s="377"/>
    </row>
    <row r="443" spans="7:23" ht="9" customHeight="1" x14ac:dyDescent="0.2">
      <c r="G443" s="376"/>
      <c r="H443" s="372"/>
      <c r="I443" s="372"/>
      <c r="J443" s="414" t="str">
        <f t="array" ref="J443">IF($K$412="","",IF(INDEX('Plan d''actions détaillé'!A:A,MIN(IF((COUNTIF(J$427:J442,'Plan d''actions détaillé'!$A$6:$A$30)=0)*(INDEX('Plan d''actions détaillé'!$U$6:$AL$30,,MATCH($K$412,'Plan d''actions détaillé'!$U$5:$AL$5,0))="X"),ROW('Plan d''actions détaillé'!$T$6:$T$30))))=0,"",INDEX('Plan d''actions détaillé'!A:A,MIN(IF((COUNTIF(J$427:J442,'Plan d''actions détaillé'!$A$6:$A$30)=0)*(INDEX('Plan d''actions détaillé'!$U$6:$AL$30,,MATCH($K$412,'Plan d''actions détaillé'!$U$5:$AL$5,0))="X"),ROW('Plan d''actions détaillé'!$T$6:$T$30))))))</f>
        <v/>
      </c>
      <c r="K443" s="414"/>
      <c r="L443" s="415"/>
      <c r="M443" s="413" t="str">
        <f t="array" ref="M443">IF($K$412="","",IF(INDEX('Plan d''actions détaillé'!D:D,MIN(IF((COUNTIF(M$427:M442,'Plan d''actions détaillé'!$D$6:$D$30)=0)*(INDEX('Plan d''actions détaillé'!$U$6:$AL$30,,MATCH($K$412,'Plan d''actions détaillé'!$U$5:$AL$5,0))="X"),ROW('Plan d''actions détaillé'!$T$6:$T$30))))=0,"",INDEX('Plan d''actions détaillé'!D:D,MIN(IF((COUNTIF(M$427:M442,'Plan d''actions détaillé'!$D$6:$D$30)=0)*(INDEX('Plan d''actions détaillé'!$U$6:$AL$30,,MATCH($K$412,'Plan d''actions détaillé'!$U$5:$AL$5,0))="X"),ROW('Plan d''actions détaillé'!$T$6:$T$30))))))</f>
        <v/>
      </c>
      <c r="N443" s="411" t="str">
        <f>IF($M443&lt;&gt;"",IF(VLOOKUP($M443,'Plan d''actions détaillé'!$D$6:$P$30,8,FALSE)="","",VLOOKUP($M443,'Plan d''actions détaillé'!$D$6:$P$30,8,FALSE)),"")</f>
        <v/>
      </c>
      <c r="O443" s="483" t="str">
        <f>IF($M443&lt;&gt;"",IF(VLOOKUP($M443,'Plan d''actions détaillé'!$D$6:$P$30,6,FALSE)="","",VLOOKUP($M443,'Plan d''actions détaillé'!$D$6:$P$30,6,FALSE)),"")</f>
        <v/>
      </c>
      <c r="P443" s="483"/>
      <c r="Q443" s="483"/>
      <c r="R443" s="483"/>
      <c r="S443" s="483"/>
      <c r="T443" s="483"/>
      <c r="U443" s="483"/>
      <c r="V443" s="412" t="str">
        <f>IF($M443&lt;&gt;"",IF(VLOOKUP($M443,'Plan d''actions détaillé'!$D$6:$P$30,12,FALSE)="","",VLOOKUP($M443,'Plan d''actions détaillé'!$D$6:$P$30,12,FALSE)),"")</f>
        <v/>
      </c>
      <c r="W443" s="377"/>
    </row>
    <row r="444" spans="7:23" ht="13.5" thickBot="1" x14ac:dyDescent="0.25">
      <c r="G444" s="378"/>
      <c r="H444" s="379"/>
      <c r="I444" s="379"/>
      <c r="J444" s="379"/>
      <c r="K444" s="379"/>
      <c r="L444" s="379"/>
      <c r="M444" s="379"/>
      <c r="N444" s="380"/>
      <c r="O444" s="379"/>
      <c r="P444" s="379"/>
      <c r="Q444" s="379"/>
      <c r="R444" s="379"/>
      <c r="S444" s="379"/>
      <c r="T444" s="379"/>
      <c r="U444" s="379"/>
      <c r="V444" s="379"/>
      <c r="W444" s="381"/>
    </row>
    <row r="445" spans="7:23" ht="13.5" thickBot="1" x14ac:dyDescent="0.25"/>
    <row r="446" spans="7:23" x14ac:dyDescent="0.2">
      <c r="G446" s="373"/>
      <c r="H446" s="374"/>
      <c r="I446" s="374"/>
      <c r="J446" s="374"/>
      <c r="K446" s="374"/>
      <c r="L446" s="374"/>
      <c r="M446" s="374"/>
      <c r="N446" s="374"/>
      <c r="O446" s="374"/>
      <c r="P446" s="374"/>
      <c r="Q446" s="374"/>
      <c r="R446" s="374"/>
      <c r="S446" s="374"/>
      <c r="T446" s="374"/>
      <c r="U446" s="374"/>
      <c r="V446" s="374"/>
      <c r="W446" s="375"/>
    </row>
    <row r="447" spans="7:23" ht="12.75" customHeight="1" x14ac:dyDescent="0.2">
      <c r="G447" s="494" t="str">
        <f>C16</f>
        <v/>
      </c>
      <c r="H447" s="495"/>
      <c r="I447" s="495"/>
      <c r="J447" s="495"/>
      <c r="K447" s="496" t="str">
        <f>D16</f>
        <v/>
      </c>
      <c r="L447" s="496"/>
      <c r="M447" s="496"/>
      <c r="N447" s="496"/>
      <c r="O447" s="496"/>
      <c r="P447" s="496"/>
      <c r="Q447" s="496"/>
      <c r="R447" s="496"/>
      <c r="S447" s="496"/>
      <c r="T447" s="496"/>
      <c r="U447" s="496"/>
      <c r="V447" s="496"/>
      <c r="W447" s="397"/>
    </row>
    <row r="448" spans="7:23" ht="12.75" customHeight="1" x14ac:dyDescent="0.2">
      <c r="G448" s="494"/>
      <c r="H448" s="495"/>
      <c r="I448" s="495"/>
      <c r="J448" s="495"/>
      <c r="K448" s="496"/>
      <c r="L448" s="496"/>
      <c r="M448" s="496"/>
      <c r="N448" s="496"/>
      <c r="O448" s="496"/>
      <c r="P448" s="496"/>
      <c r="Q448" s="496"/>
      <c r="R448" s="496"/>
      <c r="S448" s="496"/>
      <c r="T448" s="496"/>
      <c r="U448" s="496"/>
      <c r="V448" s="496"/>
      <c r="W448" s="397"/>
    </row>
    <row r="449" spans="7:23" x14ac:dyDescent="0.2">
      <c r="G449" s="376"/>
      <c r="H449" s="372"/>
      <c r="I449" s="372"/>
      <c r="J449" s="372"/>
      <c r="K449" s="372"/>
      <c r="L449" s="372"/>
      <c r="M449" s="372"/>
      <c r="N449" s="372"/>
      <c r="O449" s="372"/>
      <c r="P449" s="372"/>
      <c r="Q449" s="372"/>
      <c r="R449" s="372"/>
      <c r="S449" s="372"/>
      <c r="T449" s="372"/>
      <c r="U449" s="372"/>
      <c r="V449" s="372"/>
      <c r="W449" s="377"/>
    </row>
    <row r="450" spans="7:23" ht="23.25" customHeight="1" x14ac:dyDescent="0.2">
      <c r="G450" s="497" t="s">
        <v>1</v>
      </c>
      <c r="H450" s="386" t="str">
        <f>IF(AND(O455=5,O456=1),"X","")</f>
        <v/>
      </c>
      <c r="I450" s="387" t="str">
        <f>IF(AND(O455=5,O456=2),"X","")</f>
        <v/>
      </c>
      <c r="J450" s="388" t="str">
        <f>IF(AND(O455=5,O456=3),"X","")</f>
        <v/>
      </c>
      <c r="K450" s="388" t="str">
        <f>IF(AND(O455=5,O456=4),"X","")</f>
        <v/>
      </c>
      <c r="L450" s="388" t="str">
        <f>IF(AND(O455=5,O456=5),"X","")</f>
        <v/>
      </c>
      <c r="N450" s="498" t="str">
        <f>"Processus de rattachement "</f>
        <v xml:space="preserve">Processus de rattachement </v>
      </c>
      <c r="O450" s="499"/>
      <c r="P450" s="499"/>
      <c r="Q450" s="499"/>
      <c r="R450" s="499"/>
      <c r="S450" s="499"/>
      <c r="T450" s="499"/>
      <c r="U450" s="499"/>
      <c r="V450" s="500"/>
      <c r="W450" s="377"/>
    </row>
    <row r="451" spans="7:23" ht="23.25" x14ac:dyDescent="0.2">
      <c r="G451" s="497"/>
      <c r="H451" s="389" t="str">
        <f>IF(AND(O455=4,O456=1),"X","")</f>
        <v/>
      </c>
      <c r="I451" s="390" t="str">
        <f>IF(AND(O455=4,O456=2),"X","")</f>
        <v/>
      </c>
      <c r="J451" s="387" t="str">
        <f>IF(AND(O455=4,O456=3),"X","")</f>
        <v/>
      </c>
      <c r="K451" s="388" t="str">
        <f>IF(AND(O455=4,O456=4),"X","")</f>
        <v/>
      </c>
      <c r="L451" s="388" t="str">
        <f>IF(AND(O455=4,O456=5),"X","")</f>
        <v/>
      </c>
      <c r="N451" s="501" t="str">
        <f>Matrice!$G$1&amp;" - "&amp;Matrice!$J$1</f>
        <v>DI2 - YYY</v>
      </c>
      <c r="O451" s="502"/>
      <c r="P451" s="502"/>
      <c r="Q451" s="502"/>
      <c r="R451" s="502"/>
      <c r="S451" s="502"/>
      <c r="T451" s="502"/>
      <c r="U451" s="502"/>
      <c r="V451" s="503"/>
      <c r="W451" s="377"/>
    </row>
    <row r="452" spans="7:23" ht="23.25" x14ac:dyDescent="0.2">
      <c r="G452" s="497"/>
      <c r="H452" s="389" t="str">
        <f>IF(AND(O455=3,O456=1),"X","")</f>
        <v/>
      </c>
      <c r="I452" s="390" t="str">
        <f>IF(AND(O455=3,O456=2),"X","")</f>
        <v/>
      </c>
      <c r="J452" s="390" t="str">
        <f>IF(AND(O455=3,O456=3),"X","")</f>
        <v/>
      </c>
      <c r="K452" s="387" t="str">
        <f>IF(AND(O455=3,O456=4),"X","")</f>
        <v/>
      </c>
      <c r="L452" s="388" t="str">
        <f>IF(AND(O455=3,O456=5),"X","")</f>
        <v/>
      </c>
      <c r="N452" s="372"/>
      <c r="O452" s="372"/>
      <c r="W452" s="377"/>
    </row>
    <row r="453" spans="7:23" ht="23.25" x14ac:dyDescent="0.2">
      <c r="G453" s="497"/>
      <c r="H453" s="391" t="str">
        <f>IF(AND(O455=2,O456=1),"X","")</f>
        <v/>
      </c>
      <c r="I453" s="392" t="str">
        <f>IF(AND(O455=2,O456=2),"X","")</f>
        <v/>
      </c>
      <c r="J453" s="390" t="str">
        <f>IF(AND(O455=2,O456=3),"X","")</f>
        <v/>
      </c>
      <c r="K453" s="390" t="str">
        <f>IF(AND(O455=2,O456=4),"X","")</f>
        <v/>
      </c>
      <c r="L453" s="387" t="str">
        <f>IF(AND(O455=2,O456=5),"X","")</f>
        <v/>
      </c>
      <c r="M453" s="372"/>
      <c r="N453" s="383" t="s">
        <v>236</v>
      </c>
      <c r="O453" s="382"/>
      <c r="P453" s="382"/>
      <c r="Q453" s="382"/>
      <c r="S453" s="385" t="s">
        <v>250</v>
      </c>
      <c r="T453" s="384"/>
      <c r="U453" s="384"/>
      <c r="V453" s="384"/>
      <c r="W453" s="377"/>
    </row>
    <row r="454" spans="7:23" ht="24" thickBot="1" x14ac:dyDescent="0.25">
      <c r="G454" s="376"/>
      <c r="H454" s="393" t="str">
        <f>IF(AND(O455=1,O456=1),"X","")</f>
        <v/>
      </c>
      <c r="I454" s="394" t="str">
        <f>IF(AND(O455=1,O456=2),"X","")</f>
        <v/>
      </c>
      <c r="J454" s="395" t="str">
        <f>IF(AND(O455=1,O456=3),"X","")</f>
        <v/>
      </c>
      <c r="K454" s="395" t="str">
        <f>IF(AND(O455=1,O456=4),"X","")</f>
        <v/>
      </c>
      <c r="L454" s="396" t="str">
        <f>IF(AND(O455=1,O456=5),"X","")</f>
        <v/>
      </c>
      <c r="M454" s="372"/>
      <c r="N454" s="406"/>
      <c r="O454" s="408" t="s">
        <v>237</v>
      </c>
      <c r="P454" s="408" t="s">
        <v>238</v>
      </c>
      <c r="Q454" s="406"/>
      <c r="R454" s="307"/>
      <c r="S454" s="420"/>
      <c r="T454" s="409" t="s">
        <v>237</v>
      </c>
      <c r="U454" s="409" t="s">
        <v>238</v>
      </c>
      <c r="V454" s="384"/>
      <c r="W454" s="377"/>
    </row>
    <row r="455" spans="7:23" ht="19.5" thickTop="1" thickBot="1" x14ac:dyDescent="0.25">
      <c r="G455" s="376"/>
      <c r="H455" s="484" t="s">
        <v>16</v>
      </c>
      <c r="I455" s="484"/>
      <c r="J455" s="484"/>
      <c r="K455" s="484"/>
      <c r="L455" s="484"/>
      <c r="M455" s="372"/>
      <c r="N455" s="407" t="s">
        <v>248</v>
      </c>
      <c r="O455" s="417" t="str">
        <f>VLOOKUP($K447,Risques!$D$21:$AB$40,17,FALSE)</f>
        <v/>
      </c>
      <c r="P455" s="418" t="str">
        <f>VLOOKUP(K447,Risques!$D$21:$AB$40,23,FALSE)</f>
        <v/>
      </c>
      <c r="Q455" s="382"/>
      <c r="S455" s="410" t="s">
        <v>248</v>
      </c>
      <c r="T455" s="419"/>
      <c r="U455" s="419"/>
      <c r="V455" s="384"/>
      <c r="W455" s="377"/>
    </row>
    <row r="456" spans="7:23" ht="19.5" thickTop="1" thickBot="1" x14ac:dyDescent="0.25">
      <c r="G456" s="376"/>
      <c r="H456" s="372"/>
      <c r="I456" s="372"/>
      <c r="J456" s="372"/>
      <c r="K456" s="372"/>
      <c r="L456" s="372"/>
      <c r="M456" s="372"/>
      <c r="N456" s="407" t="s">
        <v>249</v>
      </c>
      <c r="O456" s="417" t="str">
        <f>VLOOKUP(K447,Risques!$D$21:$AB$40,18,FALSE)</f>
        <v/>
      </c>
      <c r="P456" s="418" t="str">
        <f>VLOOKUP(K447,Risques!$D$21:$AB$40,24,FALSE)</f>
        <v/>
      </c>
      <c r="Q456" s="382"/>
      <c r="S456" s="410" t="s">
        <v>249</v>
      </c>
      <c r="T456" s="419"/>
      <c r="U456" s="419"/>
      <c r="V456" s="384"/>
      <c r="W456" s="377"/>
    </row>
    <row r="457" spans="7:23" ht="19.5" thickTop="1" thickBot="1" x14ac:dyDescent="0.25">
      <c r="G457" s="376"/>
      <c r="H457" s="372"/>
      <c r="I457" s="372"/>
      <c r="J457" s="372"/>
      <c r="K457" s="372"/>
      <c r="L457" s="372"/>
      <c r="M457" s="372"/>
      <c r="N457" s="407" t="s">
        <v>251</v>
      </c>
      <c r="O457" s="417" t="str">
        <f>VLOOKUP(K447,Risques!$D$21:$AB$40,19,FALSE)</f>
        <v/>
      </c>
      <c r="P457" s="418" t="str">
        <f>VLOOKUP(K447,Risques!$D$21:$AB$40,25,FALSE)</f>
        <v/>
      </c>
      <c r="Q457" s="382"/>
      <c r="S457" s="410" t="s">
        <v>251</v>
      </c>
      <c r="T457" s="419"/>
      <c r="U457" s="419"/>
      <c r="V457" s="384"/>
      <c r="W457" s="377"/>
    </row>
    <row r="458" spans="7:23" ht="13.5" thickTop="1" x14ac:dyDescent="0.2">
      <c r="G458" s="376"/>
      <c r="H458" s="372"/>
      <c r="I458" s="372"/>
      <c r="J458" s="372"/>
      <c r="K458" s="372"/>
      <c r="L458" s="372"/>
      <c r="M458" s="372"/>
      <c r="N458" s="382"/>
      <c r="O458" s="382"/>
      <c r="P458" s="382"/>
      <c r="Q458" s="382"/>
      <c r="S458" s="384"/>
      <c r="T458" s="384"/>
      <c r="U458" s="384"/>
      <c r="V458" s="384"/>
      <c r="W458" s="377"/>
    </row>
    <row r="459" spans="7:23" x14ac:dyDescent="0.2">
      <c r="G459" s="376"/>
      <c r="H459" s="372"/>
      <c r="I459" s="372"/>
      <c r="J459" s="372"/>
      <c r="K459" s="372"/>
      <c r="L459" s="372"/>
      <c r="M459" s="372"/>
      <c r="W459" s="377"/>
    </row>
    <row r="460" spans="7:23" ht="18" customHeight="1" x14ac:dyDescent="0.2">
      <c r="G460" s="376"/>
      <c r="H460" s="372"/>
      <c r="I460" s="372"/>
      <c r="J460" s="492" t="s">
        <v>253</v>
      </c>
      <c r="K460" s="492"/>
      <c r="L460" s="493"/>
      <c r="M460" s="485" t="str">
        <f>VLOOKUP($K447,Risques!$D$21:$AB$40,3,FALSE)</f>
        <v/>
      </c>
      <c r="N460" s="486"/>
      <c r="O460" s="486"/>
      <c r="P460" s="486"/>
      <c r="Q460" s="486"/>
      <c r="R460" s="486"/>
      <c r="S460" s="486"/>
      <c r="T460" s="486"/>
      <c r="U460" s="486"/>
      <c r="V460" s="487"/>
      <c r="W460" s="377"/>
    </row>
    <row r="461" spans="7:23" ht="42.75" customHeight="1" x14ac:dyDescent="0.25">
      <c r="G461" s="399"/>
      <c r="H461" s="400"/>
      <c r="I461" s="400"/>
      <c r="J461" s="492"/>
      <c r="K461" s="492"/>
      <c r="L461" s="493"/>
      <c r="M461" s="488"/>
      <c r="N461" s="489"/>
      <c r="O461" s="489"/>
      <c r="P461" s="489"/>
      <c r="Q461" s="489"/>
      <c r="R461" s="489"/>
      <c r="S461" s="489"/>
      <c r="T461" s="489"/>
      <c r="U461" s="489"/>
      <c r="V461" s="490"/>
      <c r="W461" s="401"/>
    </row>
    <row r="462" spans="7:23" x14ac:dyDescent="0.2">
      <c r="G462" s="376"/>
      <c r="H462" s="372"/>
      <c r="I462" s="372"/>
      <c r="J462" s="372"/>
      <c r="K462" s="372"/>
      <c r="L462" s="372"/>
      <c r="M462" s="372"/>
      <c r="N462" s="403"/>
      <c r="O462" s="403"/>
      <c r="P462" s="403"/>
      <c r="Q462" s="403"/>
      <c r="R462" s="403"/>
      <c r="S462" s="403"/>
      <c r="T462" s="403"/>
      <c r="U462" s="403"/>
      <c r="V462" s="404"/>
      <c r="W462" s="377"/>
    </row>
    <row r="463" spans="7:23" ht="31.5" customHeight="1" x14ac:dyDescent="0.2">
      <c r="G463" s="376"/>
      <c r="H463" s="372"/>
      <c r="I463" s="372"/>
      <c r="J463" s="491" t="s">
        <v>239</v>
      </c>
      <c r="K463" s="491"/>
      <c r="L463" s="491"/>
      <c r="M463" s="416" t="s">
        <v>240</v>
      </c>
      <c r="N463" s="416" t="s">
        <v>241</v>
      </c>
      <c r="O463" s="491" t="s">
        <v>242</v>
      </c>
      <c r="P463" s="491"/>
      <c r="Q463" s="491"/>
      <c r="R463" s="491"/>
      <c r="S463" s="491"/>
      <c r="T463" s="491"/>
      <c r="U463" s="491"/>
      <c r="V463" s="416" t="s">
        <v>243</v>
      </c>
      <c r="W463" s="377"/>
    </row>
    <row r="464" spans="7:23" ht="6" customHeight="1" x14ac:dyDescent="0.2">
      <c r="G464" s="376"/>
      <c r="H464" s="372"/>
      <c r="I464" s="372"/>
      <c r="J464" s="414" t="str">
        <f t="array" ref="J464">IF($K$447="","",IF(INDEX('Plan d''actions détaillé'!A:A,MIN(IF((COUNTIF(J$462:J463,'Plan d''actions détaillé'!$A$6:$A$30)=0)*(INDEX('Plan d''actions détaillé'!$U$6:$AL$30,,MATCH($K$447,'Plan d''actions détaillé'!$U$5:$AL$5,0))="X"),ROW('Plan d''actions détaillé'!$T$6:$T$30))))=0,"",INDEX('Plan d''actions détaillé'!A:A,MIN(IF((COUNTIF(J$462:J463,'Plan d''actions détaillé'!$A$6:$A$30)=0)*(INDEX('Plan d''actions détaillé'!$U$6:$AL$30,,MATCH($K$447,'Plan d''actions détaillé'!$U$5:$AL$5,0))="X"),ROW('Plan d''actions détaillé'!$T$6:$T$30))))))</f>
        <v/>
      </c>
      <c r="K464" s="414"/>
      <c r="L464" s="415"/>
      <c r="M464" s="413" t="str">
        <f t="array" ref="M464">IF($K$447="","",IF(INDEX('Plan d''actions détaillé'!D:D,MIN(IF((COUNTIF(M$462:M463,'Plan d''actions détaillé'!$D$6:$D$30)=0)*(INDEX('Plan d''actions détaillé'!$U$6:$AL$30,,MATCH($K$447,'Plan d''actions détaillé'!$U$5:$AL$5,0))="X"),ROW('Plan d''actions détaillé'!$T$6:$T$30))))=0,"",INDEX('Plan d''actions détaillé'!D:D,MIN(IF((COUNTIF(M$462:M463,'Plan d''actions détaillé'!$D$6:$D$30)=0)*(INDEX('Plan d''actions détaillé'!$U$6:$AL$30,,MATCH($K$447,'Plan d''actions détaillé'!$U$5:$AL$5,0))="X"),ROW('Plan d''actions détaillé'!$T$6:$T$30))))))</f>
        <v/>
      </c>
      <c r="N464" s="411" t="str">
        <f>IF($M464&lt;&gt;"",IF(VLOOKUP($M464,'Plan d''actions détaillé'!$D$6:$P$30,8,FALSE)="","",VLOOKUP($M464,'Plan d''actions détaillé'!$D$6:$P$30,8,FALSE)),"")</f>
        <v/>
      </c>
      <c r="O464" s="483" t="str">
        <f>IF($M464&lt;&gt;"",IF(VLOOKUP($M464,'Plan d''actions détaillé'!$D$6:$P$30,6,FALSE)="","",VLOOKUP($M464,'Plan d''actions détaillé'!$D$6:$P$30,6,FALSE)),"")</f>
        <v/>
      </c>
      <c r="P464" s="483"/>
      <c r="Q464" s="483"/>
      <c r="R464" s="483"/>
      <c r="S464" s="483"/>
      <c r="T464" s="483"/>
      <c r="U464" s="483"/>
      <c r="V464" s="412" t="str">
        <f>IF($M464&lt;&gt;"",IF(VLOOKUP($M464,'Plan d''actions détaillé'!$D$6:$P$30,12,FALSE)="","",VLOOKUP($M464,'Plan d''actions détaillé'!$D$6:$P$30,12,FALSE)),"")</f>
        <v/>
      </c>
      <c r="W464" s="377"/>
    </row>
    <row r="465" spans="7:23" ht="6" customHeight="1" x14ac:dyDescent="0.2">
      <c r="G465" s="376"/>
      <c r="H465" s="372"/>
      <c r="I465" s="372"/>
      <c r="J465" s="414" t="str">
        <f t="array" ref="J465">IF($K$447="","",IF(INDEX('Plan d''actions détaillé'!A:A,MIN(IF((COUNTIF(J$462:J464,'Plan d''actions détaillé'!$A$6:$A$30)=0)*(INDEX('Plan d''actions détaillé'!$U$6:$AL$30,,MATCH($K$447,'Plan d''actions détaillé'!$U$5:$AL$5,0))="X"),ROW('Plan d''actions détaillé'!$T$6:$T$30))))=0,"",INDEX('Plan d''actions détaillé'!A:A,MIN(IF((COUNTIF(J$462:J464,'Plan d''actions détaillé'!$A$6:$A$30)=0)*(INDEX('Plan d''actions détaillé'!$U$6:$AL$30,,MATCH($K$447,'Plan d''actions détaillé'!$U$5:$AL$5,0))="X"),ROW('Plan d''actions détaillé'!$T$6:$T$30))))))</f>
        <v/>
      </c>
      <c r="K465" s="414"/>
      <c r="L465" s="415"/>
      <c r="M465" s="413" t="str">
        <f t="array" ref="M465">IF($K$447="","",IF(INDEX('Plan d''actions détaillé'!D:D,MIN(IF((COUNTIF(M$462:M464,'Plan d''actions détaillé'!$D$6:$D$30)=0)*(INDEX('Plan d''actions détaillé'!$U$6:$AL$30,,MATCH($K$447,'Plan d''actions détaillé'!$U$5:$AL$5,0))="X"),ROW('Plan d''actions détaillé'!$T$6:$T$30))))=0,"",INDEX('Plan d''actions détaillé'!D:D,MIN(IF((COUNTIF(M$462:M464,'Plan d''actions détaillé'!$D$6:$D$30)=0)*(INDEX('Plan d''actions détaillé'!$U$6:$AL$30,,MATCH($K$447,'Plan d''actions détaillé'!$U$5:$AL$5,0))="X"),ROW('Plan d''actions détaillé'!$T$6:$T$30))))))</f>
        <v/>
      </c>
      <c r="N465" s="411" t="str">
        <f>IF($M465&lt;&gt;"",IF(VLOOKUP($M465,'Plan d''actions détaillé'!$D$6:$P$30,8,FALSE)="","",VLOOKUP($M465,'Plan d''actions détaillé'!$D$6:$P$30,8,FALSE)),"")</f>
        <v/>
      </c>
      <c r="O465" s="483" t="str">
        <f>IF($M465&lt;&gt;"",IF(VLOOKUP($M465,'Plan d''actions détaillé'!$D$6:$P$30,6,FALSE)="","",VLOOKUP($M465,'Plan d''actions détaillé'!$D$6:$P$30,6,FALSE)),"")</f>
        <v/>
      </c>
      <c r="P465" s="483"/>
      <c r="Q465" s="483"/>
      <c r="R465" s="483"/>
      <c r="S465" s="483"/>
      <c r="T465" s="483"/>
      <c r="U465" s="483"/>
      <c r="V465" s="412" t="str">
        <f>IF($M465&lt;&gt;"",IF(VLOOKUP($M465,'Plan d''actions détaillé'!$D$6:$P$30,12,FALSE)="","",VLOOKUP($M465,'Plan d''actions détaillé'!$D$6:$P$30,12,FALSE)),"")</f>
        <v/>
      </c>
      <c r="W465" s="377"/>
    </row>
    <row r="466" spans="7:23" ht="6" customHeight="1" x14ac:dyDescent="0.2">
      <c r="G466" s="376"/>
      <c r="H466" s="372"/>
      <c r="I466" s="372"/>
      <c r="J466" s="414" t="str">
        <f t="array" ref="J466">IF($K$447="","",IF(INDEX('Plan d''actions détaillé'!A:A,MIN(IF((COUNTIF(J$462:J465,'Plan d''actions détaillé'!$A$6:$A$30)=0)*(INDEX('Plan d''actions détaillé'!$U$6:$AL$30,,MATCH($K$447,'Plan d''actions détaillé'!$U$5:$AL$5,0))="X"),ROW('Plan d''actions détaillé'!$T$6:$T$30))))=0,"",INDEX('Plan d''actions détaillé'!A:A,MIN(IF((COUNTIF(J$462:J465,'Plan d''actions détaillé'!$A$6:$A$30)=0)*(INDEX('Plan d''actions détaillé'!$U$6:$AL$30,,MATCH($K$447,'Plan d''actions détaillé'!$U$5:$AL$5,0))="X"),ROW('Plan d''actions détaillé'!$T$6:$T$30))))))</f>
        <v/>
      </c>
      <c r="K466" s="414"/>
      <c r="L466" s="415"/>
      <c r="M466" s="413" t="str">
        <f t="array" ref="M466">IF($K$447="","",IF(INDEX('Plan d''actions détaillé'!D:D,MIN(IF((COUNTIF(M$462:M465,'Plan d''actions détaillé'!$D$6:$D$30)=0)*(INDEX('Plan d''actions détaillé'!$U$6:$AL$30,,MATCH($K$447,'Plan d''actions détaillé'!$U$5:$AL$5,0))="X"),ROW('Plan d''actions détaillé'!$T$6:$T$30))))=0,"",INDEX('Plan d''actions détaillé'!D:D,MIN(IF((COUNTIF(M$462:M465,'Plan d''actions détaillé'!$D$6:$D$30)=0)*(INDEX('Plan d''actions détaillé'!$U$6:$AL$30,,MATCH($K$447,'Plan d''actions détaillé'!$U$5:$AL$5,0))="X"),ROW('Plan d''actions détaillé'!$T$6:$T$30))))))</f>
        <v/>
      </c>
      <c r="N466" s="411" t="str">
        <f>IF($M466&lt;&gt;"",IF(VLOOKUP($M466,'Plan d''actions détaillé'!$D$6:$P$30,8,FALSE)="","",VLOOKUP($M466,'Plan d''actions détaillé'!$D$6:$P$30,8,FALSE)),"")</f>
        <v/>
      </c>
      <c r="O466" s="483" t="str">
        <f>IF($M466&lt;&gt;"",IF(VLOOKUP($M466,'Plan d''actions détaillé'!$D$6:$P$30,6,FALSE)="","",VLOOKUP($M466,'Plan d''actions détaillé'!$D$6:$P$30,6,FALSE)),"")</f>
        <v/>
      </c>
      <c r="P466" s="483"/>
      <c r="Q466" s="483"/>
      <c r="R466" s="483"/>
      <c r="S466" s="483"/>
      <c r="T466" s="483"/>
      <c r="U466" s="483"/>
      <c r="V466" s="412" t="str">
        <f>IF($M466&lt;&gt;"",IF(VLOOKUP($M466,'Plan d''actions détaillé'!$D$6:$P$30,12,FALSE)="","",VLOOKUP($M466,'Plan d''actions détaillé'!$D$6:$P$30,12,FALSE)),"")</f>
        <v/>
      </c>
      <c r="W466" s="377"/>
    </row>
    <row r="467" spans="7:23" ht="6" customHeight="1" x14ac:dyDescent="0.2">
      <c r="G467" s="376"/>
      <c r="H467" s="372"/>
      <c r="I467" s="372"/>
      <c r="J467" s="414" t="str">
        <f t="array" ref="J467">IF($K$447="","",IF(INDEX('Plan d''actions détaillé'!A:A,MIN(IF((COUNTIF(J$462:J466,'Plan d''actions détaillé'!$A$6:$A$30)=0)*(INDEX('Plan d''actions détaillé'!$U$6:$AL$30,,MATCH($K$447,'Plan d''actions détaillé'!$U$5:$AL$5,0))="X"),ROW('Plan d''actions détaillé'!$T$6:$T$30))))=0,"",INDEX('Plan d''actions détaillé'!A:A,MIN(IF((COUNTIF(J$462:J466,'Plan d''actions détaillé'!$A$6:$A$30)=0)*(INDEX('Plan d''actions détaillé'!$U$6:$AL$30,,MATCH($K$447,'Plan d''actions détaillé'!$U$5:$AL$5,0))="X"),ROW('Plan d''actions détaillé'!$T$6:$T$30))))))</f>
        <v/>
      </c>
      <c r="K467" s="414"/>
      <c r="L467" s="415"/>
      <c r="M467" s="413" t="str">
        <f t="array" ref="M467">IF($K$447="","",IF(INDEX('Plan d''actions détaillé'!D:D,MIN(IF((COUNTIF(M$462:M466,'Plan d''actions détaillé'!$D$6:$D$30)=0)*(INDEX('Plan d''actions détaillé'!$U$6:$AL$30,,MATCH($K$447,'Plan d''actions détaillé'!$U$5:$AL$5,0))="X"),ROW('Plan d''actions détaillé'!$T$6:$T$30))))=0,"",INDEX('Plan d''actions détaillé'!D:D,MIN(IF((COUNTIF(M$462:M466,'Plan d''actions détaillé'!$D$6:$D$30)=0)*(INDEX('Plan d''actions détaillé'!$U$6:$AL$30,,MATCH($K$447,'Plan d''actions détaillé'!$U$5:$AL$5,0))="X"),ROW('Plan d''actions détaillé'!$T$6:$T$30))))))</f>
        <v/>
      </c>
      <c r="N467" s="411" t="str">
        <f>IF($M467&lt;&gt;"",IF(VLOOKUP($M467,'Plan d''actions détaillé'!$D$6:$P$30,8,FALSE)="","",VLOOKUP($M467,'Plan d''actions détaillé'!$D$6:$P$30,8,FALSE)),"")</f>
        <v/>
      </c>
      <c r="O467" s="483" t="str">
        <f>IF($M467&lt;&gt;"",IF(VLOOKUP($M467,'Plan d''actions détaillé'!$D$6:$P$30,6,FALSE)="","",VLOOKUP($M467,'Plan d''actions détaillé'!$D$6:$P$30,6,FALSE)),"")</f>
        <v/>
      </c>
      <c r="P467" s="483"/>
      <c r="Q467" s="483"/>
      <c r="R467" s="483"/>
      <c r="S467" s="483"/>
      <c r="T467" s="483"/>
      <c r="U467" s="483"/>
      <c r="V467" s="412" t="str">
        <f>IF($M467&lt;&gt;"",IF(VLOOKUP($M467,'Plan d''actions détaillé'!$D$6:$P$30,12,FALSE)="","",VLOOKUP($M467,'Plan d''actions détaillé'!$D$6:$P$30,12,FALSE)),"")</f>
        <v/>
      </c>
      <c r="W467" s="377"/>
    </row>
    <row r="468" spans="7:23" ht="6" customHeight="1" x14ac:dyDescent="0.2">
      <c r="G468" s="376"/>
      <c r="H468" s="372"/>
      <c r="I468" s="372"/>
      <c r="J468" s="414" t="str">
        <f t="array" ref="J468">IF($K$447="","",IF(INDEX('Plan d''actions détaillé'!A:A,MIN(IF((COUNTIF(J$462:J467,'Plan d''actions détaillé'!$A$6:$A$30)=0)*(INDEX('Plan d''actions détaillé'!$U$6:$AL$30,,MATCH($K$447,'Plan d''actions détaillé'!$U$5:$AL$5,0))="X"),ROW('Plan d''actions détaillé'!$T$6:$T$30))))=0,"",INDEX('Plan d''actions détaillé'!A:A,MIN(IF((COUNTIF(J$462:J467,'Plan d''actions détaillé'!$A$6:$A$30)=0)*(INDEX('Plan d''actions détaillé'!$U$6:$AL$30,,MATCH($K$447,'Plan d''actions détaillé'!$U$5:$AL$5,0))="X"),ROW('Plan d''actions détaillé'!$T$6:$T$30))))))</f>
        <v/>
      </c>
      <c r="K468" s="414"/>
      <c r="L468" s="415"/>
      <c r="M468" s="413" t="str">
        <f t="array" ref="M468">IF($K$447="","",IF(INDEX('Plan d''actions détaillé'!D:D,MIN(IF((COUNTIF(M$462:M467,'Plan d''actions détaillé'!$D$6:$D$30)=0)*(INDEX('Plan d''actions détaillé'!$U$6:$AL$30,,MATCH($K$447,'Plan d''actions détaillé'!$U$5:$AL$5,0))="X"),ROW('Plan d''actions détaillé'!$T$6:$T$30))))=0,"",INDEX('Plan d''actions détaillé'!D:D,MIN(IF((COUNTIF(M$462:M467,'Plan d''actions détaillé'!$D$6:$D$30)=0)*(INDEX('Plan d''actions détaillé'!$U$6:$AL$30,,MATCH($K$447,'Plan d''actions détaillé'!$U$5:$AL$5,0))="X"),ROW('Plan d''actions détaillé'!$T$6:$T$30))))))</f>
        <v/>
      </c>
      <c r="N468" s="411" t="str">
        <f>IF($M468&lt;&gt;"",IF(VLOOKUP($M468,'Plan d''actions détaillé'!$D$6:$P$30,8,FALSE)="","",VLOOKUP($M468,'Plan d''actions détaillé'!$D$6:$P$30,8,FALSE)),"")</f>
        <v/>
      </c>
      <c r="O468" s="483" t="str">
        <f>IF($M468&lt;&gt;"",IF(VLOOKUP($M468,'Plan d''actions détaillé'!$D$6:$P$30,6,FALSE)="","",VLOOKUP($M468,'Plan d''actions détaillé'!$D$6:$P$30,6,FALSE)),"")</f>
        <v/>
      </c>
      <c r="P468" s="483"/>
      <c r="Q468" s="483"/>
      <c r="R468" s="483"/>
      <c r="S468" s="483"/>
      <c r="T468" s="483"/>
      <c r="U468" s="483"/>
      <c r="V468" s="412" t="str">
        <f>IF($M468&lt;&gt;"",IF(VLOOKUP($M468,'Plan d''actions détaillé'!$D$6:$P$30,12,FALSE)="","",VLOOKUP($M468,'Plan d''actions détaillé'!$D$6:$P$30,12,FALSE)),"")</f>
        <v/>
      </c>
      <c r="W468" s="377"/>
    </row>
    <row r="469" spans="7:23" ht="6" customHeight="1" x14ac:dyDescent="0.2">
      <c r="G469" s="376"/>
      <c r="H469" s="372"/>
      <c r="I469" s="372"/>
      <c r="J469" s="414" t="str">
        <f t="array" ref="J469">IF($K$447="","",IF(INDEX('Plan d''actions détaillé'!A:A,MIN(IF((COUNTIF(J$462:J468,'Plan d''actions détaillé'!$A$6:$A$30)=0)*(INDEX('Plan d''actions détaillé'!$U$6:$AL$30,,MATCH($K$447,'Plan d''actions détaillé'!$U$5:$AL$5,0))="X"),ROW('Plan d''actions détaillé'!$T$6:$T$30))))=0,"",INDEX('Plan d''actions détaillé'!A:A,MIN(IF((COUNTIF(J$462:J468,'Plan d''actions détaillé'!$A$6:$A$30)=0)*(INDEX('Plan d''actions détaillé'!$U$6:$AL$30,,MATCH($K$447,'Plan d''actions détaillé'!$U$5:$AL$5,0))="X"),ROW('Plan d''actions détaillé'!$T$6:$T$30))))))</f>
        <v/>
      </c>
      <c r="K469" s="414"/>
      <c r="L469" s="415"/>
      <c r="M469" s="413" t="str">
        <f t="array" ref="M469">IF($K$447="","",IF(INDEX('Plan d''actions détaillé'!D:D,MIN(IF((COUNTIF(M$462:M468,'Plan d''actions détaillé'!$D$6:$D$30)=0)*(INDEX('Plan d''actions détaillé'!$U$6:$AL$30,,MATCH($K$447,'Plan d''actions détaillé'!$U$5:$AL$5,0))="X"),ROW('Plan d''actions détaillé'!$T$6:$T$30))))=0,"",INDEX('Plan d''actions détaillé'!D:D,MIN(IF((COUNTIF(M$462:M468,'Plan d''actions détaillé'!$D$6:$D$30)=0)*(INDEX('Plan d''actions détaillé'!$U$6:$AL$30,,MATCH($K$447,'Plan d''actions détaillé'!$U$5:$AL$5,0))="X"),ROW('Plan d''actions détaillé'!$T$6:$T$30))))))</f>
        <v/>
      </c>
      <c r="N469" s="411" t="str">
        <f>IF($M469&lt;&gt;"",IF(VLOOKUP($M469,'Plan d''actions détaillé'!$D$6:$P$30,8,FALSE)="","",VLOOKUP($M469,'Plan d''actions détaillé'!$D$6:$P$30,8,FALSE)),"")</f>
        <v/>
      </c>
      <c r="O469" s="483" t="str">
        <f>IF($M469&lt;&gt;"",IF(VLOOKUP($M469,'Plan d''actions détaillé'!$D$6:$P$30,6,FALSE)="","",VLOOKUP($M469,'Plan d''actions détaillé'!$D$6:$P$30,6,FALSE)),"")</f>
        <v/>
      </c>
      <c r="P469" s="483"/>
      <c r="Q469" s="483"/>
      <c r="R469" s="483"/>
      <c r="S469" s="483"/>
      <c r="T469" s="483"/>
      <c r="U469" s="483"/>
      <c r="V469" s="412" t="str">
        <f>IF($M469&lt;&gt;"",IF(VLOOKUP($M469,'Plan d''actions détaillé'!$D$6:$P$30,12,FALSE)="","",VLOOKUP($M469,'Plan d''actions détaillé'!$D$6:$P$30,12,FALSE)),"")</f>
        <v/>
      </c>
      <c r="W469" s="377"/>
    </row>
    <row r="470" spans="7:23" ht="6" customHeight="1" x14ac:dyDescent="0.2">
      <c r="G470" s="376"/>
      <c r="H470" s="372"/>
      <c r="I470" s="372"/>
      <c r="J470" s="414" t="str">
        <f t="array" ref="J470">IF($K$447="","",IF(INDEX('Plan d''actions détaillé'!A:A,MIN(IF((COUNTIF(J$462:J469,'Plan d''actions détaillé'!$A$6:$A$30)=0)*(INDEX('Plan d''actions détaillé'!$U$6:$AL$30,,MATCH($K$447,'Plan d''actions détaillé'!$U$5:$AL$5,0))="X"),ROW('Plan d''actions détaillé'!$T$6:$T$30))))=0,"",INDEX('Plan d''actions détaillé'!A:A,MIN(IF((COUNTIF(J$462:J469,'Plan d''actions détaillé'!$A$6:$A$30)=0)*(INDEX('Plan d''actions détaillé'!$U$6:$AL$30,,MATCH($K$447,'Plan d''actions détaillé'!$U$5:$AL$5,0))="X"),ROW('Plan d''actions détaillé'!$T$6:$T$30))))))</f>
        <v/>
      </c>
      <c r="K470" s="414"/>
      <c r="L470" s="415"/>
      <c r="M470" s="413" t="str">
        <f t="array" ref="M470">IF($K$447="","",IF(INDEX('Plan d''actions détaillé'!D:D,MIN(IF((COUNTIF(M$462:M469,'Plan d''actions détaillé'!$D$6:$D$30)=0)*(INDEX('Plan d''actions détaillé'!$U$6:$AL$30,,MATCH($K$447,'Plan d''actions détaillé'!$U$5:$AL$5,0))="X"),ROW('Plan d''actions détaillé'!$T$6:$T$30))))=0,"",INDEX('Plan d''actions détaillé'!D:D,MIN(IF((COUNTIF(M$462:M469,'Plan d''actions détaillé'!$D$6:$D$30)=0)*(INDEX('Plan d''actions détaillé'!$U$6:$AL$30,,MATCH($K$447,'Plan d''actions détaillé'!$U$5:$AL$5,0))="X"),ROW('Plan d''actions détaillé'!$T$6:$T$30))))))</f>
        <v/>
      </c>
      <c r="N470" s="411" t="str">
        <f>IF($M470&lt;&gt;"",IF(VLOOKUP($M470,'Plan d''actions détaillé'!$D$6:$P$30,8,FALSE)="","",VLOOKUP($M470,'Plan d''actions détaillé'!$D$6:$P$30,8,FALSE)),"")</f>
        <v/>
      </c>
      <c r="O470" s="483" t="str">
        <f>IF($M470&lt;&gt;"",IF(VLOOKUP($M470,'Plan d''actions détaillé'!$D$6:$P$30,6,FALSE)="","",VLOOKUP($M470,'Plan d''actions détaillé'!$D$6:$P$30,6,FALSE)),"")</f>
        <v/>
      </c>
      <c r="P470" s="483"/>
      <c r="Q470" s="483"/>
      <c r="R470" s="483"/>
      <c r="S470" s="483"/>
      <c r="T470" s="483"/>
      <c r="U470" s="483"/>
      <c r="V470" s="412" t="str">
        <f>IF($M470&lt;&gt;"",IF(VLOOKUP($M470,'Plan d''actions détaillé'!$D$6:$P$30,12,FALSE)="","",VLOOKUP($M470,'Plan d''actions détaillé'!$D$6:$P$30,12,FALSE)),"")</f>
        <v/>
      </c>
      <c r="W470" s="377"/>
    </row>
    <row r="471" spans="7:23" ht="6" customHeight="1" x14ac:dyDescent="0.2">
      <c r="G471" s="376"/>
      <c r="H471" s="372"/>
      <c r="I471" s="372"/>
      <c r="J471" s="414" t="str">
        <f t="array" ref="J471">IF($K$447="","",IF(INDEX('Plan d''actions détaillé'!A:A,MIN(IF((COUNTIF(J$462:J470,'Plan d''actions détaillé'!$A$6:$A$30)=0)*(INDEX('Plan d''actions détaillé'!$U$6:$AL$30,,MATCH($K$447,'Plan d''actions détaillé'!$U$5:$AL$5,0))="X"),ROW('Plan d''actions détaillé'!$T$6:$T$30))))=0,"",INDEX('Plan d''actions détaillé'!A:A,MIN(IF((COUNTIF(J$462:J470,'Plan d''actions détaillé'!$A$6:$A$30)=0)*(INDEX('Plan d''actions détaillé'!$U$6:$AL$30,,MATCH($K$447,'Plan d''actions détaillé'!$U$5:$AL$5,0))="X"),ROW('Plan d''actions détaillé'!$T$6:$T$30))))))</f>
        <v/>
      </c>
      <c r="K471" s="414"/>
      <c r="L471" s="415"/>
      <c r="M471" s="413" t="str">
        <f t="array" ref="M471">IF($K$447="","",IF(INDEX('Plan d''actions détaillé'!D:D,MIN(IF((COUNTIF(M$462:M470,'Plan d''actions détaillé'!$D$6:$D$30)=0)*(INDEX('Plan d''actions détaillé'!$U$6:$AL$30,,MATCH($K$447,'Plan d''actions détaillé'!$U$5:$AL$5,0))="X"),ROW('Plan d''actions détaillé'!$T$6:$T$30))))=0,"",INDEX('Plan d''actions détaillé'!D:D,MIN(IF((COUNTIF(M$462:M470,'Plan d''actions détaillé'!$D$6:$D$30)=0)*(INDEX('Plan d''actions détaillé'!$U$6:$AL$30,,MATCH($K$447,'Plan d''actions détaillé'!$U$5:$AL$5,0))="X"),ROW('Plan d''actions détaillé'!$T$6:$T$30))))))</f>
        <v/>
      </c>
      <c r="N471" s="411" t="str">
        <f>IF($M471&lt;&gt;"",IF(VLOOKUP($M471,'Plan d''actions détaillé'!$D$6:$P$30,8,FALSE)="","",VLOOKUP($M471,'Plan d''actions détaillé'!$D$6:$P$30,8,FALSE)),"")</f>
        <v/>
      </c>
      <c r="O471" s="483" t="str">
        <f>IF($M471&lt;&gt;"",IF(VLOOKUP($M471,'Plan d''actions détaillé'!$D$6:$P$30,6,FALSE)="","",VLOOKUP($M471,'Plan d''actions détaillé'!$D$6:$P$30,6,FALSE)),"")</f>
        <v/>
      </c>
      <c r="P471" s="483"/>
      <c r="Q471" s="483"/>
      <c r="R471" s="483"/>
      <c r="S471" s="483"/>
      <c r="T471" s="483"/>
      <c r="U471" s="483"/>
      <c r="V471" s="412" t="str">
        <f>IF($M471&lt;&gt;"",IF(VLOOKUP($M471,'Plan d''actions détaillé'!$D$6:$P$30,12,FALSE)="","",VLOOKUP($M471,'Plan d''actions détaillé'!$D$6:$P$30,12,FALSE)),"")</f>
        <v/>
      </c>
      <c r="W471" s="377"/>
    </row>
    <row r="472" spans="7:23" ht="6" customHeight="1" x14ac:dyDescent="0.2">
      <c r="G472" s="376"/>
      <c r="H472" s="372"/>
      <c r="I472" s="372"/>
      <c r="J472" s="414" t="str">
        <f t="array" ref="J472">IF($K$447="","",IF(INDEX('Plan d''actions détaillé'!A:A,MIN(IF((COUNTIF(J$462:J471,'Plan d''actions détaillé'!$A$6:$A$30)=0)*(INDEX('Plan d''actions détaillé'!$U$6:$AL$30,,MATCH($K$447,'Plan d''actions détaillé'!$U$5:$AL$5,0))="X"),ROW('Plan d''actions détaillé'!$T$6:$T$30))))=0,"",INDEX('Plan d''actions détaillé'!A:A,MIN(IF((COUNTIF(J$462:J471,'Plan d''actions détaillé'!$A$6:$A$30)=0)*(INDEX('Plan d''actions détaillé'!$U$6:$AL$30,,MATCH($K$447,'Plan d''actions détaillé'!$U$5:$AL$5,0))="X"),ROW('Plan d''actions détaillé'!$T$6:$T$30))))))</f>
        <v/>
      </c>
      <c r="K472" s="414"/>
      <c r="L472" s="415"/>
      <c r="M472" s="413" t="str">
        <f t="array" ref="M472">IF($K$447="","",IF(INDEX('Plan d''actions détaillé'!D:D,MIN(IF((COUNTIF(M$462:M471,'Plan d''actions détaillé'!$D$6:$D$30)=0)*(INDEX('Plan d''actions détaillé'!$U$6:$AL$30,,MATCH($K$447,'Plan d''actions détaillé'!$U$5:$AL$5,0))="X"),ROW('Plan d''actions détaillé'!$T$6:$T$30))))=0,"",INDEX('Plan d''actions détaillé'!D:D,MIN(IF((COUNTIF(M$462:M471,'Plan d''actions détaillé'!$D$6:$D$30)=0)*(INDEX('Plan d''actions détaillé'!$U$6:$AL$30,,MATCH($K$447,'Plan d''actions détaillé'!$U$5:$AL$5,0))="X"),ROW('Plan d''actions détaillé'!$T$6:$T$30))))))</f>
        <v/>
      </c>
      <c r="N472" s="411" t="str">
        <f>IF($M472&lt;&gt;"",IF(VLOOKUP($M472,'Plan d''actions détaillé'!$D$6:$P$30,8,FALSE)="","",VLOOKUP($M472,'Plan d''actions détaillé'!$D$6:$P$30,8,FALSE)),"")</f>
        <v/>
      </c>
      <c r="O472" s="483" t="str">
        <f>IF($M472&lt;&gt;"",IF(VLOOKUP($M472,'Plan d''actions détaillé'!$D$6:$P$30,6,FALSE)="","",VLOOKUP($M472,'Plan d''actions détaillé'!$D$6:$P$30,6,FALSE)),"")</f>
        <v/>
      </c>
      <c r="P472" s="483"/>
      <c r="Q472" s="483"/>
      <c r="R472" s="483"/>
      <c r="S472" s="483"/>
      <c r="T472" s="483"/>
      <c r="U472" s="483"/>
      <c r="V472" s="412" t="str">
        <f>IF($M472&lt;&gt;"",IF(VLOOKUP($M472,'Plan d''actions détaillé'!$D$6:$P$30,12,FALSE)="","",VLOOKUP($M472,'Plan d''actions détaillé'!$D$6:$P$30,12,FALSE)),"")</f>
        <v/>
      </c>
      <c r="W472" s="377"/>
    </row>
    <row r="473" spans="7:23" ht="6" customHeight="1" x14ac:dyDescent="0.2">
      <c r="G473" s="376"/>
      <c r="H473" s="372"/>
      <c r="I473" s="372"/>
      <c r="J473" s="414" t="str">
        <f t="array" ref="J473">IF($K$447="","",IF(INDEX('Plan d''actions détaillé'!A:A,MIN(IF((COUNTIF(J$462:J472,'Plan d''actions détaillé'!$A$6:$A$30)=0)*(INDEX('Plan d''actions détaillé'!$U$6:$AL$30,,MATCH($K$447,'Plan d''actions détaillé'!$U$5:$AL$5,0))="X"),ROW('Plan d''actions détaillé'!$T$6:$T$30))))=0,"",INDEX('Plan d''actions détaillé'!A:A,MIN(IF((COUNTIF(J$462:J472,'Plan d''actions détaillé'!$A$6:$A$30)=0)*(INDEX('Plan d''actions détaillé'!$U$6:$AL$30,,MATCH($K$447,'Plan d''actions détaillé'!$U$5:$AL$5,0))="X"),ROW('Plan d''actions détaillé'!$T$6:$T$30))))))</f>
        <v/>
      </c>
      <c r="K473" s="414"/>
      <c r="L473" s="415"/>
      <c r="M473" s="413" t="str">
        <f t="array" ref="M473">IF($K$447="","",IF(INDEX('Plan d''actions détaillé'!D:D,MIN(IF((COUNTIF(M$462:M472,'Plan d''actions détaillé'!$D$6:$D$30)=0)*(INDEX('Plan d''actions détaillé'!$U$6:$AL$30,,MATCH($K$447,'Plan d''actions détaillé'!$U$5:$AL$5,0))="X"),ROW('Plan d''actions détaillé'!$T$6:$T$30))))=0,"",INDEX('Plan d''actions détaillé'!D:D,MIN(IF((COUNTIF(M$462:M472,'Plan d''actions détaillé'!$D$6:$D$30)=0)*(INDEX('Plan d''actions détaillé'!$U$6:$AL$30,,MATCH($K$447,'Plan d''actions détaillé'!$U$5:$AL$5,0))="X"),ROW('Plan d''actions détaillé'!$T$6:$T$30))))))</f>
        <v/>
      </c>
      <c r="N473" s="411" t="str">
        <f>IF($M473&lt;&gt;"",IF(VLOOKUP($M473,'Plan d''actions détaillé'!$D$6:$P$30,8,FALSE)="","",VLOOKUP($M473,'Plan d''actions détaillé'!$D$6:$P$30,8,FALSE)),"")</f>
        <v/>
      </c>
      <c r="O473" s="483" t="str">
        <f>IF($M473&lt;&gt;"",IF(VLOOKUP($M473,'Plan d''actions détaillé'!$D$6:$P$30,6,FALSE)="","",VLOOKUP($M473,'Plan d''actions détaillé'!$D$6:$P$30,6,FALSE)),"")</f>
        <v/>
      </c>
      <c r="P473" s="483"/>
      <c r="Q473" s="483"/>
      <c r="R473" s="483"/>
      <c r="S473" s="483"/>
      <c r="T473" s="483"/>
      <c r="U473" s="483"/>
      <c r="V473" s="412" t="str">
        <f>IF($M473&lt;&gt;"",IF(VLOOKUP($M473,'Plan d''actions détaillé'!$D$6:$P$30,12,FALSE)="","",VLOOKUP($M473,'Plan d''actions détaillé'!$D$6:$P$30,12,FALSE)),"")</f>
        <v/>
      </c>
      <c r="W473" s="377"/>
    </row>
    <row r="474" spans="7:23" ht="6" customHeight="1" x14ac:dyDescent="0.2">
      <c r="G474" s="376"/>
      <c r="H474" s="372"/>
      <c r="I474" s="372"/>
      <c r="J474" s="414" t="str">
        <f t="array" ref="J474">IF($K$447="","",IF(INDEX('Plan d''actions détaillé'!A:A,MIN(IF((COUNTIF(J$462:J473,'Plan d''actions détaillé'!$A$6:$A$30)=0)*(INDEX('Plan d''actions détaillé'!$U$6:$AL$30,,MATCH($K$447,'Plan d''actions détaillé'!$U$5:$AL$5,0))="X"),ROW('Plan d''actions détaillé'!$T$6:$T$30))))=0,"",INDEX('Plan d''actions détaillé'!A:A,MIN(IF((COUNTIF(J$462:J473,'Plan d''actions détaillé'!$A$6:$A$30)=0)*(INDEX('Plan d''actions détaillé'!$U$6:$AL$30,,MATCH($K$447,'Plan d''actions détaillé'!$U$5:$AL$5,0))="X"),ROW('Plan d''actions détaillé'!$T$6:$T$30))))))</f>
        <v/>
      </c>
      <c r="K474" s="414"/>
      <c r="L474" s="415"/>
      <c r="M474" s="413" t="str">
        <f t="array" ref="M474">IF($K$447="","",IF(INDEX('Plan d''actions détaillé'!D:D,MIN(IF((COUNTIF(M$462:M473,'Plan d''actions détaillé'!$D$6:$D$30)=0)*(INDEX('Plan d''actions détaillé'!$U$6:$AL$30,,MATCH($K$447,'Plan d''actions détaillé'!$U$5:$AL$5,0))="X"),ROW('Plan d''actions détaillé'!$T$6:$T$30))))=0,"",INDEX('Plan d''actions détaillé'!D:D,MIN(IF((COUNTIF(M$462:M473,'Plan d''actions détaillé'!$D$6:$D$30)=0)*(INDEX('Plan d''actions détaillé'!$U$6:$AL$30,,MATCH($K$447,'Plan d''actions détaillé'!$U$5:$AL$5,0))="X"),ROW('Plan d''actions détaillé'!$T$6:$T$30))))))</f>
        <v/>
      </c>
      <c r="N474" s="411" t="str">
        <f>IF($M474&lt;&gt;"",IF(VLOOKUP($M474,'Plan d''actions détaillé'!$D$6:$P$30,8,FALSE)="","",VLOOKUP($M474,'Plan d''actions détaillé'!$D$6:$P$30,8,FALSE)),"")</f>
        <v/>
      </c>
      <c r="O474" s="483" t="str">
        <f>IF($M474&lt;&gt;"",IF(VLOOKUP($M474,'Plan d''actions détaillé'!$D$6:$P$30,6,FALSE)="","",VLOOKUP($M474,'Plan d''actions détaillé'!$D$6:$P$30,6,FALSE)),"")</f>
        <v/>
      </c>
      <c r="P474" s="483"/>
      <c r="Q474" s="483"/>
      <c r="R474" s="483"/>
      <c r="S474" s="483"/>
      <c r="T474" s="483"/>
      <c r="U474" s="483"/>
      <c r="V474" s="412" t="str">
        <f>IF($M474&lt;&gt;"",IF(VLOOKUP($M474,'Plan d''actions détaillé'!$D$6:$P$30,12,FALSE)="","",VLOOKUP($M474,'Plan d''actions détaillé'!$D$6:$P$30,12,FALSE)),"")</f>
        <v/>
      </c>
      <c r="W474" s="377"/>
    </row>
    <row r="475" spans="7:23" ht="6" customHeight="1" x14ac:dyDescent="0.2">
      <c r="G475" s="376"/>
      <c r="H475" s="372"/>
      <c r="I475" s="372"/>
      <c r="J475" s="414" t="str">
        <f t="array" ref="J475">IF($K$447="","",IF(INDEX('Plan d''actions détaillé'!A:A,MIN(IF((COUNTIF(J$462:J474,'Plan d''actions détaillé'!$A$6:$A$30)=0)*(INDEX('Plan d''actions détaillé'!$U$6:$AL$30,,MATCH($K$447,'Plan d''actions détaillé'!$U$5:$AL$5,0))="X"),ROW('Plan d''actions détaillé'!$T$6:$T$30))))=0,"",INDEX('Plan d''actions détaillé'!A:A,MIN(IF((COUNTIF(J$462:J474,'Plan d''actions détaillé'!$A$6:$A$30)=0)*(INDEX('Plan d''actions détaillé'!$U$6:$AL$30,,MATCH($K$447,'Plan d''actions détaillé'!$U$5:$AL$5,0))="X"),ROW('Plan d''actions détaillé'!$T$6:$T$30))))))</f>
        <v/>
      </c>
      <c r="K475" s="414"/>
      <c r="L475" s="415"/>
      <c r="M475" s="413" t="str">
        <f t="array" ref="M475">IF($K$447="","",IF(INDEX('Plan d''actions détaillé'!D:D,MIN(IF((COUNTIF(M$462:M474,'Plan d''actions détaillé'!$D$6:$D$30)=0)*(INDEX('Plan d''actions détaillé'!$U$6:$AL$30,,MATCH($K$447,'Plan d''actions détaillé'!$U$5:$AL$5,0))="X"),ROW('Plan d''actions détaillé'!$T$6:$T$30))))=0,"",INDEX('Plan d''actions détaillé'!D:D,MIN(IF((COUNTIF(M$462:M474,'Plan d''actions détaillé'!$D$6:$D$30)=0)*(INDEX('Plan d''actions détaillé'!$U$6:$AL$30,,MATCH($K$447,'Plan d''actions détaillé'!$U$5:$AL$5,0))="X"),ROW('Plan d''actions détaillé'!$T$6:$T$30))))))</f>
        <v/>
      </c>
      <c r="N475" s="411" t="str">
        <f>IF($M475&lt;&gt;"",IF(VLOOKUP($M475,'Plan d''actions détaillé'!$D$6:$P$30,8,FALSE)="","",VLOOKUP($M475,'Plan d''actions détaillé'!$D$6:$P$30,8,FALSE)),"")</f>
        <v/>
      </c>
      <c r="O475" s="483" t="str">
        <f>IF($M475&lt;&gt;"",IF(VLOOKUP($M475,'Plan d''actions détaillé'!$D$6:$P$30,6,FALSE)="","",VLOOKUP($M475,'Plan d''actions détaillé'!$D$6:$P$30,6,FALSE)),"")</f>
        <v/>
      </c>
      <c r="P475" s="483"/>
      <c r="Q475" s="483"/>
      <c r="R475" s="483"/>
      <c r="S475" s="483"/>
      <c r="T475" s="483"/>
      <c r="U475" s="483"/>
      <c r="V475" s="412" t="str">
        <f>IF($M475&lt;&gt;"",IF(VLOOKUP($M475,'Plan d''actions détaillé'!$D$6:$P$30,12,FALSE)="","",VLOOKUP($M475,'Plan d''actions détaillé'!$D$6:$P$30,12,FALSE)),"")</f>
        <v/>
      </c>
      <c r="W475" s="377"/>
    </row>
    <row r="476" spans="7:23" ht="6" customHeight="1" x14ac:dyDescent="0.2">
      <c r="G476" s="376"/>
      <c r="H476" s="372"/>
      <c r="I476" s="372"/>
      <c r="J476" s="414" t="str">
        <f t="array" ref="J476">IF($K$447="","",IF(INDEX('Plan d''actions détaillé'!A:A,MIN(IF((COUNTIF(J$462:J475,'Plan d''actions détaillé'!$A$6:$A$30)=0)*(INDEX('Plan d''actions détaillé'!$U$6:$AL$30,,MATCH($K$447,'Plan d''actions détaillé'!$U$5:$AL$5,0))="X"),ROW('Plan d''actions détaillé'!$T$6:$T$30))))=0,"",INDEX('Plan d''actions détaillé'!A:A,MIN(IF((COUNTIF(J$462:J475,'Plan d''actions détaillé'!$A$6:$A$30)=0)*(INDEX('Plan d''actions détaillé'!$U$6:$AL$30,,MATCH($K$447,'Plan d''actions détaillé'!$U$5:$AL$5,0))="X"),ROW('Plan d''actions détaillé'!$T$6:$T$30))))))</f>
        <v/>
      </c>
      <c r="K476" s="414"/>
      <c r="L476" s="415"/>
      <c r="M476" s="413" t="str">
        <f t="array" ref="M476">IF($K$447="","",IF(INDEX('Plan d''actions détaillé'!D:D,MIN(IF((COUNTIF(M$462:M475,'Plan d''actions détaillé'!$D$6:$D$30)=0)*(INDEX('Plan d''actions détaillé'!$U$6:$AL$30,,MATCH($K$447,'Plan d''actions détaillé'!$U$5:$AL$5,0))="X"),ROW('Plan d''actions détaillé'!$T$6:$T$30))))=0,"",INDEX('Plan d''actions détaillé'!D:D,MIN(IF((COUNTIF(M$462:M475,'Plan d''actions détaillé'!$D$6:$D$30)=0)*(INDEX('Plan d''actions détaillé'!$U$6:$AL$30,,MATCH($K$447,'Plan d''actions détaillé'!$U$5:$AL$5,0))="X"),ROW('Plan d''actions détaillé'!$T$6:$T$30))))))</f>
        <v/>
      </c>
      <c r="N476" s="411" t="str">
        <f>IF($M476&lt;&gt;"",IF(VLOOKUP($M476,'Plan d''actions détaillé'!$D$6:$P$30,8,FALSE)="","",VLOOKUP($M476,'Plan d''actions détaillé'!$D$6:$P$30,8,FALSE)),"")</f>
        <v/>
      </c>
      <c r="O476" s="483" t="str">
        <f>IF($M476&lt;&gt;"",IF(VLOOKUP($M476,'Plan d''actions détaillé'!$D$6:$P$30,6,FALSE)="","",VLOOKUP($M476,'Plan d''actions détaillé'!$D$6:$P$30,6,FALSE)),"")</f>
        <v/>
      </c>
      <c r="P476" s="483"/>
      <c r="Q476" s="483"/>
      <c r="R476" s="483"/>
      <c r="S476" s="483"/>
      <c r="T476" s="483"/>
      <c r="U476" s="483"/>
      <c r="V476" s="412" t="str">
        <f>IF($M476&lt;&gt;"",IF(VLOOKUP($M476,'Plan d''actions détaillé'!$D$6:$P$30,12,FALSE)="","",VLOOKUP($M476,'Plan d''actions détaillé'!$D$6:$P$30,12,FALSE)),"")</f>
        <v/>
      </c>
      <c r="W476" s="377"/>
    </row>
    <row r="477" spans="7:23" ht="6" customHeight="1" x14ac:dyDescent="0.2">
      <c r="G477" s="376"/>
      <c r="H477" s="372"/>
      <c r="I477" s="372"/>
      <c r="J477" s="414" t="str">
        <f t="array" ref="J477">IF($K$447="","",IF(INDEX('Plan d''actions détaillé'!A:A,MIN(IF((COUNTIF(J$462:J476,'Plan d''actions détaillé'!$A$6:$A$30)=0)*(INDEX('Plan d''actions détaillé'!$U$6:$AL$30,,MATCH($K$447,'Plan d''actions détaillé'!$U$5:$AL$5,0))="X"),ROW('Plan d''actions détaillé'!$T$6:$T$30))))=0,"",INDEX('Plan d''actions détaillé'!A:A,MIN(IF((COUNTIF(J$462:J476,'Plan d''actions détaillé'!$A$6:$A$30)=0)*(INDEX('Plan d''actions détaillé'!$U$6:$AL$30,,MATCH($K$447,'Plan d''actions détaillé'!$U$5:$AL$5,0))="X"),ROW('Plan d''actions détaillé'!$T$6:$T$30))))))</f>
        <v/>
      </c>
      <c r="K477" s="414"/>
      <c r="L477" s="415"/>
      <c r="M477" s="413" t="str">
        <f t="array" ref="M477">IF($K$447="","",IF(INDEX('Plan d''actions détaillé'!D:D,MIN(IF((COUNTIF(M$462:M476,'Plan d''actions détaillé'!$D$6:$D$30)=0)*(INDEX('Plan d''actions détaillé'!$U$6:$AL$30,,MATCH($K$447,'Plan d''actions détaillé'!$U$5:$AL$5,0))="X"),ROW('Plan d''actions détaillé'!$T$6:$T$30))))=0,"",INDEX('Plan d''actions détaillé'!D:D,MIN(IF((COUNTIF(M$462:M476,'Plan d''actions détaillé'!$D$6:$D$30)=0)*(INDEX('Plan d''actions détaillé'!$U$6:$AL$30,,MATCH($K$447,'Plan d''actions détaillé'!$U$5:$AL$5,0))="X"),ROW('Plan d''actions détaillé'!$T$6:$T$30))))))</f>
        <v/>
      </c>
      <c r="N477" s="411" t="str">
        <f>IF($M477&lt;&gt;"",IF(VLOOKUP($M477,'Plan d''actions détaillé'!$D$6:$P$30,8,FALSE)="","",VLOOKUP($M477,'Plan d''actions détaillé'!$D$6:$P$30,8,FALSE)),"")</f>
        <v/>
      </c>
      <c r="O477" s="483" t="str">
        <f>IF($M477&lt;&gt;"",IF(VLOOKUP($M477,'Plan d''actions détaillé'!$D$6:$P$30,6,FALSE)="","",VLOOKUP($M477,'Plan d''actions détaillé'!$D$6:$P$30,6,FALSE)),"")</f>
        <v/>
      </c>
      <c r="P477" s="483"/>
      <c r="Q477" s="483"/>
      <c r="R477" s="483"/>
      <c r="S477" s="483"/>
      <c r="T477" s="483"/>
      <c r="U477" s="483"/>
      <c r="V477" s="412" t="str">
        <f>IF($M477&lt;&gt;"",IF(VLOOKUP($M477,'Plan d''actions détaillé'!$D$6:$P$30,12,FALSE)="","",VLOOKUP($M477,'Plan d''actions détaillé'!$D$6:$P$30,12,FALSE)),"")</f>
        <v/>
      </c>
      <c r="W477" s="377"/>
    </row>
    <row r="478" spans="7:23" ht="6" customHeight="1" x14ac:dyDescent="0.2">
      <c r="G478" s="376"/>
      <c r="H478" s="372"/>
      <c r="I478" s="372"/>
      <c r="J478" s="414" t="str">
        <f t="array" ref="J478">IF($K$447="","",IF(INDEX('Plan d''actions détaillé'!A:A,MIN(IF((COUNTIF(J$462:J477,'Plan d''actions détaillé'!$A$6:$A$30)=0)*(INDEX('Plan d''actions détaillé'!$U$6:$AL$30,,MATCH($K$447,'Plan d''actions détaillé'!$U$5:$AL$5,0))="X"),ROW('Plan d''actions détaillé'!$T$6:$T$30))))=0,"",INDEX('Plan d''actions détaillé'!A:A,MIN(IF((COUNTIF(J$462:J477,'Plan d''actions détaillé'!$A$6:$A$30)=0)*(INDEX('Plan d''actions détaillé'!$U$6:$AL$30,,MATCH($K$447,'Plan d''actions détaillé'!$U$5:$AL$5,0))="X"),ROW('Plan d''actions détaillé'!$T$6:$T$30))))))</f>
        <v/>
      </c>
      <c r="K478" s="414"/>
      <c r="L478" s="415"/>
      <c r="M478" s="413" t="str">
        <f t="array" ref="M478">IF($K$447="","",IF(INDEX('Plan d''actions détaillé'!D:D,MIN(IF((COUNTIF(M$462:M477,'Plan d''actions détaillé'!$D$6:$D$30)=0)*(INDEX('Plan d''actions détaillé'!$U$6:$AL$30,,MATCH($K$447,'Plan d''actions détaillé'!$U$5:$AL$5,0))="X"),ROW('Plan d''actions détaillé'!$T$6:$T$30))))=0,"",INDEX('Plan d''actions détaillé'!D:D,MIN(IF((COUNTIF(M$462:M477,'Plan d''actions détaillé'!$D$6:$D$30)=0)*(INDEX('Plan d''actions détaillé'!$U$6:$AL$30,,MATCH($K$447,'Plan d''actions détaillé'!$U$5:$AL$5,0))="X"),ROW('Plan d''actions détaillé'!$T$6:$T$30))))))</f>
        <v/>
      </c>
      <c r="N478" s="411" t="str">
        <f>IF($M478&lt;&gt;"",IF(VLOOKUP($M478,'Plan d''actions détaillé'!$D$6:$P$30,8,FALSE)="","",VLOOKUP($M478,'Plan d''actions détaillé'!$D$6:$P$30,8,FALSE)),"")</f>
        <v/>
      </c>
      <c r="O478" s="483" t="str">
        <f>IF($M478&lt;&gt;"",IF(VLOOKUP($M478,'Plan d''actions détaillé'!$D$6:$P$30,6,FALSE)="","",VLOOKUP($M478,'Plan d''actions détaillé'!$D$6:$P$30,6,FALSE)),"")</f>
        <v/>
      </c>
      <c r="P478" s="483"/>
      <c r="Q478" s="483"/>
      <c r="R478" s="483"/>
      <c r="S478" s="483"/>
      <c r="T478" s="483"/>
      <c r="U478" s="483"/>
      <c r="V478" s="412" t="str">
        <f>IF($M478&lt;&gt;"",IF(VLOOKUP($M478,'Plan d''actions détaillé'!$D$6:$P$30,12,FALSE)="","",VLOOKUP($M478,'Plan d''actions détaillé'!$D$6:$P$30,12,FALSE)),"")</f>
        <v/>
      </c>
      <c r="W478" s="377"/>
    </row>
    <row r="479" spans="7:23" ht="13.5" thickBot="1" x14ac:dyDescent="0.25">
      <c r="G479" s="378"/>
      <c r="H479" s="379"/>
      <c r="I479" s="379"/>
      <c r="J479" s="379"/>
      <c r="K479" s="379"/>
      <c r="L479" s="379"/>
      <c r="M479" s="379"/>
      <c r="N479" s="380"/>
      <c r="O479" s="379"/>
      <c r="P479" s="379"/>
      <c r="Q479" s="379"/>
      <c r="R479" s="379"/>
      <c r="S479" s="379"/>
      <c r="T479" s="379"/>
      <c r="U479" s="379"/>
      <c r="V479" s="379"/>
      <c r="W479" s="381"/>
    </row>
    <row r="480" spans="7:23" ht="13.5" thickBot="1" x14ac:dyDescent="0.25"/>
    <row r="481" spans="7:23" x14ac:dyDescent="0.2">
      <c r="G481" s="373"/>
      <c r="H481" s="374"/>
      <c r="I481" s="374"/>
      <c r="J481" s="374"/>
      <c r="K481" s="374"/>
      <c r="L481" s="374"/>
      <c r="M481" s="374"/>
      <c r="N481" s="374"/>
      <c r="O481" s="374"/>
      <c r="P481" s="374"/>
      <c r="Q481" s="374"/>
      <c r="R481" s="374"/>
      <c r="S481" s="374"/>
      <c r="T481" s="374"/>
      <c r="U481" s="374"/>
      <c r="V481" s="374"/>
      <c r="W481" s="375"/>
    </row>
    <row r="482" spans="7:23" ht="12.75" customHeight="1" x14ac:dyDescent="0.2">
      <c r="G482" s="494" t="str">
        <f>C17</f>
        <v/>
      </c>
      <c r="H482" s="495"/>
      <c r="I482" s="495"/>
      <c r="J482" s="495"/>
      <c r="K482" s="496" t="str">
        <f>D17</f>
        <v/>
      </c>
      <c r="L482" s="496"/>
      <c r="M482" s="496"/>
      <c r="N482" s="496"/>
      <c r="O482" s="496"/>
      <c r="P482" s="496"/>
      <c r="Q482" s="496"/>
      <c r="R482" s="496"/>
      <c r="S482" s="496"/>
      <c r="T482" s="496"/>
      <c r="U482" s="496"/>
      <c r="V482" s="496"/>
      <c r="W482" s="397"/>
    </row>
    <row r="483" spans="7:23" ht="12.75" customHeight="1" x14ac:dyDescent="0.2">
      <c r="G483" s="494"/>
      <c r="H483" s="495"/>
      <c r="I483" s="495"/>
      <c r="J483" s="495"/>
      <c r="K483" s="496"/>
      <c r="L483" s="496"/>
      <c r="M483" s="496"/>
      <c r="N483" s="496"/>
      <c r="O483" s="496"/>
      <c r="P483" s="496"/>
      <c r="Q483" s="496"/>
      <c r="R483" s="496"/>
      <c r="S483" s="496"/>
      <c r="T483" s="496"/>
      <c r="U483" s="496"/>
      <c r="V483" s="496"/>
      <c r="W483" s="397"/>
    </row>
    <row r="484" spans="7:23" x14ac:dyDescent="0.2">
      <c r="G484" s="376"/>
      <c r="H484" s="372"/>
      <c r="I484" s="372"/>
      <c r="J484" s="372"/>
      <c r="K484" s="372"/>
      <c r="L484" s="372"/>
      <c r="M484" s="372"/>
      <c r="N484" s="372"/>
      <c r="O484" s="372"/>
      <c r="P484" s="372"/>
      <c r="Q484" s="372"/>
      <c r="R484" s="372"/>
      <c r="S484" s="372"/>
      <c r="T484" s="372"/>
      <c r="U484" s="372"/>
      <c r="V484" s="372"/>
      <c r="W484" s="377"/>
    </row>
    <row r="485" spans="7:23" ht="23.25" customHeight="1" x14ac:dyDescent="0.2">
      <c r="G485" s="497" t="s">
        <v>1</v>
      </c>
      <c r="H485" s="386" t="str">
        <f>IF(AND(O490=5,O491=1),"X","")</f>
        <v/>
      </c>
      <c r="I485" s="387" t="str">
        <f>IF(AND(O490=5,O491=2),"X","")</f>
        <v/>
      </c>
      <c r="J485" s="388" t="str">
        <f>IF(AND(O490=5,O491=3),"X","")</f>
        <v/>
      </c>
      <c r="K485" s="388" t="str">
        <f>IF(AND(O490=5,O491=4),"X","")</f>
        <v/>
      </c>
      <c r="L485" s="388" t="str">
        <f>IF(AND(O490=5,O491=5),"X","")</f>
        <v/>
      </c>
      <c r="N485" s="498" t="str">
        <f>"Processus de rattachement "</f>
        <v xml:space="preserve">Processus de rattachement </v>
      </c>
      <c r="O485" s="499"/>
      <c r="P485" s="499"/>
      <c r="Q485" s="499"/>
      <c r="R485" s="499"/>
      <c r="S485" s="499"/>
      <c r="T485" s="499"/>
      <c r="U485" s="499"/>
      <c r="V485" s="500"/>
      <c r="W485" s="377"/>
    </row>
    <row r="486" spans="7:23" ht="23.25" x14ac:dyDescent="0.2">
      <c r="G486" s="497"/>
      <c r="H486" s="389" t="str">
        <f>IF(AND(O490=4,O491=1),"X","")</f>
        <v/>
      </c>
      <c r="I486" s="390" t="str">
        <f>IF(AND(O490=4,O491=2),"X","")</f>
        <v/>
      </c>
      <c r="J486" s="387" t="str">
        <f>IF(AND(O490=4,O491=3),"X","")</f>
        <v/>
      </c>
      <c r="K486" s="388" t="str">
        <f>IF(AND(O490=4,O491=4),"X","")</f>
        <v/>
      </c>
      <c r="L486" s="388" t="str">
        <f>IF(AND(O490=4,O491=5),"X","")</f>
        <v/>
      </c>
      <c r="N486" s="501" t="str">
        <f>Matrice!$G$1&amp;" - "&amp;Matrice!$J$1</f>
        <v>DI2 - YYY</v>
      </c>
      <c r="O486" s="502"/>
      <c r="P486" s="502"/>
      <c r="Q486" s="502"/>
      <c r="R486" s="502"/>
      <c r="S486" s="502"/>
      <c r="T486" s="502"/>
      <c r="U486" s="502"/>
      <c r="V486" s="503"/>
      <c r="W486" s="377"/>
    </row>
    <row r="487" spans="7:23" ht="23.25" x14ac:dyDescent="0.2">
      <c r="G487" s="497"/>
      <c r="H487" s="389" t="str">
        <f>IF(AND(O490=3,O491=1),"X","")</f>
        <v/>
      </c>
      <c r="I487" s="390" t="str">
        <f>IF(AND(O490=3,O491=2),"X","")</f>
        <v/>
      </c>
      <c r="J487" s="390" t="str">
        <f>IF(AND(O490=3,O491=3),"X","")</f>
        <v/>
      </c>
      <c r="K487" s="387" t="str">
        <f>IF(AND(O490=3,O491=4),"X","")</f>
        <v/>
      </c>
      <c r="L487" s="388" t="str">
        <f>IF(AND(O490=3,O491=5),"X","")</f>
        <v/>
      </c>
      <c r="N487" s="372"/>
      <c r="O487" s="372"/>
      <c r="W487" s="377"/>
    </row>
    <row r="488" spans="7:23" ht="23.25" x14ac:dyDescent="0.2">
      <c r="G488" s="497"/>
      <c r="H488" s="391" t="str">
        <f>IF(AND(O490=2,O491=1),"X","")</f>
        <v/>
      </c>
      <c r="I488" s="392" t="str">
        <f>IF(AND(O490=2,O491=2),"X","")</f>
        <v/>
      </c>
      <c r="J488" s="390" t="str">
        <f>IF(AND(O490=2,O491=3),"X","")</f>
        <v/>
      </c>
      <c r="K488" s="390" t="str">
        <f>IF(AND(O490=2,O491=4),"X","")</f>
        <v/>
      </c>
      <c r="L488" s="387" t="str">
        <f>IF(AND(O490=2,O491=5),"X","")</f>
        <v/>
      </c>
      <c r="M488" s="372"/>
      <c r="N488" s="383" t="s">
        <v>236</v>
      </c>
      <c r="O488" s="382"/>
      <c r="P488" s="382"/>
      <c r="Q488" s="382"/>
      <c r="S488" s="385" t="s">
        <v>250</v>
      </c>
      <c r="T488" s="384"/>
      <c r="U488" s="384"/>
      <c r="V488" s="384"/>
      <c r="W488" s="377"/>
    </row>
    <row r="489" spans="7:23" ht="24" thickBot="1" x14ac:dyDescent="0.25">
      <c r="G489" s="376"/>
      <c r="H489" s="393" t="str">
        <f>IF(AND(O490=1,O491=1),"X","")</f>
        <v/>
      </c>
      <c r="I489" s="394" t="str">
        <f>IF(AND(O490=1,O491=2),"X","")</f>
        <v/>
      </c>
      <c r="J489" s="395" t="str">
        <f>IF(AND(O490=1,O491=3),"X","")</f>
        <v/>
      </c>
      <c r="K489" s="395" t="str">
        <f>IF(AND(O490=1,O491=4),"X","")</f>
        <v/>
      </c>
      <c r="L489" s="396" t="str">
        <f>IF(AND(O490=1,O491=5),"X","")</f>
        <v/>
      </c>
      <c r="M489" s="372"/>
      <c r="N489" s="406"/>
      <c r="O489" s="408" t="s">
        <v>237</v>
      </c>
      <c r="P489" s="408" t="s">
        <v>238</v>
      </c>
      <c r="Q489" s="406"/>
      <c r="R489" s="307"/>
      <c r="S489" s="420"/>
      <c r="T489" s="409" t="s">
        <v>237</v>
      </c>
      <c r="U489" s="409" t="s">
        <v>238</v>
      </c>
      <c r="V489" s="384"/>
      <c r="W489" s="377"/>
    </row>
    <row r="490" spans="7:23" ht="19.5" thickTop="1" thickBot="1" x14ac:dyDescent="0.25">
      <c r="G490" s="376"/>
      <c r="H490" s="484" t="s">
        <v>16</v>
      </c>
      <c r="I490" s="484"/>
      <c r="J490" s="484"/>
      <c r="K490" s="484"/>
      <c r="L490" s="484"/>
      <c r="M490" s="372"/>
      <c r="N490" s="407" t="s">
        <v>248</v>
      </c>
      <c r="O490" s="417" t="str">
        <f>VLOOKUP($K482,Risques!$D$21:$AB$40,17,FALSE)</f>
        <v/>
      </c>
      <c r="P490" s="418" t="str">
        <f>VLOOKUP(K482,Risques!$D$21:$AB$40,23,FALSE)</f>
        <v/>
      </c>
      <c r="Q490" s="382"/>
      <c r="S490" s="410" t="s">
        <v>248</v>
      </c>
      <c r="T490" s="419"/>
      <c r="U490" s="419"/>
      <c r="V490" s="384"/>
      <c r="W490" s="377"/>
    </row>
    <row r="491" spans="7:23" ht="19.5" thickTop="1" thickBot="1" x14ac:dyDescent="0.25">
      <c r="G491" s="376"/>
      <c r="H491" s="372"/>
      <c r="I491" s="372"/>
      <c r="J491" s="372"/>
      <c r="K491" s="372"/>
      <c r="L491" s="372"/>
      <c r="M491" s="372"/>
      <c r="N491" s="407" t="s">
        <v>249</v>
      </c>
      <c r="O491" s="417" t="str">
        <f>VLOOKUP(K482,Risques!$D$21:$AB$40,18,FALSE)</f>
        <v/>
      </c>
      <c r="P491" s="418" t="str">
        <f>VLOOKUP(K482,Risques!$D$21:$AB$40,24,FALSE)</f>
        <v/>
      </c>
      <c r="Q491" s="382"/>
      <c r="S491" s="410" t="s">
        <v>249</v>
      </c>
      <c r="T491" s="419"/>
      <c r="U491" s="419"/>
      <c r="V491" s="384"/>
      <c r="W491" s="377"/>
    </row>
    <row r="492" spans="7:23" ht="19.5" thickTop="1" thickBot="1" x14ac:dyDescent="0.25">
      <c r="G492" s="376"/>
      <c r="H492" s="372"/>
      <c r="I492" s="372"/>
      <c r="J492" s="372"/>
      <c r="K492" s="372"/>
      <c r="L492" s="372"/>
      <c r="M492" s="372"/>
      <c r="N492" s="407" t="s">
        <v>251</v>
      </c>
      <c r="O492" s="417" t="str">
        <f>VLOOKUP(K482,Risques!$D$21:$AB$40,19,FALSE)</f>
        <v/>
      </c>
      <c r="P492" s="418" t="str">
        <f>VLOOKUP(K482,Risques!$D$21:$AB$40,25,FALSE)</f>
        <v/>
      </c>
      <c r="Q492" s="382"/>
      <c r="S492" s="410" t="s">
        <v>251</v>
      </c>
      <c r="T492" s="419"/>
      <c r="U492" s="419"/>
      <c r="V492" s="384"/>
      <c r="W492" s="377"/>
    </row>
    <row r="493" spans="7:23" ht="13.5" thickTop="1" x14ac:dyDescent="0.2">
      <c r="G493" s="376"/>
      <c r="H493" s="372"/>
      <c r="I493" s="372"/>
      <c r="J493" s="372"/>
      <c r="K493" s="372"/>
      <c r="L493" s="372"/>
      <c r="M493" s="372"/>
      <c r="N493" s="382"/>
      <c r="O493" s="382"/>
      <c r="P493" s="382"/>
      <c r="Q493" s="382"/>
      <c r="S493" s="384"/>
      <c r="T493" s="384"/>
      <c r="U493" s="384"/>
      <c r="V493" s="384"/>
      <c r="W493" s="377"/>
    </row>
    <row r="494" spans="7:23" x14ac:dyDescent="0.2">
      <c r="G494" s="376"/>
      <c r="H494" s="372"/>
      <c r="I494" s="372"/>
      <c r="J494" s="372"/>
      <c r="K494" s="372"/>
      <c r="L494" s="372"/>
      <c r="M494" s="372"/>
      <c r="W494" s="377"/>
    </row>
    <row r="495" spans="7:23" ht="18" customHeight="1" x14ac:dyDescent="0.2">
      <c r="G495" s="376"/>
      <c r="H495" s="372"/>
      <c r="I495" s="372"/>
      <c r="J495" s="492" t="s">
        <v>253</v>
      </c>
      <c r="K495" s="492"/>
      <c r="L495" s="493"/>
      <c r="M495" s="485" t="str">
        <f>VLOOKUP($K482,Risques!$D$21:$AB$40,3,FALSE)</f>
        <v/>
      </c>
      <c r="N495" s="486"/>
      <c r="O495" s="486"/>
      <c r="P495" s="486"/>
      <c r="Q495" s="486"/>
      <c r="R495" s="486"/>
      <c r="S495" s="486"/>
      <c r="T495" s="486"/>
      <c r="U495" s="486"/>
      <c r="V495" s="487"/>
      <c r="W495" s="377"/>
    </row>
    <row r="496" spans="7:23" ht="44.25" customHeight="1" x14ac:dyDescent="0.25">
      <c r="G496" s="399"/>
      <c r="H496" s="400"/>
      <c r="I496" s="400"/>
      <c r="J496" s="492"/>
      <c r="K496" s="492"/>
      <c r="L496" s="493"/>
      <c r="M496" s="488"/>
      <c r="N496" s="489"/>
      <c r="O496" s="489"/>
      <c r="P496" s="489"/>
      <c r="Q496" s="489"/>
      <c r="R496" s="489"/>
      <c r="S496" s="489"/>
      <c r="T496" s="489"/>
      <c r="U496" s="489"/>
      <c r="V496" s="490"/>
      <c r="W496" s="401"/>
    </row>
    <row r="497" spans="7:23" x14ac:dyDescent="0.2">
      <c r="G497" s="376"/>
      <c r="H497" s="372"/>
      <c r="I497" s="372"/>
      <c r="J497" s="372"/>
      <c r="K497" s="372"/>
      <c r="L497" s="372"/>
      <c r="M497" s="372"/>
      <c r="N497" s="403"/>
      <c r="O497" s="403"/>
      <c r="P497" s="403"/>
      <c r="Q497" s="403"/>
      <c r="R497" s="403"/>
      <c r="S497" s="403"/>
      <c r="T497" s="403"/>
      <c r="U497" s="403"/>
      <c r="V497" s="404"/>
      <c r="W497" s="377"/>
    </row>
    <row r="498" spans="7:23" ht="31.5" customHeight="1" x14ac:dyDescent="0.2">
      <c r="G498" s="376"/>
      <c r="H498" s="372"/>
      <c r="I498" s="372"/>
      <c r="J498" s="491" t="s">
        <v>239</v>
      </c>
      <c r="K498" s="491"/>
      <c r="L498" s="491"/>
      <c r="M498" s="416" t="s">
        <v>240</v>
      </c>
      <c r="N498" s="416" t="s">
        <v>241</v>
      </c>
      <c r="O498" s="491" t="s">
        <v>242</v>
      </c>
      <c r="P498" s="491"/>
      <c r="Q498" s="491"/>
      <c r="R498" s="491"/>
      <c r="S498" s="491"/>
      <c r="T498" s="491"/>
      <c r="U498" s="491"/>
      <c r="V498" s="416" t="s">
        <v>243</v>
      </c>
      <c r="W498" s="377"/>
    </row>
    <row r="499" spans="7:23" ht="7.5" customHeight="1" x14ac:dyDescent="0.2">
      <c r="G499" s="376"/>
      <c r="H499" s="372"/>
      <c r="I499" s="372"/>
      <c r="J499" s="414" t="str">
        <f t="array" ref="J499">IF($K$482="","",IF(INDEX('Plan d''actions détaillé'!A:A,MIN(IF((COUNTIF(J$497:J498,'Plan d''actions détaillé'!$A$6:$A$30)=0)*(INDEX('Plan d''actions détaillé'!$U$6:$AL$30,,MATCH($K$482,'Plan d''actions détaillé'!$U$5:$AL$5,0))="X"),ROW('Plan d''actions détaillé'!$T$6:$T$30))))=0,"",INDEX('Plan d''actions détaillé'!A:A,MIN(IF((COUNTIF(J$497:J498,'Plan d''actions détaillé'!$A$6:$A$30)=0)*(INDEX('Plan d''actions détaillé'!$U$6:$AL$30,,MATCH($K$482,'Plan d''actions détaillé'!$U$5:$AL$5,0))="X"),ROW('Plan d''actions détaillé'!$T$6:$T$30))))))</f>
        <v/>
      </c>
      <c r="K499" s="414"/>
      <c r="L499" s="415"/>
      <c r="M499" s="413" t="str">
        <f t="array" ref="M499">IF($K$482="","",IF(INDEX('Plan d''actions détaillé'!D:D,MIN(IF((COUNTIF(M$497:M498,'Plan d''actions détaillé'!$D$6:$D$30)=0)*(INDEX('Plan d''actions détaillé'!$U$6:$AL$30,,MATCH($K$482,'Plan d''actions détaillé'!$U$5:$AL$5,0))="X"),ROW('Plan d''actions détaillé'!$T$6:$T$30))))=0,"",INDEX('Plan d''actions détaillé'!D:D,MIN(IF((COUNTIF(M$497:M498,'Plan d''actions détaillé'!$D$6:$D$30)=0)*(INDEX('Plan d''actions détaillé'!$U$6:$AL$30,,MATCH($K$482,'Plan d''actions détaillé'!$U$5:$AL$5,0))="X"),ROW('Plan d''actions détaillé'!$T$6:$T$30))))))</f>
        <v/>
      </c>
      <c r="N499" s="411" t="str">
        <f>IF($M499&lt;&gt;"",IF(VLOOKUP($M499,'Plan d''actions détaillé'!$D$6:$P$30,8,FALSE)="","",VLOOKUP($M499,'Plan d''actions détaillé'!$D$6:$P$30,8,FALSE)),"")</f>
        <v/>
      </c>
      <c r="O499" s="483" t="str">
        <f>IF($M499&lt;&gt;"",IF(VLOOKUP($M499,'Plan d''actions détaillé'!$D$6:$P$30,6,FALSE)="","",VLOOKUP($M499,'Plan d''actions détaillé'!$D$6:$P$30,6,FALSE)),"")</f>
        <v/>
      </c>
      <c r="P499" s="483"/>
      <c r="Q499" s="483"/>
      <c r="R499" s="483"/>
      <c r="S499" s="483"/>
      <c r="T499" s="483"/>
      <c r="U499" s="483"/>
      <c r="V499" s="412" t="str">
        <f>IF($M499&lt;&gt;"",IF(VLOOKUP($M499,'Plan d''actions détaillé'!$D$6:$P$30,12,FALSE)="","",VLOOKUP($M499,'Plan d''actions détaillé'!$D$6:$P$30,12,FALSE)),"")</f>
        <v/>
      </c>
      <c r="W499" s="377"/>
    </row>
    <row r="500" spans="7:23" ht="7.5" customHeight="1" x14ac:dyDescent="0.2">
      <c r="G500" s="376"/>
      <c r="H500" s="372"/>
      <c r="I500" s="372"/>
      <c r="J500" s="414" t="str">
        <f t="array" ref="J500">IF($K$482="","",IF(INDEX('Plan d''actions détaillé'!A:A,MIN(IF((COUNTIF(J$497:J499,'Plan d''actions détaillé'!$A$6:$A$30)=0)*(INDEX('Plan d''actions détaillé'!$U$6:$AL$30,,MATCH($K$482,'Plan d''actions détaillé'!$U$5:$AL$5,0))="X"),ROW('Plan d''actions détaillé'!$T$6:$T$30))))=0,"",INDEX('Plan d''actions détaillé'!A:A,MIN(IF((COUNTIF(J$497:J499,'Plan d''actions détaillé'!$A$6:$A$30)=0)*(INDEX('Plan d''actions détaillé'!$U$6:$AL$30,,MATCH($K$482,'Plan d''actions détaillé'!$U$5:$AL$5,0))="X"),ROW('Plan d''actions détaillé'!$T$6:$T$30))))))</f>
        <v/>
      </c>
      <c r="K500" s="414"/>
      <c r="L500" s="415"/>
      <c r="M500" s="413" t="str">
        <f t="array" ref="M500">IF($K$482="","",IF(INDEX('Plan d''actions détaillé'!D:D,MIN(IF((COUNTIF(M$497:M499,'Plan d''actions détaillé'!$D$6:$D$30)=0)*(INDEX('Plan d''actions détaillé'!$U$6:$AL$30,,MATCH($K$482,'Plan d''actions détaillé'!$U$5:$AL$5,0))="X"),ROW('Plan d''actions détaillé'!$T$6:$T$30))))=0,"",INDEX('Plan d''actions détaillé'!D:D,MIN(IF((COUNTIF(M$497:M499,'Plan d''actions détaillé'!$D$6:$D$30)=0)*(INDEX('Plan d''actions détaillé'!$U$6:$AL$30,,MATCH($K$482,'Plan d''actions détaillé'!$U$5:$AL$5,0))="X"),ROW('Plan d''actions détaillé'!$T$6:$T$30))))))</f>
        <v/>
      </c>
      <c r="N500" s="411" t="str">
        <f>IF($M500&lt;&gt;"",IF(VLOOKUP($M500,'Plan d''actions détaillé'!$D$6:$P$30,8,FALSE)="","",VLOOKUP($M500,'Plan d''actions détaillé'!$D$6:$P$30,8,FALSE)),"")</f>
        <v/>
      </c>
      <c r="O500" s="483" t="str">
        <f>IF($M500&lt;&gt;"",IF(VLOOKUP($M500,'Plan d''actions détaillé'!$D$6:$P$30,6,FALSE)="","",VLOOKUP($M500,'Plan d''actions détaillé'!$D$6:$P$30,6,FALSE)),"")</f>
        <v/>
      </c>
      <c r="P500" s="483"/>
      <c r="Q500" s="483"/>
      <c r="R500" s="483"/>
      <c r="S500" s="483"/>
      <c r="T500" s="483"/>
      <c r="U500" s="483"/>
      <c r="V500" s="412" t="str">
        <f>IF($M500&lt;&gt;"",IF(VLOOKUP($M500,'Plan d''actions détaillé'!$D$6:$P$30,12,FALSE)="","",VLOOKUP($M500,'Plan d''actions détaillé'!$D$6:$P$30,12,FALSE)),"")</f>
        <v/>
      </c>
      <c r="W500" s="377"/>
    </row>
    <row r="501" spans="7:23" ht="7.5" customHeight="1" x14ac:dyDescent="0.2">
      <c r="G501" s="376"/>
      <c r="H501" s="372"/>
      <c r="I501" s="372"/>
      <c r="J501" s="414" t="str">
        <f t="array" ref="J501">IF($K$482="","",IF(INDEX('Plan d''actions détaillé'!A:A,MIN(IF((COUNTIF(J$497:J500,'Plan d''actions détaillé'!$A$6:$A$30)=0)*(INDEX('Plan d''actions détaillé'!$U$6:$AL$30,,MATCH($K$482,'Plan d''actions détaillé'!$U$5:$AL$5,0))="X"),ROW('Plan d''actions détaillé'!$T$6:$T$30))))=0,"",INDEX('Plan d''actions détaillé'!A:A,MIN(IF((COUNTIF(J$497:J500,'Plan d''actions détaillé'!$A$6:$A$30)=0)*(INDEX('Plan d''actions détaillé'!$U$6:$AL$30,,MATCH($K$482,'Plan d''actions détaillé'!$U$5:$AL$5,0))="X"),ROW('Plan d''actions détaillé'!$T$6:$T$30))))))</f>
        <v/>
      </c>
      <c r="K501" s="414"/>
      <c r="L501" s="415"/>
      <c r="M501" s="413" t="str">
        <f t="array" ref="M501">IF($K$482="","",IF(INDEX('Plan d''actions détaillé'!D:D,MIN(IF((COUNTIF(M$497:M500,'Plan d''actions détaillé'!$D$6:$D$30)=0)*(INDEX('Plan d''actions détaillé'!$U$6:$AL$30,,MATCH($K$482,'Plan d''actions détaillé'!$U$5:$AL$5,0))="X"),ROW('Plan d''actions détaillé'!$T$6:$T$30))))=0,"",INDEX('Plan d''actions détaillé'!D:D,MIN(IF((COUNTIF(M$497:M500,'Plan d''actions détaillé'!$D$6:$D$30)=0)*(INDEX('Plan d''actions détaillé'!$U$6:$AL$30,,MATCH($K$482,'Plan d''actions détaillé'!$U$5:$AL$5,0))="X"),ROW('Plan d''actions détaillé'!$T$6:$T$30))))))</f>
        <v/>
      </c>
      <c r="N501" s="411" t="str">
        <f>IF($M501&lt;&gt;"",IF(VLOOKUP($M501,'Plan d''actions détaillé'!$D$6:$P$30,8,FALSE)="","",VLOOKUP($M501,'Plan d''actions détaillé'!$D$6:$P$30,8,FALSE)),"")</f>
        <v/>
      </c>
      <c r="O501" s="483" t="str">
        <f>IF($M501&lt;&gt;"",IF(VLOOKUP($M501,'Plan d''actions détaillé'!$D$6:$P$30,6,FALSE)="","",VLOOKUP($M501,'Plan d''actions détaillé'!$D$6:$P$30,6,FALSE)),"")</f>
        <v/>
      </c>
      <c r="P501" s="483"/>
      <c r="Q501" s="483"/>
      <c r="R501" s="483"/>
      <c r="S501" s="483"/>
      <c r="T501" s="483"/>
      <c r="U501" s="483"/>
      <c r="V501" s="412" t="str">
        <f>IF($M501&lt;&gt;"",IF(VLOOKUP($M501,'Plan d''actions détaillé'!$D$6:$P$30,12,FALSE)="","",VLOOKUP($M501,'Plan d''actions détaillé'!$D$6:$P$30,12,FALSE)),"")</f>
        <v/>
      </c>
      <c r="W501" s="377"/>
    </row>
    <row r="502" spans="7:23" ht="7.5" customHeight="1" x14ac:dyDescent="0.2">
      <c r="G502" s="376"/>
      <c r="H502" s="372"/>
      <c r="I502" s="372"/>
      <c r="J502" s="414" t="str">
        <f t="array" ref="J502">IF($K$482="","",IF(INDEX('Plan d''actions détaillé'!A:A,MIN(IF((COUNTIF(J$497:J501,'Plan d''actions détaillé'!$A$6:$A$30)=0)*(INDEX('Plan d''actions détaillé'!$U$6:$AL$30,,MATCH($K$482,'Plan d''actions détaillé'!$U$5:$AL$5,0))="X"),ROW('Plan d''actions détaillé'!$T$6:$T$30))))=0,"",INDEX('Plan d''actions détaillé'!A:A,MIN(IF((COUNTIF(J$497:J501,'Plan d''actions détaillé'!$A$6:$A$30)=0)*(INDEX('Plan d''actions détaillé'!$U$6:$AL$30,,MATCH($K$482,'Plan d''actions détaillé'!$U$5:$AL$5,0))="X"),ROW('Plan d''actions détaillé'!$T$6:$T$30))))))</f>
        <v/>
      </c>
      <c r="K502" s="414"/>
      <c r="L502" s="415"/>
      <c r="M502" s="413" t="str">
        <f t="array" ref="M502">IF($K$482="","",IF(INDEX('Plan d''actions détaillé'!D:D,MIN(IF((COUNTIF(M$497:M501,'Plan d''actions détaillé'!$D$6:$D$30)=0)*(INDEX('Plan d''actions détaillé'!$U$6:$AL$30,,MATCH($K$482,'Plan d''actions détaillé'!$U$5:$AL$5,0))="X"),ROW('Plan d''actions détaillé'!$T$6:$T$30))))=0,"",INDEX('Plan d''actions détaillé'!D:D,MIN(IF((COUNTIF(M$497:M501,'Plan d''actions détaillé'!$D$6:$D$30)=0)*(INDEX('Plan d''actions détaillé'!$U$6:$AL$30,,MATCH($K$482,'Plan d''actions détaillé'!$U$5:$AL$5,0))="X"),ROW('Plan d''actions détaillé'!$T$6:$T$30))))))</f>
        <v/>
      </c>
      <c r="N502" s="411" t="str">
        <f>IF($M502&lt;&gt;"",IF(VLOOKUP($M502,'Plan d''actions détaillé'!$D$6:$P$30,8,FALSE)="","",VLOOKUP($M502,'Plan d''actions détaillé'!$D$6:$P$30,8,FALSE)),"")</f>
        <v/>
      </c>
      <c r="O502" s="483" t="str">
        <f>IF($M502&lt;&gt;"",IF(VLOOKUP($M502,'Plan d''actions détaillé'!$D$6:$P$30,6,FALSE)="","",VLOOKUP($M502,'Plan d''actions détaillé'!$D$6:$P$30,6,FALSE)),"")</f>
        <v/>
      </c>
      <c r="P502" s="483"/>
      <c r="Q502" s="483"/>
      <c r="R502" s="483"/>
      <c r="S502" s="483"/>
      <c r="T502" s="483"/>
      <c r="U502" s="483"/>
      <c r="V502" s="412" t="str">
        <f>IF($M502&lt;&gt;"",IF(VLOOKUP($M502,'Plan d''actions détaillé'!$D$6:$P$30,12,FALSE)="","",VLOOKUP($M502,'Plan d''actions détaillé'!$D$6:$P$30,12,FALSE)),"")</f>
        <v/>
      </c>
      <c r="W502" s="377"/>
    </row>
    <row r="503" spans="7:23" ht="7.5" customHeight="1" x14ac:dyDescent="0.2">
      <c r="G503" s="376"/>
      <c r="H503" s="372"/>
      <c r="I503" s="372"/>
      <c r="J503" s="414" t="str">
        <f t="array" ref="J503">IF($K$482="","",IF(INDEX('Plan d''actions détaillé'!A:A,MIN(IF((COUNTIF(J$497:J502,'Plan d''actions détaillé'!$A$6:$A$30)=0)*(INDEX('Plan d''actions détaillé'!$U$6:$AL$30,,MATCH($K$482,'Plan d''actions détaillé'!$U$5:$AL$5,0))="X"),ROW('Plan d''actions détaillé'!$T$6:$T$30))))=0,"",INDEX('Plan d''actions détaillé'!A:A,MIN(IF((COUNTIF(J$497:J502,'Plan d''actions détaillé'!$A$6:$A$30)=0)*(INDEX('Plan d''actions détaillé'!$U$6:$AL$30,,MATCH($K$482,'Plan d''actions détaillé'!$U$5:$AL$5,0))="X"),ROW('Plan d''actions détaillé'!$T$6:$T$30))))))</f>
        <v/>
      </c>
      <c r="K503" s="414"/>
      <c r="L503" s="415"/>
      <c r="M503" s="413" t="str">
        <f t="array" ref="M503">IF($K$482="","",IF(INDEX('Plan d''actions détaillé'!D:D,MIN(IF((COUNTIF(M$497:M502,'Plan d''actions détaillé'!$D$6:$D$30)=0)*(INDEX('Plan d''actions détaillé'!$U$6:$AL$30,,MATCH($K$482,'Plan d''actions détaillé'!$U$5:$AL$5,0))="X"),ROW('Plan d''actions détaillé'!$T$6:$T$30))))=0,"",INDEX('Plan d''actions détaillé'!D:D,MIN(IF((COUNTIF(M$497:M502,'Plan d''actions détaillé'!$D$6:$D$30)=0)*(INDEX('Plan d''actions détaillé'!$U$6:$AL$30,,MATCH($K$482,'Plan d''actions détaillé'!$U$5:$AL$5,0))="X"),ROW('Plan d''actions détaillé'!$T$6:$T$30))))))</f>
        <v/>
      </c>
      <c r="N503" s="411" t="str">
        <f>IF($M503&lt;&gt;"",IF(VLOOKUP($M503,'Plan d''actions détaillé'!$D$6:$P$30,8,FALSE)="","",VLOOKUP($M503,'Plan d''actions détaillé'!$D$6:$P$30,8,FALSE)),"")</f>
        <v/>
      </c>
      <c r="O503" s="483" t="str">
        <f>IF($M503&lt;&gt;"",IF(VLOOKUP($M503,'Plan d''actions détaillé'!$D$6:$P$30,6,FALSE)="","",VLOOKUP($M503,'Plan d''actions détaillé'!$D$6:$P$30,6,FALSE)),"")</f>
        <v/>
      </c>
      <c r="P503" s="483"/>
      <c r="Q503" s="483"/>
      <c r="R503" s="483"/>
      <c r="S503" s="483"/>
      <c r="T503" s="483"/>
      <c r="U503" s="483"/>
      <c r="V503" s="412" t="str">
        <f>IF($M503&lt;&gt;"",IF(VLOOKUP($M503,'Plan d''actions détaillé'!$D$6:$P$30,12,FALSE)="","",VLOOKUP($M503,'Plan d''actions détaillé'!$D$6:$P$30,12,FALSE)),"")</f>
        <v/>
      </c>
      <c r="W503" s="377"/>
    </row>
    <row r="504" spans="7:23" ht="7.5" customHeight="1" x14ac:dyDescent="0.2">
      <c r="G504" s="376"/>
      <c r="H504" s="372"/>
      <c r="I504" s="372"/>
      <c r="J504" s="414" t="str">
        <f t="array" ref="J504">IF($K$482="","",IF(INDEX('Plan d''actions détaillé'!A:A,MIN(IF((COUNTIF(J$497:J503,'Plan d''actions détaillé'!$A$6:$A$30)=0)*(INDEX('Plan d''actions détaillé'!$U$6:$AL$30,,MATCH($K$482,'Plan d''actions détaillé'!$U$5:$AL$5,0))="X"),ROW('Plan d''actions détaillé'!$T$6:$T$30))))=0,"",INDEX('Plan d''actions détaillé'!A:A,MIN(IF((COUNTIF(J$497:J503,'Plan d''actions détaillé'!$A$6:$A$30)=0)*(INDEX('Plan d''actions détaillé'!$U$6:$AL$30,,MATCH($K$482,'Plan d''actions détaillé'!$U$5:$AL$5,0))="X"),ROW('Plan d''actions détaillé'!$T$6:$T$30))))))</f>
        <v/>
      </c>
      <c r="K504" s="414"/>
      <c r="L504" s="415"/>
      <c r="M504" s="413" t="str">
        <f t="array" ref="M504">IF($K$482="","",IF(INDEX('Plan d''actions détaillé'!D:D,MIN(IF((COUNTIF(M$497:M503,'Plan d''actions détaillé'!$D$6:$D$30)=0)*(INDEX('Plan d''actions détaillé'!$U$6:$AL$30,,MATCH($K$482,'Plan d''actions détaillé'!$U$5:$AL$5,0))="X"),ROW('Plan d''actions détaillé'!$T$6:$T$30))))=0,"",INDEX('Plan d''actions détaillé'!D:D,MIN(IF((COUNTIF(M$497:M503,'Plan d''actions détaillé'!$D$6:$D$30)=0)*(INDEX('Plan d''actions détaillé'!$U$6:$AL$30,,MATCH($K$482,'Plan d''actions détaillé'!$U$5:$AL$5,0))="X"),ROW('Plan d''actions détaillé'!$T$6:$T$30))))))</f>
        <v/>
      </c>
      <c r="N504" s="411" t="str">
        <f>IF($M504&lt;&gt;"",IF(VLOOKUP($M504,'Plan d''actions détaillé'!$D$6:$P$30,8,FALSE)="","",VLOOKUP($M504,'Plan d''actions détaillé'!$D$6:$P$30,8,FALSE)),"")</f>
        <v/>
      </c>
      <c r="O504" s="483" t="str">
        <f>IF($M504&lt;&gt;"",IF(VLOOKUP($M504,'Plan d''actions détaillé'!$D$6:$P$30,6,FALSE)="","",VLOOKUP($M504,'Plan d''actions détaillé'!$D$6:$P$30,6,FALSE)),"")</f>
        <v/>
      </c>
      <c r="P504" s="483"/>
      <c r="Q504" s="483"/>
      <c r="R504" s="483"/>
      <c r="S504" s="483"/>
      <c r="T504" s="483"/>
      <c r="U504" s="483"/>
      <c r="V504" s="412" t="str">
        <f>IF($M504&lt;&gt;"",IF(VLOOKUP($M504,'Plan d''actions détaillé'!$D$6:$P$30,12,FALSE)="","",VLOOKUP($M504,'Plan d''actions détaillé'!$D$6:$P$30,12,FALSE)),"")</f>
        <v/>
      </c>
      <c r="W504" s="377"/>
    </row>
    <row r="505" spans="7:23" ht="7.5" customHeight="1" x14ac:dyDescent="0.2">
      <c r="G505" s="376"/>
      <c r="H505" s="372"/>
      <c r="I505" s="372"/>
      <c r="J505" s="414" t="str">
        <f t="array" ref="J505">IF($K$482="","",IF(INDEX('Plan d''actions détaillé'!A:A,MIN(IF((COUNTIF(J$497:J504,'Plan d''actions détaillé'!$A$6:$A$30)=0)*(INDEX('Plan d''actions détaillé'!$U$6:$AL$30,,MATCH($K$482,'Plan d''actions détaillé'!$U$5:$AL$5,0))="X"),ROW('Plan d''actions détaillé'!$T$6:$T$30))))=0,"",INDEX('Plan d''actions détaillé'!A:A,MIN(IF((COUNTIF(J$497:J504,'Plan d''actions détaillé'!$A$6:$A$30)=0)*(INDEX('Plan d''actions détaillé'!$U$6:$AL$30,,MATCH($K$482,'Plan d''actions détaillé'!$U$5:$AL$5,0))="X"),ROW('Plan d''actions détaillé'!$T$6:$T$30))))))</f>
        <v/>
      </c>
      <c r="K505" s="414"/>
      <c r="L505" s="415"/>
      <c r="M505" s="413" t="str">
        <f t="array" ref="M505">IF($K$482="","",IF(INDEX('Plan d''actions détaillé'!D:D,MIN(IF((COUNTIF(M$497:M504,'Plan d''actions détaillé'!$D$6:$D$30)=0)*(INDEX('Plan d''actions détaillé'!$U$6:$AL$30,,MATCH($K$482,'Plan d''actions détaillé'!$U$5:$AL$5,0))="X"),ROW('Plan d''actions détaillé'!$T$6:$T$30))))=0,"",INDEX('Plan d''actions détaillé'!D:D,MIN(IF((COUNTIF(M$497:M504,'Plan d''actions détaillé'!$D$6:$D$30)=0)*(INDEX('Plan d''actions détaillé'!$U$6:$AL$30,,MATCH($K$482,'Plan d''actions détaillé'!$U$5:$AL$5,0))="X"),ROW('Plan d''actions détaillé'!$T$6:$T$30))))))</f>
        <v/>
      </c>
      <c r="N505" s="411" t="str">
        <f>IF($M505&lt;&gt;"",IF(VLOOKUP($M505,'Plan d''actions détaillé'!$D$6:$P$30,8,FALSE)="","",VLOOKUP($M505,'Plan d''actions détaillé'!$D$6:$P$30,8,FALSE)),"")</f>
        <v/>
      </c>
      <c r="O505" s="483" t="str">
        <f>IF($M505&lt;&gt;"",IF(VLOOKUP($M505,'Plan d''actions détaillé'!$D$6:$P$30,6,FALSE)="","",VLOOKUP($M505,'Plan d''actions détaillé'!$D$6:$P$30,6,FALSE)),"")</f>
        <v/>
      </c>
      <c r="P505" s="483"/>
      <c r="Q505" s="483"/>
      <c r="R505" s="483"/>
      <c r="S505" s="483"/>
      <c r="T505" s="483"/>
      <c r="U505" s="483"/>
      <c r="V505" s="412" t="str">
        <f>IF($M505&lt;&gt;"",IF(VLOOKUP($M505,'Plan d''actions détaillé'!$D$6:$P$30,12,FALSE)="","",VLOOKUP($M505,'Plan d''actions détaillé'!$D$6:$P$30,12,FALSE)),"")</f>
        <v/>
      </c>
      <c r="W505" s="377"/>
    </row>
    <row r="506" spans="7:23" ht="7.5" customHeight="1" x14ac:dyDescent="0.2">
      <c r="G506" s="376"/>
      <c r="H506" s="372"/>
      <c r="I506" s="372"/>
      <c r="J506" s="414" t="str">
        <f t="array" ref="J506">IF($K$482="","",IF(INDEX('Plan d''actions détaillé'!A:A,MIN(IF((COUNTIF(J$497:J505,'Plan d''actions détaillé'!$A$6:$A$30)=0)*(INDEX('Plan d''actions détaillé'!$U$6:$AL$30,,MATCH($K$482,'Plan d''actions détaillé'!$U$5:$AL$5,0))="X"),ROW('Plan d''actions détaillé'!$T$6:$T$30))))=0,"",INDEX('Plan d''actions détaillé'!A:A,MIN(IF((COUNTIF(J$497:J505,'Plan d''actions détaillé'!$A$6:$A$30)=0)*(INDEX('Plan d''actions détaillé'!$U$6:$AL$30,,MATCH($K$482,'Plan d''actions détaillé'!$U$5:$AL$5,0))="X"),ROW('Plan d''actions détaillé'!$T$6:$T$30))))))</f>
        <v/>
      </c>
      <c r="K506" s="414"/>
      <c r="L506" s="415"/>
      <c r="M506" s="413" t="str">
        <f t="array" ref="M506">IF($K$482="","",IF(INDEX('Plan d''actions détaillé'!D:D,MIN(IF((COUNTIF(M$497:M505,'Plan d''actions détaillé'!$D$6:$D$30)=0)*(INDEX('Plan d''actions détaillé'!$U$6:$AL$30,,MATCH($K$482,'Plan d''actions détaillé'!$U$5:$AL$5,0))="X"),ROW('Plan d''actions détaillé'!$T$6:$T$30))))=0,"",INDEX('Plan d''actions détaillé'!D:D,MIN(IF((COUNTIF(M$497:M505,'Plan d''actions détaillé'!$D$6:$D$30)=0)*(INDEX('Plan d''actions détaillé'!$U$6:$AL$30,,MATCH($K$482,'Plan d''actions détaillé'!$U$5:$AL$5,0))="X"),ROW('Plan d''actions détaillé'!$T$6:$T$30))))))</f>
        <v/>
      </c>
      <c r="N506" s="411" t="str">
        <f>IF($M506&lt;&gt;"",IF(VLOOKUP($M506,'Plan d''actions détaillé'!$D$6:$P$30,8,FALSE)="","",VLOOKUP($M506,'Plan d''actions détaillé'!$D$6:$P$30,8,FALSE)),"")</f>
        <v/>
      </c>
      <c r="O506" s="483" t="str">
        <f>IF($M506&lt;&gt;"",IF(VLOOKUP($M506,'Plan d''actions détaillé'!$D$6:$P$30,6,FALSE)="","",VLOOKUP($M506,'Plan d''actions détaillé'!$D$6:$P$30,6,FALSE)),"")</f>
        <v/>
      </c>
      <c r="P506" s="483"/>
      <c r="Q506" s="483"/>
      <c r="R506" s="483"/>
      <c r="S506" s="483"/>
      <c r="T506" s="483"/>
      <c r="U506" s="483"/>
      <c r="V506" s="412" t="str">
        <f>IF($M506&lt;&gt;"",IF(VLOOKUP($M506,'Plan d''actions détaillé'!$D$6:$P$30,12,FALSE)="","",VLOOKUP($M506,'Plan d''actions détaillé'!$D$6:$P$30,12,FALSE)),"")</f>
        <v/>
      </c>
      <c r="W506" s="377"/>
    </row>
    <row r="507" spans="7:23" ht="7.5" customHeight="1" x14ac:dyDescent="0.2">
      <c r="G507" s="376"/>
      <c r="H507" s="372"/>
      <c r="I507" s="372"/>
      <c r="J507" s="414" t="str">
        <f t="array" ref="J507">IF($K$482="","",IF(INDEX('Plan d''actions détaillé'!A:A,MIN(IF((COUNTIF(J$497:J506,'Plan d''actions détaillé'!$A$6:$A$30)=0)*(INDEX('Plan d''actions détaillé'!$U$6:$AL$30,,MATCH($K$482,'Plan d''actions détaillé'!$U$5:$AL$5,0))="X"),ROW('Plan d''actions détaillé'!$T$6:$T$30))))=0,"",INDEX('Plan d''actions détaillé'!A:A,MIN(IF((COUNTIF(J$497:J506,'Plan d''actions détaillé'!$A$6:$A$30)=0)*(INDEX('Plan d''actions détaillé'!$U$6:$AL$30,,MATCH($K$482,'Plan d''actions détaillé'!$U$5:$AL$5,0))="X"),ROW('Plan d''actions détaillé'!$T$6:$T$30))))))</f>
        <v/>
      </c>
      <c r="K507" s="414"/>
      <c r="L507" s="415"/>
      <c r="M507" s="413" t="str">
        <f t="array" ref="M507">IF($K$482="","",IF(INDEX('Plan d''actions détaillé'!D:D,MIN(IF((COUNTIF(M$497:M506,'Plan d''actions détaillé'!$D$6:$D$30)=0)*(INDEX('Plan d''actions détaillé'!$U$6:$AL$30,,MATCH($K$482,'Plan d''actions détaillé'!$U$5:$AL$5,0))="X"),ROW('Plan d''actions détaillé'!$T$6:$T$30))))=0,"",INDEX('Plan d''actions détaillé'!D:D,MIN(IF((COUNTIF(M$497:M506,'Plan d''actions détaillé'!$D$6:$D$30)=0)*(INDEX('Plan d''actions détaillé'!$U$6:$AL$30,,MATCH($K$482,'Plan d''actions détaillé'!$U$5:$AL$5,0))="X"),ROW('Plan d''actions détaillé'!$T$6:$T$30))))))</f>
        <v/>
      </c>
      <c r="N507" s="411" t="str">
        <f>IF($M507&lt;&gt;"",IF(VLOOKUP($M507,'Plan d''actions détaillé'!$D$6:$P$30,8,FALSE)="","",VLOOKUP($M507,'Plan d''actions détaillé'!$D$6:$P$30,8,FALSE)),"")</f>
        <v/>
      </c>
      <c r="O507" s="483" t="str">
        <f>IF($M507&lt;&gt;"",IF(VLOOKUP($M507,'Plan d''actions détaillé'!$D$6:$P$30,6,FALSE)="","",VLOOKUP($M507,'Plan d''actions détaillé'!$D$6:$P$30,6,FALSE)),"")</f>
        <v/>
      </c>
      <c r="P507" s="483"/>
      <c r="Q507" s="483"/>
      <c r="R507" s="483"/>
      <c r="S507" s="483"/>
      <c r="T507" s="483"/>
      <c r="U507" s="483"/>
      <c r="V507" s="412" t="str">
        <f>IF($M507&lt;&gt;"",IF(VLOOKUP($M507,'Plan d''actions détaillé'!$D$6:$P$30,12,FALSE)="","",VLOOKUP($M507,'Plan d''actions détaillé'!$D$6:$P$30,12,FALSE)),"")</f>
        <v/>
      </c>
      <c r="W507" s="377"/>
    </row>
    <row r="508" spans="7:23" ht="7.5" customHeight="1" x14ac:dyDescent="0.2">
      <c r="G508" s="376"/>
      <c r="H508" s="372"/>
      <c r="I508" s="372"/>
      <c r="J508" s="414" t="str">
        <f t="array" ref="J508">IF($K$482="","",IF(INDEX('Plan d''actions détaillé'!A:A,MIN(IF((COUNTIF(J$497:J507,'Plan d''actions détaillé'!$A$6:$A$30)=0)*(INDEX('Plan d''actions détaillé'!$U$6:$AL$30,,MATCH($K$482,'Plan d''actions détaillé'!$U$5:$AL$5,0))="X"),ROW('Plan d''actions détaillé'!$T$6:$T$30))))=0,"",INDEX('Plan d''actions détaillé'!A:A,MIN(IF((COUNTIF(J$497:J507,'Plan d''actions détaillé'!$A$6:$A$30)=0)*(INDEX('Plan d''actions détaillé'!$U$6:$AL$30,,MATCH($K$482,'Plan d''actions détaillé'!$U$5:$AL$5,0))="X"),ROW('Plan d''actions détaillé'!$T$6:$T$30))))))</f>
        <v/>
      </c>
      <c r="K508" s="414"/>
      <c r="L508" s="415"/>
      <c r="M508" s="413" t="str">
        <f t="array" ref="M508">IF($K$482="","",IF(INDEX('Plan d''actions détaillé'!D:D,MIN(IF((COUNTIF(M$497:M507,'Plan d''actions détaillé'!$D$6:$D$30)=0)*(INDEX('Plan d''actions détaillé'!$U$6:$AL$30,,MATCH($K$482,'Plan d''actions détaillé'!$U$5:$AL$5,0))="X"),ROW('Plan d''actions détaillé'!$T$6:$T$30))))=0,"",INDEX('Plan d''actions détaillé'!D:D,MIN(IF((COUNTIF(M$497:M507,'Plan d''actions détaillé'!$D$6:$D$30)=0)*(INDEX('Plan d''actions détaillé'!$U$6:$AL$30,,MATCH($K$482,'Plan d''actions détaillé'!$U$5:$AL$5,0))="X"),ROW('Plan d''actions détaillé'!$T$6:$T$30))))))</f>
        <v/>
      </c>
      <c r="N508" s="411" t="str">
        <f>IF($M508&lt;&gt;"",IF(VLOOKUP($M508,'Plan d''actions détaillé'!$D$6:$P$30,8,FALSE)="","",VLOOKUP($M508,'Plan d''actions détaillé'!$D$6:$P$30,8,FALSE)),"")</f>
        <v/>
      </c>
      <c r="O508" s="483" t="str">
        <f>IF($M508&lt;&gt;"",IF(VLOOKUP($M508,'Plan d''actions détaillé'!$D$6:$P$30,6,FALSE)="","",VLOOKUP($M508,'Plan d''actions détaillé'!$D$6:$P$30,6,FALSE)),"")</f>
        <v/>
      </c>
      <c r="P508" s="483"/>
      <c r="Q508" s="483"/>
      <c r="R508" s="483"/>
      <c r="S508" s="483"/>
      <c r="T508" s="483"/>
      <c r="U508" s="483"/>
      <c r="V508" s="412" t="str">
        <f>IF($M508&lt;&gt;"",IF(VLOOKUP($M508,'Plan d''actions détaillé'!$D$6:$P$30,12,FALSE)="","",VLOOKUP($M508,'Plan d''actions détaillé'!$D$6:$P$30,12,FALSE)),"")</f>
        <v/>
      </c>
      <c r="W508" s="377"/>
    </row>
    <row r="509" spans="7:23" ht="7.5" customHeight="1" x14ac:dyDescent="0.2">
      <c r="G509" s="376"/>
      <c r="H509" s="372"/>
      <c r="I509" s="372"/>
      <c r="J509" s="414" t="str">
        <f t="array" ref="J509">IF($K$482="","",IF(INDEX('Plan d''actions détaillé'!A:A,MIN(IF((COUNTIF(J$497:J508,'Plan d''actions détaillé'!$A$6:$A$30)=0)*(INDEX('Plan d''actions détaillé'!$U$6:$AL$30,,MATCH($K$482,'Plan d''actions détaillé'!$U$5:$AL$5,0))="X"),ROW('Plan d''actions détaillé'!$T$6:$T$30))))=0,"",INDEX('Plan d''actions détaillé'!A:A,MIN(IF((COUNTIF(J$497:J508,'Plan d''actions détaillé'!$A$6:$A$30)=0)*(INDEX('Plan d''actions détaillé'!$U$6:$AL$30,,MATCH($K$482,'Plan d''actions détaillé'!$U$5:$AL$5,0))="X"),ROW('Plan d''actions détaillé'!$T$6:$T$30))))))</f>
        <v/>
      </c>
      <c r="K509" s="414"/>
      <c r="L509" s="415"/>
      <c r="M509" s="413" t="str">
        <f t="array" ref="M509">IF($K$482="","",IF(INDEX('Plan d''actions détaillé'!D:D,MIN(IF((COUNTIF(M$497:M508,'Plan d''actions détaillé'!$D$6:$D$30)=0)*(INDEX('Plan d''actions détaillé'!$U$6:$AL$30,,MATCH($K$482,'Plan d''actions détaillé'!$U$5:$AL$5,0))="X"),ROW('Plan d''actions détaillé'!$T$6:$T$30))))=0,"",INDEX('Plan d''actions détaillé'!D:D,MIN(IF((COUNTIF(M$497:M508,'Plan d''actions détaillé'!$D$6:$D$30)=0)*(INDEX('Plan d''actions détaillé'!$U$6:$AL$30,,MATCH($K$482,'Plan d''actions détaillé'!$U$5:$AL$5,0))="X"),ROW('Plan d''actions détaillé'!$T$6:$T$30))))))</f>
        <v/>
      </c>
      <c r="N509" s="411" t="str">
        <f>IF($M509&lt;&gt;"",IF(VLOOKUP($M509,'Plan d''actions détaillé'!$D$6:$P$30,8,FALSE)="","",VLOOKUP($M509,'Plan d''actions détaillé'!$D$6:$P$30,8,FALSE)),"")</f>
        <v/>
      </c>
      <c r="O509" s="483" t="str">
        <f>IF($M509&lt;&gt;"",IF(VLOOKUP($M509,'Plan d''actions détaillé'!$D$6:$P$30,6,FALSE)="","",VLOOKUP($M509,'Plan d''actions détaillé'!$D$6:$P$30,6,FALSE)),"")</f>
        <v/>
      </c>
      <c r="P509" s="483"/>
      <c r="Q509" s="483"/>
      <c r="R509" s="483"/>
      <c r="S509" s="483"/>
      <c r="T509" s="483"/>
      <c r="U509" s="483"/>
      <c r="V509" s="412" t="str">
        <f>IF($M509&lt;&gt;"",IF(VLOOKUP($M509,'Plan d''actions détaillé'!$D$6:$P$30,12,FALSE)="","",VLOOKUP($M509,'Plan d''actions détaillé'!$D$6:$P$30,12,FALSE)),"")</f>
        <v/>
      </c>
      <c r="W509" s="377"/>
    </row>
    <row r="510" spans="7:23" ht="7.5" customHeight="1" x14ac:dyDescent="0.2">
      <c r="G510" s="376"/>
      <c r="H510" s="372"/>
      <c r="I510" s="372"/>
      <c r="J510" s="414" t="str">
        <f t="array" ref="J510">IF($K$482="","",IF(INDEX('Plan d''actions détaillé'!A:A,MIN(IF((COUNTIF(J$497:J509,'Plan d''actions détaillé'!$A$6:$A$30)=0)*(INDEX('Plan d''actions détaillé'!$U$6:$AL$30,,MATCH($K$482,'Plan d''actions détaillé'!$U$5:$AL$5,0))="X"),ROW('Plan d''actions détaillé'!$T$6:$T$30))))=0,"",INDEX('Plan d''actions détaillé'!A:A,MIN(IF((COUNTIF(J$497:J509,'Plan d''actions détaillé'!$A$6:$A$30)=0)*(INDEX('Plan d''actions détaillé'!$U$6:$AL$30,,MATCH($K$482,'Plan d''actions détaillé'!$U$5:$AL$5,0))="X"),ROW('Plan d''actions détaillé'!$T$6:$T$30))))))</f>
        <v/>
      </c>
      <c r="K510" s="414"/>
      <c r="L510" s="415"/>
      <c r="M510" s="413" t="str">
        <f t="array" ref="M510">IF($K$482="","",IF(INDEX('Plan d''actions détaillé'!D:D,MIN(IF((COUNTIF(M$497:M509,'Plan d''actions détaillé'!$D$6:$D$30)=0)*(INDEX('Plan d''actions détaillé'!$U$6:$AL$30,,MATCH($K$482,'Plan d''actions détaillé'!$U$5:$AL$5,0))="X"),ROW('Plan d''actions détaillé'!$T$6:$T$30))))=0,"",INDEX('Plan d''actions détaillé'!D:D,MIN(IF((COUNTIF(M$497:M509,'Plan d''actions détaillé'!$D$6:$D$30)=0)*(INDEX('Plan d''actions détaillé'!$U$6:$AL$30,,MATCH($K$482,'Plan d''actions détaillé'!$U$5:$AL$5,0))="X"),ROW('Plan d''actions détaillé'!$T$6:$T$30))))))</f>
        <v/>
      </c>
      <c r="N510" s="411" t="str">
        <f>IF($M510&lt;&gt;"",IF(VLOOKUP($M510,'Plan d''actions détaillé'!$D$6:$P$30,8,FALSE)="","",VLOOKUP($M510,'Plan d''actions détaillé'!$D$6:$P$30,8,FALSE)),"")</f>
        <v/>
      </c>
      <c r="O510" s="483" t="str">
        <f>IF($M510&lt;&gt;"",IF(VLOOKUP($M510,'Plan d''actions détaillé'!$D$6:$P$30,6,FALSE)="","",VLOOKUP($M510,'Plan d''actions détaillé'!$D$6:$P$30,6,FALSE)),"")</f>
        <v/>
      </c>
      <c r="P510" s="483"/>
      <c r="Q510" s="483"/>
      <c r="R510" s="483"/>
      <c r="S510" s="483"/>
      <c r="T510" s="483"/>
      <c r="U510" s="483"/>
      <c r="V510" s="412" t="str">
        <f>IF($M510&lt;&gt;"",IF(VLOOKUP($M510,'Plan d''actions détaillé'!$D$6:$P$30,12,FALSE)="","",VLOOKUP($M510,'Plan d''actions détaillé'!$D$6:$P$30,12,FALSE)),"")</f>
        <v/>
      </c>
      <c r="W510" s="377"/>
    </row>
    <row r="511" spans="7:23" ht="7.5" customHeight="1" x14ac:dyDescent="0.2">
      <c r="G511" s="376"/>
      <c r="H511" s="372"/>
      <c r="I511" s="372"/>
      <c r="J511" s="414" t="str">
        <f t="array" ref="J511">IF($K$482="","",IF(INDEX('Plan d''actions détaillé'!A:A,MIN(IF((COUNTIF(J$497:J510,'Plan d''actions détaillé'!$A$6:$A$30)=0)*(INDEX('Plan d''actions détaillé'!$U$6:$AL$30,,MATCH($K$482,'Plan d''actions détaillé'!$U$5:$AL$5,0))="X"),ROW('Plan d''actions détaillé'!$T$6:$T$30))))=0,"",INDEX('Plan d''actions détaillé'!A:A,MIN(IF((COUNTIF(J$497:J510,'Plan d''actions détaillé'!$A$6:$A$30)=0)*(INDEX('Plan d''actions détaillé'!$U$6:$AL$30,,MATCH($K$482,'Plan d''actions détaillé'!$U$5:$AL$5,0))="X"),ROW('Plan d''actions détaillé'!$T$6:$T$30))))))</f>
        <v/>
      </c>
      <c r="K511" s="414"/>
      <c r="L511" s="415"/>
      <c r="M511" s="413" t="str">
        <f t="array" ref="M511">IF($K$482="","",IF(INDEX('Plan d''actions détaillé'!D:D,MIN(IF((COUNTIF(M$497:M510,'Plan d''actions détaillé'!$D$6:$D$30)=0)*(INDEX('Plan d''actions détaillé'!$U$6:$AL$30,,MATCH($K$482,'Plan d''actions détaillé'!$U$5:$AL$5,0))="X"),ROW('Plan d''actions détaillé'!$T$6:$T$30))))=0,"",INDEX('Plan d''actions détaillé'!D:D,MIN(IF((COUNTIF(M$497:M510,'Plan d''actions détaillé'!$D$6:$D$30)=0)*(INDEX('Plan d''actions détaillé'!$U$6:$AL$30,,MATCH($K$482,'Plan d''actions détaillé'!$U$5:$AL$5,0))="X"),ROW('Plan d''actions détaillé'!$T$6:$T$30))))))</f>
        <v/>
      </c>
      <c r="N511" s="411" t="str">
        <f>IF($M511&lt;&gt;"",IF(VLOOKUP($M511,'Plan d''actions détaillé'!$D$6:$P$30,8,FALSE)="","",VLOOKUP($M511,'Plan d''actions détaillé'!$D$6:$P$30,8,FALSE)),"")</f>
        <v/>
      </c>
      <c r="O511" s="483" t="str">
        <f>IF($M511&lt;&gt;"",IF(VLOOKUP($M511,'Plan d''actions détaillé'!$D$6:$P$30,6,FALSE)="","",VLOOKUP($M511,'Plan d''actions détaillé'!$D$6:$P$30,6,FALSE)),"")</f>
        <v/>
      </c>
      <c r="P511" s="483"/>
      <c r="Q511" s="483"/>
      <c r="R511" s="483"/>
      <c r="S511" s="483"/>
      <c r="T511" s="483"/>
      <c r="U511" s="483"/>
      <c r="V511" s="412" t="str">
        <f>IF($M511&lt;&gt;"",IF(VLOOKUP($M511,'Plan d''actions détaillé'!$D$6:$P$30,12,FALSE)="","",VLOOKUP($M511,'Plan d''actions détaillé'!$D$6:$P$30,12,FALSE)),"")</f>
        <v/>
      </c>
      <c r="W511" s="377"/>
    </row>
    <row r="512" spans="7:23" ht="7.5" customHeight="1" x14ac:dyDescent="0.2">
      <c r="G512" s="376"/>
      <c r="H512" s="372"/>
      <c r="I512" s="372"/>
      <c r="J512" s="414" t="str">
        <f t="array" ref="J512">IF($K$482="","",IF(INDEX('Plan d''actions détaillé'!A:A,MIN(IF((COUNTIF(J$497:J511,'Plan d''actions détaillé'!$A$6:$A$30)=0)*(INDEX('Plan d''actions détaillé'!$U$6:$AL$30,,MATCH($K$482,'Plan d''actions détaillé'!$U$5:$AL$5,0))="X"),ROW('Plan d''actions détaillé'!$T$6:$T$30))))=0,"",INDEX('Plan d''actions détaillé'!A:A,MIN(IF((COUNTIF(J$497:J511,'Plan d''actions détaillé'!$A$6:$A$30)=0)*(INDEX('Plan d''actions détaillé'!$U$6:$AL$30,,MATCH($K$482,'Plan d''actions détaillé'!$U$5:$AL$5,0))="X"),ROW('Plan d''actions détaillé'!$T$6:$T$30))))))</f>
        <v/>
      </c>
      <c r="K512" s="414"/>
      <c r="L512" s="415"/>
      <c r="M512" s="413" t="str">
        <f t="array" ref="M512">IF($K$482="","",IF(INDEX('Plan d''actions détaillé'!D:D,MIN(IF((COUNTIF(M$497:M511,'Plan d''actions détaillé'!$D$6:$D$30)=0)*(INDEX('Plan d''actions détaillé'!$U$6:$AL$30,,MATCH($K$482,'Plan d''actions détaillé'!$U$5:$AL$5,0))="X"),ROW('Plan d''actions détaillé'!$T$6:$T$30))))=0,"",INDEX('Plan d''actions détaillé'!D:D,MIN(IF((COUNTIF(M$497:M511,'Plan d''actions détaillé'!$D$6:$D$30)=0)*(INDEX('Plan d''actions détaillé'!$U$6:$AL$30,,MATCH($K$482,'Plan d''actions détaillé'!$U$5:$AL$5,0))="X"),ROW('Plan d''actions détaillé'!$T$6:$T$30))))))</f>
        <v/>
      </c>
      <c r="N512" s="411" t="str">
        <f>IF($M512&lt;&gt;"",IF(VLOOKUP($M512,'Plan d''actions détaillé'!$D$6:$P$30,8,FALSE)="","",VLOOKUP($M512,'Plan d''actions détaillé'!$D$6:$P$30,8,FALSE)),"")</f>
        <v/>
      </c>
      <c r="O512" s="483" t="str">
        <f>IF($M512&lt;&gt;"",IF(VLOOKUP($M512,'Plan d''actions détaillé'!$D$6:$P$30,6,FALSE)="","",VLOOKUP($M512,'Plan d''actions détaillé'!$D$6:$P$30,6,FALSE)),"")</f>
        <v/>
      </c>
      <c r="P512" s="483"/>
      <c r="Q512" s="483"/>
      <c r="R512" s="483"/>
      <c r="S512" s="483"/>
      <c r="T512" s="483"/>
      <c r="U512" s="483"/>
      <c r="V512" s="412" t="str">
        <f>IF($M512&lt;&gt;"",IF(VLOOKUP($M512,'Plan d''actions détaillé'!$D$6:$P$30,12,FALSE)="","",VLOOKUP($M512,'Plan d''actions détaillé'!$D$6:$P$30,12,FALSE)),"")</f>
        <v/>
      </c>
      <c r="W512" s="377"/>
    </row>
    <row r="513" spans="7:23" ht="7.5" customHeight="1" x14ac:dyDescent="0.2">
      <c r="G513" s="376"/>
      <c r="H513" s="372"/>
      <c r="I513" s="372"/>
      <c r="J513" s="414" t="str">
        <f t="array" ref="J513">IF($K$482="","",IF(INDEX('Plan d''actions détaillé'!A:A,MIN(IF((COUNTIF(J$497:J512,'Plan d''actions détaillé'!$A$6:$A$30)=0)*(INDEX('Plan d''actions détaillé'!$U$6:$AL$30,,MATCH($K$482,'Plan d''actions détaillé'!$U$5:$AL$5,0))="X"),ROW('Plan d''actions détaillé'!$T$6:$T$30))))=0,"",INDEX('Plan d''actions détaillé'!A:A,MIN(IF((COUNTIF(J$497:J512,'Plan d''actions détaillé'!$A$6:$A$30)=0)*(INDEX('Plan d''actions détaillé'!$U$6:$AL$30,,MATCH($K$482,'Plan d''actions détaillé'!$U$5:$AL$5,0))="X"),ROW('Plan d''actions détaillé'!$T$6:$T$30))))))</f>
        <v/>
      </c>
      <c r="K513" s="414"/>
      <c r="L513" s="415"/>
      <c r="M513" s="413" t="str">
        <f t="array" ref="M513">IF($K$482="","",IF(INDEX('Plan d''actions détaillé'!D:D,MIN(IF((COUNTIF(M$497:M512,'Plan d''actions détaillé'!$D$6:$D$30)=0)*(INDEX('Plan d''actions détaillé'!$U$6:$AL$30,,MATCH($K$482,'Plan d''actions détaillé'!$U$5:$AL$5,0))="X"),ROW('Plan d''actions détaillé'!$T$6:$T$30))))=0,"",INDEX('Plan d''actions détaillé'!D:D,MIN(IF((COUNTIF(M$497:M512,'Plan d''actions détaillé'!$D$6:$D$30)=0)*(INDEX('Plan d''actions détaillé'!$U$6:$AL$30,,MATCH($K$482,'Plan d''actions détaillé'!$U$5:$AL$5,0))="X"),ROW('Plan d''actions détaillé'!$T$6:$T$30))))))</f>
        <v/>
      </c>
      <c r="N513" s="411" t="str">
        <f>IF($M513&lt;&gt;"",IF(VLOOKUP($M513,'Plan d''actions détaillé'!$D$6:$P$30,8,FALSE)="","",VLOOKUP($M513,'Plan d''actions détaillé'!$D$6:$P$30,8,FALSE)),"")</f>
        <v/>
      </c>
      <c r="O513" s="483" t="str">
        <f>IF($M513&lt;&gt;"",IF(VLOOKUP($M513,'Plan d''actions détaillé'!$D$6:$P$30,6,FALSE)="","",VLOOKUP($M513,'Plan d''actions détaillé'!$D$6:$P$30,6,FALSE)),"")</f>
        <v/>
      </c>
      <c r="P513" s="483"/>
      <c r="Q513" s="483"/>
      <c r="R513" s="483"/>
      <c r="S513" s="483"/>
      <c r="T513" s="483"/>
      <c r="U513" s="483"/>
      <c r="V513" s="412" t="str">
        <f>IF($M513&lt;&gt;"",IF(VLOOKUP($M513,'Plan d''actions détaillé'!$D$6:$P$30,12,FALSE)="","",VLOOKUP($M513,'Plan d''actions détaillé'!$D$6:$P$30,12,FALSE)),"")</f>
        <v/>
      </c>
      <c r="W513" s="377"/>
    </row>
    <row r="514" spans="7:23" ht="13.5" thickBot="1" x14ac:dyDescent="0.25">
      <c r="G514" s="378"/>
      <c r="H514" s="379"/>
      <c r="I514" s="379"/>
      <c r="J514" s="379"/>
      <c r="K514" s="379"/>
      <c r="L514" s="379"/>
      <c r="M514" s="379"/>
      <c r="N514" s="380"/>
      <c r="O514" s="379"/>
      <c r="P514" s="379"/>
      <c r="Q514" s="379"/>
      <c r="R514" s="379"/>
      <c r="S514" s="379"/>
      <c r="T514" s="379"/>
      <c r="U514" s="379"/>
      <c r="V514" s="379"/>
      <c r="W514" s="381"/>
    </row>
    <row r="515" spans="7:23" ht="13.5" thickBot="1" x14ac:dyDescent="0.25"/>
    <row r="516" spans="7:23" x14ac:dyDescent="0.2">
      <c r="G516" s="373"/>
      <c r="H516" s="374"/>
      <c r="I516" s="374"/>
      <c r="J516" s="374"/>
      <c r="K516" s="374"/>
      <c r="L516" s="374"/>
      <c r="M516" s="374"/>
      <c r="N516" s="374"/>
      <c r="O516" s="374"/>
      <c r="P516" s="374"/>
      <c r="Q516" s="374"/>
      <c r="R516" s="374"/>
      <c r="S516" s="374"/>
      <c r="T516" s="374"/>
      <c r="U516" s="374"/>
      <c r="V516" s="374"/>
      <c r="W516" s="375"/>
    </row>
    <row r="517" spans="7:23" ht="12.75" customHeight="1" x14ac:dyDescent="0.2">
      <c r="G517" s="494" t="str">
        <f>C18</f>
        <v/>
      </c>
      <c r="H517" s="495"/>
      <c r="I517" s="495"/>
      <c r="J517" s="495"/>
      <c r="K517" s="496" t="str">
        <f>D18</f>
        <v/>
      </c>
      <c r="L517" s="496"/>
      <c r="M517" s="496"/>
      <c r="N517" s="496"/>
      <c r="O517" s="496"/>
      <c r="P517" s="496"/>
      <c r="Q517" s="496"/>
      <c r="R517" s="496"/>
      <c r="S517" s="496"/>
      <c r="T517" s="496"/>
      <c r="U517" s="496"/>
      <c r="V517" s="496"/>
      <c r="W517" s="397"/>
    </row>
    <row r="518" spans="7:23" ht="12.75" customHeight="1" x14ac:dyDescent="0.2">
      <c r="G518" s="494"/>
      <c r="H518" s="495"/>
      <c r="I518" s="495"/>
      <c r="J518" s="495"/>
      <c r="K518" s="496"/>
      <c r="L518" s="496"/>
      <c r="M518" s="496"/>
      <c r="N518" s="496"/>
      <c r="O518" s="496"/>
      <c r="P518" s="496"/>
      <c r="Q518" s="496"/>
      <c r="R518" s="496"/>
      <c r="S518" s="496"/>
      <c r="T518" s="496"/>
      <c r="U518" s="496"/>
      <c r="V518" s="496"/>
      <c r="W518" s="397"/>
    </row>
    <row r="519" spans="7:23" x14ac:dyDescent="0.2">
      <c r="G519" s="376"/>
      <c r="H519" s="372"/>
      <c r="I519" s="372"/>
      <c r="J519" s="372"/>
      <c r="K519" s="372"/>
      <c r="L519" s="372"/>
      <c r="M519" s="372"/>
      <c r="N519" s="372"/>
      <c r="O519" s="372"/>
      <c r="P519" s="372"/>
      <c r="Q519" s="372"/>
      <c r="R519" s="372"/>
      <c r="S519" s="372"/>
      <c r="T519" s="372"/>
      <c r="U519" s="372"/>
      <c r="V519" s="372"/>
      <c r="W519" s="377"/>
    </row>
    <row r="520" spans="7:23" ht="23.25" customHeight="1" x14ac:dyDescent="0.2">
      <c r="G520" s="497" t="s">
        <v>1</v>
      </c>
      <c r="H520" s="386" t="str">
        <f>IF(AND(O525=5,O526=1),"X","")</f>
        <v/>
      </c>
      <c r="I520" s="387" t="str">
        <f>IF(AND(O525=5,O526=2),"X","")</f>
        <v/>
      </c>
      <c r="J520" s="388" t="str">
        <f>IF(AND(O525=5,O526=3),"X","")</f>
        <v/>
      </c>
      <c r="K520" s="388" t="str">
        <f>IF(AND(O525=5,O526=4),"X","")</f>
        <v/>
      </c>
      <c r="L520" s="388" t="str">
        <f>IF(AND(O525=5,O526=5),"X","")</f>
        <v/>
      </c>
      <c r="N520" s="498" t="str">
        <f>"Processus de rattachement "</f>
        <v xml:space="preserve">Processus de rattachement </v>
      </c>
      <c r="O520" s="499"/>
      <c r="P520" s="499"/>
      <c r="Q520" s="499"/>
      <c r="R520" s="499"/>
      <c r="S520" s="499"/>
      <c r="T520" s="499"/>
      <c r="U520" s="499"/>
      <c r="V520" s="500"/>
      <c r="W520" s="377"/>
    </row>
    <row r="521" spans="7:23" ht="23.25" x14ac:dyDescent="0.2">
      <c r="G521" s="497"/>
      <c r="H521" s="389" t="str">
        <f>IF(AND(O525=4,O526=1),"X","")</f>
        <v/>
      </c>
      <c r="I521" s="390" t="str">
        <f>IF(AND(O525=4,O526=2),"X","")</f>
        <v/>
      </c>
      <c r="J521" s="387" t="str">
        <f>IF(AND(O525=4,O526=3),"X","")</f>
        <v/>
      </c>
      <c r="K521" s="388" t="str">
        <f>IF(AND(O525=4,O526=4),"X","")</f>
        <v/>
      </c>
      <c r="L521" s="388" t="str">
        <f>IF(AND(O525=4,O526=5),"X","")</f>
        <v/>
      </c>
      <c r="N521" s="501" t="str">
        <f>Matrice!$G$1&amp;" - "&amp;Matrice!$J$1</f>
        <v>DI2 - YYY</v>
      </c>
      <c r="O521" s="502"/>
      <c r="P521" s="502"/>
      <c r="Q521" s="502"/>
      <c r="R521" s="502"/>
      <c r="S521" s="502"/>
      <c r="T521" s="502"/>
      <c r="U521" s="502"/>
      <c r="V521" s="503"/>
      <c r="W521" s="377"/>
    </row>
    <row r="522" spans="7:23" ht="23.25" x14ac:dyDescent="0.2">
      <c r="G522" s="497"/>
      <c r="H522" s="389" t="str">
        <f>IF(AND(O525=3,O526=1),"X","")</f>
        <v/>
      </c>
      <c r="I522" s="390" t="str">
        <f>IF(AND(O525=3,O526=2),"X","")</f>
        <v/>
      </c>
      <c r="J522" s="390" t="str">
        <f>IF(AND(O525=3,O526=3),"X","")</f>
        <v/>
      </c>
      <c r="K522" s="387" t="str">
        <f>IF(AND(O525=3,O526=4),"X","")</f>
        <v/>
      </c>
      <c r="L522" s="388" t="str">
        <f>IF(AND(O525=3,O526=5),"X","")</f>
        <v/>
      </c>
      <c r="N522" s="372"/>
      <c r="O522" s="372"/>
      <c r="W522" s="377"/>
    </row>
    <row r="523" spans="7:23" ht="23.25" x14ac:dyDescent="0.2">
      <c r="G523" s="497"/>
      <c r="H523" s="391" t="str">
        <f>IF(AND(O525=2,O526=1),"X","")</f>
        <v/>
      </c>
      <c r="I523" s="392" t="str">
        <f>IF(AND(O525=2,O526=2),"X","")</f>
        <v/>
      </c>
      <c r="J523" s="390" t="str">
        <f>IF(AND(O525=2,O526=3),"X","")</f>
        <v/>
      </c>
      <c r="K523" s="390" t="str">
        <f>IF(AND(O525=2,O526=4),"X","")</f>
        <v/>
      </c>
      <c r="L523" s="387" t="str">
        <f>IF(AND(O525=2,O526=5),"X","")</f>
        <v/>
      </c>
      <c r="M523" s="372"/>
      <c r="N523" s="383" t="s">
        <v>236</v>
      </c>
      <c r="O523" s="382"/>
      <c r="P523" s="382"/>
      <c r="Q523" s="382"/>
      <c r="S523" s="385" t="s">
        <v>250</v>
      </c>
      <c r="T523" s="384"/>
      <c r="U523" s="384"/>
      <c r="V523" s="384"/>
      <c r="W523" s="377"/>
    </row>
    <row r="524" spans="7:23" ht="24" thickBot="1" x14ac:dyDescent="0.25">
      <c r="G524" s="376"/>
      <c r="H524" s="393" t="str">
        <f>IF(AND(O525=1,O526=1),"X","")</f>
        <v/>
      </c>
      <c r="I524" s="394" t="str">
        <f>IF(AND(O525=1,O526=2),"X","")</f>
        <v/>
      </c>
      <c r="J524" s="395" t="str">
        <f>IF(AND(O525=1,O526=3),"X","")</f>
        <v/>
      </c>
      <c r="K524" s="395" t="str">
        <f>IF(AND(O525=1,O526=4),"X","")</f>
        <v/>
      </c>
      <c r="L524" s="396" t="str">
        <f>IF(AND(O525=1,O526=5),"X","")</f>
        <v/>
      </c>
      <c r="M524" s="372"/>
      <c r="N524" s="406"/>
      <c r="O524" s="408" t="s">
        <v>237</v>
      </c>
      <c r="P524" s="408" t="s">
        <v>238</v>
      </c>
      <c r="Q524" s="406"/>
      <c r="R524" s="307"/>
      <c r="S524" s="420"/>
      <c r="T524" s="409" t="s">
        <v>237</v>
      </c>
      <c r="U524" s="409" t="s">
        <v>238</v>
      </c>
      <c r="V524" s="384"/>
      <c r="W524" s="377"/>
    </row>
    <row r="525" spans="7:23" ht="19.5" thickTop="1" thickBot="1" x14ac:dyDescent="0.25">
      <c r="G525" s="376"/>
      <c r="H525" s="484" t="s">
        <v>16</v>
      </c>
      <c r="I525" s="484"/>
      <c r="J525" s="484"/>
      <c r="K525" s="484"/>
      <c r="L525" s="484"/>
      <c r="M525" s="372"/>
      <c r="N525" s="407" t="s">
        <v>248</v>
      </c>
      <c r="O525" s="417" t="str">
        <f>VLOOKUP($K517,Risques!$D$21:$AB$40,17,FALSE)</f>
        <v/>
      </c>
      <c r="P525" s="418" t="str">
        <f>VLOOKUP(K517,Risques!$D$21:$AB$40,23,FALSE)</f>
        <v/>
      </c>
      <c r="Q525" s="382"/>
      <c r="S525" s="410" t="s">
        <v>248</v>
      </c>
      <c r="T525" s="419"/>
      <c r="U525" s="419"/>
      <c r="V525" s="384"/>
      <c r="W525" s="377"/>
    </row>
    <row r="526" spans="7:23" ht="19.5" thickTop="1" thickBot="1" x14ac:dyDescent="0.25">
      <c r="G526" s="376"/>
      <c r="H526" s="372"/>
      <c r="I526" s="372"/>
      <c r="J526" s="372"/>
      <c r="K526" s="372"/>
      <c r="L526" s="372"/>
      <c r="M526" s="372"/>
      <c r="N526" s="407" t="s">
        <v>249</v>
      </c>
      <c r="O526" s="417" t="str">
        <f>VLOOKUP(K517,Risques!$D$21:$AB$40,18,FALSE)</f>
        <v/>
      </c>
      <c r="P526" s="418" t="str">
        <f>VLOOKUP(K517,Risques!$D$21:$AB$40,24,FALSE)</f>
        <v/>
      </c>
      <c r="Q526" s="382"/>
      <c r="S526" s="410" t="s">
        <v>249</v>
      </c>
      <c r="T526" s="419"/>
      <c r="U526" s="419"/>
      <c r="V526" s="384"/>
      <c r="W526" s="377"/>
    </row>
    <row r="527" spans="7:23" ht="19.5" thickTop="1" thickBot="1" x14ac:dyDescent="0.25">
      <c r="G527" s="376"/>
      <c r="H527" s="372"/>
      <c r="I527" s="372"/>
      <c r="J527" s="372"/>
      <c r="K527" s="372"/>
      <c r="L527" s="372"/>
      <c r="M527" s="372"/>
      <c r="N527" s="407" t="s">
        <v>251</v>
      </c>
      <c r="O527" s="417" t="str">
        <f>VLOOKUP(K517,Risques!$D$21:$AB$40,19,FALSE)</f>
        <v/>
      </c>
      <c r="P527" s="418" t="str">
        <f>VLOOKUP(K517,Risques!$D$21:$AB$40,25,FALSE)</f>
        <v/>
      </c>
      <c r="Q527" s="382"/>
      <c r="S527" s="410" t="s">
        <v>251</v>
      </c>
      <c r="T527" s="419"/>
      <c r="U527" s="419"/>
      <c r="V527" s="384"/>
      <c r="W527" s="377"/>
    </row>
    <row r="528" spans="7:23" ht="13.5" thickTop="1" x14ac:dyDescent="0.2">
      <c r="G528" s="376"/>
      <c r="H528" s="372"/>
      <c r="I528" s="372"/>
      <c r="J528" s="372"/>
      <c r="K528" s="372"/>
      <c r="L528" s="372"/>
      <c r="M528" s="372"/>
      <c r="N528" s="382"/>
      <c r="O528" s="382"/>
      <c r="P528" s="382"/>
      <c r="Q528" s="382"/>
      <c r="S528" s="384"/>
      <c r="T528" s="384"/>
      <c r="U528" s="384"/>
      <c r="V528" s="384"/>
      <c r="W528" s="377"/>
    </row>
    <row r="529" spans="7:23" x14ac:dyDescent="0.2">
      <c r="G529" s="376"/>
      <c r="H529" s="372"/>
      <c r="I529" s="372"/>
      <c r="J529" s="372"/>
      <c r="K529" s="372"/>
      <c r="L529" s="372"/>
      <c r="M529" s="372"/>
      <c r="W529" s="377"/>
    </row>
    <row r="530" spans="7:23" ht="18" customHeight="1" x14ac:dyDescent="0.2">
      <c r="G530" s="376"/>
      <c r="H530" s="372"/>
      <c r="I530" s="372"/>
      <c r="J530" s="492" t="s">
        <v>253</v>
      </c>
      <c r="K530" s="492"/>
      <c r="L530" s="493"/>
      <c r="M530" s="485" t="str">
        <f>VLOOKUP($K517,Risques!$D$21:$AB$40,3,FALSE)</f>
        <v/>
      </c>
      <c r="N530" s="486"/>
      <c r="O530" s="486"/>
      <c r="P530" s="486"/>
      <c r="Q530" s="486"/>
      <c r="R530" s="486"/>
      <c r="S530" s="486"/>
      <c r="T530" s="486"/>
      <c r="U530" s="486"/>
      <c r="V530" s="487"/>
      <c r="W530" s="377"/>
    </row>
    <row r="531" spans="7:23" ht="36" customHeight="1" x14ac:dyDescent="0.25">
      <c r="G531" s="399"/>
      <c r="H531" s="400"/>
      <c r="I531" s="400"/>
      <c r="J531" s="492"/>
      <c r="K531" s="492"/>
      <c r="L531" s="493"/>
      <c r="M531" s="488"/>
      <c r="N531" s="489"/>
      <c r="O531" s="489"/>
      <c r="P531" s="489"/>
      <c r="Q531" s="489"/>
      <c r="R531" s="489"/>
      <c r="S531" s="489"/>
      <c r="T531" s="489"/>
      <c r="U531" s="489"/>
      <c r="V531" s="490"/>
      <c r="W531" s="401"/>
    </row>
    <row r="532" spans="7:23" x14ac:dyDescent="0.2">
      <c r="G532" s="376"/>
      <c r="H532" s="372"/>
      <c r="I532" s="372"/>
      <c r="J532" s="372"/>
      <c r="K532" s="372"/>
      <c r="L532" s="372"/>
      <c r="M532" s="372"/>
      <c r="N532" s="403"/>
      <c r="O532" s="403"/>
      <c r="P532" s="403"/>
      <c r="Q532" s="403"/>
      <c r="R532" s="403"/>
      <c r="S532" s="403"/>
      <c r="T532" s="403"/>
      <c r="U532" s="403"/>
      <c r="V532" s="404"/>
      <c r="W532" s="377"/>
    </row>
    <row r="533" spans="7:23" ht="31.5" customHeight="1" x14ac:dyDescent="0.2">
      <c r="G533" s="376"/>
      <c r="H533" s="372"/>
      <c r="I533" s="372"/>
      <c r="J533" s="491" t="s">
        <v>239</v>
      </c>
      <c r="K533" s="491"/>
      <c r="L533" s="491"/>
      <c r="M533" s="416" t="s">
        <v>240</v>
      </c>
      <c r="N533" s="416" t="s">
        <v>241</v>
      </c>
      <c r="O533" s="491" t="s">
        <v>242</v>
      </c>
      <c r="P533" s="491"/>
      <c r="Q533" s="491"/>
      <c r="R533" s="491"/>
      <c r="S533" s="491"/>
      <c r="T533" s="491"/>
      <c r="U533" s="491"/>
      <c r="V533" s="416" t="s">
        <v>243</v>
      </c>
      <c r="W533" s="377"/>
    </row>
    <row r="534" spans="7:23" ht="7.5" customHeight="1" x14ac:dyDescent="0.2">
      <c r="G534" s="376"/>
      <c r="H534" s="372"/>
      <c r="I534" s="372"/>
      <c r="J534" s="414" t="str">
        <f t="array" ref="J534">IF($K$517="","",IF(INDEX('Plan d''actions détaillé'!A:A,MIN(IF((COUNTIF(J$532:J533,'Plan d''actions détaillé'!$A$6:$A$30)=0)*(INDEX('Plan d''actions détaillé'!$U$6:$AL$30,,MATCH($K$517,'Plan d''actions détaillé'!$U$5:$AL$5,0))="X"),ROW('Plan d''actions détaillé'!$T$6:$T$30))))=0,"",INDEX('Plan d''actions détaillé'!A:A,MIN(IF((COUNTIF(J$532:J533,'Plan d''actions détaillé'!$A$6:$A$30)=0)*(INDEX('Plan d''actions détaillé'!$U$6:$AL$30,,MATCH($K$517,'Plan d''actions détaillé'!$U$5:$AL$5,0))="X"),ROW('Plan d''actions détaillé'!$T$6:$T$30))))))</f>
        <v/>
      </c>
      <c r="K534" s="414"/>
      <c r="L534" s="415"/>
      <c r="M534" s="413" t="str">
        <f t="array" ref="M534">IF($K$517="","",IF(INDEX('Plan d''actions détaillé'!D:D,MIN(IF((COUNTIF(M$532:M533,'Plan d''actions détaillé'!$D$6:$D$30)=0)*(INDEX('Plan d''actions détaillé'!$U$6:$AL$30,,MATCH($K$517,'Plan d''actions détaillé'!$U$5:$AL$5,0))="X"),ROW('Plan d''actions détaillé'!$T$6:$T$30))))=0,"",INDEX('Plan d''actions détaillé'!D:D,MIN(IF((COUNTIF(M$532:M533,'Plan d''actions détaillé'!$D$6:$D$30)=0)*(INDEX('Plan d''actions détaillé'!$U$6:$AL$30,,MATCH($K$517,'Plan d''actions détaillé'!$U$5:$AL$5,0))="X"),ROW('Plan d''actions détaillé'!$T$6:$T$30))))))</f>
        <v/>
      </c>
      <c r="N534" s="411" t="str">
        <f>IF($M534&lt;&gt;"",IF(VLOOKUP($M534,'Plan d''actions détaillé'!$D$6:$P$30,8,FALSE)="","",VLOOKUP($M534,'Plan d''actions détaillé'!$D$6:$P$30,8,FALSE)),"")</f>
        <v/>
      </c>
      <c r="O534" s="483" t="str">
        <f>IF($M534&lt;&gt;"",IF(VLOOKUP($M534,'Plan d''actions détaillé'!$D$6:$P$30,6,FALSE)="","",VLOOKUP($M534,'Plan d''actions détaillé'!$D$6:$P$30,6,FALSE)),"")</f>
        <v/>
      </c>
      <c r="P534" s="483"/>
      <c r="Q534" s="483"/>
      <c r="R534" s="483"/>
      <c r="S534" s="483"/>
      <c r="T534" s="483"/>
      <c r="U534" s="483"/>
      <c r="V534" s="412" t="str">
        <f>IF($M534&lt;&gt;"",IF(VLOOKUP($M534,'Plan d''actions détaillé'!$D$6:$P$30,12,FALSE)="","",VLOOKUP($M534,'Plan d''actions détaillé'!$D$6:$P$30,12,FALSE)),"")</f>
        <v/>
      </c>
      <c r="W534" s="377"/>
    </row>
    <row r="535" spans="7:23" ht="7.5" customHeight="1" x14ac:dyDescent="0.2">
      <c r="G535" s="376"/>
      <c r="H535" s="372"/>
      <c r="I535" s="372"/>
      <c r="J535" s="414" t="str">
        <f t="array" ref="J535">IF($K$517="","",IF(INDEX('Plan d''actions détaillé'!A:A,MIN(IF((COUNTIF(J$532:J534,'Plan d''actions détaillé'!$A$6:$A$30)=0)*(INDEX('Plan d''actions détaillé'!$U$6:$AL$30,,MATCH($K$517,'Plan d''actions détaillé'!$U$5:$AL$5,0))="X"),ROW('Plan d''actions détaillé'!$T$6:$T$30))))=0,"",INDEX('Plan d''actions détaillé'!A:A,MIN(IF((COUNTIF(J$532:J534,'Plan d''actions détaillé'!$A$6:$A$30)=0)*(INDEX('Plan d''actions détaillé'!$U$6:$AL$30,,MATCH($K$517,'Plan d''actions détaillé'!$U$5:$AL$5,0))="X"),ROW('Plan d''actions détaillé'!$T$6:$T$30))))))</f>
        <v/>
      </c>
      <c r="K535" s="414"/>
      <c r="L535" s="415"/>
      <c r="M535" s="413" t="str">
        <f t="array" ref="M535">IF($K$517="","",IF(INDEX('Plan d''actions détaillé'!D:D,MIN(IF((COUNTIF(M$532:M534,'Plan d''actions détaillé'!$D$6:$D$30)=0)*(INDEX('Plan d''actions détaillé'!$U$6:$AL$30,,MATCH($K$517,'Plan d''actions détaillé'!$U$5:$AL$5,0))="X"),ROW('Plan d''actions détaillé'!$T$6:$T$30))))=0,"",INDEX('Plan d''actions détaillé'!D:D,MIN(IF((COUNTIF(M$532:M534,'Plan d''actions détaillé'!$D$6:$D$30)=0)*(INDEX('Plan d''actions détaillé'!$U$6:$AL$30,,MATCH($K$517,'Plan d''actions détaillé'!$U$5:$AL$5,0))="X"),ROW('Plan d''actions détaillé'!$T$6:$T$30))))))</f>
        <v/>
      </c>
      <c r="N535" s="411" t="str">
        <f>IF($M535&lt;&gt;"",IF(VLOOKUP($M535,'Plan d''actions détaillé'!$D$6:$P$30,8,FALSE)="","",VLOOKUP($M535,'Plan d''actions détaillé'!$D$6:$P$30,8,FALSE)),"")</f>
        <v/>
      </c>
      <c r="O535" s="483" t="str">
        <f>IF($M535&lt;&gt;"",IF(VLOOKUP($M535,'Plan d''actions détaillé'!$D$6:$P$30,6,FALSE)="","",VLOOKUP($M535,'Plan d''actions détaillé'!$D$6:$P$30,6,FALSE)),"")</f>
        <v/>
      </c>
      <c r="P535" s="483"/>
      <c r="Q535" s="483"/>
      <c r="R535" s="483"/>
      <c r="S535" s="483"/>
      <c r="T535" s="483"/>
      <c r="U535" s="483"/>
      <c r="V535" s="412" t="str">
        <f>IF($M535&lt;&gt;"",IF(VLOOKUP($M535,'Plan d''actions détaillé'!$D$6:$P$30,12,FALSE)="","",VLOOKUP($M535,'Plan d''actions détaillé'!$D$6:$P$30,12,FALSE)),"")</f>
        <v/>
      </c>
      <c r="W535" s="377"/>
    </row>
    <row r="536" spans="7:23" ht="7.5" customHeight="1" x14ac:dyDescent="0.2">
      <c r="G536" s="376"/>
      <c r="H536" s="372"/>
      <c r="I536" s="372"/>
      <c r="J536" s="414" t="str">
        <f t="array" ref="J536">IF($K$517="","",IF(INDEX('Plan d''actions détaillé'!A:A,MIN(IF((COUNTIF(J$532:J535,'Plan d''actions détaillé'!$A$6:$A$30)=0)*(INDEX('Plan d''actions détaillé'!$U$6:$AL$30,,MATCH($K$517,'Plan d''actions détaillé'!$U$5:$AL$5,0))="X"),ROW('Plan d''actions détaillé'!$T$6:$T$30))))=0,"",INDEX('Plan d''actions détaillé'!A:A,MIN(IF((COUNTIF(J$532:J535,'Plan d''actions détaillé'!$A$6:$A$30)=0)*(INDEX('Plan d''actions détaillé'!$U$6:$AL$30,,MATCH($K$517,'Plan d''actions détaillé'!$U$5:$AL$5,0))="X"),ROW('Plan d''actions détaillé'!$T$6:$T$30))))))</f>
        <v/>
      </c>
      <c r="K536" s="414"/>
      <c r="L536" s="415"/>
      <c r="M536" s="413" t="str">
        <f t="array" ref="M536">IF($K$517="","",IF(INDEX('Plan d''actions détaillé'!D:D,MIN(IF((COUNTIF(M$532:M535,'Plan d''actions détaillé'!$D$6:$D$30)=0)*(INDEX('Plan d''actions détaillé'!$U$6:$AL$30,,MATCH($K$517,'Plan d''actions détaillé'!$U$5:$AL$5,0))="X"),ROW('Plan d''actions détaillé'!$T$6:$T$30))))=0,"",INDEX('Plan d''actions détaillé'!D:D,MIN(IF((COUNTIF(M$532:M535,'Plan d''actions détaillé'!$D$6:$D$30)=0)*(INDEX('Plan d''actions détaillé'!$U$6:$AL$30,,MATCH($K$517,'Plan d''actions détaillé'!$U$5:$AL$5,0))="X"),ROW('Plan d''actions détaillé'!$T$6:$T$30))))))</f>
        <v/>
      </c>
      <c r="N536" s="411" t="str">
        <f>IF($M536&lt;&gt;"",IF(VLOOKUP($M536,'Plan d''actions détaillé'!$D$6:$P$30,8,FALSE)="","",VLOOKUP($M536,'Plan d''actions détaillé'!$D$6:$P$30,8,FALSE)),"")</f>
        <v/>
      </c>
      <c r="O536" s="483" t="str">
        <f>IF($M536&lt;&gt;"",IF(VLOOKUP($M536,'Plan d''actions détaillé'!$D$6:$P$30,6,FALSE)="","",VLOOKUP($M536,'Plan d''actions détaillé'!$D$6:$P$30,6,FALSE)),"")</f>
        <v/>
      </c>
      <c r="P536" s="483"/>
      <c r="Q536" s="483"/>
      <c r="R536" s="483"/>
      <c r="S536" s="483"/>
      <c r="T536" s="483"/>
      <c r="U536" s="483"/>
      <c r="V536" s="412" t="str">
        <f>IF($M536&lt;&gt;"",IF(VLOOKUP($M536,'Plan d''actions détaillé'!$D$6:$P$30,12,FALSE)="","",VLOOKUP($M536,'Plan d''actions détaillé'!$D$6:$P$30,12,FALSE)),"")</f>
        <v/>
      </c>
      <c r="W536" s="377"/>
    </row>
    <row r="537" spans="7:23" ht="7.5" customHeight="1" x14ac:dyDescent="0.2">
      <c r="G537" s="376"/>
      <c r="H537" s="372"/>
      <c r="I537" s="372"/>
      <c r="J537" s="414" t="str">
        <f t="array" ref="J537">IF($K$517="","",IF(INDEX('Plan d''actions détaillé'!A:A,MIN(IF((COUNTIF(J$532:J536,'Plan d''actions détaillé'!$A$6:$A$30)=0)*(INDEX('Plan d''actions détaillé'!$U$6:$AL$30,,MATCH($K$517,'Plan d''actions détaillé'!$U$5:$AL$5,0))="X"),ROW('Plan d''actions détaillé'!$T$6:$T$30))))=0,"",INDEX('Plan d''actions détaillé'!A:A,MIN(IF((COUNTIF(J$532:J536,'Plan d''actions détaillé'!$A$6:$A$30)=0)*(INDEX('Plan d''actions détaillé'!$U$6:$AL$30,,MATCH($K$517,'Plan d''actions détaillé'!$U$5:$AL$5,0))="X"),ROW('Plan d''actions détaillé'!$T$6:$T$30))))))</f>
        <v/>
      </c>
      <c r="K537" s="414"/>
      <c r="L537" s="415"/>
      <c r="M537" s="413" t="str">
        <f t="array" ref="M537">IF($K$517="","",IF(INDEX('Plan d''actions détaillé'!D:D,MIN(IF((COUNTIF(M$532:M536,'Plan d''actions détaillé'!$D$6:$D$30)=0)*(INDEX('Plan d''actions détaillé'!$U$6:$AL$30,,MATCH($K$517,'Plan d''actions détaillé'!$U$5:$AL$5,0))="X"),ROW('Plan d''actions détaillé'!$T$6:$T$30))))=0,"",INDEX('Plan d''actions détaillé'!D:D,MIN(IF((COUNTIF(M$532:M536,'Plan d''actions détaillé'!$D$6:$D$30)=0)*(INDEX('Plan d''actions détaillé'!$U$6:$AL$30,,MATCH($K$517,'Plan d''actions détaillé'!$U$5:$AL$5,0))="X"),ROW('Plan d''actions détaillé'!$T$6:$T$30))))))</f>
        <v/>
      </c>
      <c r="N537" s="411" t="str">
        <f>IF($M537&lt;&gt;"",IF(VLOOKUP($M537,'Plan d''actions détaillé'!$D$6:$P$30,8,FALSE)="","",VLOOKUP($M537,'Plan d''actions détaillé'!$D$6:$P$30,8,FALSE)),"")</f>
        <v/>
      </c>
      <c r="O537" s="483" t="str">
        <f>IF($M537&lt;&gt;"",IF(VLOOKUP($M537,'Plan d''actions détaillé'!$D$6:$P$30,6,FALSE)="","",VLOOKUP($M537,'Plan d''actions détaillé'!$D$6:$P$30,6,FALSE)),"")</f>
        <v/>
      </c>
      <c r="P537" s="483"/>
      <c r="Q537" s="483"/>
      <c r="R537" s="483"/>
      <c r="S537" s="483"/>
      <c r="T537" s="483"/>
      <c r="U537" s="483"/>
      <c r="V537" s="412" t="str">
        <f>IF($M537&lt;&gt;"",IF(VLOOKUP($M537,'Plan d''actions détaillé'!$D$6:$P$30,12,FALSE)="","",VLOOKUP($M537,'Plan d''actions détaillé'!$D$6:$P$30,12,FALSE)),"")</f>
        <v/>
      </c>
      <c r="W537" s="377"/>
    </row>
    <row r="538" spans="7:23" ht="7.5" customHeight="1" x14ac:dyDescent="0.2">
      <c r="G538" s="376"/>
      <c r="H538" s="372"/>
      <c r="I538" s="372"/>
      <c r="J538" s="414" t="str">
        <f t="array" ref="J538">IF($K$517="","",IF(INDEX('Plan d''actions détaillé'!A:A,MIN(IF((COUNTIF(J$532:J537,'Plan d''actions détaillé'!$A$6:$A$30)=0)*(INDEX('Plan d''actions détaillé'!$U$6:$AL$30,,MATCH($K$517,'Plan d''actions détaillé'!$U$5:$AL$5,0))="X"),ROW('Plan d''actions détaillé'!$T$6:$T$30))))=0,"",INDEX('Plan d''actions détaillé'!A:A,MIN(IF((COUNTIF(J$532:J537,'Plan d''actions détaillé'!$A$6:$A$30)=0)*(INDEX('Plan d''actions détaillé'!$U$6:$AL$30,,MATCH($K$517,'Plan d''actions détaillé'!$U$5:$AL$5,0))="X"),ROW('Plan d''actions détaillé'!$T$6:$T$30))))))</f>
        <v/>
      </c>
      <c r="K538" s="414"/>
      <c r="L538" s="415"/>
      <c r="M538" s="413" t="str">
        <f t="array" ref="M538">IF($K$517="","",IF(INDEX('Plan d''actions détaillé'!D:D,MIN(IF((COUNTIF(M$532:M537,'Plan d''actions détaillé'!$D$6:$D$30)=0)*(INDEX('Plan d''actions détaillé'!$U$6:$AL$30,,MATCH($K$517,'Plan d''actions détaillé'!$U$5:$AL$5,0))="X"),ROW('Plan d''actions détaillé'!$T$6:$T$30))))=0,"",INDEX('Plan d''actions détaillé'!D:D,MIN(IF((COUNTIF(M$532:M537,'Plan d''actions détaillé'!$D$6:$D$30)=0)*(INDEX('Plan d''actions détaillé'!$U$6:$AL$30,,MATCH($K$517,'Plan d''actions détaillé'!$U$5:$AL$5,0))="X"),ROW('Plan d''actions détaillé'!$T$6:$T$30))))))</f>
        <v/>
      </c>
      <c r="N538" s="411" t="str">
        <f>IF($M538&lt;&gt;"",IF(VLOOKUP($M538,'Plan d''actions détaillé'!$D$6:$P$30,8,FALSE)="","",VLOOKUP($M538,'Plan d''actions détaillé'!$D$6:$P$30,8,FALSE)),"")</f>
        <v/>
      </c>
      <c r="O538" s="483" t="str">
        <f>IF($M538&lt;&gt;"",IF(VLOOKUP($M538,'Plan d''actions détaillé'!$D$6:$P$30,6,FALSE)="","",VLOOKUP($M538,'Plan d''actions détaillé'!$D$6:$P$30,6,FALSE)),"")</f>
        <v/>
      </c>
      <c r="P538" s="483"/>
      <c r="Q538" s="483"/>
      <c r="R538" s="483"/>
      <c r="S538" s="483"/>
      <c r="T538" s="483"/>
      <c r="U538" s="483"/>
      <c r="V538" s="412" t="str">
        <f>IF($M538&lt;&gt;"",IF(VLOOKUP($M538,'Plan d''actions détaillé'!$D$6:$P$30,12,FALSE)="","",VLOOKUP($M538,'Plan d''actions détaillé'!$D$6:$P$30,12,FALSE)),"")</f>
        <v/>
      </c>
      <c r="W538" s="377"/>
    </row>
    <row r="539" spans="7:23" ht="7.5" customHeight="1" x14ac:dyDescent="0.2">
      <c r="G539" s="376"/>
      <c r="H539" s="372"/>
      <c r="I539" s="372"/>
      <c r="J539" s="414" t="str">
        <f t="array" ref="J539">IF($K$517="","",IF(INDEX('Plan d''actions détaillé'!A:A,MIN(IF((COUNTIF(J$532:J538,'Plan d''actions détaillé'!$A$6:$A$30)=0)*(INDEX('Plan d''actions détaillé'!$U$6:$AL$30,,MATCH($K$517,'Plan d''actions détaillé'!$U$5:$AL$5,0))="X"),ROW('Plan d''actions détaillé'!$T$6:$T$30))))=0,"",INDEX('Plan d''actions détaillé'!A:A,MIN(IF((COUNTIF(J$532:J538,'Plan d''actions détaillé'!$A$6:$A$30)=0)*(INDEX('Plan d''actions détaillé'!$U$6:$AL$30,,MATCH($K$517,'Plan d''actions détaillé'!$U$5:$AL$5,0))="X"),ROW('Plan d''actions détaillé'!$T$6:$T$30))))))</f>
        <v/>
      </c>
      <c r="K539" s="414"/>
      <c r="L539" s="415"/>
      <c r="M539" s="413" t="str">
        <f t="array" ref="M539">IF($K$517="","",IF(INDEX('Plan d''actions détaillé'!D:D,MIN(IF((COUNTIF(M$532:M538,'Plan d''actions détaillé'!$D$6:$D$30)=0)*(INDEX('Plan d''actions détaillé'!$U$6:$AL$30,,MATCH($K$517,'Plan d''actions détaillé'!$U$5:$AL$5,0))="X"),ROW('Plan d''actions détaillé'!$T$6:$T$30))))=0,"",INDEX('Plan d''actions détaillé'!D:D,MIN(IF((COUNTIF(M$532:M538,'Plan d''actions détaillé'!$D$6:$D$30)=0)*(INDEX('Plan d''actions détaillé'!$U$6:$AL$30,,MATCH($K$517,'Plan d''actions détaillé'!$U$5:$AL$5,0))="X"),ROW('Plan d''actions détaillé'!$T$6:$T$30))))))</f>
        <v/>
      </c>
      <c r="N539" s="411" t="str">
        <f>IF($M539&lt;&gt;"",IF(VLOOKUP($M539,'Plan d''actions détaillé'!$D$6:$P$30,8,FALSE)="","",VLOOKUP($M539,'Plan d''actions détaillé'!$D$6:$P$30,8,FALSE)),"")</f>
        <v/>
      </c>
      <c r="O539" s="483" t="str">
        <f>IF($M539&lt;&gt;"",IF(VLOOKUP($M539,'Plan d''actions détaillé'!$D$6:$P$30,6,FALSE)="","",VLOOKUP($M539,'Plan d''actions détaillé'!$D$6:$P$30,6,FALSE)),"")</f>
        <v/>
      </c>
      <c r="P539" s="483"/>
      <c r="Q539" s="483"/>
      <c r="R539" s="483"/>
      <c r="S539" s="483"/>
      <c r="T539" s="483"/>
      <c r="U539" s="483"/>
      <c r="V539" s="412" t="str">
        <f>IF($M539&lt;&gt;"",IF(VLOOKUP($M539,'Plan d''actions détaillé'!$D$6:$P$30,12,FALSE)="","",VLOOKUP($M539,'Plan d''actions détaillé'!$D$6:$P$30,12,FALSE)),"")</f>
        <v/>
      </c>
      <c r="W539" s="377"/>
    </row>
    <row r="540" spans="7:23" ht="7.5" customHeight="1" x14ac:dyDescent="0.2">
      <c r="G540" s="376"/>
      <c r="H540" s="372"/>
      <c r="I540" s="372"/>
      <c r="J540" s="414" t="str">
        <f t="array" ref="J540">IF($K$517="","",IF(INDEX('Plan d''actions détaillé'!A:A,MIN(IF((COUNTIF(J$532:J539,'Plan d''actions détaillé'!$A$6:$A$30)=0)*(INDEX('Plan d''actions détaillé'!$U$6:$AL$30,,MATCH($K$517,'Plan d''actions détaillé'!$U$5:$AL$5,0))="X"),ROW('Plan d''actions détaillé'!$T$6:$T$30))))=0,"",INDEX('Plan d''actions détaillé'!A:A,MIN(IF((COUNTIF(J$532:J539,'Plan d''actions détaillé'!$A$6:$A$30)=0)*(INDEX('Plan d''actions détaillé'!$U$6:$AL$30,,MATCH($K$517,'Plan d''actions détaillé'!$U$5:$AL$5,0))="X"),ROW('Plan d''actions détaillé'!$T$6:$T$30))))))</f>
        <v/>
      </c>
      <c r="K540" s="414"/>
      <c r="L540" s="415"/>
      <c r="M540" s="413" t="str">
        <f t="array" ref="M540">IF($K$517="","",IF(INDEX('Plan d''actions détaillé'!D:D,MIN(IF((COUNTIF(M$532:M539,'Plan d''actions détaillé'!$D$6:$D$30)=0)*(INDEX('Plan d''actions détaillé'!$U$6:$AL$30,,MATCH($K$517,'Plan d''actions détaillé'!$U$5:$AL$5,0))="X"),ROW('Plan d''actions détaillé'!$T$6:$T$30))))=0,"",INDEX('Plan d''actions détaillé'!D:D,MIN(IF((COUNTIF(M$532:M539,'Plan d''actions détaillé'!$D$6:$D$30)=0)*(INDEX('Plan d''actions détaillé'!$U$6:$AL$30,,MATCH($K$517,'Plan d''actions détaillé'!$U$5:$AL$5,0))="X"),ROW('Plan d''actions détaillé'!$T$6:$T$30))))))</f>
        <v/>
      </c>
      <c r="N540" s="411" t="str">
        <f>IF($M540&lt;&gt;"",IF(VLOOKUP($M540,'Plan d''actions détaillé'!$D$6:$P$30,8,FALSE)="","",VLOOKUP($M540,'Plan d''actions détaillé'!$D$6:$P$30,8,FALSE)),"")</f>
        <v/>
      </c>
      <c r="O540" s="483" t="str">
        <f>IF($M540&lt;&gt;"",IF(VLOOKUP($M540,'Plan d''actions détaillé'!$D$6:$P$30,6,FALSE)="","",VLOOKUP($M540,'Plan d''actions détaillé'!$D$6:$P$30,6,FALSE)),"")</f>
        <v/>
      </c>
      <c r="P540" s="483"/>
      <c r="Q540" s="483"/>
      <c r="R540" s="483"/>
      <c r="S540" s="483"/>
      <c r="T540" s="483"/>
      <c r="U540" s="483"/>
      <c r="V540" s="412" t="str">
        <f>IF($M540&lt;&gt;"",IF(VLOOKUP($M540,'Plan d''actions détaillé'!$D$6:$P$30,12,FALSE)="","",VLOOKUP($M540,'Plan d''actions détaillé'!$D$6:$P$30,12,FALSE)),"")</f>
        <v/>
      </c>
      <c r="W540" s="377"/>
    </row>
    <row r="541" spans="7:23" ht="7.5" customHeight="1" x14ac:dyDescent="0.2">
      <c r="G541" s="376"/>
      <c r="H541" s="372"/>
      <c r="I541" s="372"/>
      <c r="J541" s="414" t="str">
        <f t="array" ref="J541">IF($K$517="","",IF(INDEX('Plan d''actions détaillé'!A:A,MIN(IF((COUNTIF(J$532:J540,'Plan d''actions détaillé'!$A$6:$A$30)=0)*(INDEX('Plan d''actions détaillé'!$U$6:$AL$30,,MATCH($K$517,'Plan d''actions détaillé'!$U$5:$AL$5,0))="X"),ROW('Plan d''actions détaillé'!$T$6:$T$30))))=0,"",INDEX('Plan d''actions détaillé'!A:A,MIN(IF((COUNTIF(J$532:J540,'Plan d''actions détaillé'!$A$6:$A$30)=0)*(INDEX('Plan d''actions détaillé'!$U$6:$AL$30,,MATCH($K$517,'Plan d''actions détaillé'!$U$5:$AL$5,0))="X"),ROW('Plan d''actions détaillé'!$T$6:$T$30))))))</f>
        <v/>
      </c>
      <c r="K541" s="414"/>
      <c r="L541" s="415"/>
      <c r="M541" s="413" t="str">
        <f t="array" ref="M541">IF($K$517="","",IF(INDEX('Plan d''actions détaillé'!D:D,MIN(IF((COUNTIF(M$532:M540,'Plan d''actions détaillé'!$D$6:$D$30)=0)*(INDEX('Plan d''actions détaillé'!$U$6:$AL$30,,MATCH($K$517,'Plan d''actions détaillé'!$U$5:$AL$5,0))="X"),ROW('Plan d''actions détaillé'!$T$6:$T$30))))=0,"",INDEX('Plan d''actions détaillé'!D:D,MIN(IF((COUNTIF(M$532:M540,'Plan d''actions détaillé'!$D$6:$D$30)=0)*(INDEX('Plan d''actions détaillé'!$U$6:$AL$30,,MATCH($K$517,'Plan d''actions détaillé'!$U$5:$AL$5,0))="X"),ROW('Plan d''actions détaillé'!$T$6:$T$30))))))</f>
        <v/>
      </c>
      <c r="N541" s="411" t="str">
        <f>IF($M541&lt;&gt;"",IF(VLOOKUP($M541,'Plan d''actions détaillé'!$D$6:$P$30,8,FALSE)="","",VLOOKUP($M541,'Plan d''actions détaillé'!$D$6:$P$30,8,FALSE)),"")</f>
        <v/>
      </c>
      <c r="O541" s="483" t="str">
        <f>IF($M541&lt;&gt;"",IF(VLOOKUP($M541,'Plan d''actions détaillé'!$D$6:$P$30,6,FALSE)="","",VLOOKUP($M541,'Plan d''actions détaillé'!$D$6:$P$30,6,FALSE)),"")</f>
        <v/>
      </c>
      <c r="P541" s="483"/>
      <c r="Q541" s="483"/>
      <c r="R541" s="483"/>
      <c r="S541" s="483"/>
      <c r="T541" s="483"/>
      <c r="U541" s="483"/>
      <c r="V541" s="412" t="str">
        <f>IF($M541&lt;&gt;"",IF(VLOOKUP($M541,'Plan d''actions détaillé'!$D$6:$P$30,12,FALSE)="","",VLOOKUP($M541,'Plan d''actions détaillé'!$D$6:$P$30,12,FALSE)),"")</f>
        <v/>
      </c>
      <c r="W541" s="377"/>
    </row>
    <row r="542" spans="7:23" ht="7.5" customHeight="1" x14ac:dyDescent="0.2">
      <c r="G542" s="376"/>
      <c r="H542" s="372"/>
      <c r="I542" s="372"/>
      <c r="J542" s="414" t="str">
        <f t="array" ref="J542">IF($K$517="","",IF(INDEX('Plan d''actions détaillé'!A:A,MIN(IF((COUNTIF(J$532:J541,'Plan d''actions détaillé'!$A$6:$A$30)=0)*(INDEX('Plan d''actions détaillé'!$U$6:$AL$30,,MATCH($K$517,'Plan d''actions détaillé'!$U$5:$AL$5,0))="X"),ROW('Plan d''actions détaillé'!$T$6:$T$30))))=0,"",INDEX('Plan d''actions détaillé'!A:A,MIN(IF((COUNTIF(J$532:J541,'Plan d''actions détaillé'!$A$6:$A$30)=0)*(INDEX('Plan d''actions détaillé'!$U$6:$AL$30,,MATCH($K$517,'Plan d''actions détaillé'!$U$5:$AL$5,0))="X"),ROW('Plan d''actions détaillé'!$T$6:$T$30))))))</f>
        <v/>
      </c>
      <c r="K542" s="414"/>
      <c r="L542" s="415"/>
      <c r="M542" s="413" t="str">
        <f t="array" ref="M542">IF($K$517="","",IF(INDEX('Plan d''actions détaillé'!D:D,MIN(IF((COUNTIF(M$532:M541,'Plan d''actions détaillé'!$D$6:$D$30)=0)*(INDEX('Plan d''actions détaillé'!$U$6:$AL$30,,MATCH($K$517,'Plan d''actions détaillé'!$U$5:$AL$5,0))="X"),ROW('Plan d''actions détaillé'!$T$6:$T$30))))=0,"",INDEX('Plan d''actions détaillé'!D:D,MIN(IF((COUNTIF(M$532:M541,'Plan d''actions détaillé'!$D$6:$D$30)=0)*(INDEX('Plan d''actions détaillé'!$U$6:$AL$30,,MATCH($K$517,'Plan d''actions détaillé'!$U$5:$AL$5,0))="X"),ROW('Plan d''actions détaillé'!$T$6:$T$30))))))</f>
        <v/>
      </c>
      <c r="N542" s="411" t="str">
        <f>IF($M542&lt;&gt;"",IF(VLOOKUP($M542,'Plan d''actions détaillé'!$D$6:$P$30,8,FALSE)="","",VLOOKUP($M542,'Plan d''actions détaillé'!$D$6:$P$30,8,FALSE)),"")</f>
        <v/>
      </c>
      <c r="O542" s="483" t="str">
        <f>IF($M542&lt;&gt;"",IF(VLOOKUP($M542,'Plan d''actions détaillé'!$D$6:$P$30,6,FALSE)="","",VLOOKUP($M542,'Plan d''actions détaillé'!$D$6:$P$30,6,FALSE)),"")</f>
        <v/>
      </c>
      <c r="P542" s="483"/>
      <c r="Q542" s="483"/>
      <c r="R542" s="483"/>
      <c r="S542" s="483"/>
      <c r="T542" s="483"/>
      <c r="U542" s="483"/>
      <c r="V542" s="412" t="str">
        <f>IF($M542&lt;&gt;"",IF(VLOOKUP($M542,'Plan d''actions détaillé'!$D$6:$P$30,12,FALSE)="","",VLOOKUP($M542,'Plan d''actions détaillé'!$D$6:$P$30,12,FALSE)),"")</f>
        <v/>
      </c>
      <c r="W542" s="377"/>
    </row>
    <row r="543" spans="7:23" ht="7.5" customHeight="1" x14ac:dyDescent="0.2">
      <c r="G543" s="376"/>
      <c r="H543" s="372"/>
      <c r="I543" s="372"/>
      <c r="J543" s="414" t="str">
        <f t="array" ref="J543">IF($K$517="","",IF(INDEX('Plan d''actions détaillé'!A:A,MIN(IF((COUNTIF(J$532:J542,'Plan d''actions détaillé'!$A$6:$A$30)=0)*(INDEX('Plan d''actions détaillé'!$U$6:$AL$30,,MATCH($K$517,'Plan d''actions détaillé'!$U$5:$AL$5,0))="X"),ROW('Plan d''actions détaillé'!$T$6:$T$30))))=0,"",INDEX('Plan d''actions détaillé'!A:A,MIN(IF((COUNTIF(J$532:J542,'Plan d''actions détaillé'!$A$6:$A$30)=0)*(INDEX('Plan d''actions détaillé'!$U$6:$AL$30,,MATCH($K$517,'Plan d''actions détaillé'!$U$5:$AL$5,0))="X"),ROW('Plan d''actions détaillé'!$T$6:$T$30))))))</f>
        <v/>
      </c>
      <c r="K543" s="414"/>
      <c r="L543" s="415"/>
      <c r="M543" s="413" t="str">
        <f t="array" ref="M543">IF($K$517="","",IF(INDEX('Plan d''actions détaillé'!D:D,MIN(IF((COUNTIF(M$532:M542,'Plan d''actions détaillé'!$D$6:$D$30)=0)*(INDEX('Plan d''actions détaillé'!$U$6:$AL$30,,MATCH($K$517,'Plan d''actions détaillé'!$U$5:$AL$5,0))="X"),ROW('Plan d''actions détaillé'!$T$6:$T$30))))=0,"",INDEX('Plan d''actions détaillé'!D:D,MIN(IF((COUNTIF(M$532:M542,'Plan d''actions détaillé'!$D$6:$D$30)=0)*(INDEX('Plan d''actions détaillé'!$U$6:$AL$30,,MATCH($K$517,'Plan d''actions détaillé'!$U$5:$AL$5,0))="X"),ROW('Plan d''actions détaillé'!$T$6:$T$30))))))</f>
        <v/>
      </c>
      <c r="N543" s="411" t="str">
        <f>IF($M543&lt;&gt;"",IF(VLOOKUP($M543,'Plan d''actions détaillé'!$D$6:$P$30,8,FALSE)="","",VLOOKUP($M543,'Plan d''actions détaillé'!$D$6:$P$30,8,FALSE)),"")</f>
        <v/>
      </c>
      <c r="O543" s="483" t="str">
        <f>IF($M543&lt;&gt;"",IF(VLOOKUP($M543,'Plan d''actions détaillé'!$D$6:$P$30,6,FALSE)="","",VLOOKUP($M543,'Plan d''actions détaillé'!$D$6:$P$30,6,FALSE)),"")</f>
        <v/>
      </c>
      <c r="P543" s="483"/>
      <c r="Q543" s="483"/>
      <c r="R543" s="483"/>
      <c r="S543" s="483"/>
      <c r="T543" s="483"/>
      <c r="U543" s="483"/>
      <c r="V543" s="412" t="str">
        <f>IF($M543&lt;&gt;"",IF(VLOOKUP($M543,'Plan d''actions détaillé'!$D$6:$P$30,12,FALSE)="","",VLOOKUP($M543,'Plan d''actions détaillé'!$D$6:$P$30,12,FALSE)),"")</f>
        <v/>
      </c>
      <c r="W543" s="377"/>
    </row>
    <row r="544" spans="7:23" ht="7.5" customHeight="1" x14ac:dyDescent="0.2">
      <c r="G544" s="376"/>
      <c r="H544" s="372"/>
      <c r="I544" s="372"/>
      <c r="J544" s="414" t="str">
        <f t="array" ref="J544">IF($K$517="","",IF(INDEX('Plan d''actions détaillé'!A:A,MIN(IF((COUNTIF(J$532:J543,'Plan d''actions détaillé'!$A$6:$A$30)=0)*(INDEX('Plan d''actions détaillé'!$U$6:$AL$30,,MATCH($K$517,'Plan d''actions détaillé'!$U$5:$AL$5,0))="X"),ROW('Plan d''actions détaillé'!$T$6:$T$30))))=0,"",INDEX('Plan d''actions détaillé'!A:A,MIN(IF((COUNTIF(J$532:J543,'Plan d''actions détaillé'!$A$6:$A$30)=0)*(INDEX('Plan d''actions détaillé'!$U$6:$AL$30,,MATCH($K$517,'Plan d''actions détaillé'!$U$5:$AL$5,0))="X"),ROW('Plan d''actions détaillé'!$T$6:$T$30))))))</f>
        <v/>
      </c>
      <c r="K544" s="414"/>
      <c r="L544" s="415"/>
      <c r="M544" s="413" t="str">
        <f t="array" ref="M544">IF($K$517="","",IF(INDEX('Plan d''actions détaillé'!D:D,MIN(IF((COUNTIF(M$532:M543,'Plan d''actions détaillé'!$D$6:$D$30)=0)*(INDEX('Plan d''actions détaillé'!$U$6:$AL$30,,MATCH($K$517,'Plan d''actions détaillé'!$U$5:$AL$5,0))="X"),ROW('Plan d''actions détaillé'!$T$6:$T$30))))=0,"",INDEX('Plan d''actions détaillé'!D:D,MIN(IF((COUNTIF(M$532:M543,'Plan d''actions détaillé'!$D$6:$D$30)=0)*(INDEX('Plan d''actions détaillé'!$U$6:$AL$30,,MATCH($K$517,'Plan d''actions détaillé'!$U$5:$AL$5,0))="X"),ROW('Plan d''actions détaillé'!$T$6:$T$30))))))</f>
        <v/>
      </c>
      <c r="N544" s="411" t="str">
        <f>IF($M544&lt;&gt;"",IF(VLOOKUP($M544,'Plan d''actions détaillé'!$D$6:$P$30,8,FALSE)="","",VLOOKUP($M544,'Plan d''actions détaillé'!$D$6:$P$30,8,FALSE)),"")</f>
        <v/>
      </c>
      <c r="O544" s="483" t="str">
        <f>IF($M544&lt;&gt;"",IF(VLOOKUP($M544,'Plan d''actions détaillé'!$D$6:$P$30,6,FALSE)="","",VLOOKUP($M544,'Plan d''actions détaillé'!$D$6:$P$30,6,FALSE)),"")</f>
        <v/>
      </c>
      <c r="P544" s="483"/>
      <c r="Q544" s="483"/>
      <c r="R544" s="483"/>
      <c r="S544" s="483"/>
      <c r="T544" s="483"/>
      <c r="U544" s="483"/>
      <c r="V544" s="412" t="str">
        <f>IF($M544&lt;&gt;"",IF(VLOOKUP($M544,'Plan d''actions détaillé'!$D$6:$P$30,12,FALSE)="","",VLOOKUP($M544,'Plan d''actions détaillé'!$D$6:$P$30,12,FALSE)),"")</f>
        <v/>
      </c>
      <c r="W544" s="377"/>
    </row>
    <row r="545" spans="7:23" ht="7.5" customHeight="1" x14ac:dyDescent="0.2">
      <c r="G545" s="376"/>
      <c r="H545" s="372"/>
      <c r="I545" s="372"/>
      <c r="J545" s="414" t="str">
        <f t="array" ref="J545">IF($K$517="","",IF(INDEX('Plan d''actions détaillé'!A:A,MIN(IF((COUNTIF(J$532:J544,'Plan d''actions détaillé'!$A$6:$A$30)=0)*(INDEX('Plan d''actions détaillé'!$U$6:$AL$30,,MATCH($K$517,'Plan d''actions détaillé'!$U$5:$AL$5,0))="X"),ROW('Plan d''actions détaillé'!$T$6:$T$30))))=0,"",INDEX('Plan d''actions détaillé'!A:A,MIN(IF((COUNTIF(J$532:J544,'Plan d''actions détaillé'!$A$6:$A$30)=0)*(INDEX('Plan d''actions détaillé'!$U$6:$AL$30,,MATCH($K$517,'Plan d''actions détaillé'!$U$5:$AL$5,0))="X"),ROW('Plan d''actions détaillé'!$T$6:$T$30))))))</f>
        <v/>
      </c>
      <c r="K545" s="414"/>
      <c r="L545" s="415"/>
      <c r="M545" s="413" t="str">
        <f t="array" ref="M545">IF($K$517="","",IF(INDEX('Plan d''actions détaillé'!D:D,MIN(IF((COUNTIF(M$532:M544,'Plan d''actions détaillé'!$D$6:$D$30)=0)*(INDEX('Plan d''actions détaillé'!$U$6:$AL$30,,MATCH($K$517,'Plan d''actions détaillé'!$U$5:$AL$5,0))="X"),ROW('Plan d''actions détaillé'!$T$6:$T$30))))=0,"",INDEX('Plan d''actions détaillé'!D:D,MIN(IF((COUNTIF(M$532:M544,'Plan d''actions détaillé'!$D$6:$D$30)=0)*(INDEX('Plan d''actions détaillé'!$U$6:$AL$30,,MATCH($K$517,'Plan d''actions détaillé'!$U$5:$AL$5,0))="X"),ROW('Plan d''actions détaillé'!$T$6:$T$30))))))</f>
        <v/>
      </c>
      <c r="N545" s="411" t="str">
        <f>IF($M545&lt;&gt;"",IF(VLOOKUP($M545,'Plan d''actions détaillé'!$D$6:$P$30,8,FALSE)="","",VLOOKUP($M545,'Plan d''actions détaillé'!$D$6:$P$30,8,FALSE)),"")</f>
        <v/>
      </c>
      <c r="O545" s="483" t="str">
        <f>IF($M545&lt;&gt;"",IF(VLOOKUP($M545,'Plan d''actions détaillé'!$D$6:$P$30,6,FALSE)="","",VLOOKUP($M545,'Plan d''actions détaillé'!$D$6:$P$30,6,FALSE)),"")</f>
        <v/>
      </c>
      <c r="P545" s="483"/>
      <c r="Q545" s="483"/>
      <c r="R545" s="483"/>
      <c r="S545" s="483"/>
      <c r="T545" s="483"/>
      <c r="U545" s="483"/>
      <c r="V545" s="412" t="str">
        <f>IF($M545&lt;&gt;"",IF(VLOOKUP($M545,'Plan d''actions détaillé'!$D$6:$P$30,12,FALSE)="","",VLOOKUP($M545,'Plan d''actions détaillé'!$D$6:$P$30,12,FALSE)),"")</f>
        <v/>
      </c>
      <c r="W545" s="377"/>
    </row>
    <row r="546" spans="7:23" ht="7.5" customHeight="1" x14ac:dyDescent="0.2">
      <c r="G546" s="376"/>
      <c r="H546" s="372"/>
      <c r="I546" s="372"/>
      <c r="J546" s="414" t="str">
        <f t="array" ref="J546">IF($K$517="","",IF(INDEX('Plan d''actions détaillé'!A:A,MIN(IF((COUNTIF(J$532:J545,'Plan d''actions détaillé'!$A$6:$A$30)=0)*(INDEX('Plan d''actions détaillé'!$U$6:$AL$30,,MATCH($K$517,'Plan d''actions détaillé'!$U$5:$AL$5,0))="X"),ROW('Plan d''actions détaillé'!$T$6:$T$30))))=0,"",INDEX('Plan d''actions détaillé'!A:A,MIN(IF((COUNTIF(J$532:J545,'Plan d''actions détaillé'!$A$6:$A$30)=0)*(INDEX('Plan d''actions détaillé'!$U$6:$AL$30,,MATCH($K$517,'Plan d''actions détaillé'!$U$5:$AL$5,0))="X"),ROW('Plan d''actions détaillé'!$T$6:$T$30))))))</f>
        <v/>
      </c>
      <c r="K546" s="414"/>
      <c r="L546" s="415"/>
      <c r="M546" s="413" t="str">
        <f t="array" ref="M546">IF($K$517="","",IF(INDEX('Plan d''actions détaillé'!D:D,MIN(IF((COUNTIF(M$532:M545,'Plan d''actions détaillé'!$D$6:$D$30)=0)*(INDEX('Plan d''actions détaillé'!$U$6:$AL$30,,MATCH($K$517,'Plan d''actions détaillé'!$U$5:$AL$5,0))="X"),ROW('Plan d''actions détaillé'!$T$6:$T$30))))=0,"",INDEX('Plan d''actions détaillé'!D:D,MIN(IF((COUNTIF(M$532:M545,'Plan d''actions détaillé'!$D$6:$D$30)=0)*(INDEX('Plan d''actions détaillé'!$U$6:$AL$30,,MATCH($K$517,'Plan d''actions détaillé'!$U$5:$AL$5,0))="X"),ROW('Plan d''actions détaillé'!$T$6:$T$30))))))</f>
        <v/>
      </c>
      <c r="N546" s="411" t="str">
        <f>IF($M546&lt;&gt;"",IF(VLOOKUP($M546,'Plan d''actions détaillé'!$D$6:$P$30,8,FALSE)="","",VLOOKUP($M546,'Plan d''actions détaillé'!$D$6:$P$30,8,FALSE)),"")</f>
        <v/>
      </c>
      <c r="O546" s="483" t="str">
        <f>IF($M546&lt;&gt;"",IF(VLOOKUP($M546,'Plan d''actions détaillé'!$D$6:$P$30,6,FALSE)="","",VLOOKUP($M546,'Plan d''actions détaillé'!$D$6:$P$30,6,FALSE)),"")</f>
        <v/>
      </c>
      <c r="P546" s="483"/>
      <c r="Q546" s="483"/>
      <c r="R546" s="483"/>
      <c r="S546" s="483"/>
      <c r="T546" s="483"/>
      <c r="U546" s="483"/>
      <c r="V546" s="412" t="str">
        <f>IF($M546&lt;&gt;"",IF(VLOOKUP($M546,'Plan d''actions détaillé'!$D$6:$P$30,12,FALSE)="","",VLOOKUP($M546,'Plan d''actions détaillé'!$D$6:$P$30,12,FALSE)),"")</f>
        <v/>
      </c>
      <c r="W546" s="377"/>
    </row>
    <row r="547" spans="7:23" ht="7.5" customHeight="1" x14ac:dyDescent="0.2">
      <c r="G547" s="376"/>
      <c r="H547" s="372"/>
      <c r="I547" s="372"/>
      <c r="J547" s="414" t="str">
        <f t="array" ref="J547">IF($K$517="","",IF(INDEX('Plan d''actions détaillé'!A:A,MIN(IF((COUNTIF(J$532:J546,'Plan d''actions détaillé'!$A$6:$A$30)=0)*(INDEX('Plan d''actions détaillé'!$U$6:$AL$30,,MATCH($K$517,'Plan d''actions détaillé'!$U$5:$AL$5,0))="X"),ROW('Plan d''actions détaillé'!$T$6:$T$30))))=0,"",INDEX('Plan d''actions détaillé'!A:A,MIN(IF((COUNTIF(J$532:J546,'Plan d''actions détaillé'!$A$6:$A$30)=0)*(INDEX('Plan d''actions détaillé'!$U$6:$AL$30,,MATCH($K$517,'Plan d''actions détaillé'!$U$5:$AL$5,0))="X"),ROW('Plan d''actions détaillé'!$T$6:$T$30))))))</f>
        <v/>
      </c>
      <c r="K547" s="414"/>
      <c r="L547" s="415"/>
      <c r="M547" s="413" t="str">
        <f t="array" ref="M547">IF($K$517="","",IF(INDEX('Plan d''actions détaillé'!D:D,MIN(IF((COUNTIF(M$532:M546,'Plan d''actions détaillé'!$D$6:$D$30)=0)*(INDEX('Plan d''actions détaillé'!$U$6:$AL$30,,MATCH($K$517,'Plan d''actions détaillé'!$U$5:$AL$5,0))="X"),ROW('Plan d''actions détaillé'!$T$6:$T$30))))=0,"",INDEX('Plan d''actions détaillé'!D:D,MIN(IF((COUNTIF(M$532:M546,'Plan d''actions détaillé'!$D$6:$D$30)=0)*(INDEX('Plan d''actions détaillé'!$U$6:$AL$30,,MATCH($K$517,'Plan d''actions détaillé'!$U$5:$AL$5,0))="X"),ROW('Plan d''actions détaillé'!$T$6:$T$30))))))</f>
        <v/>
      </c>
      <c r="N547" s="411" t="str">
        <f>IF($M547&lt;&gt;"",IF(VLOOKUP($M547,'Plan d''actions détaillé'!$D$6:$P$30,8,FALSE)="","",VLOOKUP($M547,'Plan d''actions détaillé'!$D$6:$P$30,8,FALSE)),"")</f>
        <v/>
      </c>
      <c r="O547" s="483" t="str">
        <f>IF($M547&lt;&gt;"",IF(VLOOKUP($M547,'Plan d''actions détaillé'!$D$6:$P$30,6,FALSE)="","",VLOOKUP($M547,'Plan d''actions détaillé'!$D$6:$P$30,6,FALSE)),"")</f>
        <v/>
      </c>
      <c r="P547" s="483"/>
      <c r="Q547" s="483"/>
      <c r="R547" s="483"/>
      <c r="S547" s="483"/>
      <c r="T547" s="483"/>
      <c r="U547" s="483"/>
      <c r="V547" s="412" t="str">
        <f>IF($M547&lt;&gt;"",IF(VLOOKUP($M547,'Plan d''actions détaillé'!$D$6:$P$30,12,FALSE)="","",VLOOKUP($M547,'Plan d''actions détaillé'!$D$6:$P$30,12,FALSE)),"")</f>
        <v/>
      </c>
      <c r="W547" s="377"/>
    </row>
    <row r="548" spans="7:23" ht="7.5" customHeight="1" x14ac:dyDescent="0.2">
      <c r="G548" s="376"/>
      <c r="H548" s="372"/>
      <c r="I548" s="372"/>
      <c r="J548" s="414" t="str">
        <f t="array" ref="J548">IF($K$517="","",IF(INDEX('Plan d''actions détaillé'!A:A,MIN(IF((COUNTIF(J$532:J547,'Plan d''actions détaillé'!$A$6:$A$30)=0)*(INDEX('Plan d''actions détaillé'!$U$6:$AL$30,,MATCH($K$517,'Plan d''actions détaillé'!$U$5:$AL$5,0))="X"),ROW('Plan d''actions détaillé'!$T$6:$T$30))))=0,"",INDEX('Plan d''actions détaillé'!A:A,MIN(IF((COUNTIF(J$532:J547,'Plan d''actions détaillé'!$A$6:$A$30)=0)*(INDEX('Plan d''actions détaillé'!$U$6:$AL$30,,MATCH($K$517,'Plan d''actions détaillé'!$U$5:$AL$5,0))="X"),ROW('Plan d''actions détaillé'!$T$6:$T$30))))))</f>
        <v/>
      </c>
      <c r="K548" s="414"/>
      <c r="L548" s="415"/>
      <c r="M548" s="413" t="str">
        <f t="array" ref="M548">IF($K$517="","",IF(INDEX('Plan d''actions détaillé'!D:D,MIN(IF((COUNTIF(M$532:M547,'Plan d''actions détaillé'!$D$6:$D$30)=0)*(INDEX('Plan d''actions détaillé'!$U$6:$AL$30,,MATCH($K$517,'Plan d''actions détaillé'!$U$5:$AL$5,0))="X"),ROW('Plan d''actions détaillé'!$T$6:$T$30))))=0,"",INDEX('Plan d''actions détaillé'!D:D,MIN(IF((COUNTIF(M$532:M547,'Plan d''actions détaillé'!$D$6:$D$30)=0)*(INDEX('Plan d''actions détaillé'!$U$6:$AL$30,,MATCH($K$517,'Plan d''actions détaillé'!$U$5:$AL$5,0))="X"),ROW('Plan d''actions détaillé'!$T$6:$T$30))))))</f>
        <v/>
      </c>
      <c r="N548" s="411" t="str">
        <f>IF($M548&lt;&gt;"",IF(VLOOKUP($M548,'Plan d''actions détaillé'!$D$6:$P$30,8,FALSE)="","",VLOOKUP($M548,'Plan d''actions détaillé'!$D$6:$P$30,8,FALSE)),"")</f>
        <v/>
      </c>
      <c r="O548" s="483" t="str">
        <f>IF($M548&lt;&gt;"",IF(VLOOKUP($M548,'Plan d''actions détaillé'!$D$6:$P$30,6,FALSE)="","",VLOOKUP($M548,'Plan d''actions détaillé'!$D$6:$P$30,6,FALSE)),"")</f>
        <v/>
      </c>
      <c r="P548" s="483"/>
      <c r="Q548" s="483"/>
      <c r="R548" s="483"/>
      <c r="S548" s="483"/>
      <c r="T548" s="483"/>
      <c r="U548" s="483"/>
      <c r="V548" s="412" t="str">
        <f>IF($M548&lt;&gt;"",IF(VLOOKUP($M548,'Plan d''actions détaillé'!$D$6:$P$30,12,FALSE)="","",VLOOKUP($M548,'Plan d''actions détaillé'!$D$6:$P$30,12,FALSE)),"")</f>
        <v/>
      </c>
      <c r="W548" s="377"/>
    </row>
    <row r="549" spans="7:23" ht="13.5" thickBot="1" x14ac:dyDescent="0.25">
      <c r="G549" s="378"/>
      <c r="H549" s="379"/>
      <c r="I549" s="379"/>
      <c r="J549" s="379"/>
      <c r="K549" s="379"/>
      <c r="L549" s="379"/>
      <c r="M549" s="379"/>
      <c r="N549" s="380"/>
      <c r="O549" s="379"/>
      <c r="P549" s="379"/>
      <c r="Q549" s="379"/>
      <c r="R549" s="379"/>
      <c r="S549" s="379"/>
      <c r="T549" s="379"/>
      <c r="U549" s="379"/>
      <c r="V549" s="379"/>
      <c r="W549" s="381"/>
    </row>
  </sheetData>
  <sheetProtection sheet="1" objects="1" scenarios="1" formatColumns="0" formatRows="0"/>
  <mergeCells count="377">
    <mergeCell ref="G26:J27"/>
    <mergeCell ref="B2:D2"/>
    <mergeCell ref="G2:W2"/>
    <mergeCell ref="G29:G32"/>
    <mergeCell ref="K26:V27"/>
    <mergeCell ref="H34:L34"/>
    <mergeCell ref="O56:U56"/>
    <mergeCell ref="O57:U57"/>
    <mergeCell ref="N29:V29"/>
    <mergeCell ref="N30:V30"/>
    <mergeCell ref="J42:L42"/>
    <mergeCell ref="J39:L40"/>
    <mergeCell ref="O42:U42"/>
    <mergeCell ref="O43:U43"/>
    <mergeCell ref="O44:U44"/>
    <mergeCell ref="O45:U45"/>
    <mergeCell ref="O46:U46"/>
    <mergeCell ref="O47:U47"/>
    <mergeCell ref="O48:U48"/>
    <mergeCell ref="O49:U49"/>
    <mergeCell ref="O50:U50"/>
    <mergeCell ref="O51:U51"/>
    <mergeCell ref="O52:U52"/>
    <mergeCell ref="O53:U53"/>
    <mergeCell ref="O54:U54"/>
    <mergeCell ref="O55:U55"/>
    <mergeCell ref="M39:V40"/>
    <mergeCell ref="H70:L70"/>
    <mergeCell ref="M75:V76"/>
    <mergeCell ref="J78:L78"/>
    <mergeCell ref="O78:U78"/>
    <mergeCell ref="J75:L76"/>
    <mergeCell ref="G62:J63"/>
    <mergeCell ref="K62:V63"/>
    <mergeCell ref="G65:G68"/>
    <mergeCell ref="N65:V65"/>
    <mergeCell ref="N66:V66"/>
    <mergeCell ref="O84:U84"/>
    <mergeCell ref="O85:U85"/>
    <mergeCell ref="O86:U86"/>
    <mergeCell ref="O87:U87"/>
    <mergeCell ref="O88:U88"/>
    <mergeCell ref="O79:U79"/>
    <mergeCell ref="O80:U80"/>
    <mergeCell ref="O81:U81"/>
    <mergeCell ref="O82:U82"/>
    <mergeCell ref="O83:U83"/>
    <mergeCell ref="G97:J98"/>
    <mergeCell ref="K97:V98"/>
    <mergeCell ref="G100:G103"/>
    <mergeCell ref="N100:V100"/>
    <mergeCell ref="N101:V101"/>
    <mergeCell ref="O89:U89"/>
    <mergeCell ref="O90:U90"/>
    <mergeCell ref="O91:U91"/>
    <mergeCell ref="O92:U92"/>
    <mergeCell ref="O93:U93"/>
    <mergeCell ref="O114:U114"/>
    <mergeCell ref="O115:U115"/>
    <mergeCell ref="O116:U116"/>
    <mergeCell ref="O117:U117"/>
    <mergeCell ref="O118:U118"/>
    <mergeCell ref="H105:L105"/>
    <mergeCell ref="M110:V111"/>
    <mergeCell ref="J113:L113"/>
    <mergeCell ref="O113:U113"/>
    <mergeCell ref="J110:L111"/>
    <mergeCell ref="O124:U124"/>
    <mergeCell ref="O125:U125"/>
    <mergeCell ref="O126:U126"/>
    <mergeCell ref="O127:U127"/>
    <mergeCell ref="O128:U128"/>
    <mergeCell ref="O119:U119"/>
    <mergeCell ref="O120:U120"/>
    <mergeCell ref="O121:U121"/>
    <mergeCell ref="O122:U122"/>
    <mergeCell ref="O123:U123"/>
    <mergeCell ref="H140:L140"/>
    <mergeCell ref="M145:V146"/>
    <mergeCell ref="J148:L148"/>
    <mergeCell ref="O148:U148"/>
    <mergeCell ref="J145:L146"/>
    <mergeCell ref="G132:J133"/>
    <mergeCell ref="K132:V133"/>
    <mergeCell ref="G135:G138"/>
    <mergeCell ref="N135:V135"/>
    <mergeCell ref="N136:V136"/>
    <mergeCell ref="O154:U154"/>
    <mergeCell ref="O155:U155"/>
    <mergeCell ref="O156:U156"/>
    <mergeCell ref="O157:U157"/>
    <mergeCell ref="O158:U158"/>
    <mergeCell ref="O149:U149"/>
    <mergeCell ref="O150:U150"/>
    <mergeCell ref="O151:U151"/>
    <mergeCell ref="O152:U152"/>
    <mergeCell ref="O153:U153"/>
    <mergeCell ref="G167:J168"/>
    <mergeCell ref="K167:V168"/>
    <mergeCell ref="G170:G173"/>
    <mergeCell ref="N170:V170"/>
    <mergeCell ref="N171:V171"/>
    <mergeCell ref="O159:U159"/>
    <mergeCell ref="O160:U160"/>
    <mergeCell ref="O161:U161"/>
    <mergeCell ref="O162:U162"/>
    <mergeCell ref="O163:U163"/>
    <mergeCell ref="O184:U184"/>
    <mergeCell ref="O185:U185"/>
    <mergeCell ref="O186:U186"/>
    <mergeCell ref="O187:U187"/>
    <mergeCell ref="O188:U188"/>
    <mergeCell ref="H175:L175"/>
    <mergeCell ref="M180:V181"/>
    <mergeCell ref="J183:L183"/>
    <mergeCell ref="O183:U183"/>
    <mergeCell ref="J180:L181"/>
    <mergeCell ref="O194:U194"/>
    <mergeCell ref="O195:U195"/>
    <mergeCell ref="O196:U196"/>
    <mergeCell ref="O197:U197"/>
    <mergeCell ref="O198:U198"/>
    <mergeCell ref="O189:U189"/>
    <mergeCell ref="O190:U190"/>
    <mergeCell ref="O191:U191"/>
    <mergeCell ref="O192:U192"/>
    <mergeCell ref="O193:U193"/>
    <mergeCell ref="H210:L210"/>
    <mergeCell ref="M215:V216"/>
    <mergeCell ref="J218:L218"/>
    <mergeCell ref="O218:U218"/>
    <mergeCell ref="J215:L216"/>
    <mergeCell ref="G202:J203"/>
    <mergeCell ref="K202:V203"/>
    <mergeCell ref="G205:G208"/>
    <mergeCell ref="N205:V205"/>
    <mergeCell ref="N206:V206"/>
    <mergeCell ref="O224:U224"/>
    <mergeCell ref="O225:U225"/>
    <mergeCell ref="O226:U226"/>
    <mergeCell ref="O227:U227"/>
    <mergeCell ref="O228:U228"/>
    <mergeCell ref="O219:U219"/>
    <mergeCell ref="O220:U220"/>
    <mergeCell ref="O221:U221"/>
    <mergeCell ref="O222:U222"/>
    <mergeCell ref="O223:U223"/>
    <mergeCell ref="G237:J238"/>
    <mergeCell ref="K237:V238"/>
    <mergeCell ref="G240:G243"/>
    <mergeCell ref="N240:V240"/>
    <mergeCell ref="N241:V241"/>
    <mergeCell ref="O229:U229"/>
    <mergeCell ref="O230:U230"/>
    <mergeCell ref="O231:U231"/>
    <mergeCell ref="O232:U232"/>
    <mergeCell ref="O233:U233"/>
    <mergeCell ref="O254:U254"/>
    <mergeCell ref="O255:U255"/>
    <mergeCell ref="O256:U256"/>
    <mergeCell ref="O257:U257"/>
    <mergeCell ref="O258:U258"/>
    <mergeCell ref="H245:L245"/>
    <mergeCell ref="M250:V251"/>
    <mergeCell ref="J253:L253"/>
    <mergeCell ref="O253:U253"/>
    <mergeCell ref="J250:L251"/>
    <mergeCell ref="O264:U264"/>
    <mergeCell ref="O265:U265"/>
    <mergeCell ref="O266:U266"/>
    <mergeCell ref="O267:U267"/>
    <mergeCell ref="O268:U268"/>
    <mergeCell ref="O259:U259"/>
    <mergeCell ref="O260:U260"/>
    <mergeCell ref="O261:U261"/>
    <mergeCell ref="O262:U262"/>
    <mergeCell ref="O263:U263"/>
    <mergeCell ref="H280:L280"/>
    <mergeCell ref="M285:V286"/>
    <mergeCell ref="J288:L288"/>
    <mergeCell ref="O288:U288"/>
    <mergeCell ref="J285:L286"/>
    <mergeCell ref="G272:J273"/>
    <mergeCell ref="K272:V273"/>
    <mergeCell ref="G275:G278"/>
    <mergeCell ref="N275:V275"/>
    <mergeCell ref="N276:V276"/>
    <mergeCell ref="O294:U294"/>
    <mergeCell ref="O295:U295"/>
    <mergeCell ref="O296:U296"/>
    <mergeCell ref="O297:U297"/>
    <mergeCell ref="O298:U298"/>
    <mergeCell ref="O289:U289"/>
    <mergeCell ref="O290:U290"/>
    <mergeCell ref="O291:U291"/>
    <mergeCell ref="O292:U292"/>
    <mergeCell ref="O293:U293"/>
    <mergeCell ref="G307:J308"/>
    <mergeCell ref="K307:V308"/>
    <mergeCell ref="G310:G313"/>
    <mergeCell ref="N310:V310"/>
    <mergeCell ref="N311:V311"/>
    <mergeCell ref="O299:U299"/>
    <mergeCell ref="O300:U300"/>
    <mergeCell ref="O301:U301"/>
    <mergeCell ref="O302:U302"/>
    <mergeCell ref="O303:U303"/>
    <mergeCell ref="O324:U324"/>
    <mergeCell ref="O325:U325"/>
    <mergeCell ref="O326:U326"/>
    <mergeCell ref="O327:U327"/>
    <mergeCell ref="O328:U328"/>
    <mergeCell ref="H315:L315"/>
    <mergeCell ref="M320:V321"/>
    <mergeCell ref="J323:L323"/>
    <mergeCell ref="O323:U323"/>
    <mergeCell ref="J320:L321"/>
    <mergeCell ref="O334:U334"/>
    <mergeCell ref="O335:U335"/>
    <mergeCell ref="O336:U336"/>
    <mergeCell ref="O337:U337"/>
    <mergeCell ref="O338:U338"/>
    <mergeCell ref="O329:U329"/>
    <mergeCell ref="O330:U330"/>
    <mergeCell ref="O331:U331"/>
    <mergeCell ref="O332:U332"/>
    <mergeCell ref="O333:U333"/>
    <mergeCell ref="H350:L350"/>
    <mergeCell ref="M355:V356"/>
    <mergeCell ref="J358:L358"/>
    <mergeCell ref="O358:U358"/>
    <mergeCell ref="J355:L356"/>
    <mergeCell ref="G342:J343"/>
    <mergeCell ref="K342:V343"/>
    <mergeCell ref="G345:G348"/>
    <mergeCell ref="N345:V345"/>
    <mergeCell ref="N346:V346"/>
    <mergeCell ref="O364:U364"/>
    <mergeCell ref="O365:U365"/>
    <mergeCell ref="O366:U366"/>
    <mergeCell ref="O367:U367"/>
    <mergeCell ref="O368:U368"/>
    <mergeCell ref="O359:U359"/>
    <mergeCell ref="O360:U360"/>
    <mergeCell ref="O361:U361"/>
    <mergeCell ref="O362:U362"/>
    <mergeCell ref="O363:U363"/>
    <mergeCell ref="G377:J378"/>
    <mergeCell ref="K377:V378"/>
    <mergeCell ref="G380:G383"/>
    <mergeCell ref="N380:V380"/>
    <mergeCell ref="N381:V381"/>
    <mergeCell ref="O369:U369"/>
    <mergeCell ref="O370:U370"/>
    <mergeCell ref="O371:U371"/>
    <mergeCell ref="O372:U372"/>
    <mergeCell ref="O373:U373"/>
    <mergeCell ref="O394:U394"/>
    <mergeCell ref="O395:U395"/>
    <mergeCell ref="O396:U396"/>
    <mergeCell ref="O397:U397"/>
    <mergeCell ref="O398:U398"/>
    <mergeCell ref="H385:L385"/>
    <mergeCell ref="M390:V391"/>
    <mergeCell ref="J393:L393"/>
    <mergeCell ref="O393:U393"/>
    <mergeCell ref="J390:L391"/>
    <mergeCell ref="O404:U404"/>
    <mergeCell ref="O405:U405"/>
    <mergeCell ref="O406:U406"/>
    <mergeCell ref="O407:U407"/>
    <mergeCell ref="O408:U408"/>
    <mergeCell ref="O399:U399"/>
    <mergeCell ref="O400:U400"/>
    <mergeCell ref="O401:U401"/>
    <mergeCell ref="O402:U402"/>
    <mergeCell ref="O403:U403"/>
    <mergeCell ref="H420:L420"/>
    <mergeCell ref="M425:V426"/>
    <mergeCell ref="J428:L428"/>
    <mergeCell ref="O428:U428"/>
    <mergeCell ref="J425:L426"/>
    <mergeCell ref="G412:J413"/>
    <mergeCell ref="K412:V413"/>
    <mergeCell ref="G415:G418"/>
    <mergeCell ref="N415:V415"/>
    <mergeCell ref="N416:V416"/>
    <mergeCell ref="O434:U434"/>
    <mergeCell ref="O435:U435"/>
    <mergeCell ref="O436:U436"/>
    <mergeCell ref="O437:U437"/>
    <mergeCell ref="O438:U438"/>
    <mergeCell ref="O429:U429"/>
    <mergeCell ref="O430:U430"/>
    <mergeCell ref="O431:U431"/>
    <mergeCell ref="O432:U432"/>
    <mergeCell ref="O433:U433"/>
    <mergeCell ref="G447:J448"/>
    <mergeCell ref="K447:V448"/>
    <mergeCell ref="G450:G453"/>
    <mergeCell ref="N450:V450"/>
    <mergeCell ref="N451:V451"/>
    <mergeCell ref="O439:U439"/>
    <mergeCell ref="O440:U440"/>
    <mergeCell ref="O441:U441"/>
    <mergeCell ref="O442:U442"/>
    <mergeCell ref="O443:U443"/>
    <mergeCell ref="O464:U464"/>
    <mergeCell ref="O465:U465"/>
    <mergeCell ref="O466:U466"/>
    <mergeCell ref="O467:U467"/>
    <mergeCell ref="O468:U468"/>
    <mergeCell ref="H455:L455"/>
    <mergeCell ref="M460:V461"/>
    <mergeCell ref="J463:L463"/>
    <mergeCell ref="O463:U463"/>
    <mergeCell ref="J460:L461"/>
    <mergeCell ref="O474:U474"/>
    <mergeCell ref="O475:U475"/>
    <mergeCell ref="O476:U476"/>
    <mergeCell ref="O477:U477"/>
    <mergeCell ref="O478:U478"/>
    <mergeCell ref="O469:U469"/>
    <mergeCell ref="O470:U470"/>
    <mergeCell ref="O471:U471"/>
    <mergeCell ref="O472:U472"/>
    <mergeCell ref="O473:U473"/>
    <mergeCell ref="H490:L490"/>
    <mergeCell ref="M495:V496"/>
    <mergeCell ref="J498:L498"/>
    <mergeCell ref="O498:U498"/>
    <mergeCell ref="J495:L496"/>
    <mergeCell ref="G482:J483"/>
    <mergeCell ref="K482:V483"/>
    <mergeCell ref="G485:G488"/>
    <mergeCell ref="N485:V485"/>
    <mergeCell ref="N486:V486"/>
    <mergeCell ref="O504:U504"/>
    <mergeCell ref="O505:U505"/>
    <mergeCell ref="O506:U506"/>
    <mergeCell ref="O507:U507"/>
    <mergeCell ref="O508:U508"/>
    <mergeCell ref="O499:U499"/>
    <mergeCell ref="O500:U500"/>
    <mergeCell ref="O501:U501"/>
    <mergeCell ref="O502:U502"/>
    <mergeCell ref="O503:U503"/>
    <mergeCell ref="G517:J518"/>
    <mergeCell ref="K517:V518"/>
    <mergeCell ref="G520:G523"/>
    <mergeCell ref="N520:V520"/>
    <mergeCell ref="N521:V521"/>
    <mergeCell ref="O509:U509"/>
    <mergeCell ref="O510:U510"/>
    <mergeCell ref="O511:U511"/>
    <mergeCell ref="O512:U512"/>
    <mergeCell ref="O513:U513"/>
    <mergeCell ref="O534:U534"/>
    <mergeCell ref="O535:U535"/>
    <mergeCell ref="O536:U536"/>
    <mergeCell ref="O537:U537"/>
    <mergeCell ref="O538:U538"/>
    <mergeCell ref="H525:L525"/>
    <mergeCell ref="M530:V531"/>
    <mergeCell ref="J533:L533"/>
    <mergeCell ref="O533:U533"/>
    <mergeCell ref="J530:L531"/>
    <mergeCell ref="O544:U544"/>
    <mergeCell ref="O545:U545"/>
    <mergeCell ref="O546:U546"/>
    <mergeCell ref="O547:U547"/>
    <mergeCell ref="O548:U548"/>
    <mergeCell ref="O539:U539"/>
    <mergeCell ref="O540:U540"/>
    <mergeCell ref="O541:U541"/>
    <mergeCell ref="O542:U542"/>
    <mergeCell ref="O543:U543"/>
  </mergeCells>
  <conditionalFormatting sqref="M43:M57">
    <cfRule type="expression" dxfId="393" priority="1968">
      <formula>$M43&lt;&gt;""</formula>
    </cfRule>
  </conditionalFormatting>
  <conditionalFormatting sqref="N43:V57">
    <cfRule type="expression" dxfId="392" priority="14">
      <formula>$M43&lt;&gt;""</formula>
    </cfRule>
  </conditionalFormatting>
  <conditionalFormatting sqref="M499:M513">
    <cfRule type="expression" dxfId="391" priority="16">
      <formula>$M499&lt;&gt;""</formula>
    </cfRule>
  </conditionalFormatting>
  <conditionalFormatting sqref="M429:M443">
    <cfRule type="expression" dxfId="390" priority="18">
      <formula>$M429&lt;&gt;""</formula>
    </cfRule>
  </conditionalFormatting>
  <conditionalFormatting sqref="M359:M373">
    <cfRule type="expression" dxfId="389" priority="20">
      <formula>$M359&lt;&gt;""</formula>
    </cfRule>
  </conditionalFormatting>
  <conditionalFormatting sqref="M289:M303">
    <cfRule type="expression" dxfId="388" priority="22">
      <formula>$M289&lt;&gt;""</formula>
    </cfRule>
  </conditionalFormatting>
  <conditionalFormatting sqref="M219:M233">
    <cfRule type="expression" dxfId="387" priority="24">
      <formula>$M219&lt;&gt;""</formula>
    </cfRule>
  </conditionalFormatting>
  <conditionalFormatting sqref="M149:M163">
    <cfRule type="expression" dxfId="386" priority="26">
      <formula>$M149&lt;&gt;""</formula>
    </cfRule>
  </conditionalFormatting>
  <conditionalFormatting sqref="N114:V128">
    <cfRule type="expression" dxfId="385" priority="56">
      <formula>$M114&lt;&gt;""</formula>
    </cfRule>
  </conditionalFormatting>
  <conditionalFormatting sqref="N534:V548">
    <cfRule type="expression" dxfId="384" priority="1">
      <formula>$M534&lt;&gt;""</formula>
    </cfRule>
  </conditionalFormatting>
  <conditionalFormatting sqref="M114:M128">
    <cfRule type="expression" dxfId="383" priority="27">
      <formula>$M114&lt;&gt;""</formula>
    </cfRule>
  </conditionalFormatting>
  <conditionalFormatting sqref="M184:M198">
    <cfRule type="expression" dxfId="382" priority="25">
      <formula>$M184&lt;&gt;""</formula>
    </cfRule>
  </conditionalFormatting>
  <conditionalFormatting sqref="M254:M268">
    <cfRule type="expression" dxfId="381" priority="23">
      <formula>$M254&lt;&gt;""</formula>
    </cfRule>
  </conditionalFormatting>
  <conditionalFormatting sqref="M324:M338">
    <cfRule type="expression" dxfId="380" priority="21">
      <formula>$M324&lt;&gt;""</formula>
    </cfRule>
  </conditionalFormatting>
  <conditionalFormatting sqref="M394:M408">
    <cfRule type="expression" dxfId="379" priority="19">
      <formula>$M394&lt;&gt;""</formula>
    </cfRule>
  </conditionalFormatting>
  <conditionalFormatting sqref="M464:M478">
    <cfRule type="expression" dxfId="378" priority="17">
      <formula>$M464&lt;&gt;""</formula>
    </cfRule>
  </conditionalFormatting>
  <conditionalFormatting sqref="M534:M548">
    <cfRule type="expression" dxfId="377" priority="15">
      <formula>$M534&lt;&gt;""</formula>
    </cfRule>
  </conditionalFormatting>
  <conditionalFormatting sqref="M79:M93">
    <cfRule type="expression" dxfId="376" priority="28">
      <formula>$M79&lt;&gt;""</formula>
    </cfRule>
  </conditionalFormatting>
  <conditionalFormatting sqref="N79:V93">
    <cfRule type="expression" dxfId="375" priority="13">
      <formula>$M79&lt;&gt;""</formula>
    </cfRule>
  </conditionalFormatting>
  <conditionalFormatting sqref="N149:V163">
    <cfRule type="expression" dxfId="374" priority="12">
      <formula>$M149&lt;&gt;""</formula>
    </cfRule>
  </conditionalFormatting>
  <conditionalFormatting sqref="N184:V198">
    <cfRule type="expression" dxfId="373" priority="11">
      <formula>$M184&lt;&gt;""</formula>
    </cfRule>
  </conditionalFormatting>
  <conditionalFormatting sqref="N219:V233">
    <cfRule type="expression" dxfId="372" priority="10">
      <formula>$M219&lt;&gt;""</formula>
    </cfRule>
  </conditionalFormatting>
  <conditionalFormatting sqref="N254:V268">
    <cfRule type="expression" dxfId="371" priority="9">
      <formula>$M254&lt;&gt;""</formula>
    </cfRule>
  </conditionalFormatting>
  <conditionalFormatting sqref="N289:V303">
    <cfRule type="expression" dxfId="370" priority="8">
      <formula>$M289&lt;&gt;""</formula>
    </cfRule>
  </conditionalFormatting>
  <conditionalFormatting sqref="N324:V338">
    <cfRule type="expression" dxfId="369" priority="7">
      <formula>$M324&lt;&gt;""</formula>
    </cfRule>
  </conditionalFormatting>
  <conditionalFormatting sqref="N359:V373">
    <cfRule type="expression" dxfId="368" priority="6">
      <formula>$M359&lt;&gt;""</formula>
    </cfRule>
  </conditionalFormatting>
  <conditionalFormatting sqref="N394:V408">
    <cfRule type="expression" dxfId="367" priority="5">
      <formula>$M394&lt;&gt;""</formula>
    </cfRule>
  </conditionalFormatting>
  <conditionalFormatting sqref="N429:V443">
    <cfRule type="expression" dxfId="366" priority="4">
      <formula>$M429&lt;&gt;""</formula>
    </cfRule>
  </conditionalFormatting>
  <conditionalFormatting sqref="N464:V478">
    <cfRule type="expression" dxfId="365" priority="3">
      <formula>$M464&lt;&gt;""</formula>
    </cfRule>
  </conditionalFormatting>
  <conditionalFormatting sqref="N499:V513">
    <cfRule type="expression" dxfId="364" priority="2">
      <formula>$M499&lt;&gt;""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6" orientation="landscape" r:id="rId1"/>
  <headerFooter>
    <oddHeader>&amp;L Document imprimé le &amp;D à &amp;T&amp;CProjet SMI&amp;RVIASANTE Mutuelle</oddHeader>
    <oddFooter>&amp;L&amp;F&amp;C&amp;A&amp;R&amp;P / &amp;N</oddFooter>
  </headerFooter>
  <rowBreaks count="14" manualBreakCount="14">
    <brk id="59" min="6" max="22" man="1"/>
    <brk id="95" min="6" max="22" man="1"/>
    <brk id="124" min="6" max="22" man="1"/>
    <brk id="165" min="6" max="22" man="1"/>
    <brk id="199" min="6" max="22" man="1"/>
    <brk id="234" min="6" max="22" man="1"/>
    <brk id="269" min="6" max="22" man="1"/>
    <brk id="304" min="6" max="22" man="1"/>
    <brk id="339" min="6" max="22" man="1"/>
    <brk id="374" min="6" max="22" man="1"/>
    <brk id="409" min="6" max="22" man="1"/>
    <brk id="444" min="6" max="22" man="1"/>
    <brk id="479" min="6" max="22" man="1"/>
    <brk id="514" min="6" max="2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249977111117893"/>
    <pageSetUpPr fitToPage="1"/>
  </sheetPr>
  <dimension ref="B1:AG61"/>
  <sheetViews>
    <sheetView showGridLines="0" view="pageBreakPreview" topLeftCell="A4" zoomScale="55" zoomScaleNormal="55" zoomScaleSheetLayoutView="55" zoomScalePageLayoutView="55" workbookViewId="0">
      <selection activeCell="E6" sqref="E6"/>
    </sheetView>
  </sheetViews>
  <sheetFormatPr baseColWidth="10" defaultRowHeight="12.75" outlineLevelCol="1" x14ac:dyDescent="0.2"/>
  <cols>
    <col min="1" max="1" width="2" style="119" customWidth="1"/>
    <col min="2" max="2" width="25.1640625" style="119" customWidth="1"/>
    <col min="3" max="3" width="112.5" style="119" customWidth="1"/>
    <col min="4" max="4" width="15.5" style="151" customWidth="1"/>
    <col min="5" max="6" width="16.6640625" style="151" customWidth="1"/>
    <col min="7" max="7" width="39.6640625" style="151" customWidth="1"/>
    <col min="8" max="9" width="16.6640625" style="151" customWidth="1"/>
    <col min="10" max="14" width="8.1640625" style="180" customWidth="1"/>
    <col min="15" max="15" width="2.33203125" style="119" customWidth="1"/>
    <col min="16" max="16" width="16.83203125" style="119" customWidth="1" outlineLevel="1"/>
    <col min="17" max="20" width="16.5" style="119" customWidth="1" outlineLevel="1"/>
    <col min="21" max="21" width="16.83203125" style="119" customWidth="1" outlineLevel="1"/>
    <col min="22" max="22" width="16.5" style="119" customWidth="1" outlineLevel="1"/>
    <col min="23" max="27" width="16.83203125" style="119" customWidth="1" outlineLevel="1"/>
    <col min="28" max="33" width="17.6640625" style="119" customWidth="1" outlineLevel="1"/>
    <col min="34" max="34" width="3.1640625" style="119" customWidth="1"/>
    <col min="35" max="16384" width="12" style="119"/>
  </cols>
  <sheetData>
    <row r="1" spans="2:33" ht="6" customHeight="1" x14ac:dyDescent="0.2"/>
    <row r="2" spans="2:33" s="152" customFormat="1" ht="39" customHeight="1" x14ac:dyDescent="0.5">
      <c r="B2" s="177" t="str">
        <f>"LISTE DES ACTIONS DE MAITRISE EN PLACE SUR LE PROCESSUS "&amp;Matrice!G1</f>
        <v>LISTE DES ACTIONS DE MAITRISE EN PLACE SUR LE PROCESSUS DI2</v>
      </c>
      <c r="C2" s="177"/>
      <c r="D2" s="177"/>
      <c r="E2" s="177"/>
      <c r="F2" s="177"/>
      <c r="G2" s="177"/>
      <c r="H2" s="177"/>
      <c r="I2" s="177"/>
      <c r="J2" s="182"/>
      <c r="K2" s="182"/>
      <c r="L2" s="182"/>
      <c r="M2" s="182"/>
      <c r="N2" s="182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</row>
    <row r="3" spans="2:33" s="121" customFormat="1" ht="3.75" customHeight="1" x14ac:dyDescent="0.2">
      <c r="D3" s="153"/>
      <c r="E3" s="153"/>
      <c r="F3" s="153"/>
      <c r="G3" s="153"/>
      <c r="H3" s="153"/>
      <c r="I3" s="153"/>
      <c r="J3" s="181"/>
      <c r="K3" s="181"/>
      <c r="L3" s="181"/>
      <c r="M3" s="181"/>
      <c r="N3" s="181"/>
    </row>
    <row r="4" spans="2:33" ht="14.25" customHeight="1" x14ac:dyDescent="0.2"/>
    <row r="5" spans="2:33" ht="177" customHeight="1" x14ac:dyDescent="0.2">
      <c r="B5" s="324" t="s">
        <v>68</v>
      </c>
      <c r="C5" s="324" t="s">
        <v>29</v>
      </c>
      <c r="D5" s="324" t="s">
        <v>49</v>
      </c>
      <c r="E5" s="325" t="s">
        <v>203</v>
      </c>
      <c r="F5" s="325" t="s">
        <v>209</v>
      </c>
      <c r="G5" s="325" t="s">
        <v>210</v>
      </c>
      <c r="H5" s="325" t="s">
        <v>211</v>
      </c>
      <c r="I5" s="325" t="s">
        <v>220</v>
      </c>
      <c r="J5" s="326" t="s">
        <v>40</v>
      </c>
      <c r="K5" s="327" t="s">
        <v>42</v>
      </c>
      <c r="L5" s="326" t="s">
        <v>34</v>
      </c>
      <c r="M5" s="326" t="s">
        <v>39</v>
      </c>
      <c r="N5" s="326" t="s">
        <v>35</v>
      </c>
      <c r="O5" s="275" t="s">
        <v>222</v>
      </c>
      <c r="P5" s="274" t="str">
        <f>Matrice!D23</f>
        <v>AAA</v>
      </c>
      <c r="Q5" s="274" t="str">
        <f>Matrice!D24</f>
        <v>BBB</v>
      </c>
      <c r="R5" s="274" t="str">
        <f>Matrice!D25</f>
        <v>CCC</v>
      </c>
      <c r="S5" s="274">
        <f>Matrice!D26</f>
        <v>0</v>
      </c>
      <c r="T5" s="274">
        <f>Matrice!D27</f>
        <v>0</v>
      </c>
      <c r="U5" s="274">
        <f>Matrice!D28</f>
        <v>0</v>
      </c>
      <c r="V5" s="274">
        <f>Matrice!D29</f>
        <v>0</v>
      </c>
      <c r="W5" s="274">
        <f>Matrice!D30</f>
        <v>0</v>
      </c>
      <c r="X5" s="274">
        <f>Matrice!D31</f>
        <v>0</v>
      </c>
      <c r="Y5" s="274">
        <f>Matrice!D32</f>
        <v>0</v>
      </c>
      <c r="Z5" s="274">
        <f>Matrice!D33</f>
        <v>0</v>
      </c>
      <c r="AA5" s="274">
        <f>Matrice!D34</f>
        <v>0</v>
      </c>
      <c r="AB5" s="274">
        <f>Matrice!D35</f>
        <v>0</v>
      </c>
      <c r="AC5" s="274">
        <f>Matrice!D36</f>
        <v>0</v>
      </c>
      <c r="AD5" s="274">
        <f>Matrice!D37</f>
        <v>0</v>
      </c>
      <c r="AE5" s="274">
        <f>Matrice!D38</f>
        <v>0</v>
      </c>
      <c r="AF5" s="274">
        <f>Matrice!D39</f>
        <v>0</v>
      </c>
      <c r="AG5" s="274">
        <f>Matrice!D40</f>
        <v>0</v>
      </c>
    </row>
    <row r="6" spans="2:33" ht="18" customHeight="1" x14ac:dyDescent="0.2">
      <c r="B6" s="309" t="str">
        <f>IF((COUNTIF(Matrice!$2:$2,Matrice!$G$1&amp;"-AM"&amp;Listes!A2)=1)=TRUE,Matrice!$G$1&amp;"-AM"&amp;Listes!A2,"")</f>
        <v/>
      </c>
      <c r="C6" s="178" t="str">
        <f>IF(IF(ISERROR(HLOOKUP(B6,Matrice!$A$2:$DP$100,20,FALSE)),"",HLOOKUP(B6,Matrice!$A$2:$DP$100,20,FALSE))="","",IF(ISERROR(HLOOKUP(B6,Matrice!$A$2:$DP$100,20,FALSE)),"-",HLOOKUP(B6,Matrice!$A$2:$DP$100,20,FALSE)))</f>
        <v/>
      </c>
      <c r="D6" s="179" t="str">
        <f>IF(IF(ISERROR(HLOOKUP(B6,Matrice!$A$2:$DP$100,3,FALSE)),"",HLOOKUP(B6,Matrice!$A$2:$DP$100,3,FALSE))="","",IF(ISERROR(HLOOKUP(B6,Matrice!$A$2:$DP$100,3,FALSE)),"-",HLOOKUP(B6,Matrice!$A$2:$DP$100,3,FALSE)))</f>
        <v/>
      </c>
      <c r="E6" s="305"/>
      <c r="F6" s="179" t="str">
        <f>IF(ISERROR(HLOOKUP($B6,Matrice!$A$2:$DP$100,4,FALSE)),"",IF(HLOOKUP($B6,Matrice!$A$2:$DP$100,4,FALSE)="","",HLOOKUP($B6,Matrice!$A$2:$DP$100,4,FALSE)))</f>
        <v/>
      </c>
      <c r="G6" s="179" t="str">
        <f>IF(ISERROR(HLOOKUP($B6,Matrice!$A$2:$DP$100,5,FALSE)),"",IF(HLOOKUP($B6,Matrice!$A$2:$DP$100,5,FALSE)="","",HLOOKUP($B6,Matrice!$A$2:$DP$100,5,FALSE)))</f>
        <v/>
      </c>
      <c r="H6" s="179" t="str">
        <f>IF(ISERROR(HLOOKUP($B6,Matrice!$A$2:$DP$100,6,FALSE)),"",IF(HLOOKUP($B6,Matrice!$A$2:$DP$100,6,FALSE)="","",HLOOKUP($B6,Matrice!$A$2:$DP$100,6,FALSE)))</f>
        <v/>
      </c>
      <c r="I6" s="179" t="str">
        <f>IF(ISERROR(HLOOKUP($B7,Matrice!$A$2:$DP$100,7,FALSE)),"",IF(HLOOKUP($B7,Matrice!$A$2:$DP$100,7,FALSE)="","",HLOOKUP($B7,Matrice!$A$2:$DP$100,7,FALSE)))</f>
        <v/>
      </c>
      <c r="J6" s="277" t="str">
        <f>IF(ISERROR(HLOOKUP($B6,Matrice!$A$2:$DP$100,12,FALSE)),"",IF(HLOOKUP($B6,Matrice!$A$2:$DP$100,12,FALSE)="","",HLOOKUP($B6,Matrice!$A$2:$DP$100,12,FALSE)))</f>
        <v/>
      </c>
      <c r="K6" s="277" t="str">
        <f>IF(ISERROR(HLOOKUP($B6,Matrice!$A$2:$DP$100,13,FALSE)),"",IF(HLOOKUP($B6,Matrice!$A$2:$DP$100,13,FALSE)="","",HLOOKUP($B6,Matrice!$A$2:$DP$100,13,FALSE)))</f>
        <v/>
      </c>
      <c r="L6" s="333" t="str">
        <f>IF(ISERROR(HLOOKUP($B6,Matrice!$A$2:$DP$100,9,FALSE)),"",IF(HLOOKUP($B6,Matrice!$A$2:$DP$100,9,FALSE)="","",HLOOKUP($B6,Matrice!$A$2:$DP$100,9,FALSE)))</f>
        <v/>
      </c>
      <c r="M6" s="333" t="str">
        <f>IF(ISERROR(HLOOKUP($B6,Matrice!$A$2:$DP$100,10,FALSE)),"",IF(HLOOKUP($B6,Matrice!$A$2:$DP$100,10,FALSE)="","",HLOOKUP($B6,Matrice!$A$2:$DP$100,10,FALSE)))</f>
        <v/>
      </c>
      <c r="N6" s="333" t="str">
        <f>IF(ISERROR(HLOOKUP($B6,Matrice!$A$2:$DP$100,11,FALSE)),"",IF(HLOOKUP($B6,Matrice!$A$2:$DP$100,11,FALSE)="","",HLOOKUP($B6,Matrice!$A$2:$DP$100,11,FALSE)))</f>
        <v/>
      </c>
      <c r="P6" s="276" t="str">
        <f>IF(SUMPRODUCT((Matrice!$D$23:$D$100='Actions de maîtrise'!P$5)*(Matrice!$T$21:$DP$21='Actions de maîtrise'!$C6)*(Matrice!$T$23:$DP$100="X"))=0,"",IF(SUMPRODUCT((Matrice!$D$23:$D$100='Actions de maîtrise'!P$5)*(Matrice!$T$21:$DP$21='Actions de maîtrise'!$C6)*(Matrice!$T$23:$DP$100="X"))=1,"X","erreur"))</f>
        <v/>
      </c>
      <c r="Q6" s="276" t="str">
        <f>IF(SUMPRODUCT((Matrice!$D$23:$D$100='Actions de maîtrise'!Q$5)*(Matrice!$T$21:$DP$21='Actions de maîtrise'!$C6)*(Matrice!$T$23:$DP$100="X"))=0,"",IF(SUMPRODUCT((Matrice!$D$23:$D$100='Actions de maîtrise'!Q$5)*(Matrice!$T$21:$DP$21='Actions de maîtrise'!$C6)*(Matrice!$T$23:$DP$100="X"))=1,"X","erreur"))</f>
        <v/>
      </c>
      <c r="R6" s="276" t="str">
        <f>IF(SUMPRODUCT((Matrice!$D$23:$D$100='Actions de maîtrise'!R$5)*(Matrice!$T$21:$DP$21='Actions de maîtrise'!$C6)*(Matrice!$T$23:$DP$100="X"))=0,"",IF(SUMPRODUCT((Matrice!$D$23:$D$100='Actions de maîtrise'!R$5)*(Matrice!$T$21:$DP$21='Actions de maîtrise'!$C6)*(Matrice!$T$23:$DP$100="X"))=1,"X","erreur"))</f>
        <v/>
      </c>
      <c r="S6" s="276" t="str">
        <f>IF(SUMPRODUCT((Matrice!$D$23:$D$100='Actions de maîtrise'!S$5)*(Matrice!$T$21:$DP$21='Actions de maîtrise'!$C6)*(Matrice!$T$23:$DP$100="X"))=0,"",IF(SUMPRODUCT((Matrice!$D$23:$D$100='Actions de maîtrise'!S$5)*(Matrice!$T$21:$DP$21='Actions de maîtrise'!$C6)*(Matrice!$T$23:$DP$100="X"))=1,"X","erreur"))</f>
        <v/>
      </c>
      <c r="T6" s="276" t="str">
        <f>IF(SUMPRODUCT((Matrice!$D$23:$D$100='Actions de maîtrise'!T$5)*(Matrice!$T$21:$DP$21='Actions de maîtrise'!$C6)*(Matrice!$T$23:$DP$100="X"))=0,"",IF(SUMPRODUCT((Matrice!$D$23:$D$100='Actions de maîtrise'!T$5)*(Matrice!$T$21:$DP$21='Actions de maîtrise'!$C6)*(Matrice!$T$23:$DP$100="X"))=1,"X","erreur"))</f>
        <v/>
      </c>
      <c r="U6" s="276" t="str">
        <f>IF(SUMPRODUCT((Matrice!$D$23:$D$100='Actions de maîtrise'!U$5)*(Matrice!$T$21:$DP$21='Actions de maîtrise'!$C6)*(Matrice!$T$23:$DP$100="X"))=0,"",IF(SUMPRODUCT((Matrice!$D$23:$D$100='Actions de maîtrise'!U$5)*(Matrice!$T$21:$DP$21='Actions de maîtrise'!$C6)*(Matrice!$T$23:$DP$100="X"))=1,"X","erreur"))</f>
        <v/>
      </c>
      <c r="V6" s="276" t="str">
        <f>IF(SUMPRODUCT((Matrice!$D$23:$D$100='Actions de maîtrise'!V$5)*(Matrice!$T$21:$DP$21='Actions de maîtrise'!$C6)*(Matrice!$T$23:$DP$100="X"))=0,"",IF(SUMPRODUCT((Matrice!$D$23:$D$100='Actions de maîtrise'!V$5)*(Matrice!$T$21:$DP$21='Actions de maîtrise'!$C6)*(Matrice!$T$23:$DP$100="X"))=1,"X","erreur"))</f>
        <v/>
      </c>
      <c r="W6" s="276" t="str">
        <f>IF(SUMPRODUCT((Matrice!$D$23:$D$100='Actions de maîtrise'!W$5)*(Matrice!$T$21:$DP$21='Actions de maîtrise'!$C6)*(Matrice!$T$23:$DP$100="X"))=0,"",IF(SUMPRODUCT((Matrice!$D$23:$D$100='Actions de maîtrise'!W$5)*(Matrice!$T$21:$DP$21='Actions de maîtrise'!$C6)*(Matrice!$T$23:$DP$100="X"))=1,"X","erreur"))</f>
        <v/>
      </c>
      <c r="X6" s="276" t="str">
        <f>IF(SUMPRODUCT((Matrice!$D$23:$D$100='Actions de maîtrise'!X$5)*(Matrice!$T$21:$DP$21='Actions de maîtrise'!$C6)*(Matrice!$T$23:$DP$100="X"))=0,"",IF(SUMPRODUCT((Matrice!$D$23:$D$100='Actions de maîtrise'!X$5)*(Matrice!$T$21:$DP$21='Actions de maîtrise'!$C6)*(Matrice!$T$23:$DP$100="X"))=1,"X","erreur"))</f>
        <v/>
      </c>
      <c r="Y6" s="276" t="str">
        <f>IF(SUMPRODUCT((Matrice!$D$23:$D$100='Actions de maîtrise'!Y$5)*(Matrice!$T$21:$DP$21='Actions de maîtrise'!$C6)*(Matrice!$T$23:$DP$100="X"))=0,"",IF(SUMPRODUCT((Matrice!$D$23:$D$100='Actions de maîtrise'!Y$5)*(Matrice!$T$21:$DP$21='Actions de maîtrise'!$C6)*(Matrice!$T$23:$DP$100="X"))=1,"X","erreur"))</f>
        <v/>
      </c>
      <c r="Z6" s="276" t="str">
        <f>IF(SUMPRODUCT((Matrice!$D$23:$D$100='Actions de maîtrise'!Z$5)*(Matrice!$T$21:$DP$21='Actions de maîtrise'!$C6)*(Matrice!$T$23:$DP$100="X"))=0,"",IF(SUMPRODUCT((Matrice!$D$23:$D$100='Actions de maîtrise'!Z$5)*(Matrice!$T$21:$DP$21='Actions de maîtrise'!$C6)*(Matrice!$T$23:$DP$100="X"))=1,"X","erreur"))</f>
        <v/>
      </c>
      <c r="AA6" s="276" t="str">
        <f>IF(SUMPRODUCT((Matrice!$D$23:$D$100='Actions de maîtrise'!AA$5)*(Matrice!$T$21:$DP$21='Actions de maîtrise'!$C6)*(Matrice!$T$23:$DP$100="X"))=0,"",IF(SUMPRODUCT((Matrice!$D$23:$D$100='Actions de maîtrise'!AA$5)*(Matrice!$T$21:$DP$21='Actions de maîtrise'!$C6)*(Matrice!$T$23:$DP$100="X"))=1,"X","erreur"))</f>
        <v/>
      </c>
      <c r="AB6" s="276" t="str">
        <f>IF(SUMPRODUCT((Matrice!$D$23:$D$100='Actions de maîtrise'!AB$5)*(Matrice!$T$21:$DP$21='Actions de maîtrise'!$C6)*(Matrice!$T$23:$DP$100="X"))=0,"",IF(SUMPRODUCT((Matrice!$D$23:$D$100='Actions de maîtrise'!AB$5)*(Matrice!$T$21:$DP$21='Actions de maîtrise'!$C6)*(Matrice!$T$23:$DP$100="X"))=1,"X","erreur"))</f>
        <v/>
      </c>
      <c r="AC6" s="276" t="str">
        <f>IF(SUMPRODUCT((Matrice!$D$23:$D$100='Actions de maîtrise'!AC$5)*(Matrice!$T$21:$DP$21='Actions de maîtrise'!$C6)*(Matrice!$T$23:$DP$100="X"))=0,"",IF(SUMPRODUCT((Matrice!$D$23:$D$100='Actions de maîtrise'!AC$5)*(Matrice!$T$21:$DP$21='Actions de maîtrise'!$C6)*(Matrice!$T$23:$DP$100="X"))=1,"X","erreur"))</f>
        <v/>
      </c>
      <c r="AD6" s="276" t="str">
        <f>IF(SUMPRODUCT((Matrice!$D$23:$D$100='Actions de maîtrise'!AD$5)*(Matrice!$T$21:$DP$21='Actions de maîtrise'!$C6)*(Matrice!$T$23:$DP$100="X"))=0,"",IF(SUMPRODUCT((Matrice!$D$23:$D$100='Actions de maîtrise'!AD$5)*(Matrice!$T$21:$DP$21='Actions de maîtrise'!$C6)*(Matrice!$T$23:$DP$100="X"))=1,"X","erreur"))</f>
        <v/>
      </c>
      <c r="AE6" s="276" t="str">
        <f>IF(SUMPRODUCT((Matrice!$D$23:$D$100='Actions de maîtrise'!AE$5)*(Matrice!$T$21:$DP$21='Actions de maîtrise'!$C6)*(Matrice!$T$23:$DP$100="X"))=0,"",IF(SUMPRODUCT((Matrice!$D$23:$D$100='Actions de maîtrise'!AE$5)*(Matrice!$T$21:$DP$21='Actions de maîtrise'!$C6)*(Matrice!$T$23:$DP$100="X"))=1,"X","erreur"))</f>
        <v/>
      </c>
      <c r="AF6" s="276" t="str">
        <f>IF(SUMPRODUCT((Matrice!$D$23:$D$100='Actions de maîtrise'!AF$5)*(Matrice!$T$21:$DP$21='Actions de maîtrise'!$C6)*(Matrice!$T$23:$DP$100="X"))=0,"",IF(SUMPRODUCT((Matrice!$D$23:$D$100='Actions de maîtrise'!AF$5)*(Matrice!$T$21:$DP$21='Actions de maîtrise'!$C6)*(Matrice!$T$23:$DP$100="X"))=1,"X","erreur"))</f>
        <v/>
      </c>
      <c r="AG6" s="276" t="str">
        <f>IF(SUMPRODUCT((Matrice!$D$23:$D$100='Actions de maîtrise'!AG$5)*(Matrice!$T$21:$DP$21='Actions de maîtrise'!$C6)*(Matrice!$T$23:$DP$100="X"))=0,"",IF(SUMPRODUCT((Matrice!$D$23:$D$100='Actions de maîtrise'!AG$5)*(Matrice!$T$21:$DP$21='Actions de maîtrise'!$C6)*(Matrice!$T$23:$DP$100="X"))=1,"X","erreur"))</f>
        <v/>
      </c>
    </row>
    <row r="7" spans="2:33" ht="18.75" customHeight="1" x14ac:dyDescent="0.2">
      <c r="B7" s="309" t="str">
        <f>IF((COUNTIF(Matrice!$2:$2,Matrice!$G$1&amp;"-AM"&amp;Listes!A3)=1)=TRUE,Matrice!$G$1&amp;"-AM"&amp;Listes!A3,"")</f>
        <v/>
      </c>
      <c r="C7" s="178" t="str">
        <f>IF(IF(ISERROR(HLOOKUP(B7,Matrice!$A$2:$DP$100,20,FALSE)),"",HLOOKUP(B7,Matrice!$A$2:$DP$100,20,FALSE))="","",IF(ISERROR(HLOOKUP(B7,Matrice!$A$2:$DP$100,20,FALSE)),"-",HLOOKUP(B7,Matrice!$A$2:$DP$100,20,FALSE)))</f>
        <v/>
      </c>
      <c r="D7" s="179" t="str">
        <f>IF(IF(ISERROR(HLOOKUP(B7,Matrice!$A$2:$DP$100,3,FALSE)),"",HLOOKUP(B7,Matrice!$A$2:$DP$100,3,FALSE))="","",IF(ISERROR(HLOOKUP(B7,Matrice!$A$2:$DP$100,3,FALSE)),"-",HLOOKUP(B7,Matrice!$A$2:$DP$100,3,FALSE)))</f>
        <v/>
      </c>
      <c r="E7" s="305"/>
      <c r="F7" s="179" t="str">
        <f>IF(ISERROR(HLOOKUP($B7,Matrice!$A$2:$DP$100,4,FALSE)),"",IF(HLOOKUP($B7,Matrice!$A$2:$DP$100,4,FALSE)="","",HLOOKUP($B7,Matrice!$A$2:$DP$100,4,FALSE)))</f>
        <v/>
      </c>
      <c r="G7" s="179" t="str">
        <f>IF(ISERROR(HLOOKUP($B7,Matrice!$A$2:$DP$100,5,FALSE)),"",IF(HLOOKUP($B7,Matrice!$A$2:$DP$100,5,FALSE)="","",HLOOKUP($B7,Matrice!$A$2:$DP$100,5,FALSE)))</f>
        <v/>
      </c>
      <c r="H7" s="179" t="str">
        <f>IF(ISERROR(HLOOKUP($B7,Matrice!$A$2:$DP$100,6,FALSE)),"",IF(HLOOKUP($B7,Matrice!$A$2:$DP$100,6,FALSE)="","",HLOOKUP($B7,Matrice!$A$2:$DP$100,6,FALSE)))</f>
        <v/>
      </c>
      <c r="I7" s="179" t="str">
        <f>IF(ISERROR(HLOOKUP($B8,Matrice!$A$2:$DP$100,7,FALSE)),"",IF(HLOOKUP($B8,Matrice!$A$2:$DP$100,7,FALSE)="","",HLOOKUP($B8,Matrice!$A$2:$DP$100,7,FALSE)))</f>
        <v/>
      </c>
      <c r="J7" s="277" t="str">
        <f>IF(ISERROR(HLOOKUP($B7,Matrice!$A$2:$DP$100,12,FALSE)),"",IF(HLOOKUP($B7,Matrice!$A$2:$DP$100,12,FALSE)="","",HLOOKUP($B7,Matrice!$A$2:$DP$100,12,FALSE)))</f>
        <v/>
      </c>
      <c r="K7" s="277" t="str">
        <f>IF(ISERROR(HLOOKUP($B7,Matrice!$A$2:$DP$100,13,FALSE)),"",IF(HLOOKUP($B7,Matrice!$A$2:$DP$100,13,FALSE)="","",HLOOKUP($B7,Matrice!$A$2:$DP$100,13,FALSE)))</f>
        <v/>
      </c>
      <c r="L7" s="333" t="str">
        <f>IF(ISERROR(HLOOKUP($B7,Matrice!$A$2:$DP$100,9,FALSE)),"",IF(HLOOKUP($B7,Matrice!$A$2:$DP$100,9,FALSE)="","",HLOOKUP($B7,Matrice!$A$2:$DP$100,9,FALSE)))</f>
        <v/>
      </c>
      <c r="M7" s="333" t="str">
        <f>IF(ISERROR(HLOOKUP($B7,Matrice!$A$2:$DP$100,10,FALSE)),"",IF(HLOOKUP($B7,Matrice!$A$2:$DP$100,10,FALSE)="","",HLOOKUP($B7,Matrice!$A$2:$DP$100,10,FALSE)))</f>
        <v/>
      </c>
      <c r="N7" s="333" t="str">
        <f>IF(ISERROR(HLOOKUP($B7,Matrice!$A$2:$DP$100,11,FALSE)),"",IF(HLOOKUP($B7,Matrice!$A$2:$DP$100,11,FALSE)="","",HLOOKUP($B7,Matrice!$A$2:$DP$100,11,FALSE)))</f>
        <v/>
      </c>
      <c r="P7" s="276" t="str">
        <f>IF(SUMPRODUCT((Matrice!$D$23:$D$100='Actions de maîtrise'!P$5)*(Matrice!$T$21:$DP$21='Actions de maîtrise'!$C7)*(Matrice!$T$23:$DP$100="X"))=0,"",IF(SUMPRODUCT((Matrice!$D$23:$D$100='Actions de maîtrise'!P$5)*(Matrice!$T$21:$DP$21='Actions de maîtrise'!$C7)*(Matrice!$T$23:$DP$100="X"))=1,"X","erreur"))</f>
        <v/>
      </c>
      <c r="Q7" s="276" t="str">
        <f>IF(SUMPRODUCT((Matrice!$D$23:$D$100='Actions de maîtrise'!Q$5)*(Matrice!$T$21:$DP$21='Actions de maîtrise'!$C7)*(Matrice!$T$23:$DP$100="X"))=0,"",IF(SUMPRODUCT((Matrice!$D$23:$D$100='Actions de maîtrise'!Q$5)*(Matrice!$T$21:$DP$21='Actions de maîtrise'!$C7)*(Matrice!$T$23:$DP$100="X"))=1,"X","erreur"))</f>
        <v/>
      </c>
      <c r="R7" s="276" t="str">
        <f>IF(SUMPRODUCT((Matrice!$D$23:$D$100='Actions de maîtrise'!R$5)*(Matrice!$T$21:$DP$21='Actions de maîtrise'!$C7)*(Matrice!$T$23:$DP$100="X"))=0,"",IF(SUMPRODUCT((Matrice!$D$23:$D$100='Actions de maîtrise'!R$5)*(Matrice!$T$21:$DP$21='Actions de maîtrise'!$C7)*(Matrice!$T$23:$DP$100="X"))=1,"X","erreur"))</f>
        <v/>
      </c>
      <c r="S7" s="276" t="str">
        <f>IF(SUMPRODUCT((Matrice!$D$23:$D$100='Actions de maîtrise'!S$5)*(Matrice!$T$21:$DP$21='Actions de maîtrise'!$C7)*(Matrice!$T$23:$DP$100="X"))=0,"",IF(SUMPRODUCT((Matrice!$D$23:$D$100='Actions de maîtrise'!S$5)*(Matrice!$T$21:$DP$21='Actions de maîtrise'!$C7)*(Matrice!$T$23:$DP$100="X"))=1,"X","erreur"))</f>
        <v/>
      </c>
      <c r="T7" s="276" t="str">
        <f>IF(SUMPRODUCT((Matrice!$D$23:$D$100='Actions de maîtrise'!T$5)*(Matrice!$T$21:$DP$21='Actions de maîtrise'!$C7)*(Matrice!$T$23:$DP$100="X"))=0,"",IF(SUMPRODUCT((Matrice!$D$23:$D$100='Actions de maîtrise'!T$5)*(Matrice!$T$21:$DP$21='Actions de maîtrise'!$C7)*(Matrice!$T$23:$DP$100="X"))=1,"X","erreur"))</f>
        <v/>
      </c>
      <c r="U7" s="276" t="str">
        <f>IF(SUMPRODUCT((Matrice!$D$23:$D$100='Actions de maîtrise'!U$5)*(Matrice!$T$21:$DP$21='Actions de maîtrise'!$C7)*(Matrice!$T$23:$DP$100="X"))=0,"",IF(SUMPRODUCT((Matrice!$D$23:$D$100='Actions de maîtrise'!U$5)*(Matrice!$T$21:$DP$21='Actions de maîtrise'!$C7)*(Matrice!$T$23:$DP$100="X"))=1,"X","erreur"))</f>
        <v/>
      </c>
      <c r="V7" s="276" t="str">
        <f>IF(SUMPRODUCT((Matrice!$D$23:$D$100='Actions de maîtrise'!V$5)*(Matrice!$T$21:$DP$21='Actions de maîtrise'!$C7)*(Matrice!$T$23:$DP$100="X"))=0,"",IF(SUMPRODUCT((Matrice!$D$23:$D$100='Actions de maîtrise'!V$5)*(Matrice!$T$21:$DP$21='Actions de maîtrise'!$C7)*(Matrice!$T$23:$DP$100="X"))=1,"X","erreur"))</f>
        <v/>
      </c>
      <c r="W7" s="276" t="str">
        <f>IF(SUMPRODUCT((Matrice!$D$23:$D$100='Actions de maîtrise'!W$5)*(Matrice!$T$21:$DP$21='Actions de maîtrise'!$C7)*(Matrice!$T$23:$DP$100="X"))=0,"",IF(SUMPRODUCT((Matrice!$D$23:$D$100='Actions de maîtrise'!W$5)*(Matrice!$T$21:$DP$21='Actions de maîtrise'!$C7)*(Matrice!$T$23:$DP$100="X"))=1,"X","erreur"))</f>
        <v/>
      </c>
      <c r="X7" s="276" t="str">
        <f>IF(SUMPRODUCT((Matrice!$D$23:$D$100='Actions de maîtrise'!X$5)*(Matrice!$T$21:$DP$21='Actions de maîtrise'!$C7)*(Matrice!$T$23:$DP$100="X"))=0,"",IF(SUMPRODUCT((Matrice!$D$23:$D$100='Actions de maîtrise'!X$5)*(Matrice!$T$21:$DP$21='Actions de maîtrise'!$C7)*(Matrice!$T$23:$DP$100="X"))=1,"X","erreur"))</f>
        <v/>
      </c>
      <c r="Y7" s="276" t="str">
        <f>IF(SUMPRODUCT((Matrice!$D$23:$D$100='Actions de maîtrise'!Y$5)*(Matrice!$T$21:$DP$21='Actions de maîtrise'!$C7)*(Matrice!$T$23:$DP$100="X"))=0,"",IF(SUMPRODUCT((Matrice!$D$23:$D$100='Actions de maîtrise'!Y$5)*(Matrice!$T$21:$DP$21='Actions de maîtrise'!$C7)*(Matrice!$T$23:$DP$100="X"))=1,"X","erreur"))</f>
        <v/>
      </c>
      <c r="Z7" s="276" t="str">
        <f>IF(SUMPRODUCT((Matrice!$D$23:$D$100='Actions de maîtrise'!Z$5)*(Matrice!$T$21:$DP$21='Actions de maîtrise'!$C7)*(Matrice!$T$23:$DP$100="X"))=0,"",IF(SUMPRODUCT((Matrice!$D$23:$D$100='Actions de maîtrise'!Z$5)*(Matrice!$T$21:$DP$21='Actions de maîtrise'!$C7)*(Matrice!$T$23:$DP$100="X"))=1,"X","erreur"))</f>
        <v/>
      </c>
      <c r="AA7" s="276" t="str">
        <f>IF(SUMPRODUCT((Matrice!$D$23:$D$100='Actions de maîtrise'!AA$5)*(Matrice!$T$21:$DP$21='Actions de maîtrise'!$C7)*(Matrice!$T$23:$DP$100="X"))=0,"",IF(SUMPRODUCT((Matrice!$D$23:$D$100='Actions de maîtrise'!AA$5)*(Matrice!$T$21:$DP$21='Actions de maîtrise'!$C7)*(Matrice!$T$23:$DP$100="X"))=1,"X","erreur"))</f>
        <v/>
      </c>
      <c r="AB7" s="276" t="str">
        <f>IF(SUMPRODUCT((Matrice!$D$23:$D$100='Actions de maîtrise'!AB$5)*(Matrice!$T$21:$DP$21='Actions de maîtrise'!$C7)*(Matrice!$T$23:$DP$100="X"))=0,"",IF(SUMPRODUCT((Matrice!$D$23:$D$100='Actions de maîtrise'!AB$5)*(Matrice!$T$21:$DP$21='Actions de maîtrise'!$C7)*(Matrice!$T$23:$DP$100="X"))=1,"X","erreur"))</f>
        <v/>
      </c>
      <c r="AC7" s="276" t="str">
        <f>IF(SUMPRODUCT((Matrice!$D$23:$D$100='Actions de maîtrise'!AC$5)*(Matrice!$T$21:$DP$21='Actions de maîtrise'!$C7)*(Matrice!$T$23:$DP$100="X"))=0,"",IF(SUMPRODUCT((Matrice!$D$23:$D$100='Actions de maîtrise'!AC$5)*(Matrice!$T$21:$DP$21='Actions de maîtrise'!$C7)*(Matrice!$T$23:$DP$100="X"))=1,"X","erreur"))</f>
        <v/>
      </c>
      <c r="AD7" s="276" t="str">
        <f>IF(SUMPRODUCT((Matrice!$D$23:$D$100='Actions de maîtrise'!AD$5)*(Matrice!$T$21:$DP$21='Actions de maîtrise'!$C7)*(Matrice!$T$23:$DP$100="X"))=0,"",IF(SUMPRODUCT((Matrice!$D$23:$D$100='Actions de maîtrise'!AD$5)*(Matrice!$T$21:$DP$21='Actions de maîtrise'!$C7)*(Matrice!$T$23:$DP$100="X"))=1,"X","erreur"))</f>
        <v/>
      </c>
      <c r="AE7" s="276" t="str">
        <f>IF(SUMPRODUCT((Matrice!$D$23:$D$100='Actions de maîtrise'!AE$5)*(Matrice!$T$21:$DP$21='Actions de maîtrise'!$C7)*(Matrice!$T$23:$DP$100="X"))=0,"",IF(SUMPRODUCT((Matrice!$D$23:$D$100='Actions de maîtrise'!AE$5)*(Matrice!$T$21:$DP$21='Actions de maîtrise'!$C7)*(Matrice!$T$23:$DP$100="X"))=1,"X","erreur"))</f>
        <v/>
      </c>
      <c r="AF7" s="276" t="str">
        <f>IF(SUMPRODUCT((Matrice!$D$23:$D$100='Actions de maîtrise'!AF$5)*(Matrice!$T$21:$DP$21='Actions de maîtrise'!$C7)*(Matrice!$T$23:$DP$100="X"))=0,"",IF(SUMPRODUCT((Matrice!$D$23:$D$100='Actions de maîtrise'!AF$5)*(Matrice!$T$21:$DP$21='Actions de maîtrise'!$C7)*(Matrice!$T$23:$DP$100="X"))=1,"X","erreur"))</f>
        <v/>
      </c>
      <c r="AG7" s="276" t="str">
        <f>IF(SUMPRODUCT((Matrice!$D$23:$D$100='Actions de maîtrise'!AG$5)*(Matrice!$T$21:$DP$21='Actions de maîtrise'!$C7)*(Matrice!$T$23:$DP$100="X"))=0,"",IF(SUMPRODUCT((Matrice!$D$23:$D$100='Actions de maîtrise'!AG$5)*(Matrice!$T$21:$DP$21='Actions de maîtrise'!$C7)*(Matrice!$T$23:$DP$100="X"))=1,"X","erreur"))</f>
        <v/>
      </c>
    </row>
    <row r="8" spans="2:33" ht="16.5" customHeight="1" x14ac:dyDescent="0.2">
      <c r="B8" s="309" t="str">
        <f>IF((COUNTIF(Matrice!$2:$2,Matrice!$G$1&amp;"-AM"&amp;Listes!A4)=1)=TRUE,Matrice!$G$1&amp;"-AM"&amp;Listes!A4,"")</f>
        <v/>
      </c>
      <c r="C8" s="178" t="str">
        <f>IF(IF(ISERROR(HLOOKUP(B8,Matrice!$A$2:$DP$100,20,FALSE)),"",HLOOKUP(B8,Matrice!$A$2:$DP$100,20,FALSE))="","",IF(ISERROR(HLOOKUP(B8,Matrice!$A$2:$DP$100,20,FALSE)),"-",HLOOKUP(B8,Matrice!$A$2:$DP$100,20,FALSE)))</f>
        <v/>
      </c>
      <c r="D8" s="179" t="str">
        <f>IF(IF(ISERROR(HLOOKUP(B8,Matrice!$A$2:$DP$100,3,FALSE)),"",HLOOKUP(B8,Matrice!$A$2:$DP$100,3,FALSE))="","",IF(ISERROR(HLOOKUP(B8,Matrice!$A$2:$DP$100,3,FALSE)),"-",HLOOKUP(B8,Matrice!$A$2:$DP$100,3,FALSE)))</f>
        <v/>
      </c>
      <c r="E8" s="305"/>
      <c r="F8" s="179" t="str">
        <f>IF(ISERROR(HLOOKUP($B8,Matrice!$A$2:$DP$100,4,FALSE)),"",IF(HLOOKUP($B8,Matrice!$A$2:$DP$100,4,FALSE)="","",HLOOKUP($B8,Matrice!$A$2:$DP$100,4,FALSE)))</f>
        <v/>
      </c>
      <c r="G8" s="179" t="str">
        <f>IF(ISERROR(HLOOKUP($B8,Matrice!$A$2:$DP$100,5,FALSE)),"",IF(HLOOKUP($B8,Matrice!$A$2:$DP$100,5,FALSE)="","",HLOOKUP($B8,Matrice!$A$2:$DP$100,5,FALSE)))</f>
        <v/>
      </c>
      <c r="H8" s="179" t="str">
        <f>IF(ISERROR(HLOOKUP($B8,Matrice!$A$2:$DP$100,6,FALSE)),"",IF(HLOOKUP($B8,Matrice!$A$2:$DP$100,6,FALSE)="","",HLOOKUP($B8,Matrice!$A$2:$DP$100,6,FALSE)))</f>
        <v/>
      </c>
      <c r="I8" s="179" t="str">
        <f>IF(ISERROR(HLOOKUP($B9,Matrice!$A$2:$DP$100,7,FALSE)),"",IF(HLOOKUP($B9,Matrice!$A$2:$DP$100,7,FALSE)="","",HLOOKUP($B9,Matrice!$A$2:$DP$100,7,FALSE)))</f>
        <v/>
      </c>
      <c r="J8" s="277" t="str">
        <f>IF(ISERROR(HLOOKUP($B8,Matrice!$A$2:$DP$100,12,FALSE)),"",IF(HLOOKUP($B8,Matrice!$A$2:$DP$100,12,FALSE)="","",HLOOKUP($B8,Matrice!$A$2:$DP$100,12,FALSE)))</f>
        <v/>
      </c>
      <c r="K8" s="277" t="str">
        <f>IF(ISERROR(HLOOKUP($B8,Matrice!$A$2:$DP$100,13,FALSE)),"",IF(HLOOKUP($B8,Matrice!$A$2:$DP$100,13,FALSE)="","",HLOOKUP($B8,Matrice!$A$2:$DP$100,13,FALSE)))</f>
        <v/>
      </c>
      <c r="L8" s="333" t="str">
        <f>IF(ISERROR(HLOOKUP($B8,Matrice!$A$2:$DP$100,9,FALSE)),"",IF(HLOOKUP($B8,Matrice!$A$2:$DP$100,9,FALSE)="","",HLOOKUP($B8,Matrice!$A$2:$DP$100,9,FALSE)))</f>
        <v/>
      </c>
      <c r="M8" s="333" t="str">
        <f>IF(ISERROR(HLOOKUP($B8,Matrice!$A$2:$DP$100,10,FALSE)),"",IF(HLOOKUP($B8,Matrice!$A$2:$DP$100,10,FALSE)="","",HLOOKUP($B8,Matrice!$A$2:$DP$100,10,FALSE)))</f>
        <v/>
      </c>
      <c r="N8" s="333" t="str">
        <f>IF(ISERROR(HLOOKUP($B8,Matrice!$A$2:$DP$100,11,FALSE)),"",IF(HLOOKUP($B8,Matrice!$A$2:$DP$100,11,FALSE)="","",HLOOKUP($B8,Matrice!$A$2:$DP$100,11,FALSE)))</f>
        <v/>
      </c>
      <c r="P8" s="276" t="str">
        <f>IF(SUMPRODUCT((Matrice!$D$23:$D$100='Actions de maîtrise'!P$5)*(Matrice!$T$21:$DP$21='Actions de maîtrise'!$C8)*(Matrice!$T$23:$DP$100="X"))=0,"",IF(SUMPRODUCT((Matrice!$D$23:$D$100='Actions de maîtrise'!P$5)*(Matrice!$T$21:$DP$21='Actions de maîtrise'!$C8)*(Matrice!$T$23:$DP$100="X"))=1,"X","erreur"))</f>
        <v/>
      </c>
      <c r="Q8" s="276" t="str">
        <f>IF(SUMPRODUCT((Matrice!$D$23:$D$100='Actions de maîtrise'!Q$5)*(Matrice!$T$21:$DP$21='Actions de maîtrise'!$C8)*(Matrice!$T$23:$DP$100="X"))=0,"",IF(SUMPRODUCT((Matrice!$D$23:$D$100='Actions de maîtrise'!Q$5)*(Matrice!$T$21:$DP$21='Actions de maîtrise'!$C8)*(Matrice!$T$23:$DP$100="X"))=1,"X","erreur"))</f>
        <v/>
      </c>
      <c r="R8" s="276" t="str">
        <f>IF(SUMPRODUCT((Matrice!$D$23:$D$100='Actions de maîtrise'!R$5)*(Matrice!$T$21:$DP$21='Actions de maîtrise'!$C8)*(Matrice!$T$23:$DP$100="X"))=0,"",IF(SUMPRODUCT((Matrice!$D$23:$D$100='Actions de maîtrise'!R$5)*(Matrice!$T$21:$DP$21='Actions de maîtrise'!$C8)*(Matrice!$T$23:$DP$100="X"))=1,"X","erreur"))</f>
        <v/>
      </c>
      <c r="S8" s="276" t="str">
        <f>IF(SUMPRODUCT((Matrice!$D$23:$D$100='Actions de maîtrise'!S$5)*(Matrice!$T$21:$DP$21='Actions de maîtrise'!$C8)*(Matrice!$T$23:$DP$100="X"))=0,"",IF(SUMPRODUCT((Matrice!$D$23:$D$100='Actions de maîtrise'!S$5)*(Matrice!$T$21:$DP$21='Actions de maîtrise'!$C8)*(Matrice!$T$23:$DP$100="X"))=1,"X","erreur"))</f>
        <v/>
      </c>
      <c r="T8" s="276" t="str">
        <f>IF(SUMPRODUCT((Matrice!$D$23:$D$100='Actions de maîtrise'!T$5)*(Matrice!$T$21:$DP$21='Actions de maîtrise'!$C8)*(Matrice!$T$23:$DP$100="X"))=0,"",IF(SUMPRODUCT((Matrice!$D$23:$D$100='Actions de maîtrise'!T$5)*(Matrice!$T$21:$DP$21='Actions de maîtrise'!$C8)*(Matrice!$T$23:$DP$100="X"))=1,"X","erreur"))</f>
        <v/>
      </c>
      <c r="U8" s="276" t="str">
        <f>IF(SUMPRODUCT((Matrice!$D$23:$D$100='Actions de maîtrise'!U$5)*(Matrice!$T$21:$DP$21='Actions de maîtrise'!$C8)*(Matrice!$T$23:$DP$100="X"))=0,"",IF(SUMPRODUCT((Matrice!$D$23:$D$100='Actions de maîtrise'!U$5)*(Matrice!$T$21:$DP$21='Actions de maîtrise'!$C8)*(Matrice!$T$23:$DP$100="X"))=1,"X","erreur"))</f>
        <v/>
      </c>
      <c r="V8" s="276" t="str">
        <f>IF(SUMPRODUCT((Matrice!$D$23:$D$100='Actions de maîtrise'!V$5)*(Matrice!$T$21:$DP$21='Actions de maîtrise'!$C8)*(Matrice!$T$23:$DP$100="X"))=0,"",IF(SUMPRODUCT((Matrice!$D$23:$D$100='Actions de maîtrise'!V$5)*(Matrice!$T$21:$DP$21='Actions de maîtrise'!$C8)*(Matrice!$T$23:$DP$100="X"))=1,"X","erreur"))</f>
        <v/>
      </c>
      <c r="W8" s="276" t="str">
        <f>IF(SUMPRODUCT((Matrice!$D$23:$D$100='Actions de maîtrise'!W$5)*(Matrice!$T$21:$DP$21='Actions de maîtrise'!$C8)*(Matrice!$T$23:$DP$100="X"))=0,"",IF(SUMPRODUCT((Matrice!$D$23:$D$100='Actions de maîtrise'!W$5)*(Matrice!$T$21:$DP$21='Actions de maîtrise'!$C8)*(Matrice!$T$23:$DP$100="X"))=1,"X","erreur"))</f>
        <v/>
      </c>
      <c r="X8" s="276" t="str">
        <f>IF(SUMPRODUCT((Matrice!$D$23:$D$100='Actions de maîtrise'!X$5)*(Matrice!$T$21:$DP$21='Actions de maîtrise'!$C8)*(Matrice!$T$23:$DP$100="X"))=0,"",IF(SUMPRODUCT((Matrice!$D$23:$D$100='Actions de maîtrise'!X$5)*(Matrice!$T$21:$DP$21='Actions de maîtrise'!$C8)*(Matrice!$T$23:$DP$100="X"))=1,"X","erreur"))</f>
        <v/>
      </c>
      <c r="Y8" s="276" t="str">
        <f>IF(SUMPRODUCT((Matrice!$D$23:$D$100='Actions de maîtrise'!Y$5)*(Matrice!$T$21:$DP$21='Actions de maîtrise'!$C8)*(Matrice!$T$23:$DP$100="X"))=0,"",IF(SUMPRODUCT((Matrice!$D$23:$D$100='Actions de maîtrise'!Y$5)*(Matrice!$T$21:$DP$21='Actions de maîtrise'!$C8)*(Matrice!$T$23:$DP$100="X"))=1,"X","erreur"))</f>
        <v/>
      </c>
      <c r="Z8" s="276" t="str">
        <f>IF(SUMPRODUCT((Matrice!$D$23:$D$100='Actions de maîtrise'!Z$5)*(Matrice!$T$21:$DP$21='Actions de maîtrise'!$C8)*(Matrice!$T$23:$DP$100="X"))=0,"",IF(SUMPRODUCT((Matrice!$D$23:$D$100='Actions de maîtrise'!Z$5)*(Matrice!$T$21:$DP$21='Actions de maîtrise'!$C8)*(Matrice!$T$23:$DP$100="X"))=1,"X","erreur"))</f>
        <v/>
      </c>
      <c r="AA8" s="276" t="str">
        <f>IF(SUMPRODUCT((Matrice!$D$23:$D$100='Actions de maîtrise'!AA$5)*(Matrice!$T$21:$DP$21='Actions de maîtrise'!$C8)*(Matrice!$T$23:$DP$100="X"))=0,"",IF(SUMPRODUCT((Matrice!$D$23:$D$100='Actions de maîtrise'!AA$5)*(Matrice!$T$21:$DP$21='Actions de maîtrise'!$C8)*(Matrice!$T$23:$DP$100="X"))=1,"X","erreur"))</f>
        <v/>
      </c>
      <c r="AB8" s="276" t="str">
        <f>IF(SUMPRODUCT((Matrice!$D$23:$D$100='Actions de maîtrise'!AB$5)*(Matrice!$T$21:$DP$21='Actions de maîtrise'!$C8)*(Matrice!$T$23:$DP$100="X"))=0,"",IF(SUMPRODUCT((Matrice!$D$23:$D$100='Actions de maîtrise'!AB$5)*(Matrice!$T$21:$DP$21='Actions de maîtrise'!$C8)*(Matrice!$T$23:$DP$100="X"))=1,"X","erreur"))</f>
        <v/>
      </c>
      <c r="AC8" s="276" t="str">
        <f>IF(SUMPRODUCT((Matrice!$D$23:$D$100='Actions de maîtrise'!AC$5)*(Matrice!$T$21:$DP$21='Actions de maîtrise'!$C8)*(Matrice!$T$23:$DP$100="X"))=0,"",IF(SUMPRODUCT((Matrice!$D$23:$D$100='Actions de maîtrise'!AC$5)*(Matrice!$T$21:$DP$21='Actions de maîtrise'!$C8)*(Matrice!$T$23:$DP$100="X"))=1,"X","erreur"))</f>
        <v/>
      </c>
      <c r="AD8" s="276" t="str">
        <f>IF(SUMPRODUCT((Matrice!$D$23:$D$100='Actions de maîtrise'!AD$5)*(Matrice!$T$21:$DP$21='Actions de maîtrise'!$C8)*(Matrice!$T$23:$DP$100="X"))=0,"",IF(SUMPRODUCT((Matrice!$D$23:$D$100='Actions de maîtrise'!AD$5)*(Matrice!$T$21:$DP$21='Actions de maîtrise'!$C8)*(Matrice!$T$23:$DP$100="X"))=1,"X","erreur"))</f>
        <v/>
      </c>
      <c r="AE8" s="276" t="str">
        <f>IF(SUMPRODUCT((Matrice!$D$23:$D$100='Actions de maîtrise'!AE$5)*(Matrice!$T$21:$DP$21='Actions de maîtrise'!$C8)*(Matrice!$T$23:$DP$100="X"))=0,"",IF(SUMPRODUCT((Matrice!$D$23:$D$100='Actions de maîtrise'!AE$5)*(Matrice!$T$21:$DP$21='Actions de maîtrise'!$C8)*(Matrice!$T$23:$DP$100="X"))=1,"X","erreur"))</f>
        <v/>
      </c>
      <c r="AF8" s="276" t="str">
        <f>IF(SUMPRODUCT((Matrice!$D$23:$D$100='Actions de maîtrise'!AF$5)*(Matrice!$T$21:$DP$21='Actions de maîtrise'!$C8)*(Matrice!$T$23:$DP$100="X"))=0,"",IF(SUMPRODUCT((Matrice!$D$23:$D$100='Actions de maîtrise'!AF$5)*(Matrice!$T$21:$DP$21='Actions de maîtrise'!$C8)*(Matrice!$T$23:$DP$100="X"))=1,"X","erreur"))</f>
        <v/>
      </c>
      <c r="AG8" s="276" t="str">
        <f>IF(SUMPRODUCT((Matrice!$D$23:$D$100='Actions de maîtrise'!AG$5)*(Matrice!$T$21:$DP$21='Actions de maîtrise'!$C8)*(Matrice!$T$23:$DP$100="X"))=0,"",IF(SUMPRODUCT((Matrice!$D$23:$D$100='Actions de maîtrise'!AG$5)*(Matrice!$T$21:$DP$21='Actions de maîtrise'!$C8)*(Matrice!$T$23:$DP$100="X"))=1,"X","erreur"))</f>
        <v/>
      </c>
    </row>
    <row r="9" spans="2:33" ht="18" customHeight="1" x14ac:dyDescent="0.2">
      <c r="B9" s="309" t="str">
        <f>IF((COUNTIF(Matrice!$2:$2,Matrice!$G$1&amp;"-AM"&amp;Listes!A5)=1)=TRUE,Matrice!$G$1&amp;"-AM"&amp;Listes!A5,"")</f>
        <v/>
      </c>
      <c r="C9" s="178" t="str">
        <f>IF(IF(ISERROR(HLOOKUP(B9,Matrice!$A$2:$DP$100,20,FALSE)),"",HLOOKUP(B9,Matrice!$A$2:$DP$100,20,FALSE))="","",IF(ISERROR(HLOOKUP(B9,Matrice!$A$2:$DP$100,20,FALSE)),"-",HLOOKUP(B9,Matrice!$A$2:$DP$100,20,FALSE)))</f>
        <v/>
      </c>
      <c r="D9" s="179" t="str">
        <f>IF(IF(ISERROR(HLOOKUP(B9,Matrice!$A$2:$DP$100,3,FALSE)),"",HLOOKUP(B9,Matrice!$A$2:$DP$100,3,FALSE))="","",IF(ISERROR(HLOOKUP(B9,Matrice!$A$2:$DP$100,3,FALSE)),"-",HLOOKUP(B9,Matrice!$A$2:$DP$100,3,FALSE)))</f>
        <v/>
      </c>
      <c r="E9" s="305"/>
      <c r="F9" s="179" t="str">
        <f>IF(ISERROR(HLOOKUP($B9,Matrice!$A$2:$DP$100,4,FALSE)),"",IF(HLOOKUP($B9,Matrice!$A$2:$DP$100,4,FALSE)="","",HLOOKUP($B9,Matrice!$A$2:$DP$100,4,FALSE)))</f>
        <v/>
      </c>
      <c r="G9" s="179" t="str">
        <f>IF(ISERROR(HLOOKUP($B9,Matrice!$A$2:$DP$100,5,FALSE)),"",IF(HLOOKUP($B9,Matrice!$A$2:$DP$100,5,FALSE)="","",HLOOKUP($B9,Matrice!$A$2:$DP$100,5,FALSE)))</f>
        <v/>
      </c>
      <c r="H9" s="179" t="str">
        <f>IF(ISERROR(HLOOKUP($B9,Matrice!$A$2:$DP$100,6,FALSE)),"",IF(HLOOKUP($B9,Matrice!$A$2:$DP$100,6,FALSE)="","",HLOOKUP($B9,Matrice!$A$2:$DP$100,6,FALSE)))</f>
        <v/>
      </c>
      <c r="I9" s="179" t="str">
        <f>IF(ISERROR(HLOOKUP($B10,Matrice!$A$2:$DP$100,7,FALSE)),"",IF(HLOOKUP($B10,Matrice!$A$2:$DP$100,7,FALSE)="","",HLOOKUP($B10,Matrice!$A$2:$DP$100,7,FALSE)))</f>
        <v/>
      </c>
      <c r="J9" s="277" t="str">
        <f>IF(ISERROR(HLOOKUP($B9,Matrice!$A$2:$DP$100,12,FALSE)),"",IF(HLOOKUP($B9,Matrice!$A$2:$DP$100,12,FALSE)="","",HLOOKUP($B9,Matrice!$A$2:$DP$100,12,FALSE)))</f>
        <v/>
      </c>
      <c r="K9" s="277" t="str">
        <f>IF(ISERROR(HLOOKUP($B9,Matrice!$A$2:$DP$100,13,FALSE)),"",IF(HLOOKUP($B9,Matrice!$A$2:$DP$100,13,FALSE)="","",HLOOKUP($B9,Matrice!$A$2:$DP$100,13,FALSE)))</f>
        <v/>
      </c>
      <c r="L9" s="333" t="str">
        <f>IF(ISERROR(HLOOKUP($B9,Matrice!$A$2:$DP$100,9,FALSE)),"",IF(HLOOKUP($B9,Matrice!$A$2:$DP$100,9,FALSE)="","",HLOOKUP($B9,Matrice!$A$2:$DP$100,9,FALSE)))</f>
        <v/>
      </c>
      <c r="M9" s="333" t="str">
        <f>IF(ISERROR(HLOOKUP($B9,Matrice!$A$2:$DP$100,10,FALSE)),"",IF(HLOOKUP($B9,Matrice!$A$2:$DP$100,10,FALSE)="","",HLOOKUP($B9,Matrice!$A$2:$DP$100,10,FALSE)))</f>
        <v/>
      </c>
      <c r="N9" s="333" t="str">
        <f>IF(ISERROR(HLOOKUP($B9,Matrice!$A$2:$DP$100,11,FALSE)),"",IF(HLOOKUP($B9,Matrice!$A$2:$DP$100,11,FALSE)="","",HLOOKUP($B9,Matrice!$A$2:$DP$100,11,FALSE)))</f>
        <v/>
      </c>
      <c r="P9" s="276" t="str">
        <f>IF(SUMPRODUCT((Matrice!$D$23:$D$100='Actions de maîtrise'!P$5)*(Matrice!$T$21:$DP$21='Actions de maîtrise'!$C9)*(Matrice!$T$23:$DP$100="X"))=0,"",IF(SUMPRODUCT((Matrice!$D$23:$D$100='Actions de maîtrise'!P$5)*(Matrice!$T$21:$DP$21='Actions de maîtrise'!$C9)*(Matrice!$T$23:$DP$100="X"))=1,"X","erreur"))</f>
        <v/>
      </c>
      <c r="Q9" s="276" t="str">
        <f>IF(SUMPRODUCT((Matrice!$D$23:$D$100='Actions de maîtrise'!Q$5)*(Matrice!$T$21:$DP$21='Actions de maîtrise'!$C9)*(Matrice!$T$23:$DP$100="X"))=0,"",IF(SUMPRODUCT((Matrice!$D$23:$D$100='Actions de maîtrise'!Q$5)*(Matrice!$T$21:$DP$21='Actions de maîtrise'!$C9)*(Matrice!$T$23:$DP$100="X"))=1,"X","erreur"))</f>
        <v/>
      </c>
      <c r="R9" s="276" t="str">
        <f>IF(SUMPRODUCT((Matrice!$D$23:$D$100='Actions de maîtrise'!R$5)*(Matrice!$T$21:$DP$21='Actions de maîtrise'!$C9)*(Matrice!$T$23:$DP$100="X"))=0,"",IF(SUMPRODUCT((Matrice!$D$23:$D$100='Actions de maîtrise'!R$5)*(Matrice!$T$21:$DP$21='Actions de maîtrise'!$C9)*(Matrice!$T$23:$DP$100="X"))=1,"X","erreur"))</f>
        <v/>
      </c>
      <c r="S9" s="276" t="str">
        <f>IF(SUMPRODUCT((Matrice!$D$23:$D$100='Actions de maîtrise'!S$5)*(Matrice!$T$21:$DP$21='Actions de maîtrise'!$C9)*(Matrice!$T$23:$DP$100="X"))=0,"",IF(SUMPRODUCT((Matrice!$D$23:$D$100='Actions de maîtrise'!S$5)*(Matrice!$T$21:$DP$21='Actions de maîtrise'!$C9)*(Matrice!$T$23:$DP$100="X"))=1,"X","erreur"))</f>
        <v/>
      </c>
      <c r="T9" s="276" t="str">
        <f>IF(SUMPRODUCT((Matrice!$D$23:$D$100='Actions de maîtrise'!T$5)*(Matrice!$T$21:$DP$21='Actions de maîtrise'!$C9)*(Matrice!$T$23:$DP$100="X"))=0,"",IF(SUMPRODUCT((Matrice!$D$23:$D$100='Actions de maîtrise'!T$5)*(Matrice!$T$21:$DP$21='Actions de maîtrise'!$C9)*(Matrice!$T$23:$DP$100="X"))=1,"X","erreur"))</f>
        <v/>
      </c>
      <c r="U9" s="276" t="str">
        <f>IF(SUMPRODUCT((Matrice!$D$23:$D$100='Actions de maîtrise'!U$5)*(Matrice!$T$21:$DP$21='Actions de maîtrise'!$C9)*(Matrice!$T$23:$DP$100="X"))=0,"",IF(SUMPRODUCT((Matrice!$D$23:$D$100='Actions de maîtrise'!U$5)*(Matrice!$T$21:$DP$21='Actions de maîtrise'!$C9)*(Matrice!$T$23:$DP$100="X"))=1,"X","erreur"))</f>
        <v/>
      </c>
      <c r="V9" s="276" t="str">
        <f>IF(SUMPRODUCT((Matrice!$D$23:$D$100='Actions de maîtrise'!V$5)*(Matrice!$T$21:$DP$21='Actions de maîtrise'!$C9)*(Matrice!$T$23:$DP$100="X"))=0,"",IF(SUMPRODUCT((Matrice!$D$23:$D$100='Actions de maîtrise'!V$5)*(Matrice!$T$21:$DP$21='Actions de maîtrise'!$C9)*(Matrice!$T$23:$DP$100="X"))=1,"X","erreur"))</f>
        <v/>
      </c>
      <c r="W9" s="276" t="str">
        <f>IF(SUMPRODUCT((Matrice!$D$23:$D$100='Actions de maîtrise'!W$5)*(Matrice!$T$21:$DP$21='Actions de maîtrise'!$C9)*(Matrice!$T$23:$DP$100="X"))=0,"",IF(SUMPRODUCT((Matrice!$D$23:$D$100='Actions de maîtrise'!W$5)*(Matrice!$T$21:$DP$21='Actions de maîtrise'!$C9)*(Matrice!$T$23:$DP$100="X"))=1,"X","erreur"))</f>
        <v/>
      </c>
      <c r="X9" s="276" t="str">
        <f>IF(SUMPRODUCT((Matrice!$D$23:$D$100='Actions de maîtrise'!X$5)*(Matrice!$T$21:$DP$21='Actions de maîtrise'!$C9)*(Matrice!$T$23:$DP$100="X"))=0,"",IF(SUMPRODUCT((Matrice!$D$23:$D$100='Actions de maîtrise'!X$5)*(Matrice!$T$21:$DP$21='Actions de maîtrise'!$C9)*(Matrice!$T$23:$DP$100="X"))=1,"X","erreur"))</f>
        <v/>
      </c>
      <c r="Y9" s="276" t="str">
        <f>IF(SUMPRODUCT((Matrice!$D$23:$D$100='Actions de maîtrise'!Y$5)*(Matrice!$T$21:$DP$21='Actions de maîtrise'!$C9)*(Matrice!$T$23:$DP$100="X"))=0,"",IF(SUMPRODUCT((Matrice!$D$23:$D$100='Actions de maîtrise'!Y$5)*(Matrice!$T$21:$DP$21='Actions de maîtrise'!$C9)*(Matrice!$T$23:$DP$100="X"))=1,"X","erreur"))</f>
        <v/>
      </c>
      <c r="Z9" s="276" t="str">
        <f>IF(SUMPRODUCT((Matrice!$D$23:$D$100='Actions de maîtrise'!Z$5)*(Matrice!$T$21:$DP$21='Actions de maîtrise'!$C9)*(Matrice!$T$23:$DP$100="X"))=0,"",IF(SUMPRODUCT((Matrice!$D$23:$D$100='Actions de maîtrise'!Z$5)*(Matrice!$T$21:$DP$21='Actions de maîtrise'!$C9)*(Matrice!$T$23:$DP$100="X"))=1,"X","erreur"))</f>
        <v/>
      </c>
      <c r="AA9" s="276" t="str">
        <f>IF(SUMPRODUCT((Matrice!$D$23:$D$100='Actions de maîtrise'!AA$5)*(Matrice!$T$21:$DP$21='Actions de maîtrise'!$C9)*(Matrice!$T$23:$DP$100="X"))=0,"",IF(SUMPRODUCT((Matrice!$D$23:$D$100='Actions de maîtrise'!AA$5)*(Matrice!$T$21:$DP$21='Actions de maîtrise'!$C9)*(Matrice!$T$23:$DP$100="X"))=1,"X","erreur"))</f>
        <v/>
      </c>
      <c r="AB9" s="276" t="str">
        <f>IF(SUMPRODUCT((Matrice!$D$23:$D$100='Actions de maîtrise'!AB$5)*(Matrice!$T$21:$DP$21='Actions de maîtrise'!$C9)*(Matrice!$T$23:$DP$100="X"))=0,"",IF(SUMPRODUCT((Matrice!$D$23:$D$100='Actions de maîtrise'!AB$5)*(Matrice!$T$21:$DP$21='Actions de maîtrise'!$C9)*(Matrice!$T$23:$DP$100="X"))=1,"X","erreur"))</f>
        <v/>
      </c>
      <c r="AC9" s="276" t="str">
        <f>IF(SUMPRODUCT((Matrice!$D$23:$D$100='Actions de maîtrise'!AC$5)*(Matrice!$T$21:$DP$21='Actions de maîtrise'!$C9)*(Matrice!$T$23:$DP$100="X"))=0,"",IF(SUMPRODUCT((Matrice!$D$23:$D$100='Actions de maîtrise'!AC$5)*(Matrice!$T$21:$DP$21='Actions de maîtrise'!$C9)*(Matrice!$T$23:$DP$100="X"))=1,"X","erreur"))</f>
        <v/>
      </c>
      <c r="AD9" s="276" t="str">
        <f>IF(SUMPRODUCT((Matrice!$D$23:$D$100='Actions de maîtrise'!AD$5)*(Matrice!$T$21:$DP$21='Actions de maîtrise'!$C9)*(Matrice!$T$23:$DP$100="X"))=0,"",IF(SUMPRODUCT((Matrice!$D$23:$D$100='Actions de maîtrise'!AD$5)*(Matrice!$T$21:$DP$21='Actions de maîtrise'!$C9)*(Matrice!$T$23:$DP$100="X"))=1,"X","erreur"))</f>
        <v/>
      </c>
      <c r="AE9" s="276" t="str">
        <f>IF(SUMPRODUCT((Matrice!$D$23:$D$100='Actions de maîtrise'!AE$5)*(Matrice!$T$21:$DP$21='Actions de maîtrise'!$C9)*(Matrice!$T$23:$DP$100="X"))=0,"",IF(SUMPRODUCT((Matrice!$D$23:$D$100='Actions de maîtrise'!AE$5)*(Matrice!$T$21:$DP$21='Actions de maîtrise'!$C9)*(Matrice!$T$23:$DP$100="X"))=1,"X","erreur"))</f>
        <v/>
      </c>
      <c r="AF9" s="276" t="str">
        <f>IF(SUMPRODUCT((Matrice!$D$23:$D$100='Actions de maîtrise'!AF$5)*(Matrice!$T$21:$DP$21='Actions de maîtrise'!$C9)*(Matrice!$T$23:$DP$100="X"))=0,"",IF(SUMPRODUCT((Matrice!$D$23:$D$100='Actions de maîtrise'!AF$5)*(Matrice!$T$21:$DP$21='Actions de maîtrise'!$C9)*(Matrice!$T$23:$DP$100="X"))=1,"X","erreur"))</f>
        <v/>
      </c>
      <c r="AG9" s="276" t="str">
        <f>IF(SUMPRODUCT((Matrice!$D$23:$D$100='Actions de maîtrise'!AG$5)*(Matrice!$T$21:$DP$21='Actions de maîtrise'!$C9)*(Matrice!$T$23:$DP$100="X"))=0,"",IF(SUMPRODUCT((Matrice!$D$23:$D$100='Actions de maîtrise'!AG$5)*(Matrice!$T$21:$DP$21='Actions de maîtrise'!$C9)*(Matrice!$T$23:$DP$100="X"))=1,"X","erreur"))</f>
        <v/>
      </c>
    </row>
    <row r="10" spans="2:33" ht="18" customHeight="1" x14ac:dyDescent="0.2">
      <c r="B10" s="309" t="str">
        <f>IF((COUNTIF(Matrice!$2:$2,Matrice!$G$1&amp;"-AM"&amp;Listes!A6)=1)=TRUE,Matrice!$G$1&amp;"-AM"&amp;Listes!A6,"")</f>
        <v/>
      </c>
      <c r="C10" s="178" t="str">
        <f>IF(IF(ISERROR(HLOOKUP(B10,Matrice!$A$2:$DP$100,20,FALSE)),"",HLOOKUP(B10,Matrice!$A$2:$DP$100,20,FALSE))="","",IF(ISERROR(HLOOKUP(B10,Matrice!$A$2:$DP$100,20,FALSE)),"-",HLOOKUP(B10,Matrice!$A$2:$DP$100,20,FALSE)))</f>
        <v/>
      </c>
      <c r="D10" s="179" t="str">
        <f>IF(IF(ISERROR(HLOOKUP(B10,Matrice!$A$2:$DP$100,3,FALSE)),"",HLOOKUP(B10,Matrice!$A$2:$DP$100,3,FALSE))="","",IF(ISERROR(HLOOKUP(B10,Matrice!$A$2:$DP$100,3,FALSE)),"-",HLOOKUP(B10,Matrice!$A$2:$DP$100,3,FALSE)))</f>
        <v/>
      </c>
      <c r="E10" s="305"/>
      <c r="F10" s="179" t="str">
        <f>IF(ISERROR(HLOOKUP($B10,Matrice!$A$2:$DP$100,4,FALSE)),"",IF(HLOOKUP($B10,Matrice!$A$2:$DP$100,4,FALSE)="","",HLOOKUP($B10,Matrice!$A$2:$DP$100,4,FALSE)))</f>
        <v/>
      </c>
      <c r="G10" s="179" t="str">
        <f>IF(ISERROR(HLOOKUP($B10,Matrice!$A$2:$DP$100,5,FALSE)),"",IF(HLOOKUP($B10,Matrice!$A$2:$DP$100,5,FALSE)="","",HLOOKUP($B10,Matrice!$A$2:$DP$100,5,FALSE)))</f>
        <v/>
      </c>
      <c r="H10" s="179" t="str">
        <f>IF(ISERROR(HLOOKUP($B10,Matrice!$A$2:$DP$100,6,FALSE)),"",IF(HLOOKUP($B10,Matrice!$A$2:$DP$100,6,FALSE)="","",HLOOKUP($B10,Matrice!$A$2:$DP$100,6,FALSE)))</f>
        <v/>
      </c>
      <c r="I10" s="179" t="str">
        <f>IF(ISERROR(HLOOKUP($B11,Matrice!$A$2:$DP$100,7,FALSE)),"",IF(HLOOKUP($B11,Matrice!$A$2:$DP$100,7,FALSE)="","",HLOOKUP($B11,Matrice!$A$2:$DP$100,7,FALSE)))</f>
        <v/>
      </c>
      <c r="J10" s="277" t="str">
        <f>IF(ISERROR(HLOOKUP($B10,Matrice!$A$2:$DP$100,12,FALSE)),"",IF(HLOOKUP($B10,Matrice!$A$2:$DP$100,12,FALSE)="","",HLOOKUP($B10,Matrice!$A$2:$DP$100,12,FALSE)))</f>
        <v/>
      </c>
      <c r="K10" s="277" t="str">
        <f>IF(ISERROR(HLOOKUP($B10,Matrice!$A$2:$DP$100,13,FALSE)),"",IF(HLOOKUP($B10,Matrice!$A$2:$DP$100,13,FALSE)="","",HLOOKUP($B10,Matrice!$A$2:$DP$100,13,FALSE)))</f>
        <v/>
      </c>
      <c r="L10" s="333" t="str">
        <f>IF(ISERROR(HLOOKUP($B10,Matrice!$A$2:$DP$100,9,FALSE)),"",IF(HLOOKUP($B10,Matrice!$A$2:$DP$100,9,FALSE)="","",HLOOKUP($B10,Matrice!$A$2:$DP$100,9,FALSE)))</f>
        <v/>
      </c>
      <c r="M10" s="333" t="str">
        <f>IF(ISERROR(HLOOKUP($B10,Matrice!$A$2:$DP$100,10,FALSE)),"",IF(HLOOKUP($B10,Matrice!$A$2:$DP$100,10,FALSE)="","",HLOOKUP($B10,Matrice!$A$2:$DP$100,10,FALSE)))</f>
        <v/>
      </c>
      <c r="N10" s="333" t="str">
        <f>IF(ISERROR(HLOOKUP($B10,Matrice!$A$2:$DP$100,11,FALSE)),"",IF(HLOOKUP($B10,Matrice!$A$2:$DP$100,11,FALSE)="","",HLOOKUP($B10,Matrice!$A$2:$DP$100,11,FALSE)))</f>
        <v/>
      </c>
      <c r="P10" s="276" t="str">
        <f>IF(SUMPRODUCT((Matrice!$D$23:$D$100='Actions de maîtrise'!P$5)*(Matrice!$T$21:$DP$21='Actions de maîtrise'!$C10)*(Matrice!$T$23:$DP$100="X"))=0,"",IF(SUMPRODUCT((Matrice!$D$23:$D$100='Actions de maîtrise'!P$5)*(Matrice!$T$21:$DP$21='Actions de maîtrise'!$C10)*(Matrice!$T$23:$DP$100="X"))=1,"X","erreur"))</f>
        <v/>
      </c>
      <c r="Q10" s="276" t="str">
        <f>IF(SUMPRODUCT((Matrice!$D$23:$D$100='Actions de maîtrise'!Q$5)*(Matrice!$T$21:$DP$21='Actions de maîtrise'!$C10)*(Matrice!$T$23:$DP$100="X"))=0,"",IF(SUMPRODUCT((Matrice!$D$23:$D$100='Actions de maîtrise'!Q$5)*(Matrice!$T$21:$DP$21='Actions de maîtrise'!$C10)*(Matrice!$T$23:$DP$100="X"))=1,"X","erreur"))</f>
        <v/>
      </c>
      <c r="R10" s="276" t="str">
        <f>IF(SUMPRODUCT((Matrice!$D$23:$D$100='Actions de maîtrise'!R$5)*(Matrice!$T$21:$DP$21='Actions de maîtrise'!$C10)*(Matrice!$T$23:$DP$100="X"))=0,"",IF(SUMPRODUCT((Matrice!$D$23:$D$100='Actions de maîtrise'!R$5)*(Matrice!$T$21:$DP$21='Actions de maîtrise'!$C10)*(Matrice!$T$23:$DP$100="X"))=1,"X","erreur"))</f>
        <v/>
      </c>
      <c r="S10" s="276" t="str">
        <f>IF(SUMPRODUCT((Matrice!$D$23:$D$100='Actions de maîtrise'!S$5)*(Matrice!$T$21:$DP$21='Actions de maîtrise'!$C10)*(Matrice!$T$23:$DP$100="X"))=0,"",IF(SUMPRODUCT((Matrice!$D$23:$D$100='Actions de maîtrise'!S$5)*(Matrice!$T$21:$DP$21='Actions de maîtrise'!$C10)*(Matrice!$T$23:$DP$100="X"))=1,"X","erreur"))</f>
        <v/>
      </c>
      <c r="T10" s="276" t="str">
        <f>IF(SUMPRODUCT((Matrice!$D$23:$D$100='Actions de maîtrise'!T$5)*(Matrice!$T$21:$DP$21='Actions de maîtrise'!$C10)*(Matrice!$T$23:$DP$100="X"))=0,"",IF(SUMPRODUCT((Matrice!$D$23:$D$100='Actions de maîtrise'!T$5)*(Matrice!$T$21:$DP$21='Actions de maîtrise'!$C10)*(Matrice!$T$23:$DP$100="X"))=1,"X","erreur"))</f>
        <v/>
      </c>
      <c r="U10" s="276" t="str">
        <f>IF(SUMPRODUCT((Matrice!$D$23:$D$100='Actions de maîtrise'!U$5)*(Matrice!$T$21:$DP$21='Actions de maîtrise'!$C10)*(Matrice!$T$23:$DP$100="X"))=0,"",IF(SUMPRODUCT((Matrice!$D$23:$D$100='Actions de maîtrise'!U$5)*(Matrice!$T$21:$DP$21='Actions de maîtrise'!$C10)*(Matrice!$T$23:$DP$100="X"))=1,"X","erreur"))</f>
        <v/>
      </c>
      <c r="V10" s="276" t="str">
        <f>IF(SUMPRODUCT((Matrice!$D$23:$D$100='Actions de maîtrise'!V$5)*(Matrice!$T$21:$DP$21='Actions de maîtrise'!$C10)*(Matrice!$T$23:$DP$100="X"))=0,"",IF(SUMPRODUCT((Matrice!$D$23:$D$100='Actions de maîtrise'!V$5)*(Matrice!$T$21:$DP$21='Actions de maîtrise'!$C10)*(Matrice!$T$23:$DP$100="X"))=1,"X","erreur"))</f>
        <v/>
      </c>
      <c r="W10" s="276" t="str">
        <f>IF(SUMPRODUCT((Matrice!$D$23:$D$100='Actions de maîtrise'!W$5)*(Matrice!$T$21:$DP$21='Actions de maîtrise'!$C10)*(Matrice!$T$23:$DP$100="X"))=0,"",IF(SUMPRODUCT((Matrice!$D$23:$D$100='Actions de maîtrise'!W$5)*(Matrice!$T$21:$DP$21='Actions de maîtrise'!$C10)*(Matrice!$T$23:$DP$100="X"))=1,"X","erreur"))</f>
        <v/>
      </c>
      <c r="X10" s="276" t="str">
        <f>IF(SUMPRODUCT((Matrice!$D$23:$D$100='Actions de maîtrise'!X$5)*(Matrice!$T$21:$DP$21='Actions de maîtrise'!$C10)*(Matrice!$T$23:$DP$100="X"))=0,"",IF(SUMPRODUCT((Matrice!$D$23:$D$100='Actions de maîtrise'!X$5)*(Matrice!$T$21:$DP$21='Actions de maîtrise'!$C10)*(Matrice!$T$23:$DP$100="X"))=1,"X","erreur"))</f>
        <v/>
      </c>
      <c r="Y10" s="276" t="str">
        <f>IF(SUMPRODUCT((Matrice!$D$23:$D$100='Actions de maîtrise'!Y$5)*(Matrice!$T$21:$DP$21='Actions de maîtrise'!$C10)*(Matrice!$T$23:$DP$100="X"))=0,"",IF(SUMPRODUCT((Matrice!$D$23:$D$100='Actions de maîtrise'!Y$5)*(Matrice!$T$21:$DP$21='Actions de maîtrise'!$C10)*(Matrice!$T$23:$DP$100="X"))=1,"X","erreur"))</f>
        <v/>
      </c>
      <c r="Z10" s="276" t="str">
        <f>IF(SUMPRODUCT((Matrice!$D$23:$D$100='Actions de maîtrise'!Z$5)*(Matrice!$T$21:$DP$21='Actions de maîtrise'!$C10)*(Matrice!$T$23:$DP$100="X"))=0,"",IF(SUMPRODUCT((Matrice!$D$23:$D$100='Actions de maîtrise'!Z$5)*(Matrice!$T$21:$DP$21='Actions de maîtrise'!$C10)*(Matrice!$T$23:$DP$100="X"))=1,"X","erreur"))</f>
        <v/>
      </c>
      <c r="AA10" s="276" t="str">
        <f>IF(SUMPRODUCT((Matrice!$D$23:$D$100='Actions de maîtrise'!AA$5)*(Matrice!$T$21:$DP$21='Actions de maîtrise'!$C10)*(Matrice!$T$23:$DP$100="X"))=0,"",IF(SUMPRODUCT((Matrice!$D$23:$D$100='Actions de maîtrise'!AA$5)*(Matrice!$T$21:$DP$21='Actions de maîtrise'!$C10)*(Matrice!$T$23:$DP$100="X"))=1,"X","erreur"))</f>
        <v/>
      </c>
      <c r="AB10" s="276" t="str">
        <f>IF(SUMPRODUCT((Matrice!$D$23:$D$100='Actions de maîtrise'!AB$5)*(Matrice!$T$21:$DP$21='Actions de maîtrise'!$C10)*(Matrice!$T$23:$DP$100="X"))=0,"",IF(SUMPRODUCT((Matrice!$D$23:$D$100='Actions de maîtrise'!AB$5)*(Matrice!$T$21:$DP$21='Actions de maîtrise'!$C10)*(Matrice!$T$23:$DP$100="X"))=1,"X","erreur"))</f>
        <v/>
      </c>
      <c r="AC10" s="276" t="str">
        <f>IF(SUMPRODUCT((Matrice!$D$23:$D$100='Actions de maîtrise'!AC$5)*(Matrice!$T$21:$DP$21='Actions de maîtrise'!$C10)*(Matrice!$T$23:$DP$100="X"))=0,"",IF(SUMPRODUCT((Matrice!$D$23:$D$100='Actions de maîtrise'!AC$5)*(Matrice!$T$21:$DP$21='Actions de maîtrise'!$C10)*(Matrice!$T$23:$DP$100="X"))=1,"X","erreur"))</f>
        <v/>
      </c>
      <c r="AD10" s="276" t="str">
        <f>IF(SUMPRODUCT((Matrice!$D$23:$D$100='Actions de maîtrise'!AD$5)*(Matrice!$T$21:$DP$21='Actions de maîtrise'!$C10)*(Matrice!$T$23:$DP$100="X"))=0,"",IF(SUMPRODUCT((Matrice!$D$23:$D$100='Actions de maîtrise'!AD$5)*(Matrice!$T$21:$DP$21='Actions de maîtrise'!$C10)*(Matrice!$T$23:$DP$100="X"))=1,"X","erreur"))</f>
        <v/>
      </c>
      <c r="AE10" s="276" t="str">
        <f>IF(SUMPRODUCT((Matrice!$D$23:$D$100='Actions de maîtrise'!AE$5)*(Matrice!$T$21:$DP$21='Actions de maîtrise'!$C10)*(Matrice!$T$23:$DP$100="X"))=0,"",IF(SUMPRODUCT((Matrice!$D$23:$D$100='Actions de maîtrise'!AE$5)*(Matrice!$T$21:$DP$21='Actions de maîtrise'!$C10)*(Matrice!$T$23:$DP$100="X"))=1,"X","erreur"))</f>
        <v/>
      </c>
      <c r="AF10" s="276" t="str">
        <f>IF(SUMPRODUCT((Matrice!$D$23:$D$100='Actions de maîtrise'!AF$5)*(Matrice!$T$21:$DP$21='Actions de maîtrise'!$C10)*(Matrice!$T$23:$DP$100="X"))=0,"",IF(SUMPRODUCT((Matrice!$D$23:$D$100='Actions de maîtrise'!AF$5)*(Matrice!$T$21:$DP$21='Actions de maîtrise'!$C10)*(Matrice!$T$23:$DP$100="X"))=1,"X","erreur"))</f>
        <v/>
      </c>
      <c r="AG10" s="276" t="str">
        <f>IF(SUMPRODUCT((Matrice!$D$23:$D$100='Actions de maîtrise'!AG$5)*(Matrice!$T$21:$DP$21='Actions de maîtrise'!$C10)*(Matrice!$T$23:$DP$100="X"))=0,"",IF(SUMPRODUCT((Matrice!$D$23:$D$100='Actions de maîtrise'!AG$5)*(Matrice!$T$21:$DP$21='Actions de maîtrise'!$C10)*(Matrice!$T$23:$DP$100="X"))=1,"X","erreur"))</f>
        <v/>
      </c>
    </row>
    <row r="11" spans="2:33" ht="18" customHeight="1" x14ac:dyDescent="0.2">
      <c r="B11" s="309" t="str">
        <f>IF((COUNTIF(Matrice!$2:$2,Matrice!$G$1&amp;"-AM"&amp;Listes!A7)=1)=TRUE,Matrice!$G$1&amp;"-AM"&amp;Listes!A7,"")</f>
        <v/>
      </c>
      <c r="C11" s="178" t="str">
        <f>IF(IF(ISERROR(HLOOKUP(B11,Matrice!$A$2:$DP$100,20,FALSE)),"",HLOOKUP(B11,Matrice!$A$2:$DP$100,20,FALSE))="","",IF(ISERROR(HLOOKUP(B11,Matrice!$A$2:$DP$100,20,FALSE)),"-",HLOOKUP(B11,Matrice!$A$2:$DP$100,20,FALSE)))</f>
        <v/>
      </c>
      <c r="D11" s="179" t="str">
        <f>IF(IF(ISERROR(HLOOKUP(B11,Matrice!$A$2:$DP$100,3,FALSE)),"",HLOOKUP(B11,Matrice!$A$2:$DP$100,3,FALSE))="","",IF(ISERROR(HLOOKUP(B11,Matrice!$A$2:$DP$100,3,FALSE)),"-",HLOOKUP(B11,Matrice!$A$2:$DP$100,3,FALSE)))</f>
        <v/>
      </c>
      <c r="E11" s="305"/>
      <c r="F11" s="179" t="str">
        <f>IF(ISERROR(HLOOKUP($B11,Matrice!$A$2:$DP$100,4,FALSE)),"",IF(HLOOKUP($B11,Matrice!$A$2:$DP$100,4,FALSE)="","",HLOOKUP($B11,Matrice!$A$2:$DP$100,4,FALSE)))</f>
        <v/>
      </c>
      <c r="G11" s="179" t="str">
        <f>IF(ISERROR(HLOOKUP($B11,Matrice!$A$2:$DP$100,5,FALSE)),"",IF(HLOOKUP($B11,Matrice!$A$2:$DP$100,5,FALSE)="","",HLOOKUP($B11,Matrice!$A$2:$DP$100,5,FALSE)))</f>
        <v/>
      </c>
      <c r="H11" s="179" t="str">
        <f>IF(ISERROR(HLOOKUP($B11,Matrice!$A$2:$DP$100,6,FALSE)),"",IF(HLOOKUP($B11,Matrice!$A$2:$DP$100,6,FALSE)="","",HLOOKUP($B11,Matrice!$A$2:$DP$100,6,FALSE)))</f>
        <v/>
      </c>
      <c r="I11" s="179" t="str">
        <f>IF(ISERROR(HLOOKUP($B12,Matrice!$A$2:$DP$100,7,FALSE)),"",IF(HLOOKUP($B12,Matrice!$A$2:$DP$100,7,FALSE)="","",HLOOKUP($B12,Matrice!$A$2:$DP$100,7,FALSE)))</f>
        <v/>
      </c>
      <c r="J11" s="277" t="str">
        <f>IF(ISERROR(HLOOKUP($B11,Matrice!$A$2:$DP$100,12,FALSE)),"",IF(HLOOKUP($B11,Matrice!$A$2:$DP$100,12,FALSE)="","",HLOOKUP($B11,Matrice!$A$2:$DP$100,12,FALSE)))</f>
        <v/>
      </c>
      <c r="K11" s="277" t="str">
        <f>IF(ISERROR(HLOOKUP($B11,Matrice!$A$2:$DP$100,13,FALSE)),"",IF(HLOOKUP($B11,Matrice!$A$2:$DP$100,13,FALSE)="","",HLOOKUP($B11,Matrice!$A$2:$DP$100,13,FALSE)))</f>
        <v/>
      </c>
      <c r="L11" s="333" t="str">
        <f>IF(ISERROR(HLOOKUP($B11,Matrice!$A$2:$DP$100,9,FALSE)),"",IF(HLOOKUP($B11,Matrice!$A$2:$DP$100,9,FALSE)="","",HLOOKUP($B11,Matrice!$A$2:$DP$100,9,FALSE)))</f>
        <v/>
      </c>
      <c r="M11" s="333" t="str">
        <f>IF(ISERROR(HLOOKUP($B11,Matrice!$A$2:$DP$100,10,FALSE)),"",IF(HLOOKUP($B11,Matrice!$A$2:$DP$100,10,FALSE)="","",HLOOKUP($B11,Matrice!$A$2:$DP$100,10,FALSE)))</f>
        <v/>
      </c>
      <c r="N11" s="333" t="str">
        <f>IF(ISERROR(HLOOKUP($B11,Matrice!$A$2:$DP$100,11,FALSE)),"",IF(HLOOKUP($B11,Matrice!$A$2:$DP$100,11,FALSE)="","",HLOOKUP($B11,Matrice!$A$2:$DP$100,11,FALSE)))</f>
        <v/>
      </c>
      <c r="P11" s="276" t="str">
        <f>IF(SUMPRODUCT((Matrice!$D$23:$D$100='Actions de maîtrise'!P$5)*(Matrice!$T$21:$DP$21='Actions de maîtrise'!$C11)*(Matrice!$T$23:$DP$100="X"))=0,"",IF(SUMPRODUCT((Matrice!$D$23:$D$100='Actions de maîtrise'!P$5)*(Matrice!$T$21:$DP$21='Actions de maîtrise'!$C11)*(Matrice!$T$23:$DP$100="X"))=1,"X","erreur"))</f>
        <v/>
      </c>
      <c r="Q11" s="276" t="str">
        <f>IF(SUMPRODUCT((Matrice!$D$23:$D$100='Actions de maîtrise'!Q$5)*(Matrice!$T$21:$DP$21='Actions de maîtrise'!$C11)*(Matrice!$T$23:$DP$100="X"))=0,"",IF(SUMPRODUCT((Matrice!$D$23:$D$100='Actions de maîtrise'!Q$5)*(Matrice!$T$21:$DP$21='Actions de maîtrise'!$C11)*(Matrice!$T$23:$DP$100="X"))=1,"X","erreur"))</f>
        <v/>
      </c>
      <c r="R11" s="276" t="str">
        <f>IF(SUMPRODUCT((Matrice!$D$23:$D$100='Actions de maîtrise'!R$5)*(Matrice!$T$21:$DP$21='Actions de maîtrise'!$C11)*(Matrice!$T$23:$DP$100="X"))=0,"",IF(SUMPRODUCT((Matrice!$D$23:$D$100='Actions de maîtrise'!R$5)*(Matrice!$T$21:$DP$21='Actions de maîtrise'!$C11)*(Matrice!$T$23:$DP$100="X"))=1,"X","erreur"))</f>
        <v/>
      </c>
      <c r="S11" s="276" t="str">
        <f>IF(SUMPRODUCT((Matrice!$D$23:$D$100='Actions de maîtrise'!S$5)*(Matrice!$T$21:$DP$21='Actions de maîtrise'!$C11)*(Matrice!$T$23:$DP$100="X"))=0,"",IF(SUMPRODUCT((Matrice!$D$23:$D$100='Actions de maîtrise'!S$5)*(Matrice!$T$21:$DP$21='Actions de maîtrise'!$C11)*(Matrice!$T$23:$DP$100="X"))=1,"X","erreur"))</f>
        <v/>
      </c>
      <c r="T11" s="276" t="str">
        <f>IF(SUMPRODUCT((Matrice!$D$23:$D$100='Actions de maîtrise'!T$5)*(Matrice!$T$21:$DP$21='Actions de maîtrise'!$C11)*(Matrice!$T$23:$DP$100="X"))=0,"",IF(SUMPRODUCT((Matrice!$D$23:$D$100='Actions de maîtrise'!T$5)*(Matrice!$T$21:$DP$21='Actions de maîtrise'!$C11)*(Matrice!$T$23:$DP$100="X"))=1,"X","erreur"))</f>
        <v/>
      </c>
      <c r="U11" s="276" t="str">
        <f>IF(SUMPRODUCT((Matrice!$D$23:$D$100='Actions de maîtrise'!U$5)*(Matrice!$T$21:$DP$21='Actions de maîtrise'!$C11)*(Matrice!$T$23:$DP$100="X"))=0,"",IF(SUMPRODUCT((Matrice!$D$23:$D$100='Actions de maîtrise'!U$5)*(Matrice!$T$21:$DP$21='Actions de maîtrise'!$C11)*(Matrice!$T$23:$DP$100="X"))=1,"X","erreur"))</f>
        <v/>
      </c>
      <c r="V11" s="276" t="str">
        <f>IF(SUMPRODUCT((Matrice!$D$23:$D$100='Actions de maîtrise'!V$5)*(Matrice!$T$21:$DP$21='Actions de maîtrise'!$C11)*(Matrice!$T$23:$DP$100="X"))=0,"",IF(SUMPRODUCT((Matrice!$D$23:$D$100='Actions de maîtrise'!V$5)*(Matrice!$T$21:$DP$21='Actions de maîtrise'!$C11)*(Matrice!$T$23:$DP$100="X"))=1,"X","erreur"))</f>
        <v/>
      </c>
      <c r="W11" s="276" t="str">
        <f>IF(SUMPRODUCT((Matrice!$D$23:$D$100='Actions de maîtrise'!W$5)*(Matrice!$T$21:$DP$21='Actions de maîtrise'!$C11)*(Matrice!$T$23:$DP$100="X"))=0,"",IF(SUMPRODUCT((Matrice!$D$23:$D$100='Actions de maîtrise'!W$5)*(Matrice!$T$21:$DP$21='Actions de maîtrise'!$C11)*(Matrice!$T$23:$DP$100="X"))=1,"X","erreur"))</f>
        <v/>
      </c>
      <c r="X11" s="276" t="str">
        <f>IF(SUMPRODUCT((Matrice!$D$23:$D$100='Actions de maîtrise'!X$5)*(Matrice!$T$21:$DP$21='Actions de maîtrise'!$C11)*(Matrice!$T$23:$DP$100="X"))=0,"",IF(SUMPRODUCT((Matrice!$D$23:$D$100='Actions de maîtrise'!X$5)*(Matrice!$T$21:$DP$21='Actions de maîtrise'!$C11)*(Matrice!$T$23:$DP$100="X"))=1,"X","erreur"))</f>
        <v/>
      </c>
      <c r="Y11" s="276" t="str">
        <f>IF(SUMPRODUCT((Matrice!$D$23:$D$100='Actions de maîtrise'!Y$5)*(Matrice!$T$21:$DP$21='Actions de maîtrise'!$C11)*(Matrice!$T$23:$DP$100="X"))=0,"",IF(SUMPRODUCT((Matrice!$D$23:$D$100='Actions de maîtrise'!Y$5)*(Matrice!$T$21:$DP$21='Actions de maîtrise'!$C11)*(Matrice!$T$23:$DP$100="X"))=1,"X","erreur"))</f>
        <v/>
      </c>
      <c r="Z11" s="276" t="str">
        <f>IF(SUMPRODUCT((Matrice!$D$23:$D$100='Actions de maîtrise'!Z$5)*(Matrice!$T$21:$DP$21='Actions de maîtrise'!$C11)*(Matrice!$T$23:$DP$100="X"))=0,"",IF(SUMPRODUCT((Matrice!$D$23:$D$100='Actions de maîtrise'!Z$5)*(Matrice!$T$21:$DP$21='Actions de maîtrise'!$C11)*(Matrice!$T$23:$DP$100="X"))=1,"X","erreur"))</f>
        <v/>
      </c>
      <c r="AA11" s="276" t="str">
        <f>IF(SUMPRODUCT((Matrice!$D$23:$D$100='Actions de maîtrise'!AA$5)*(Matrice!$T$21:$DP$21='Actions de maîtrise'!$C11)*(Matrice!$T$23:$DP$100="X"))=0,"",IF(SUMPRODUCT((Matrice!$D$23:$D$100='Actions de maîtrise'!AA$5)*(Matrice!$T$21:$DP$21='Actions de maîtrise'!$C11)*(Matrice!$T$23:$DP$100="X"))=1,"X","erreur"))</f>
        <v/>
      </c>
      <c r="AB11" s="276" t="str">
        <f>IF(SUMPRODUCT((Matrice!$D$23:$D$100='Actions de maîtrise'!AB$5)*(Matrice!$T$21:$DP$21='Actions de maîtrise'!$C11)*(Matrice!$T$23:$DP$100="X"))=0,"",IF(SUMPRODUCT((Matrice!$D$23:$D$100='Actions de maîtrise'!AB$5)*(Matrice!$T$21:$DP$21='Actions de maîtrise'!$C11)*(Matrice!$T$23:$DP$100="X"))=1,"X","erreur"))</f>
        <v/>
      </c>
      <c r="AC11" s="276" t="str">
        <f>IF(SUMPRODUCT((Matrice!$D$23:$D$100='Actions de maîtrise'!AC$5)*(Matrice!$T$21:$DP$21='Actions de maîtrise'!$C11)*(Matrice!$T$23:$DP$100="X"))=0,"",IF(SUMPRODUCT((Matrice!$D$23:$D$100='Actions de maîtrise'!AC$5)*(Matrice!$T$21:$DP$21='Actions de maîtrise'!$C11)*(Matrice!$T$23:$DP$100="X"))=1,"X","erreur"))</f>
        <v/>
      </c>
      <c r="AD11" s="276" t="str">
        <f>IF(SUMPRODUCT((Matrice!$D$23:$D$100='Actions de maîtrise'!AD$5)*(Matrice!$T$21:$DP$21='Actions de maîtrise'!$C11)*(Matrice!$T$23:$DP$100="X"))=0,"",IF(SUMPRODUCT((Matrice!$D$23:$D$100='Actions de maîtrise'!AD$5)*(Matrice!$T$21:$DP$21='Actions de maîtrise'!$C11)*(Matrice!$T$23:$DP$100="X"))=1,"X","erreur"))</f>
        <v/>
      </c>
      <c r="AE11" s="276" t="str">
        <f>IF(SUMPRODUCT((Matrice!$D$23:$D$100='Actions de maîtrise'!AE$5)*(Matrice!$T$21:$DP$21='Actions de maîtrise'!$C11)*(Matrice!$T$23:$DP$100="X"))=0,"",IF(SUMPRODUCT((Matrice!$D$23:$D$100='Actions de maîtrise'!AE$5)*(Matrice!$T$21:$DP$21='Actions de maîtrise'!$C11)*(Matrice!$T$23:$DP$100="X"))=1,"X","erreur"))</f>
        <v/>
      </c>
      <c r="AF11" s="276" t="str">
        <f>IF(SUMPRODUCT((Matrice!$D$23:$D$100='Actions de maîtrise'!AF$5)*(Matrice!$T$21:$DP$21='Actions de maîtrise'!$C11)*(Matrice!$T$23:$DP$100="X"))=0,"",IF(SUMPRODUCT((Matrice!$D$23:$D$100='Actions de maîtrise'!AF$5)*(Matrice!$T$21:$DP$21='Actions de maîtrise'!$C11)*(Matrice!$T$23:$DP$100="X"))=1,"X","erreur"))</f>
        <v/>
      </c>
      <c r="AG11" s="276" t="str">
        <f>IF(SUMPRODUCT((Matrice!$D$23:$D$100='Actions de maîtrise'!AG$5)*(Matrice!$T$21:$DP$21='Actions de maîtrise'!$C11)*(Matrice!$T$23:$DP$100="X"))=0,"",IF(SUMPRODUCT((Matrice!$D$23:$D$100='Actions de maîtrise'!AG$5)*(Matrice!$T$21:$DP$21='Actions de maîtrise'!$C11)*(Matrice!$T$23:$DP$100="X"))=1,"X","erreur"))</f>
        <v/>
      </c>
    </row>
    <row r="12" spans="2:33" ht="18" customHeight="1" x14ac:dyDescent="0.2">
      <c r="B12" s="309" t="str">
        <f>IF((COUNTIF(Matrice!$2:$2,Matrice!$G$1&amp;"-AM"&amp;Listes!A8)=1)=TRUE,Matrice!$G$1&amp;"-AM"&amp;Listes!A8,"")</f>
        <v/>
      </c>
      <c r="C12" s="178" t="str">
        <f>IF(IF(ISERROR(HLOOKUP(B12,Matrice!$A$2:$DP$100,20,FALSE)),"",HLOOKUP(B12,Matrice!$A$2:$DP$100,20,FALSE))="","",IF(ISERROR(HLOOKUP(B12,Matrice!$A$2:$DP$100,20,FALSE)),"-",HLOOKUP(B12,Matrice!$A$2:$DP$100,20,FALSE)))</f>
        <v/>
      </c>
      <c r="D12" s="179" t="str">
        <f>IF(IF(ISERROR(HLOOKUP(B12,Matrice!$A$2:$DP$100,3,FALSE)),"",HLOOKUP(B12,Matrice!$A$2:$DP$100,3,FALSE))="","",IF(ISERROR(HLOOKUP(B12,Matrice!$A$2:$DP$100,3,FALSE)),"-",HLOOKUP(B12,Matrice!$A$2:$DP$100,3,FALSE)))</f>
        <v/>
      </c>
      <c r="E12" s="305"/>
      <c r="F12" s="179" t="str">
        <f>IF(ISERROR(HLOOKUP($B12,Matrice!$A$2:$DP$100,4,FALSE)),"",IF(HLOOKUP($B12,Matrice!$A$2:$DP$100,4,FALSE)="","",HLOOKUP($B12,Matrice!$A$2:$DP$100,4,FALSE)))</f>
        <v/>
      </c>
      <c r="G12" s="179" t="str">
        <f>IF(ISERROR(HLOOKUP($B12,Matrice!$A$2:$DP$100,5,FALSE)),"",IF(HLOOKUP($B12,Matrice!$A$2:$DP$100,5,FALSE)="","",HLOOKUP($B12,Matrice!$A$2:$DP$100,5,FALSE)))</f>
        <v/>
      </c>
      <c r="H12" s="179" t="str">
        <f>IF(ISERROR(HLOOKUP($B12,Matrice!$A$2:$DP$100,6,FALSE)),"",IF(HLOOKUP($B12,Matrice!$A$2:$DP$100,6,FALSE)="","",HLOOKUP($B12,Matrice!$A$2:$DP$100,6,FALSE)))</f>
        <v/>
      </c>
      <c r="I12" s="179" t="str">
        <f>IF(ISERROR(HLOOKUP($B13,Matrice!$A$2:$DP$100,7,FALSE)),"",IF(HLOOKUP($B13,Matrice!$A$2:$DP$100,7,FALSE)="","",HLOOKUP($B13,Matrice!$A$2:$DP$100,7,FALSE)))</f>
        <v/>
      </c>
      <c r="J12" s="277" t="str">
        <f>IF(ISERROR(HLOOKUP($B12,Matrice!$A$2:$DP$100,12,FALSE)),"",IF(HLOOKUP($B12,Matrice!$A$2:$DP$100,12,FALSE)="","",HLOOKUP($B12,Matrice!$A$2:$DP$100,12,FALSE)))</f>
        <v/>
      </c>
      <c r="K12" s="277" t="str">
        <f>IF(ISERROR(HLOOKUP($B12,Matrice!$A$2:$DP$100,13,FALSE)),"",IF(HLOOKUP($B12,Matrice!$A$2:$DP$100,13,FALSE)="","",HLOOKUP($B12,Matrice!$A$2:$DP$100,13,FALSE)))</f>
        <v/>
      </c>
      <c r="L12" s="333" t="str">
        <f>IF(ISERROR(HLOOKUP($B12,Matrice!$A$2:$DP$100,9,FALSE)),"",IF(HLOOKUP($B12,Matrice!$A$2:$DP$100,9,FALSE)="","",HLOOKUP($B12,Matrice!$A$2:$DP$100,9,FALSE)))</f>
        <v/>
      </c>
      <c r="M12" s="333" t="str">
        <f>IF(ISERROR(HLOOKUP($B12,Matrice!$A$2:$DP$100,10,FALSE)),"",IF(HLOOKUP($B12,Matrice!$A$2:$DP$100,10,FALSE)="","",HLOOKUP($B12,Matrice!$A$2:$DP$100,10,FALSE)))</f>
        <v/>
      </c>
      <c r="N12" s="333" t="str">
        <f>IF(ISERROR(HLOOKUP($B12,Matrice!$A$2:$DP$100,11,FALSE)),"",IF(HLOOKUP($B12,Matrice!$A$2:$DP$100,11,FALSE)="","",HLOOKUP($B12,Matrice!$A$2:$DP$100,11,FALSE)))</f>
        <v/>
      </c>
      <c r="P12" s="276" t="str">
        <f>IF(SUMPRODUCT((Matrice!$D$23:$D$100='Actions de maîtrise'!P$5)*(Matrice!$T$21:$DP$21='Actions de maîtrise'!$C12)*(Matrice!$T$23:$DP$100="X"))=0,"",IF(SUMPRODUCT((Matrice!$D$23:$D$100='Actions de maîtrise'!P$5)*(Matrice!$T$21:$DP$21='Actions de maîtrise'!$C12)*(Matrice!$T$23:$DP$100="X"))=1,"X","erreur"))</f>
        <v/>
      </c>
      <c r="Q12" s="276" t="str">
        <f>IF(SUMPRODUCT((Matrice!$D$23:$D$100='Actions de maîtrise'!Q$5)*(Matrice!$T$21:$DP$21='Actions de maîtrise'!$C12)*(Matrice!$T$23:$DP$100="X"))=0,"",IF(SUMPRODUCT((Matrice!$D$23:$D$100='Actions de maîtrise'!Q$5)*(Matrice!$T$21:$DP$21='Actions de maîtrise'!$C12)*(Matrice!$T$23:$DP$100="X"))=1,"X","erreur"))</f>
        <v/>
      </c>
      <c r="R12" s="276" t="str">
        <f>IF(SUMPRODUCT((Matrice!$D$23:$D$100='Actions de maîtrise'!R$5)*(Matrice!$T$21:$DP$21='Actions de maîtrise'!$C12)*(Matrice!$T$23:$DP$100="X"))=0,"",IF(SUMPRODUCT((Matrice!$D$23:$D$100='Actions de maîtrise'!R$5)*(Matrice!$T$21:$DP$21='Actions de maîtrise'!$C12)*(Matrice!$T$23:$DP$100="X"))=1,"X","erreur"))</f>
        <v/>
      </c>
      <c r="S12" s="276" t="str">
        <f>IF(SUMPRODUCT((Matrice!$D$23:$D$100='Actions de maîtrise'!S$5)*(Matrice!$T$21:$DP$21='Actions de maîtrise'!$C12)*(Matrice!$T$23:$DP$100="X"))=0,"",IF(SUMPRODUCT((Matrice!$D$23:$D$100='Actions de maîtrise'!S$5)*(Matrice!$T$21:$DP$21='Actions de maîtrise'!$C12)*(Matrice!$T$23:$DP$100="X"))=1,"X","erreur"))</f>
        <v/>
      </c>
      <c r="T12" s="276" t="str">
        <f>IF(SUMPRODUCT((Matrice!$D$23:$D$100='Actions de maîtrise'!T$5)*(Matrice!$T$21:$DP$21='Actions de maîtrise'!$C12)*(Matrice!$T$23:$DP$100="X"))=0,"",IF(SUMPRODUCT((Matrice!$D$23:$D$100='Actions de maîtrise'!T$5)*(Matrice!$T$21:$DP$21='Actions de maîtrise'!$C12)*(Matrice!$T$23:$DP$100="X"))=1,"X","erreur"))</f>
        <v/>
      </c>
      <c r="U12" s="276" t="str">
        <f>IF(SUMPRODUCT((Matrice!$D$23:$D$100='Actions de maîtrise'!U$5)*(Matrice!$T$21:$DP$21='Actions de maîtrise'!$C12)*(Matrice!$T$23:$DP$100="X"))=0,"",IF(SUMPRODUCT((Matrice!$D$23:$D$100='Actions de maîtrise'!U$5)*(Matrice!$T$21:$DP$21='Actions de maîtrise'!$C12)*(Matrice!$T$23:$DP$100="X"))=1,"X","erreur"))</f>
        <v/>
      </c>
      <c r="V12" s="276" t="str">
        <f>IF(SUMPRODUCT((Matrice!$D$23:$D$100='Actions de maîtrise'!V$5)*(Matrice!$T$21:$DP$21='Actions de maîtrise'!$C12)*(Matrice!$T$23:$DP$100="X"))=0,"",IF(SUMPRODUCT((Matrice!$D$23:$D$100='Actions de maîtrise'!V$5)*(Matrice!$T$21:$DP$21='Actions de maîtrise'!$C12)*(Matrice!$T$23:$DP$100="X"))=1,"X","erreur"))</f>
        <v/>
      </c>
      <c r="W12" s="276" t="str">
        <f>IF(SUMPRODUCT((Matrice!$D$23:$D$100='Actions de maîtrise'!W$5)*(Matrice!$T$21:$DP$21='Actions de maîtrise'!$C12)*(Matrice!$T$23:$DP$100="X"))=0,"",IF(SUMPRODUCT((Matrice!$D$23:$D$100='Actions de maîtrise'!W$5)*(Matrice!$T$21:$DP$21='Actions de maîtrise'!$C12)*(Matrice!$T$23:$DP$100="X"))=1,"X","erreur"))</f>
        <v/>
      </c>
      <c r="X12" s="276" t="str">
        <f>IF(SUMPRODUCT((Matrice!$D$23:$D$100='Actions de maîtrise'!X$5)*(Matrice!$T$21:$DP$21='Actions de maîtrise'!$C12)*(Matrice!$T$23:$DP$100="X"))=0,"",IF(SUMPRODUCT((Matrice!$D$23:$D$100='Actions de maîtrise'!X$5)*(Matrice!$T$21:$DP$21='Actions de maîtrise'!$C12)*(Matrice!$T$23:$DP$100="X"))=1,"X","erreur"))</f>
        <v/>
      </c>
      <c r="Y12" s="276" t="str">
        <f>IF(SUMPRODUCT((Matrice!$D$23:$D$100='Actions de maîtrise'!Y$5)*(Matrice!$T$21:$DP$21='Actions de maîtrise'!$C12)*(Matrice!$T$23:$DP$100="X"))=0,"",IF(SUMPRODUCT((Matrice!$D$23:$D$100='Actions de maîtrise'!Y$5)*(Matrice!$T$21:$DP$21='Actions de maîtrise'!$C12)*(Matrice!$T$23:$DP$100="X"))=1,"X","erreur"))</f>
        <v/>
      </c>
      <c r="Z12" s="276" t="str">
        <f>IF(SUMPRODUCT((Matrice!$D$23:$D$100='Actions de maîtrise'!Z$5)*(Matrice!$T$21:$DP$21='Actions de maîtrise'!$C12)*(Matrice!$T$23:$DP$100="X"))=0,"",IF(SUMPRODUCT((Matrice!$D$23:$D$100='Actions de maîtrise'!Z$5)*(Matrice!$T$21:$DP$21='Actions de maîtrise'!$C12)*(Matrice!$T$23:$DP$100="X"))=1,"X","erreur"))</f>
        <v/>
      </c>
      <c r="AA12" s="276" t="str">
        <f>IF(SUMPRODUCT((Matrice!$D$23:$D$100='Actions de maîtrise'!AA$5)*(Matrice!$T$21:$DP$21='Actions de maîtrise'!$C12)*(Matrice!$T$23:$DP$100="X"))=0,"",IF(SUMPRODUCT((Matrice!$D$23:$D$100='Actions de maîtrise'!AA$5)*(Matrice!$T$21:$DP$21='Actions de maîtrise'!$C12)*(Matrice!$T$23:$DP$100="X"))=1,"X","erreur"))</f>
        <v/>
      </c>
      <c r="AB12" s="276" t="str">
        <f>IF(SUMPRODUCT((Matrice!$D$23:$D$100='Actions de maîtrise'!AB$5)*(Matrice!$T$21:$DP$21='Actions de maîtrise'!$C12)*(Matrice!$T$23:$DP$100="X"))=0,"",IF(SUMPRODUCT((Matrice!$D$23:$D$100='Actions de maîtrise'!AB$5)*(Matrice!$T$21:$DP$21='Actions de maîtrise'!$C12)*(Matrice!$T$23:$DP$100="X"))=1,"X","erreur"))</f>
        <v/>
      </c>
      <c r="AC12" s="276" t="str">
        <f>IF(SUMPRODUCT((Matrice!$D$23:$D$100='Actions de maîtrise'!AC$5)*(Matrice!$T$21:$DP$21='Actions de maîtrise'!$C12)*(Matrice!$T$23:$DP$100="X"))=0,"",IF(SUMPRODUCT((Matrice!$D$23:$D$100='Actions de maîtrise'!AC$5)*(Matrice!$T$21:$DP$21='Actions de maîtrise'!$C12)*(Matrice!$T$23:$DP$100="X"))=1,"X","erreur"))</f>
        <v/>
      </c>
      <c r="AD12" s="276" t="str">
        <f>IF(SUMPRODUCT((Matrice!$D$23:$D$100='Actions de maîtrise'!AD$5)*(Matrice!$T$21:$DP$21='Actions de maîtrise'!$C12)*(Matrice!$T$23:$DP$100="X"))=0,"",IF(SUMPRODUCT((Matrice!$D$23:$D$100='Actions de maîtrise'!AD$5)*(Matrice!$T$21:$DP$21='Actions de maîtrise'!$C12)*(Matrice!$T$23:$DP$100="X"))=1,"X","erreur"))</f>
        <v/>
      </c>
      <c r="AE12" s="276" t="str">
        <f>IF(SUMPRODUCT((Matrice!$D$23:$D$100='Actions de maîtrise'!AE$5)*(Matrice!$T$21:$DP$21='Actions de maîtrise'!$C12)*(Matrice!$T$23:$DP$100="X"))=0,"",IF(SUMPRODUCT((Matrice!$D$23:$D$100='Actions de maîtrise'!AE$5)*(Matrice!$T$21:$DP$21='Actions de maîtrise'!$C12)*(Matrice!$T$23:$DP$100="X"))=1,"X","erreur"))</f>
        <v/>
      </c>
      <c r="AF12" s="276" t="str">
        <f>IF(SUMPRODUCT((Matrice!$D$23:$D$100='Actions de maîtrise'!AF$5)*(Matrice!$T$21:$DP$21='Actions de maîtrise'!$C12)*(Matrice!$T$23:$DP$100="X"))=0,"",IF(SUMPRODUCT((Matrice!$D$23:$D$100='Actions de maîtrise'!AF$5)*(Matrice!$T$21:$DP$21='Actions de maîtrise'!$C12)*(Matrice!$T$23:$DP$100="X"))=1,"X","erreur"))</f>
        <v/>
      </c>
      <c r="AG12" s="276" t="str">
        <f>IF(SUMPRODUCT((Matrice!$D$23:$D$100='Actions de maîtrise'!AG$5)*(Matrice!$T$21:$DP$21='Actions de maîtrise'!$C12)*(Matrice!$T$23:$DP$100="X"))=0,"",IF(SUMPRODUCT((Matrice!$D$23:$D$100='Actions de maîtrise'!AG$5)*(Matrice!$T$21:$DP$21='Actions de maîtrise'!$C12)*(Matrice!$T$23:$DP$100="X"))=1,"X","erreur"))</f>
        <v/>
      </c>
    </row>
    <row r="13" spans="2:33" ht="18" customHeight="1" x14ac:dyDescent="0.2">
      <c r="B13" s="309" t="str">
        <f>IF((COUNTIF(Matrice!$2:$2,Matrice!$G$1&amp;"-AM"&amp;Listes!A9)=1)=TRUE,Matrice!$G$1&amp;"-AM"&amp;Listes!A9,"")</f>
        <v/>
      </c>
      <c r="C13" s="178" t="str">
        <f>IF(IF(ISERROR(HLOOKUP(B13,Matrice!$A$2:$DP$100,20,FALSE)),"",HLOOKUP(B13,Matrice!$A$2:$DP$100,20,FALSE))="","",IF(ISERROR(HLOOKUP(B13,Matrice!$A$2:$DP$100,20,FALSE)),"-",HLOOKUP(B13,Matrice!$A$2:$DP$100,20,FALSE)))</f>
        <v/>
      </c>
      <c r="D13" s="179" t="str">
        <f>IF(IF(ISERROR(HLOOKUP(B13,Matrice!$A$2:$DP$100,3,FALSE)),"",HLOOKUP(B13,Matrice!$A$2:$DP$100,3,FALSE))="","",IF(ISERROR(HLOOKUP(B13,Matrice!$A$2:$DP$100,3,FALSE)),"-",HLOOKUP(B13,Matrice!$A$2:$DP$100,3,FALSE)))</f>
        <v/>
      </c>
      <c r="E13" s="305"/>
      <c r="F13" s="179" t="str">
        <f>IF(ISERROR(HLOOKUP($B13,Matrice!$A$2:$DP$100,4,FALSE)),"",IF(HLOOKUP($B13,Matrice!$A$2:$DP$100,4,FALSE)="","",HLOOKUP($B13,Matrice!$A$2:$DP$100,4,FALSE)))</f>
        <v/>
      </c>
      <c r="G13" s="179" t="str">
        <f>IF(ISERROR(HLOOKUP($B13,Matrice!$A$2:$DP$100,5,FALSE)),"",IF(HLOOKUP($B13,Matrice!$A$2:$DP$100,5,FALSE)="","",HLOOKUP($B13,Matrice!$A$2:$DP$100,5,FALSE)))</f>
        <v/>
      </c>
      <c r="H13" s="179" t="str">
        <f>IF(ISERROR(HLOOKUP($B13,Matrice!$A$2:$DP$100,6,FALSE)),"",IF(HLOOKUP($B13,Matrice!$A$2:$DP$100,6,FALSE)="","",HLOOKUP($B13,Matrice!$A$2:$DP$100,6,FALSE)))</f>
        <v/>
      </c>
      <c r="I13" s="179" t="str">
        <f>IF(ISERROR(HLOOKUP($B14,Matrice!$A$2:$DP$100,7,FALSE)),"",IF(HLOOKUP($B14,Matrice!$A$2:$DP$100,7,FALSE)="","",HLOOKUP($B14,Matrice!$A$2:$DP$100,7,FALSE)))</f>
        <v/>
      </c>
      <c r="J13" s="277" t="str">
        <f>IF(ISERROR(HLOOKUP($B13,Matrice!$A$2:$DP$100,12,FALSE)),"",IF(HLOOKUP($B13,Matrice!$A$2:$DP$100,12,FALSE)="","",HLOOKUP($B13,Matrice!$A$2:$DP$100,12,FALSE)))</f>
        <v/>
      </c>
      <c r="K13" s="277" t="str">
        <f>IF(ISERROR(HLOOKUP($B13,Matrice!$A$2:$DP$100,13,FALSE)),"",IF(HLOOKUP($B13,Matrice!$A$2:$DP$100,13,FALSE)="","",HLOOKUP($B13,Matrice!$A$2:$DP$100,13,FALSE)))</f>
        <v/>
      </c>
      <c r="L13" s="333" t="str">
        <f>IF(ISERROR(HLOOKUP($B13,Matrice!$A$2:$DP$100,9,FALSE)),"",IF(HLOOKUP($B13,Matrice!$A$2:$DP$100,9,FALSE)="","",HLOOKUP($B13,Matrice!$A$2:$DP$100,9,FALSE)))</f>
        <v/>
      </c>
      <c r="M13" s="333" t="str">
        <f>IF(ISERROR(HLOOKUP($B13,Matrice!$A$2:$DP$100,10,FALSE)),"",IF(HLOOKUP($B13,Matrice!$A$2:$DP$100,10,FALSE)="","",HLOOKUP($B13,Matrice!$A$2:$DP$100,10,FALSE)))</f>
        <v/>
      </c>
      <c r="N13" s="333" t="str">
        <f>IF(ISERROR(HLOOKUP($B13,Matrice!$A$2:$DP$100,11,FALSE)),"",IF(HLOOKUP($B13,Matrice!$A$2:$DP$100,11,FALSE)="","",HLOOKUP($B13,Matrice!$A$2:$DP$100,11,FALSE)))</f>
        <v/>
      </c>
      <c r="P13" s="276" t="str">
        <f>IF(SUMPRODUCT((Matrice!$D$23:$D$100='Actions de maîtrise'!P$5)*(Matrice!$T$21:$DP$21='Actions de maîtrise'!$C13)*(Matrice!$T$23:$DP$100="X"))=0,"",IF(SUMPRODUCT((Matrice!$D$23:$D$100='Actions de maîtrise'!P$5)*(Matrice!$T$21:$DP$21='Actions de maîtrise'!$C13)*(Matrice!$T$23:$DP$100="X"))=1,"X","erreur"))</f>
        <v/>
      </c>
      <c r="Q13" s="276" t="str">
        <f>IF(SUMPRODUCT((Matrice!$D$23:$D$100='Actions de maîtrise'!Q$5)*(Matrice!$T$21:$DP$21='Actions de maîtrise'!$C13)*(Matrice!$T$23:$DP$100="X"))=0,"",IF(SUMPRODUCT((Matrice!$D$23:$D$100='Actions de maîtrise'!Q$5)*(Matrice!$T$21:$DP$21='Actions de maîtrise'!$C13)*(Matrice!$T$23:$DP$100="X"))=1,"X","erreur"))</f>
        <v/>
      </c>
      <c r="R13" s="276" t="str">
        <f>IF(SUMPRODUCT((Matrice!$D$23:$D$100='Actions de maîtrise'!R$5)*(Matrice!$T$21:$DP$21='Actions de maîtrise'!$C13)*(Matrice!$T$23:$DP$100="X"))=0,"",IF(SUMPRODUCT((Matrice!$D$23:$D$100='Actions de maîtrise'!R$5)*(Matrice!$T$21:$DP$21='Actions de maîtrise'!$C13)*(Matrice!$T$23:$DP$100="X"))=1,"X","erreur"))</f>
        <v/>
      </c>
      <c r="S13" s="276" t="str">
        <f>IF(SUMPRODUCT((Matrice!$D$23:$D$100='Actions de maîtrise'!S$5)*(Matrice!$T$21:$DP$21='Actions de maîtrise'!$C13)*(Matrice!$T$23:$DP$100="X"))=0,"",IF(SUMPRODUCT((Matrice!$D$23:$D$100='Actions de maîtrise'!S$5)*(Matrice!$T$21:$DP$21='Actions de maîtrise'!$C13)*(Matrice!$T$23:$DP$100="X"))=1,"X","erreur"))</f>
        <v/>
      </c>
      <c r="T13" s="276" t="str">
        <f>IF(SUMPRODUCT((Matrice!$D$23:$D$100='Actions de maîtrise'!T$5)*(Matrice!$T$21:$DP$21='Actions de maîtrise'!$C13)*(Matrice!$T$23:$DP$100="X"))=0,"",IF(SUMPRODUCT((Matrice!$D$23:$D$100='Actions de maîtrise'!T$5)*(Matrice!$T$21:$DP$21='Actions de maîtrise'!$C13)*(Matrice!$T$23:$DP$100="X"))=1,"X","erreur"))</f>
        <v/>
      </c>
      <c r="U13" s="276" t="str">
        <f>IF(SUMPRODUCT((Matrice!$D$23:$D$100='Actions de maîtrise'!U$5)*(Matrice!$T$21:$DP$21='Actions de maîtrise'!$C13)*(Matrice!$T$23:$DP$100="X"))=0,"",IF(SUMPRODUCT((Matrice!$D$23:$D$100='Actions de maîtrise'!U$5)*(Matrice!$T$21:$DP$21='Actions de maîtrise'!$C13)*(Matrice!$T$23:$DP$100="X"))=1,"X","erreur"))</f>
        <v/>
      </c>
      <c r="V13" s="276" t="str">
        <f>IF(SUMPRODUCT((Matrice!$D$23:$D$100='Actions de maîtrise'!V$5)*(Matrice!$T$21:$DP$21='Actions de maîtrise'!$C13)*(Matrice!$T$23:$DP$100="X"))=0,"",IF(SUMPRODUCT((Matrice!$D$23:$D$100='Actions de maîtrise'!V$5)*(Matrice!$T$21:$DP$21='Actions de maîtrise'!$C13)*(Matrice!$T$23:$DP$100="X"))=1,"X","erreur"))</f>
        <v/>
      </c>
      <c r="W13" s="276" t="str">
        <f>IF(SUMPRODUCT((Matrice!$D$23:$D$100='Actions de maîtrise'!W$5)*(Matrice!$T$21:$DP$21='Actions de maîtrise'!$C13)*(Matrice!$T$23:$DP$100="X"))=0,"",IF(SUMPRODUCT((Matrice!$D$23:$D$100='Actions de maîtrise'!W$5)*(Matrice!$T$21:$DP$21='Actions de maîtrise'!$C13)*(Matrice!$T$23:$DP$100="X"))=1,"X","erreur"))</f>
        <v/>
      </c>
      <c r="X13" s="276" t="str">
        <f>IF(SUMPRODUCT((Matrice!$D$23:$D$100='Actions de maîtrise'!X$5)*(Matrice!$T$21:$DP$21='Actions de maîtrise'!$C13)*(Matrice!$T$23:$DP$100="X"))=0,"",IF(SUMPRODUCT((Matrice!$D$23:$D$100='Actions de maîtrise'!X$5)*(Matrice!$T$21:$DP$21='Actions de maîtrise'!$C13)*(Matrice!$T$23:$DP$100="X"))=1,"X","erreur"))</f>
        <v/>
      </c>
      <c r="Y13" s="276" t="str">
        <f>IF(SUMPRODUCT((Matrice!$D$23:$D$100='Actions de maîtrise'!Y$5)*(Matrice!$T$21:$DP$21='Actions de maîtrise'!$C13)*(Matrice!$T$23:$DP$100="X"))=0,"",IF(SUMPRODUCT((Matrice!$D$23:$D$100='Actions de maîtrise'!Y$5)*(Matrice!$T$21:$DP$21='Actions de maîtrise'!$C13)*(Matrice!$T$23:$DP$100="X"))=1,"X","erreur"))</f>
        <v/>
      </c>
      <c r="Z13" s="276" t="str">
        <f>IF(SUMPRODUCT((Matrice!$D$23:$D$100='Actions de maîtrise'!Z$5)*(Matrice!$T$21:$DP$21='Actions de maîtrise'!$C13)*(Matrice!$T$23:$DP$100="X"))=0,"",IF(SUMPRODUCT((Matrice!$D$23:$D$100='Actions de maîtrise'!Z$5)*(Matrice!$T$21:$DP$21='Actions de maîtrise'!$C13)*(Matrice!$T$23:$DP$100="X"))=1,"X","erreur"))</f>
        <v/>
      </c>
      <c r="AA13" s="276" t="str">
        <f>IF(SUMPRODUCT((Matrice!$D$23:$D$100='Actions de maîtrise'!AA$5)*(Matrice!$T$21:$DP$21='Actions de maîtrise'!$C13)*(Matrice!$T$23:$DP$100="X"))=0,"",IF(SUMPRODUCT((Matrice!$D$23:$D$100='Actions de maîtrise'!AA$5)*(Matrice!$T$21:$DP$21='Actions de maîtrise'!$C13)*(Matrice!$T$23:$DP$100="X"))=1,"X","erreur"))</f>
        <v/>
      </c>
      <c r="AB13" s="276" t="str">
        <f>IF(SUMPRODUCT((Matrice!$D$23:$D$100='Actions de maîtrise'!AB$5)*(Matrice!$T$21:$DP$21='Actions de maîtrise'!$C13)*(Matrice!$T$23:$DP$100="X"))=0,"",IF(SUMPRODUCT((Matrice!$D$23:$D$100='Actions de maîtrise'!AB$5)*(Matrice!$T$21:$DP$21='Actions de maîtrise'!$C13)*(Matrice!$T$23:$DP$100="X"))=1,"X","erreur"))</f>
        <v/>
      </c>
      <c r="AC13" s="276" t="str">
        <f>IF(SUMPRODUCT((Matrice!$D$23:$D$100='Actions de maîtrise'!AC$5)*(Matrice!$T$21:$DP$21='Actions de maîtrise'!$C13)*(Matrice!$T$23:$DP$100="X"))=0,"",IF(SUMPRODUCT((Matrice!$D$23:$D$100='Actions de maîtrise'!AC$5)*(Matrice!$T$21:$DP$21='Actions de maîtrise'!$C13)*(Matrice!$T$23:$DP$100="X"))=1,"X","erreur"))</f>
        <v/>
      </c>
      <c r="AD13" s="276" t="str">
        <f>IF(SUMPRODUCT((Matrice!$D$23:$D$100='Actions de maîtrise'!AD$5)*(Matrice!$T$21:$DP$21='Actions de maîtrise'!$C13)*(Matrice!$T$23:$DP$100="X"))=0,"",IF(SUMPRODUCT((Matrice!$D$23:$D$100='Actions de maîtrise'!AD$5)*(Matrice!$T$21:$DP$21='Actions de maîtrise'!$C13)*(Matrice!$T$23:$DP$100="X"))=1,"X","erreur"))</f>
        <v/>
      </c>
      <c r="AE13" s="276" t="str">
        <f>IF(SUMPRODUCT((Matrice!$D$23:$D$100='Actions de maîtrise'!AE$5)*(Matrice!$T$21:$DP$21='Actions de maîtrise'!$C13)*(Matrice!$T$23:$DP$100="X"))=0,"",IF(SUMPRODUCT((Matrice!$D$23:$D$100='Actions de maîtrise'!AE$5)*(Matrice!$T$21:$DP$21='Actions de maîtrise'!$C13)*(Matrice!$T$23:$DP$100="X"))=1,"X","erreur"))</f>
        <v/>
      </c>
      <c r="AF13" s="276" t="str">
        <f>IF(SUMPRODUCT((Matrice!$D$23:$D$100='Actions de maîtrise'!AF$5)*(Matrice!$T$21:$DP$21='Actions de maîtrise'!$C13)*(Matrice!$T$23:$DP$100="X"))=0,"",IF(SUMPRODUCT((Matrice!$D$23:$D$100='Actions de maîtrise'!AF$5)*(Matrice!$T$21:$DP$21='Actions de maîtrise'!$C13)*(Matrice!$T$23:$DP$100="X"))=1,"X","erreur"))</f>
        <v/>
      </c>
      <c r="AG13" s="276" t="str">
        <f>IF(SUMPRODUCT((Matrice!$D$23:$D$100='Actions de maîtrise'!AG$5)*(Matrice!$T$21:$DP$21='Actions de maîtrise'!$C13)*(Matrice!$T$23:$DP$100="X"))=0,"",IF(SUMPRODUCT((Matrice!$D$23:$D$100='Actions de maîtrise'!AG$5)*(Matrice!$T$21:$DP$21='Actions de maîtrise'!$C13)*(Matrice!$T$23:$DP$100="X"))=1,"X","erreur"))</f>
        <v/>
      </c>
    </row>
    <row r="14" spans="2:33" ht="18" customHeight="1" x14ac:dyDescent="0.2">
      <c r="B14" s="309" t="str">
        <f>IF((COUNTIF(Matrice!$2:$2,Matrice!$G$1&amp;"-AM"&amp;Listes!A10)=1)=TRUE,Matrice!$G$1&amp;"-AM"&amp;Listes!A10,"")</f>
        <v/>
      </c>
      <c r="C14" s="178" t="str">
        <f>IF(IF(ISERROR(HLOOKUP(B14,Matrice!$A$2:$DP$100,20,FALSE)),"",HLOOKUP(B14,Matrice!$A$2:$DP$100,20,FALSE))="","",IF(ISERROR(HLOOKUP(B14,Matrice!$A$2:$DP$100,20,FALSE)),"-",HLOOKUP(B14,Matrice!$A$2:$DP$100,20,FALSE)))</f>
        <v/>
      </c>
      <c r="D14" s="179" t="str">
        <f>IF(IF(ISERROR(HLOOKUP(B14,Matrice!$A$2:$DP$100,3,FALSE)),"",HLOOKUP(B14,Matrice!$A$2:$DP$100,3,FALSE))="","",IF(ISERROR(HLOOKUP(B14,Matrice!$A$2:$DP$100,3,FALSE)),"-",HLOOKUP(B14,Matrice!$A$2:$DP$100,3,FALSE)))</f>
        <v/>
      </c>
      <c r="E14" s="305"/>
      <c r="F14" s="179" t="str">
        <f>IF(ISERROR(HLOOKUP($B14,Matrice!$A$2:$DP$100,4,FALSE)),"",IF(HLOOKUP($B14,Matrice!$A$2:$DP$100,4,FALSE)="","",HLOOKUP($B14,Matrice!$A$2:$DP$100,4,FALSE)))</f>
        <v/>
      </c>
      <c r="G14" s="179" t="str">
        <f>IF(ISERROR(HLOOKUP($B14,Matrice!$A$2:$DP$100,5,FALSE)),"",IF(HLOOKUP($B14,Matrice!$A$2:$DP$100,5,FALSE)="","",HLOOKUP($B14,Matrice!$A$2:$DP$100,5,FALSE)))</f>
        <v/>
      </c>
      <c r="H14" s="179" t="str">
        <f>IF(ISERROR(HLOOKUP($B14,Matrice!$A$2:$DP$100,6,FALSE)),"",IF(HLOOKUP($B14,Matrice!$A$2:$DP$100,6,FALSE)="","",HLOOKUP($B14,Matrice!$A$2:$DP$100,6,FALSE)))</f>
        <v/>
      </c>
      <c r="I14" s="179" t="str">
        <f>IF(ISERROR(HLOOKUP($B15,Matrice!$A$2:$DP$100,7,FALSE)),"",IF(HLOOKUP($B15,Matrice!$A$2:$DP$100,7,FALSE)="","",HLOOKUP($B15,Matrice!$A$2:$DP$100,7,FALSE)))</f>
        <v/>
      </c>
      <c r="J14" s="277" t="str">
        <f>IF(ISERROR(HLOOKUP($B14,Matrice!$A$2:$DP$100,12,FALSE)),"",IF(HLOOKUP($B14,Matrice!$A$2:$DP$100,12,FALSE)="","",HLOOKUP($B14,Matrice!$A$2:$DP$100,12,FALSE)))</f>
        <v/>
      </c>
      <c r="K14" s="277" t="str">
        <f>IF(ISERROR(HLOOKUP($B14,Matrice!$A$2:$DP$100,13,FALSE)),"",IF(HLOOKUP($B14,Matrice!$A$2:$DP$100,13,FALSE)="","",HLOOKUP($B14,Matrice!$A$2:$DP$100,13,FALSE)))</f>
        <v/>
      </c>
      <c r="L14" s="333" t="str">
        <f>IF(ISERROR(HLOOKUP($B14,Matrice!$A$2:$DP$100,9,FALSE)),"",IF(HLOOKUP($B14,Matrice!$A$2:$DP$100,9,FALSE)="","",HLOOKUP($B14,Matrice!$A$2:$DP$100,9,FALSE)))</f>
        <v/>
      </c>
      <c r="M14" s="333" t="str">
        <f>IF(ISERROR(HLOOKUP($B14,Matrice!$A$2:$DP$100,10,FALSE)),"",IF(HLOOKUP($B14,Matrice!$A$2:$DP$100,10,FALSE)="","",HLOOKUP($B14,Matrice!$A$2:$DP$100,10,FALSE)))</f>
        <v/>
      </c>
      <c r="N14" s="333" t="str">
        <f>IF(ISERROR(HLOOKUP($B14,Matrice!$A$2:$DP$100,11,FALSE)),"",IF(HLOOKUP($B14,Matrice!$A$2:$DP$100,11,FALSE)="","",HLOOKUP($B14,Matrice!$A$2:$DP$100,11,FALSE)))</f>
        <v/>
      </c>
      <c r="P14" s="276" t="str">
        <f>IF(SUMPRODUCT((Matrice!$D$23:$D$100='Actions de maîtrise'!P$5)*(Matrice!$T$21:$DP$21='Actions de maîtrise'!$C14)*(Matrice!$T$23:$DP$100="X"))=0,"",IF(SUMPRODUCT((Matrice!$D$23:$D$100='Actions de maîtrise'!P$5)*(Matrice!$T$21:$DP$21='Actions de maîtrise'!$C14)*(Matrice!$T$23:$DP$100="X"))=1,"X","erreur"))</f>
        <v/>
      </c>
      <c r="Q14" s="276" t="str">
        <f>IF(SUMPRODUCT((Matrice!$D$23:$D$100='Actions de maîtrise'!Q$5)*(Matrice!$T$21:$DP$21='Actions de maîtrise'!$C14)*(Matrice!$T$23:$DP$100="X"))=0,"",IF(SUMPRODUCT((Matrice!$D$23:$D$100='Actions de maîtrise'!Q$5)*(Matrice!$T$21:$DP$21='Actions de maîtrise'!$C14)*(Matrice!$T$23:$DP$100="X"))=1,"X","erreur"))</f>
        <v/>
      </c>
      <c r="R14" s="276" t="str">
        <f>IF(SUMPRODUCT((Matrice!$D$23:$D$100='Actions de maîtrise'!R$5)*(Matrice!$T$21:$DP$21='Actions de maîtrise'!$C14)*(Matrice!$T$23:$DP$100="X"))=0,"",IF(SUMPRODUCT((Matrice!$D$23:$D$100='Actions de maîtrise'!R$5)*(Matrice!$T$21:$DP$21='Actions de maîtrise'!$C14)*(Matrice!$T$23:$DP$100="X"))=1,"X","erreur"))</f>
        <v/>
      </c>
      <c r="S14" s="276" t="str">
        <f>IF(SUMPRODUCT((Matrice!$D$23:$D$100='Actions de maîtrise'!S$5)*(Matrice!$T$21:$DP$21='Actions de maîtrise'!$C14)*(Matrice!$T$23:$DP$100="X"))=0,"",IF(SUMPRODUCT((Matrice!$D$23:$D$100='Actions de maîtrise'!S$5)*(Matrice!$T$21:$DP$21='Actions de maîtrise'!$C14)*(Matrice!$T$23:$DP$100="X"))=1,"X","erreur"))</f>
        <v/>
      </c>
      <c r="T14" s="276" t="str">
        <f>IF(SUMPRODUCT((Matrice!$D$23:$D$100='Actions de maîtrise'!T$5)*(Matrice!$T$21:$DP$21='Actions de maîtrise'!$C14)*(Matrice!$T$23:$DP$100="X"))=0,"",IF(SUMPRODUCT((Matrice!$D$23:$D$100='Actions de maîtrise'!T$5)*(Matrice!$T$21:$DP$21='Actions de maîtrise'!$C14)*(Matrice!$T$23:$DP$100="X"))=1,"X","erreur"))</f>
        <v/>
      </c>
      <c r="U14" s="276" t="str">
        <f>IF(SUMPRODUCT((Matrice!$D$23:$D$100='Actions de maîtrise'!U$5)*(Matrice!$T$21:$DP$21='Actions de maîtrise'!$C14)*(Matrice!$T$23:$DP$100="X"))=0,"",IF(SUMPRODUCT((Matrice!$D$23:$D$100='Actions de maîtrise'!U$5)*(Matrice!$T$21:$DP$21='Actions de maîtrise'!$C14)*(Matrice!$T$23:$DP$100="X"))=1,"X","erreur"))</f>
        <v/>
      </c>
      <c r="V14" s="276" t="str">
        <f>IF(SUMPRODUCT((Matrice!$D$23:$D$100='Actions de maîtrise'!V$5)*(Matrice!$T$21:$DP$21='Actions de maîtrise'!$C14)*(Matrice!$T$23:$DP$100="X"))=0,"",IF(SUMPRODUCT((Matrice!$D$23:$D$100='Actions de maîtrise'!V$5)*(Matrice!$T$21:$DP$21='Actions de maîtrise'!$C14)*(Matrice!$T$23:$DP$100="X"))=1,"X","erreur"))</f>
        <v/>
      </c>
      <c r="W14" s="276" t="str">
        <f>IF(SUMPRODUCT((Matrice!$D$23:$D$100='Actions de maîtrise'!W$5)*(Matrice!$T$21:$DP$21='Actions de maîtrise'!$C14)*(Matrice!$T$23:$DP$100="X"))=0,"",IF(SUMPRODUCT((Matrice!$D$23:$D$100='Actions de maîtrise'!W$5)*(Matrice!$T$21:$DP$21='Actions de maîtrise'!$C14)*(Matrice!$T$23:$DP$100="X"))=1,"X","erreur"))</f>
        <v/>
      </c>
      <c r="X14" s="276" t="str">
        <f>IF(SUMPRODUCT((Matrice!$D$23:$D$100='Actions de maîtrise'!X$5)*(Matrice!$T$21:$DP$21='Actions de maîtrise'!$C14)*(Matrice!$T$23:$DP$100="X"))=0,"",IF(SUMPRODUCT((Matrice!$D$23:$D$100='Actions de maîtrise'!X$5)*(Matrice!$T$21:$DP$21='Actions de maîtrise'!$C14)*(Matrice!$T$23:$DP$100="X"))=1,"X","erreur"))</f>
        <v/>
      </c>
      <c r="Y14" s="276" t="str">
        <f>IF(SUMPRODUCT((Matrice!$D$23:$D$100='Actions de maîtrise'!Y$5)*(Matrice!$T$21:$DP$21='Actions de maîtrise'!$C14)*(Matrice!$T$23:$DP$100="X"))=0,"",IF(SUMPRODUCT((Matrice!$D$23:$D$100='Actions de maîtrise'!Y$5)*(Matrice!$T$21:$DP$21='Actions de maîtrise'!$C14)*(Matrice!$T$23:$DP$100="X"))=1,"X","erreur"))</f>
        <v/>
      </c>
      <c r="Z14" s="276" t="str">
        <f>IF(SUMPRODUCT((Matrice!$D$23:$D$100='Actions de maîtrise'!Z$5)*(Matrice!$T$21:$DP$21='Actions de maîtrise'!$C14)*(Matrice!$T$23:$DP$100="X"))=0,"",IF(SUMPRODUCT((Matrice!$D$23:$D$100='Actions de maîtrise'!Z$5)*(Matrice!$T$21:$DP$21='Actions de maîtrise'!$C14)*(Matrice!$T$23:$DP$100="X"))=1,"X","erreur"))</f>
        <v/>
      </c>
      <c r="AA14" s="276" t="str">
        <f>IF(SUMPRODUCT((Matrice!$D$23:$D$100='Actions de maîtrise'!AA$5)*(Matrice!$T$21:$DP$21='Actions de maîtrise'!$C14)*(Matrice!$T$23:$DP$100="X"))=0,"",IF(SUMPRODUCT((Matrice!$D$23:$D$100='Actions de maîtrise'!AA$5)*(Matrice!$T$21:$DP$21='Actions de maîtrise'!$C14)*(Matrice!$T$23:$DP$100="X"))=1,"X","erreur"))</f>
        <v/>
      </c>
      <c r="AB14" s="276" t="str">
        <f>IF(SUMPRODUCT((Matrice!$D$23:$D$100='Actions de maîtrise'!AB$5)*(Matrice!$T$21:$DP$21='Actions de maîtrise'!$C14)*(Matrice!$T$23:$DP$100="X"))=0,"",IF(SUMPRODUCT((Matrice!$D$23:$D$100='Actions de maîtrise'!AB$5)*(Matrice!$T$21:$DP$21='Actions de maîtrise'!$C14)*(Matrice!$T$23:$DP$100="X"))=1,"X","erreur"))</f>
        <v/>
      </c>
      <c r="AC14" s="276" t="str">
        <f>IF(SUMPRODUCT((Matrice!$D$23:$D$100='Actions de maîtrise'!AC$5)*(Matrice!$T$21:$DP$21='Actions de maîtrise'!$C14)*(Matrice!$T$23:$DP$100="X"))=0,"",IF(SUMPRODUCT((Matrice!$D$23:$D$100='Actions de maîtrise'!AC$5)*(Matrice!$T$21:$DP$21='Actions de maîtrise'!$C14)*(Matrice!$T$23:$DP$100="X"))=1,"X","erreur"))</f>
        <v/>
      </c>
      <c r="AD14" s="276" t="str">
        <f>IF(SUMPRODUCT((Matrice!$D$23:$D$100='Actions de maîtrise'!AD$5)*(Matrice!$T$21:$DP$21='Actions de maîtrise'!$C14)*(Matrice!$T$23:$DP$100="X"))=0,"",IF(SUMPRODUCT((Matrice!$D$23:$D$100='Actions de maîtrise'!AD$5)*(Matrice!$T$21:$DP$21='Actions de maîtrise'!$C14)*(Matrice!$T$23:$DP$100="X"))=1,"X","erreur"))</f>
        <v/>
      </c>
      <c r="AE14" s="276" t="str">
        <f>IF(SUMPRODUCT((Matrice!$D$23:$D$100='Actions de maîtrise'!AE$5)*(Matrice!$T$21:$DP$21='Actions de maîtrise'!$C14)*(Matrice!$T$23:$DP$100="X"))=0,"",IF(SUMPRODUCT((Matrice!$D$23:$D$100='Actions de maîtrise'!AE$5)*(Matrice!$T$21:$DP$21='Actions de maîtrise'!$C14)*(Matrice!$T$23:$DP$100="X"))=1,"X","erreur"))</f>
        <v/>
      </c>
      <c r="AF14" s="276" t="str">
        <f>IF(SUMPRODUCT((Matrice!$D$23:$D$100='Actions de maîtrise'!AF$5)*(Matrice!$T$21:$DP$21='Actions de maîtrise'!$C14)*(Matrice!$T$23:$DP$100="X"))=0,"",IF(SUMPRODUCT((Matrice!$D$23:$D$100='Actions de maîtrise'!AF$5)*(Matrice!$T$21:$DP$21='Actions de maîtrise'!$C14)*(Matrice!$T$23:$DP$100="X"))=1,"X","erreur"))</f>
        <v/>
      </c>
      <c r="AG14" s="276" t="str">
        <f>IF(SUMPRODUCT((Matrice!$D$23:$D$100='Actions de maîtrise'!AG$5)*(Matrice!$T$21:$DP$21='Actions de maîtrise'!$C14)*(Matrice!$T$23:$DP$100="X"))=0,"",IF(SUMPRODUCT((Matrice!$D$23:$D$100='Actions de maîtrise'!AG$5)*(Matrice!$T$21:$DP$21='Actions de maîtrise'!$C14)*(Matrice!$T$23:$DP$100="X"))=1,"X","erreur"))</f>
        <v/>
      </c>
    </row>
    <row r="15" spans="2:33" ht="18" customHeight="1" x14ac:dyDescent="0.2">
      <c r="B15" s="309" t="str">
        <f>IF((COUNTIF(Matrice!$2:$2,Matrice!$G$1&amp;"-AM"&amp;Listes!A11)=1)=TRUE,Matrice!$G$1&amp;"-AM"&amp;Listes!A11,"")</f>
        <v/>
      </c>
      <c r="C15" s="178" t="str">
        <f>IF(IF(ISERROR(HLOOKUP(B15,Matrice!$A$2:$DP$100,20,FALSE)),"",HLOOKUP(B15,Matrice!$A$2:$DP$100,20,FALSE))="","",IF(ISERROR(HLOOKUP(B15,Matrice!$A$2:$DP$100,20,FALSE)),"-",HLOOKUP(B15,Matrice!$A$2:$DP$100,20,FALSE)))</f>
        <v/>
      </c>
      <c r="D15" s="179" t="str">
        <f>IF(IF(ISERROR(HLOOKUP(B15,Matrice!$A$2:$DP$100,3,FALSE)),"",HLOOKUP(B15,Matrice!$A$2:$DP$100,3,FALSE))="","",IF(ISERROR(HLOOKUP(B15,Matrice!$A$2:$DP$100,3,FALSE)),"-",HLOOKUP(B15,Matrice!$A$2:$DP$100,3,FALSE)))</f>
        <v/>
      </c>
      <c r="E15" s="305"/>
      <c r="F15" s="179" t="str">
        <f>IF(ISERROR(HLOOKUP($B15,Matrice!$A$2:$DP$100,4,FALSE)),"",IF(HLOOKUP($B15,Matrice!$A$2:$DP$100,4,FALSE)="","",HLOOKUP($B15,Matrice!$A$2:$DP$100,4,FALSE)))</f>
        <v/>
      </c>
      <c r="G15" s="179" t="str">
        <f>IF(ISERROR(HLOOKUP($B15,Matrice!$A$2:$DP$100,5,FALSE)),"",IF(HLOOKUP($B15,Matrice!$A$2:$DP$100,5,FALSE)="","",HLOOKUP($B15,Matrice!$A$2:$DP$100,5,FALSE)))</f>
        <v/>
      </c>
      <c r="H15" s="179" t="str">
        <f>IF(ISERROR(HLOOKUP($B15,Matrice!$A$2:$DP$100,6,FALSE)),"",IF(HLOOKUP($B15,Matrice!$A$2:$DP$100,6,FALSE)="","",HLOOKUP($B15,Matrice!$A$2:$DP$100,6,FALSE)))</f>
        <v/>
      </c>
      <c r="I15" s="179" t="str">
        <f>IF(ISERROR(HLOOKUP($B16,Matrice!$A$2:$DP$100,7,FALSE)),"",IF(HLOOKUP($B16,Matrice!$A$2:$DP$100,7,FALSE)="","",HLOOKUP($B16,Matrice!$A$2:$DP$100,7,FALSE)))</f>
        <v/>
      </c>
      <c r="J15" s="277" t="str">
        <f>IF(ISERROR(HLOOKUP($B15,Matrice!$A$2:$DP$100,12,FALSE)),"",IF(HLOOKUP($B15,Matrice!$A$2:$DP$100,12,FALSE)="","",HLOOKUP($B15,Matrice!$A$2:$DP$100,12,FALSE)))</f>
        <v/>
      </c>
      <c r="K15" s="277" t="str">
        <f>IF(ISERROR(HLOOKUP($B15,Matrice!$A$2:$DP$100,13,FALSE)),"",IF(HLOOKUP($B15,Matrice!$A$2:$DP$100,13,FALSE)="","",HLOOKUP($B15,Matrice!$A$2:$DP$100,13,FALSE)))</f>
        <v/>
      </c>
      <c r="L15" s="333" t="str">
        <f>IF(ISERROR(HLOOKUP($B15,Matrice!$A$2:$DP$100,9,FALSE)),"",IF(HLOOKUP($B15,Matrice!$A$2:$DP$100,9,FALSE)="","",HLOOKUP($B15,Matrice!$A$2:$DP$100,9,FALSE)))</f>
        <v/>
      </c>
      <c r="M15" s="333" t="str">
        <f>IF(ISERROR(HLOOKUP($B15,Matrice!$A$2:$DP$100,10,FALSE)),"",IF(HLOOKUP($B15,Matrice!$A$2:$DP$100,10,FALSE)="","",HLOOKUP($B15,Matrice!$A$2:$DP$100,10,FALSE)))</f>
        <v/>
      </c>
      <c r="N15" s="333" t="str">
        <f>IF(ISERROR(HLOOKUP($B15,Matrice!$A$2:$DP$100,11,FALSE)),"",IF(HLOOKUP($B15,Matrice!$A$2:$DP$100,11,FALSE)="","",HLOOKUP($B15,Matrice!$A$2:$DP$100,11,FALSE)))</f>
        <v/>
      </c>
      <c r="P15" s="276" t="str">
        <f>IF(SUMPRODUCT((Matrice!$D$23:$D$100='Actions de maîtrise'!P$5)*(Matrice!$T$21:$DP$21='Actions de maîtrise'!$C15)*(Matrice!$T$23:$DP$100="X"))=0,"",IF(SUMPRODUCT((Matrice!$D$23:$D$100='Actions de maîtrise'!P$5)*(Matrice!$T$21:$DP$21='Actions de maîtrise'!$C15)*(Matrice!$T$23:$DP$100="X"))=1,"X","erreur"))</f>
        <v/>
      </c>
      <c r="Q15" s="276" t="str">
        <f>IF(SUMPRODUCT((Matrice!$D$23:$D$100='Actions de maîtrise'!Q$5)*(Matrice!$T$21:$DP$21='Actions de maîtrise'!$C15)*(Matrice!$T$23:$DP$100="X"))=0,"",IF(SUMPRODUCT((Matrice!$D$23:$D$100='Actions de maîtrise'!Q$5)*(Matrice!$T$21:$DP$21='Actions de maîtrise'!$C15)*(Matrice!$T$23:$DP$100="X"))=1,"X","erreur"))</f>
        <v/>
      </c>
      <c r="R15" s="276" t="str">
        <f>IF(SUMPRODUCT((Matrice!$D$23:$D$100='Actions de maîtrise'!R$5)*(Matrice!$T$21:$DP$21='Actions de maîtrise'!$C15)*(Matrice!$T$23:$DP$100="X"))=0,"",IF(SUMPRODUCT((Matrice!$D$23:$D$100='Actions de maîtrise'!R$5)*(Matrice!$T$21:$DP$21='Actions de maîtrise'!$C15)*(Matrice!$T$23:$DP$100="X"))=1,"X","erreur"))</f>
        <v/>
      </c>
      <c r="S15" s="276" t="str">
        <f>IF(SUMPRODUCT((Matrice!$D$23:$D$100='Actions de maîtrise'!S$5)*(Matrice!$T$21:$DP$21='Actions de maîtrise'!$C15)*(Matrice!$T$23:$DP$100="X"))=0,"",IF(SUMPRODUCT((Matrice!$D$23:$D$100='Actions de maîtrise'!S$5)*(Matrice!$T$21:$DP$21='Actions de maîtrise'!$C15)*(Matrice!$T$23:$DP$100="X"))=1,"X","erreur"))</f>
        <v/>
      </c>
      <c r="T15" s="276" t="str">
        <f>IF(SUMPRODUCT((Matrice!$D$23:$D$100='Actions de maîtrise'!T$5)*(Matrice!$T$21:$DP$21='Actions de maîtrise'!$C15)*(Matrice!$T$23:$DP$100="X"))=0,"",IF(SUMPRODUCT((Matrice!$D$23:$D$100='Actions de maîtrise'!T$5)*(Matrice!$T$21:$DP$21='Actions de maîtrise'!$C15)*(Matrice!$T$23:$DP$100="X"))=1,"X","erreur"))</f>
        <v/>
      </c>
      <c r="U15" s="276" t="str">
        <f>IF(SUMPRODUCT((Matrice!$D$23:$D$100='Actions de maîtrise'!U$5)*(Matrice!$T$21:$DP$21='Actions de maîtrise'!$C15)*(Matrice!$T$23:$DP$100="X"))=0,"",IF(SUMPRODUCT((Matrice!$D$23:$D$100='Actions de maîtrise'!U$5)*(Matrice!$T$21:$DP$21='Actions de maîtrise'!$C15)*(Matrice!$T$23:$DP$100="X"))=1,"X","erreur"))</f>
        <v/>
      </c>
      <c r="V15" s="276" t="str">
        <f>IF(SUMPRODUCT((Matrice!$D$23:$D$100='Actions de maîtrise'!V$5)*(Matrice!$T$21:$DP$21='Actions de maîtrise'!$C15)*(Matrice!$T$23:$DP$100="X"))=0,"",IF(SUMPRODUCT((Matrice!$D$23:$D$100='Actions de maîtrise'!V$5)*(Matrice!$T$21:$DP$21='Actions de maîtrise'!$C15)*(Matrice!$T$23:$DP$100="X"))=1,"X","erreur"))</f>
        <v/>
      </c>
      <c r="W15" s="276" t="str">
        <f>IF(SUMPRODUCT((Matrice!$D$23:$D$100='Actions de maîtrise'!W$5)*(Matrice!$T$21:$DP$21='Actions de maîtrise'!$C15)*(Matrice!$T$23:$DP$100="X"))=0,"",IF(SUMPRODUCT((Matrice!$D$23:$D$100='Actions de maîtrise'!W$5)*(Matrice!$T$21:$DP$21='Actions de maîtrise'!$C15)*(Matrice!$T$23:$DP$100="X"))=1,"X","erreur"))</f>
        <v/>
      </c>
      <c r="X15" s="276" t="str">
        <f>IF(SUMPRODUCT((Matrice!$D$23:$D$100='Actions de maîtrise'!X$5)*(Matrice!$T$21:$DP$21='Actions de maîtrise'!$C15)*(Matrice!$T$23:$DP$100="X"))=0,"",IF(SUMPRODUCT((Matrice!$D$23:$D$100='Actions de maîtrise'!X$5)*(Matrice!$T$21:$DP$21='Actions de maîtrise'!$C15)*(Matrice!$T$23:$DP$100="X"))=1,"X","erreur"))</f>
        <v/>
      </c>
      <c r="Y15" s="276" t="str">
        <f>IF(SUMPRODUCT((Matrice!$D$23:$D$100='Actions de maîtrise'!Y$5)*(Matrice!$T$21:$DP$21='Actions de maîtrise'!$C15)*(Matrice!$T$23:$DP$100="X"))=0,"",IF(SUMPRODUCT((Matrice!$D$23:$D$100='Actions de maîtrise'!Y$5)*(Matrice!$T$21:$DP$21='Actions de maîtrise'!$C15)*(Matrice!$T$23:$DP$100="X"))=1,"X","erreur"))</f>
        <v/>
      </c>
      <c r="Z15" s="276" t="str">
        <f>IF(SUMPRODUCT((Matrice!$D$23:$D$100='Actions de maîtrise'!Z$5)*(Matrice!$T$21:$DP$21='Actions de maîtrise'!$C15)*(Matrice!$T$23:$DP$100="X"))=0,"",IF(SUMPRODUCT((Matrice!$D$23:$D$100='Actions de maîtrise'!Z$5)*(Matrice!$T$21:$DP$21='Actions de maîtrise'!$C15)*(Matrice!$T$23:$DP$100="X"))=1,"X","erreur"))</f>
        <v/>
      </c>
      <c r="AA15" s="276" t="str">
        <f>IF(SUMPRODUCT((Matrice!$D$23:$D$100='Actions de maîtrise'!AA$5)*(Matrice!$T$21:$DP$21='Actions de maîtrise'!$C15)*(Matrice!$T$23:$DP$100="X"))=0,"",IF(SUMPRODUCT((Matrice!$D$23:$D$100='Actions de maîtrise'!AA$5)*(Matrice!$T$21:$DP$21='Actions de maîtrise'!$C15)*(Matrice!$T$23:$DP$100="X"))=1,"X","erreur"))</f>
        <v/>
      </c>
      <c r="AB15" s="276" t="str">
        <f>IF(SUMPRODUCT((Matrice!$D$23:$D$100='Actions de maîtrise'!AB$5)*(Matrice!$T$21:$DP$21='Actions de maîtrise'!$C15)*(Matrice!$T$23:$DP$100="X"))=0,"",IF(SUMPRODUCT((Matrice!$D$23:$D$100='Actions de maîtrise'!AB$5)*(Matrice!$T$21:$DP$21='Actions de maîtrise'!$C15)*(Matrice!$T$23:$DP$100="X"))=1,"X","erreur"))</f>
        <v/>
      </c>
      <c r="AC15" s="276" t="str">
        <f>IF(SUMPRODUCT((Matrice!$D$23:$D$100='Actions de maîtrise'!AC$5)*(Matrice!$T$21:$DP$21='Actions de maîtrise'!$C15)*(Matrice!$T$23:$DP$100="X"))=0,"",IF(SUMPRODUCT((Matrice!$D$23:$D$100='Actions de maîtrise'!AC$5)*(Matrice!$T$21:$DP$21='Actions de maîtrise'!$C15)*(Matrice!$T$23:$DP$100="X"))=1,"X","erreur"))</f>
        <v/>
      </c>
      <c r="AD15" s="276" t="str">
        <f>IF(SUMPRODUCT((Matrice!$D$23:$D$100='Actions de maîtrise'!AD$5)*(Matrice!$T$21:$DP$21='Actions de maîtrise'!$C15)*(Matrice!$T$23:$DP$100="X"))=0,"",IF(SUMPRODUCT((Matrice!$D$23:$D$100='Actions de maîtrise'!AD$5)*(Matrice!$T$21:$DP$21='Actions de maîtrise'!$C15)*(Matrice!$T$23:$DP$100="X"))=1,"X","erreur"))</f>
        <v/>
      </c>
      <c r="AE15" s="276" t="str">
        <f>IF(SUMPRODUCT((Matrice!$D$23:$D$100='Actions de maîtrise'!AE$5)*(Matrice!$T$21:$DP$21='Actions de maîtrise'!$C15)*(Matrice!$T$23:$DP$100="X"))=0,"",IF(SUMPRODUCT((Matrice!$D$23:$D$100='Actions de maîtrise'!AE$5)*(Matrice!$T$21:$DP$21='Actions de maîtrise'!$C15)*(Matrice!$T$23:$DP$100="X"))=1,"X","erreur"))</f>
        <v/>
      </c>
      <c r="AF15" s="276" t="str">
        <f>IF(SUMPRODUCT((Matrice!$D$23:$D$100='Actions de maîtrise'!AF$5)*(Matrice!$T$21:$DP$21='Actions de maîtrise'!$C15)*(Matrice!$T$23:$DP$100="X"))=0,"",IF(SUMPRODUCT((Matrice!$D$23:$D$100='Actions de maîtrise'!AF$5)*(Matrice!$T$21:$DP$21='Actions de maîtrise'!$C15)*(Matrice!$T$23:$DP$100="X"))=1,"X","erreur"))</f>
        <v/>
      </c>
      <c r="AG15" s="276" t="str">
        <f>IF(SUMPRODUCT((Matrice!$D$23:$D$100='Actions de maîtrise'!AG$5)*(Matrice!$T$21:$DP$21='Actions de maîtrise'!$C15)*(Matrice!$T$23:$DP$100="X"))=0,"",IF(SUMPRODUCT((Matrice!$D$23:$D$100='Actions de maîtrise'!AG$5)*(Matrice!$T$21:$DP$21='Actions de maîtrise'!$C15)*(Matrice!$T$23:$DP$100="X"))=1,"X","erreur"))</f>
        <v/>
      </c>
    </row>
    <row r="16" spans="2:33" ht="19.5" customHeight="1" x14ac:dyDescent="0.2">
      <c r="B16" s="309" t="str">
        <f>IF((COUNTIF(Matrice!$2:$2,Matrice!$G$1&amp;"-AM"&amp;Listes!A12)=1)=TRUE,Matrice!$G$1&amp;"-AM"&amp;Listes!A12,"")</f>
        <v/>
      </c>
      <c r="C16" s="178" t="str">
        <f>IF(IF(ISERROR(HLOOKUP(B16,Matrice!$A$2:$DP$100,20,FALSE)),"",HLOOKUP(B16,Matrice!$A$2:$DP$100,20,FALSE))="","",IF(ISERROR(HLOOKUP(B16,Matrice!$A$2:$DP$100,20,FALSE)),"-",HLOOKUP(B16,Matrice!$A$2:$DP$100,20,FALSE)))</f>
        <v/>
      </c>
      <c r="D16" s="179" t="str">
        <f>IF(IF(ISERROR(HLOOKUP(B16,Matrice!$A$2:$DP$100,3,FALSE)),"",HLOOKUP(B16,Matrice!$A$2:$DP$100,3,FALSE))="","",IF(ISERROR(HLOOKUP(B16,Matrice!$A$2:$DP$100,3,FALSE)),"-",HLOOKUP(B16,Matrice!$A$2:$DP$100,3,FALSE)))</f>
        <v/>
      </c>
      <c r="E16" s="306"/>
      <c r="F16" s="179" t="str">
        <f>IF(ISERROR(HLOOKUP($B16,Matrice!$A$2:$DP$100,4,FALSE)),"",IF(HLOOKUP($B16,Matrice!$A$2:$DP$100,4,FALSE)="","",HLOOKUP($B16,Matrice!$A$2:$DP$100,4,FALSE)))</f>
        <v/>
      </c>
      <c r="G16" s="179" t="str">
        <f>IF(ISERROR(HLOOKUP($B16,Matrice!$A$2:$DP$100,5,FALSE)),"",IF(HLOOKUP($B16,Matrice!$A$2:$DP$100,5,FALSE)="","",HLOOKUP($B16,Matrice!$A$2:$DP$100,5,FALSE)))</f>
        <v/>
      </c>
      <c r="H16" s="179" t="str">
        <f>IF(ISERROR(HLOOKUP($B16,Matrice!$A$2:$DP$100,6,FALSE)),"",IF(HLOOKUP($B16,Matrice!$A$2:$DP$100,6,FALSE)="","",HLOOKUP($B16,Matrice!$A$2:$DP$100,6,FALSE)))</f>
        <v/>
      </c>
      <c r="I16" s="179" t="str">
        <f>IF(ISERROR(HLOOKUP($B17,Matrice!$A$2:$DP$100,7,FALSE)),"",IF(HLOOKUP($B17,Matrice!$A$2:$DP$100,7,FALSE)="","",HLOOKUP($B17,Matrice!$A$2:$DP$100,7,FALSE)))</f>
        <v/>
      </c>
      <c r="J16" s="277" t="str">
        <f>IF(ISERROR(HLOOKUP($B16,Matrice!$A$2:$DP$100,12,FALSE)),"",IF(HLOOKUP($B16,Matrice!$A$2:$DP$100,12,FALSE)="","",HLOOKUP($B16,Matrice!$A$2:$DP$100,12,FALSE)))</f>
        <v/>
      </c>
      <c r="K16" s="277" t="str">
        <f>IF(ISERROR(HLOOKUP($B16,Matrice!$A$2:$DP$100,13,FALSE)),"",IF(HLOOKUP($B16,Matrice!$A$2:$DP$100,13,FALSE)="","",HLOOKUP($B16,Matrice!$A$2:$DP$100,13,FALSE)))</f>
        <v/>
      </c>
      <c r="L16" s="333" t="str">
        <f>IF(ISERROR(HLOOKUP($B16,Matrice!$A$2:$DP$100,9,FALSE)),"",IF(HLOOKUP($B16,Matrice!$A$2:$DP$100,9,FALSE)="","",HLOOKUP($B16,Matrice!$A$2:$DP$100,9,FALSE)))</f>
        <v/>
      </c>
      <c r="M16" s="333" t="str">
        <f>IF(ISERROR(HLOOKUP($B16,Matrice!$A$2:$DP$100,10,FALSE)),"",IF(HLOOKUP($B16,Matrice!$A$2:$DP$100,10,FALSE)="","",HLOOKUP($B16,Matrice!$A$2:$DP$100,10,FALSE)))</f>
        <v/>
      </c>
      <c r="N16" s="333" t="str">
        <f>IF(ISERROR(HLOOKUP($B16,Matrice!$A$2:$DP$100,11,FALSE)),"",IF(HLOOKUP($B16,Matrice!$A$2:$DP$100,11,FALSE)="","",HLOOKUP($B16,Matrice!$A$2:$DP$100,11,FALSE)))</f>
        <v/>
      </c>
      <c r="P16" s="276" t="str">
        <f>IF(SUMPRODUCT((Matrice!$D$23:$D$100='Actions de maîtrise'!P$5)*(Matrice!$T$21:$DP$21='Actions de maîtrise'!$C16)*(Matrice!$T$23:$DP$100="X"))=0,"",IF(SUMPRODUCT((Matrice!$D$23:$D$100='Actions de maîtrise'!P$5)*(Matrice!$T$21:$DP$21='Actions de maîtrise'!$C16)*(Matrice!$T$23:$DP$100="X"))=1,"X","erreur"))</f>
        <v/>
      </c>
      <c r="Q16" s="276" t="str">
        <f>IF(SUMPRODUCT((Matrice!$D$23:$D$100='Actions de maîtrise'!Q$5)*(Matrice!$T$21:$DP$21='Actions de maîtrise'!$C16)*(Matrice!$T$23:$DP$100="X"))=0,"",IF(SUMPRODUCT((Matrice!$D$23:$D$100='Actions de maîtrise'!Q$5)*(Matrice!$T$21:$DP$21='Actions de maîtrise'!$C16)*(Matrice!$T$23:$DP$100="X"))=1,"X","erreur"))</f>
        <v/>
      </c>
      <c r="R16" s="276" t="str">
        <f>IF(SUMPRODUCT((Matrice!$D$23:$D$100='Actions de maîtrise'!R$5)*(Matrice!$T$21:$DP$21='Actions de maîtrise'!$C16)*(Matrice!$T$23:$DP$100="X"))=0,"",IF(SUMPRODUCT((Matrice!$D$23:$D$100='Actions de maîtrise'!R$5)*(Matrice!$T$21:$DP$21='Actions de maîtrise'!$C16)*(Matrice!$T$23:$DP$100="X"))=1,"X","erreur"))</f>
        <v/>
      </c>
      <c r="S16" s="276" t="str">
        <f>IF(SUMPRODUCT((Matrice!$D$23:$D$100='Actions de maîtrise'!S$5)*(Matrice!$T$21:$DP$21='Actions de maîtrise'!$C16)*(Matrice!$T$23:$DP$100="X"))=0,"",IF(SUMPRODUCT((Matrice!$D$23:$D$100='Actions de maîtrise'!S$5)*(Matrice!$T$21:$DP$21='Actions de maîtrise'!$C16)*(Matrice!$T$23:$DP$100="X"))=1,"X","erreur"))</f>
        <v/>
      </c>
      <c r="T16" s="276" t="str">
        <f>IF(SUMPRODUCT((Matrice!$D$23:$D$100='Actions de maîtrise'!T$5)*(Matrice!$T$21:$DP$21='Actions de maîtrise'!$C16)*(Matrice!$T$23:$DP$100="X"))=0,"",IF(SUMPRODUCT((Matrice!$D$23:$D$100='Actions de maîtrise'!T$5)*(Matrice!$T$21:$DP$21='Actions de maîtrise'!$C16)*(Matrice!$T$23:$DP$100="X"))=1,"X","erreur"))</f>
        <v/>
      </c>
      <c r="U16" s="276" t="str">
        <f>IF(SUMPRODUCT((Matrice!$D$23:$D$100='Actions de maîtrise'!U$5)*(Matrice!$T$21:$DP$21='Actions de maîtrise'!$C16)*(Matrice!$T$23:$DP$100="X"))=0,"",IF(SUMPRODUCT((Matrice!$D$23:$D$100='Actions de maîtrise'!U$5)*(Matrice!$T$21:$DP$21='Actions de maîtrise'!$C16)*(Matrice!$T$23:$DP$100="X"))=1,"X","erreur"))</f>
        <v/>
      </c>
      <c r="V16" s="276" t="str">
        <f>IF(SUMPRODUCT((Matrice!$D$23:$D$100='Actions de maîtrise'!V$5)*(Matrice!$T$21:$DP$21='Actions de maîtrise'!$C16)*(Matrice!$T$23:$DP$100="X"))=0,"",IF(SUMPRODUCT((Matrice!$D$23:$D$100='Actions de maîtrise'!V$5)*(Matrice!$T$21:$DP$21='Actions de maîtrise'!$C16)*(Matrice!$T$23:$DP$100="X"))=1,"X","erreur"))</f>
        <v/>
      </c>
      <c r="W16" s="276" t="str">
        <f>IF(SUMPRODUCT((Matrice!$D$23:$D$100='Actions de maîtrise'!W$5)*(Matrice!$T$21:$DP$21='Actions de maîtrise'!$C16)*(Matrice!$T$23:$DP$100="X"))=0,"",IF(SUMPRODUCT((Matrice!$D$23:$D$100='Actions de maîtrise'!W$5)*(Matrice!$T$21:$DP$21='Actions de maîtrise'!$C16)*(Matrice!$T$23:$DP$100="X"))=1,"X","erreur"))</f>
        <v/>
      </c>
      <c r="X16" s="276" t="str">
        <f>IF(SUMPRODUCT((Matrice!$D$23:$D$100='Actions de maîtrise'!X$5)*(Matrice!$T$21:$DP$21='Actions de maîtrise'!$C16)*(Matrice!$T$23:$DP$100="X"))=0,"",IF(SUMPRODUCT((Matrice!$D$23:$D$100='Actions de maîtrise'!X$5)*(Matrice!$T$21:$DP$21='Actions de maîtrise'!$C16)*(Matrice!$T$23:$DP$100="X"))=1,"X","erreur"))</f>
        <v/>
      </c>
      <c r="Y16" s="276" t="str">
        <f>IF(SUMPRODUCT((Matrice!$D$23:$D$100='Actions de maîtrise'!Y$5)*(Matrice!$T$21:$DP$21='Actions de maîtrise'!$C16)*(Matrice!$T$23:$DP$100="X"))=0,"",IF(SUMPRODUCT((Matrice!$D$23:$D$100='Actions de maîtrise'!Y$5)*(Matrice!$T$21:$DP$21='Actions de maîtrise'!$C16)*(Matrice!$T$23:$DP$100="X"))=1,"X","erreur"))</f>
        <v/>
      </c>
      <c r="Z16" s="276" t="str">
        <f>IF(SUMPRODUCT((Matrice!$D$23:$D$100='Actions de maîtrise'!Z$5)*(Matrice!$T$21:$DP$21='Actions de maîtrise'!$C16)*(Matrice!$T$23:$DP$100="X"))=0,"",IF(SUMPRODUCT((Matrice!$D$23:$D$100='Actions de maîtrise'!Z$5)*(Matrice!$T$21:$DP$21='Actions de maîtrise'!$C16)*(Matrice!$T$23:$DP$100="X"))=1,"X","erreur"))</f>
        <v/>
      </c>
      <c r="AA16" s="276" t="str">
        <f>IF(SUMPRODUCT((Matrice!$D$23:$D$100='Actions de maîtrise'!AA$5)*(Matrice!$T$21:$DP$21='Actions de maîtrise'!$C16)*(Matrice!$T$23:$DP$100="X"))=0,"",IF(SUMPRODUCT((Matrice!$D$23:$D$100='Actions de maîtrise'!AA$5)*(Matrice!$T$21:$DP$21='Actions de maîtrise'!$C16)*(Matrice!$T$23:$DP$100="X"))=1,"X","erreur"))</f>
        <v/>
      </c>
      <c r="AB16" s="276" t="str">
        <f>IF(SUMPRODUCT((Matrice!$D$23:$D$100='Actions de maîtrise'!AB$5)*(Matrice!$T$21:$DP$21='Actions de maîtrise'!$C16)*(Matrice!$T$23:$DP$100="X"))=0,"",IF(SUMPRODUCT((Matrice!$D$23:$D$100='Actions de maîtrise'!AB$5)*(Matrice!$T$21:$DP$21='Actions de maîtrise'!$C16)*(Matrice!$T$23:$DP$100="X"))=1,"X","erreur"))</f>
        <v/>
      </c>
      <c r="AC16" s="276" t="str">
        <f>IF(SUMPRODUCT((Matrice!$D$23:$D$100='Actions de maîtrise'!AC$5)*(Matrice!$T$21:$DP$21='Actions de maîtrise'!$C16)*(Matrice!$T$23:$DP$100="X"))=0,"",IF(SUMPRODUCT((Matrice!$D$23:$D$100='Actions de maîtrise'!AC$5)*(Matrice!$T$21:$DP$21='Actions de maîtrise'!$C16)*(Matrice!$T$23:$DP$100="X"))=1,"X","erreur"))</f>
        <v/>
      </c>
      <c r="AD16" s="276" t="str">
        <f>IF(SUMPRODUCT((Matrice!$D$23:$D$100='Actions de maîtrise'!AD$5)*(Matrice!$T$21:$DP$21='Actions de maîtrise'!$C16)*(Matrice!$T$23:$DP$100="X"))=0,"",IF(SUMPRODUCT((Matrice!$D$23:$D$100='Actions de maîtrise'!AD$5)*(Matrice!$T$21:$DP$21='Actions de maîtrise'!$C16)*(Matrice!$T$23:$DP$100="X"))=1,"X","erreur"))</f>
        <v/>
      </c>
      <c r="AE16" s="276" t="str">
        <f>IF(SUMPRODUCT((Matrice!$D$23:$D$100='Actions de maîtrise'!AE$5)*(Matrice!$T$21:$DP$21='Actions de maîtrise'!$C16)*(Matrice!$T$23:$DP$100="X"))=0,"",IF(SUMPRODUCT((Matrice!$D$23:$D$100='Actions de maîtrise'!AE$5)*(Matrice!$T$21:$DP$21='Actions de maîtrise'!$C16)*(Matrice!$T$23:$DP$100="X"))=1,"X","erreur"))</f>
        <v/>
      </c>
      <c r="AF16" s="276" t="str">
        <f>IF(SUMPRODUCT((Matrice!$D$23:$D$100='Actions de maîtrise'!AF$5)*(Matrice!$T$21:$DP$21='Actions de maîtrise'!$C16)*(Matrice!$T$23:$DP$100="X"))=0,"",IF(SUMPRODUCT((Matrice!$D$23:$D$100='Actions de maîtrise'!AF$5)*(Matrice!$T$21:$DP$21='Actions de maîtrise'!$C16)*(Matrice!$T$23:$DP$100="X"))=1,"X","erreur"))</f>
        <v/>
      </c>
      <c r="AG16" s="276" t="str">
        <f>IF(SUMPRODUCT((Matrice!$D$23:$D$100='Actions de maîtrise'!AG$5)*(Matrice!$T$21:$DP$21='Actions de maîtrise'!$C16)*(Matrice!$T$23:$DP$100="X"))=0,"",IF(SUMPRODUCT((Matrice!$D$23:$D$100='Actions de maîtrise'!AG$5)*(Matrice!$T$21:$DP$21='Actions de maîtrise'!$C16)*(Matrice!$T$23:$DP$100="X"))=1,"X","erreur"))</f>
        <v/>
      </c>
    </row>
    <row r="17" spans="2:33" ht="18" customHeight="1" x14ac:dyDescent="0.2">
      <c r="B17" s="309" t="str">
        <f>IF((COUNTIF(Matrice!$2:$2,Matrice!$G$1&amp;"-AM"&amp;Listes!A13)=1)=TRUE,Matrice!$G$1&amp;"-AM"&amp;Listes!A13,"")</f>
        <v/>
      </c>
      <c r="C17" s="178" t="str">
        <f>IF(IF(ISERROR(HLOOKUP(B17,Matrice!$A$2:$DP$100,20,FALSE)),"",HLOOKUP(B17,Matrice!$A$2:$DP$100,20,FALSE))="","",IF(ISERROR(HLOOKUP(B17,Matrice!$A$2:$DP$100,20,FALSE)),"-",HLOOKUP(B17,Matrice!$A$2:$DP$100,20,FALSE)))</f>
        <v/>
      </c>
      <c r="D17" s="179" t="str">
        <f>IF(IF(ISERROR(HLOOKUP(B17,Matrice!$A$2:$DP$100,3,FALSE)),"",HLOOKUP(B17,Matrice!$A$2:$DP$100,3,FALSE))="","",IF(ISERROR(HLOOKUP(B17,Matrice!$A$2:$DP$100,3,FALSE)),"-",HLOOKUP(B17,Matrice!$A$2:$DP$100,3,FALSE)))</f>
        <v/>
      </c>
      <c r="E17" s="306"/>
      <c r="F17" s="179" t="str">
        <f>IF(ISERROR(HLOOKUP($B17,Matrice!$A$2:$DP$100,4,FALSE)),"",IF(HLOOKUP($B17,Matrice!$A$2:$DP$100,4,FALSE)="","",HLOOKUP($B17,Matrice!$A$2:$DP$100,4,FALSE)))</f>
        <v/>
      </c>
      <c r="G17" s="179" t="str">
        <f>IF(ISERROR(HLOOKUP($B17,Matrice!$A$2:$DP$100,5,FALSE)),"",IF(HLOOKUP($B17,Matrice!$A$2:$DP$100,5,FALSE)="","",HLOOKUP($B17,Matrice!$A$2:$DP$100,5,FALSE)))</f>
        <v/>
      </c>
      <c r="H17" s="179" t="str">
        <f>IF(ISERROR(HLOOKUP($B17,Matrice!$A$2:$DP$100,6,FALSE)),"",IF(HLOOKUP($B17,Matrice!$A$2:$DP$100,6,FALSE)="","",HLOOKUP($B17,Matrice!$A$2:$DP$100,6,FALSE)))</f>
        <v/>
      </c>
      <c r="I17" s="179" t="str">
        <f>IF(ISERROR(HLOOKUP($B18,Matrice!$A$2:$DP$100,7,FALSE)),"",IF(HLOOKUP($B18,Matrice!$A$2:$DP$100,7,FALSE)="","",HLOOKUP($B18,Matrice!$A$2:$DP$100,7,FALSE)))</f>
        <v/>
      </c>
      <c r="J17" s="277" t="str">
        <f>IF(ISERROR(HLOOKUP($B17,Matrice!$A$2:$DP$100,12,FALSE)),"",IF(HLOOKUP($B17,Matrice!$A$2:$DP$100,12,FALSE)="","",HLOOKUP($B17,Matrice!$A$2:$DP$100,12,FALSE)))</f>
        <v/>
      </c>
      <c r="K17" s="277" t="str">
        <f>IF(ISERROR(HLOOKUP($B17,Matrice!$A$2:$DP$100,13,FALSE)),"",IF(HLOOKUP($B17,Matrice!$A$2:$DP$100,13,FALSE)="","",HLOOKUP($B17,Matrice!$A$2:$DP$100,13,FALSE)))</f>
        <v/>
      </c>
      <c r="L17" s="333" t="str">
        <f>IF(ISERROR(HLOOKUP($B17,Matrice!$A$2:$DP$100,9,FALSE)),"",IF(HLOOKUP($B17,Matrice!$A$2:$DP$100,9,FALSE)="","",HLOOKUP($B17,Matrice!$A$2:$DP$100,9,FALSE)))</f>
        <v/>
      </c>
      <c r="M17" s="333" t="str">
        <f>IF(ISERROR(HLOOKUP($B17,Matrice!$A$2:$DP$100,10,FALSE)),"",IF(HLOOKUP($B17,Matrice!$A$2:$DP$100,10,FALSE)="","",HLOOKUP($B17,Matrice!$A$2:$DP$100,10,FALSE)))</f>
        <v/>
      </c>
      <c r="N17" s="333" t="str">
        <f>IF(ISERROR(HLOOKUP($B17,Matrice!$A$2:$DP$100,11,FALSE)),"",IF(HLOOKUP($B17,Matrice!$A$2:$DP$100,11,FALSE)="","",HLOOKUP($B17,Matrice!$A$2:$DP$100,11,FALSE)))</f>
        <v/>
      </c>
      <c r="P17" s="276" t="str">
        <f>IF(SUMPRODUCT((Matrice!$D$23:$D$100='Actions de maîtrise'!P$5)*(Matrice!$T$21:$DP$21='Actions de maîtrise'!$C17)*(Matrice!$T$23:$DP$100="X"))=0,"",IF(SUMPRODUCT((Matrice!$D$23:$D$100='Actions de maîtrise'!P$5)*(Matrice!$T$21:$DP$21='Actions de maîtrise'!$C17)*(Matrice!$T$23:$DP$100="X"))=1,"X","erreur"))</f>
        <v/>
      </c>
      <c r="Q17" s="276" t="str">
        <f>IF(SUMPRODUCT((Matrice!$D$23:$D$100='Actions de maîtrise'!Q$5)*(Matrice!$T$21:$DP$21='Actions de maîtrise'!$C17)*(Matrice!$T$23:$DP$100="X"))=0,"",IF(SUMPRODUCT((Matrice!$D$23:$D$100='Actions de maîtrise'!Q$5)*(Matrice!$T$21:$DP$21='Actions de maîtrise'!$C17)*(Matrice!$T$23:$DP$100="X"))=1,"X","erreur"))</f>
        <v/>
      </c>
      <c r="R17" s="276" t="str">
        <f>IF(SUMPRODUCT((Matrice!$D$23:$D$100='Actions de maîtrise'!R$5)*(Matrice!$T$21:$DP$21='Actions de maîtrise'!$C17)*(Matrice!$T$23:$DP$100="X"))=0,"",IF(SUMPRODUCT((Matrice!$D$23:$D$100='Actions de maîtrise'!R$5)*(Matrice!$T$21:$DP$21='Actions de maîtrise'!$C17)*(Matrice!$T$23:$DP$100="X"))=1,"X","erreur"))</f>
        <v/>
      </c>
      <c r="S17" s="276" t="str">
        <f>IF(SUMPRODUCT((Matrice!$D$23:$D$100='Actions de maîtrise'!S$5)*(Matrice!$T$21:$DP$21='Actions de maîtrise'!$C17)*(Matrice!$T$23:$DP$100="X"))=0,"",IF(SUMPRODUCT((Matrice!$D$23:$D$100='Actions de maîtrise'!S$5)*(Matrice!$T$21:$DP$21='Actions de maîtrise'!$C17)*(Matrice!$T$23:$DP$100="X"))=1,"X","erreur"))</f>
        <v/>
      </c>
      <c r="T17" s="276" t="str">
        <f>IF(SUMPRODUCT((Matrice!$D$23:$D$100='Actions de maîtrise'!T$5)*(Matrice!$T$21:$DP$21='Actions de maîtrise'!$C17)*(Matrice!$T$23:$DP$100="X"))=0,"",IF(SUMPRODUCT((Matrice!$D$23:$D$100='Actions de maîtrise'!T$5)*(Matrice!$T$21:$DP$21='Actions de maîtrise'!$C17)*(Matrice!$T$23:$DP$100="X"))=1,"X","erreur"))</f>
        <v/>
      </c>
      <c r="U17" s="276" t="str">
        <f>IF(SUMPRODUCT((Matrice!$D$23:$D$100='Actions de maîtrise'!U$5)*(Matrice!$T$21:$DP$21='Actions de maîtrise'!$C17)*(Matrice!$T$23:$DP$100="X"))=0,"",IF(SUMPRODUCT((Matrice!$D$23:$D$100='Actions de maîtrise'!U$5)*(Matrice!$T$21:$DP$21='Actions de maîtrise'!$C17)*(Matrice!$T$23:$DP$100="X"))=1,"X","erreur"))</f>
        <v/>
      </c>
      <c r="V17" s="276" t="str">
        <f>IF(SUMPRODUCT((Matrice!$D$23:$D$100='Actions de maîtrise'!V$5)*(Matrice!$T$21:$DP$21='Actions de maîtrise'!$C17)*(Matrice!$T$23:$DP$100="X"))=0,"",IF(SUMPRODUCT((Matrice!$D$23:$D$100='Actions de maîtrise'!V$5)*(Matrice!$T$21:$DP$21='Actions de maîtrise'!$C17)*(Matrice!$T$23:$DP$100="X"))=1,"X","erreur"))</f>
        <v/>
      </c>
      <c r="W17" s="276" t="str">
        <f>IF(SUMPRODUCT((Matrice!$D$23:$D$100='Actions de maîtrise'!W$5)*(Matrice!$T$21:$DP$21='Actions de maîtrise'!$C17)*(Matrice!$T$23:$DP$100="X"))=0,"",IF(SUMPRODUCT((Matrice!$D$23:$D$100='Actions de maîtrise'!W$5)*(Matrice!$T$21:$DP$21='Actions de maîtrise'!$C17)*(Matrice!$T$23:$DP$100="X"))=1,"X","erreur"))</f>
        <v/>
      </c>
      <c r="X17" s="276" t="str">
        <f>IF(SUMPRODUCT((Matrice!$D$23:$D$100='Actions de maîtrise'!X$5)*(Matrice!$T$21:$DP$21='Actions de maîtrise'!$C17)*(Matrice!$T$23:$DP$100="X"))=0,"",IF(SUMPRODUCT((Matrice!$D$23:$D$100='Actions de maîtrise'!X$5)*(Matrice!$T$21:$DP$21='Actions de maîtrise'!$C17)*(Matrice!$T$23:$DP$100="X"))=1,"X","erreur"))</f>
        <v/>
      </c>
      <c r="Y17" s="276" t="str">
        <f>IF(SUMPRODUCT((Matrice!$D$23:$D$100='Actions de maîtrise'!Y$5)*(Matrice!$T$21:$DP$21='Actions de maîtrise'!$C17)*(Matrice!$T$23:$DP$100="X"))=0,"",IF(SUMPRODUCT((Matrice!$D$23:$D$100='Actions de maîtrise'!Y$5)*(Matrice!$T$21:$DP$21='Actions de maîtrise'!$C17)*(Matrice!$T$23:$DP$100="X"))=1,"X","erreur"))</f>
        <v/>
      </c>
      <c r="Z17" s="276" t="str">
        <f>IF(SUMPRODUCT((Matrice!$D$23:$D$100='Actions de maîtrise'!Z$5)*(Matrice!$T$21:$DP$21='Actions de maîtrise'!$C17)*(Matrice!$T$23:$DP$100="X"))=0,"",IF(SUMPRODUCT((Matrice!$D$23:$D$100='Actions de maîtrise'!Z$5)*(Matrice!$T$21:$DP$21='Actions de maîtrise'!$C17)*(Matrice!$T$23:$DP$100="X"))=1,"X","erreur"))</f>
        <v/>
      </c>
      <c r="AA17" s="276" t="str">
        <f>IF(SUMPRODUCT((Matrice!$D$23:$D$100='Actions de maîtrise'!AA$5)*(Matrice!$T$21:$DP$21='Actions de maîtrise'!$C17)*(Matrice!$T$23:$DP$100="X"))=0,"",IF(SUMPRODUCT((Matrice!$D$23:$D$100='Actions de maîtrise'!AA$5)*(Matrice!$T$21:$DP$21='Actions de maîtrise'!$C17)*(Matrice!$T$23:$DP$100="X"))=1,"X","erreur"))</f>
        <v/>
      </c>
      <c r="AB17" s="276" t="str">
        <f>IF(SUMPRODUCT((Matrice!$D$23:$D$100='Actions de maîtrise'!AB$5)*(Matrice!$T$21:$DP$21='Actions de maîtrise'!$C17)*(Matrice!$T$23:$DP$100="X"))=0,"",IF(SUMPRODUCT((Matrice!$D$23:$D$100='Actions de maîtrise'!AB$5)*(Matrice!$T$21:$DP$21='Actions de maîtrise'!$C17)*(Matrice!$T$23:$DP$100="X"))=1,"X","erreur"))</f>
        <v/>
      </c>
      <c r="AC17" s="276" t="str">
        <f>IF(SUMPRODUCT((Matrice!$D$23:$D$100='Actions de maîtrise'!AC$5)*(Matrice!$T$21:$DP$21='Actions de maîtrise'!$C17)*(Matrice!$T$23:$DP$100="X"))=0,"",IF(SUMPRODUCT((Matrice!$D$23:$D$100='Actions de maîtrise'!AC$5)*(Matrice!$T$21:$DP$21='Actions de maîtrise'!$C17)*(Matrice!$T$23:$DP$100="X"))=1,"X","erreur"))</f>
        <v/>
      </c>
      <c r="AD17" s="276" t="str">
        <f>IF(SUMPRODUCT((Matrice!$D$23:$D$100='Actions de maîtrise'!AD$5)*(Matrice!$T$21:$DP$21='Actions de maîtrise'!$C17)*(Matrice!$T$23:$DP$100="X"))=0,"",IF(SUMPRODUCT((Matrice!$D$23:$D$100='Actions de maîtrise'!AD$5)*(Matrice!$T$21:$DP$21='Actions de maîtrise'!$C17)*(Matrice!$T$23:$DP$100="X"))=1,"X","erreur"))</f>
        <v/>
      </c>
      <c r="AE17" s="276" t="str">
        <f>IF(SUMPRODUCT((Matrice!$D$23:$D$100='Actions de maîtrise'!AE$5)*(Matrice!$T$21:$DP$21='Actions de maîtrise'!$C17)*(Matrice!$T$23:$DP$100="X"))=0,"",IF(SUMPRODUCT((Matrice!$D$23:$D$100='Actions de maîtrise'!AE$5)*(Matrice!$T$21:$DP$21='Actions de maîtrise'!$C17)*(Matrice!$T$23:$DP$100="X"))=1,"X","erreur"))</f>
        <v/>
      </c>
      <c r="AF17" s="276" t="str">
        <f>IF(SUMPRODUCT((Matrice!$D$23:$D$100='Actions de maîtrise'!AF$5)*(Matrice!$T$21:$DP$21='Actions de maîtrise'!$C17)*(Matrice!$T$23:$DP$100="X"))=0,"",IF(SUMPRODUCT((Matrice!$D$23:$D$100='Actions de maîtrise'!AF$5)*(Matrice!$T$21:$DP$21='Actions de maîtrise'!$C17)*(Matrice!$T$23:$DP$100="X"))=1,"X","erreur"))</f>
        <v/>
      </c>
      <c r="AG17" s="276" t="str">
        <f>IF(SUMPRODUCT((Matrice!$D$23:$D$100='Actions de maîtrise'!AG$5)*(Matrice!$T$21:$DP$21='Actions de maîtrise'!$C17)*(Matrice!$T$23:$DP$100="X"))=0,"",IF(SUMPRODUCT((Matrice!$D$23:$D$100='Actions de maîtrise'!AG$5)*(Matrice!$T$21:$DP$21='Actions de maîtrise'!$C17)*(Matrice!$T$23:$DP$100="X"))=1,"X","erreur"))</f>
        <v/>
      </c>
    </row>
    <row r="18" spans="2:33" ht="18" customHeight="1" x14ac:dyDescent="0.2">
      <c r="B18" s="309" t="str">
        <f>IF((COUNTIF(Matrice!$2:$2,Matrice!$G$1&amp;"-AM"&amp;Listes!A14)=1)=TRUE,Matrice!$G$1&amp;"-AM"&amp;Listes!A14,"")</f>
        <v/>
      </c>
      <c r="C18" s="178" t="str">
        <f>IF(IF(ISERROR(HLOOKUP(B18,Matrice!$A$2:$DP$100,20,FALSE)),"",HLOOKUP(B18,Matrice!$A$2:$DP$100,20,FALSE))="","",IF(ISERROR(HLOOKUP(B18,Matrice!$A$2:$DP$100,20,FALSE)),"-",HLOOKUP(B18,Matrice!$A$2:$DP$100,20,FALSE)))</f>
        <v/>
      </c>
      <c r="D18" s="179" t="str">
        <f>IF(IF(ISERROR(HLOOKUP(B18,Matrice!$A$2:$DP$100,3,FALSE)),"",HLOOKUP(B18,Matrice!$A$2:$DP$100,3,FALSE))="","",IF(ISERROR(HLOOKUP(B18,Matrice!$A$2:$DP$100,3,FALSE)),"-",HLOOKUP(B18,Matrice!$A$2:$DP$100,3,FALSE)))</f>
        <v/>
      </c>
      <c r="E18" s="306"/>
      <c r="F18" s="179" t="str">
        <f>IF(ISERROR(HLOOKUP($B18,Matrice!$A$2:$DP$100,4,FALSE)),"",IF(HLOOKUP($B18,Matrice!$A$2:$DP$100,4,FALSE)="","",HLOOKUP($B18,Matrice!$A$2:$DP$100,4,FALSE)))</f>
        <v/>
      </c>
      <c r="G18" s="179" t="str">
        <f>IF(ISERROR(HLOOKUP($B18,Matrice!$A$2:$DP$100,5,FALSE)),"",IF(HLOOKUP($B18,Matrice!$A$2:$DP$100,5,FALSE)="","",HLOOKUP($B18,Matrice!$A$2:$DP$100,5,FALSE)))</f>
        <v/>
      </c>
      <c r="H18" s="179" t="str">
        <f>IF(ISERROR(HLOOKUP($B18,Matrice!$A$2:$DP$100,6,FALSE)),"",IF(HLOOKUP($B18,Matrice!$A$2:$DP$100,6,FALSE)="","",HLOOKUP($B18,Matrice!$A$2:$DP$100,6,FALSE)))</f>
        <v/>
      </c>
      <c r="I18" s="179" t="str">
        <f>IF(ISERROR(HLOOKUP($B19,Matrice!$A$2:$DP$100,7,FALSE)),"",IF(HLOOKUP($B19,Matrice!$A$2:$DP$100,7,FALSE)="","",HLOOKUP($B19,Matrice!$A$2:$DP$100,7,FALSE)))</f>
        <v/>
      </c>
      <c r="J18" s="277" t="str">
        <f>IF(ISERROR(HLOOKUP($B18,Matrice!$A$2:$DP$100,12,FALSE)),"",IF(HLOOKUP($B18,Matrice!$A$2:$DP$100,12,FALSE)="","",HLOOKUP($B18,Matrice!$A$2:$DP$100,12,FALSE)))</f>
        <v/>
      </c>
      <c r="K18" s="277" t="str">
        <f>IF(ISERROR(HLOOKUP($B18,Matrice!$A$2:$DP$100,13,FALSE)),"",IF(HLOOKUP($B18,Matrice!$A$2:$DP$100,13,FALSE)="","",HLOOKUP($B18,Matrice!$A$2:$DP$100,13,FALSE)))</f>
        <v/>
      </c>
      <c r="L18" s="333" t="str">
        <f>IF(ISERROR(HLOOKUP($B18,Matrice!$A$2:$DP$100,9,FALSE)),"",IF(HLOOKUP($B18,Matrice!$A$2:$DP$100,9,FALSE)="","",HLOOKUP($B18,Matrice!$A$2:$DP$100,9,FALSE)))</f>
        <v/>
      </c>
      <c r="M18" s="333" t="str">
        <f>IF(ISERROR(HLOOKUP($B18,Matrice!$A$2:$DP$100,10,FALSE)),"",IF(HLOOKUP($B18,Matrice!$A$2:$DP$100,10,FALSE)="","",HLOOKUP($B18,Matrice!$A$2:$DP$100,10,FALSE)))</f>
        <v/>
      </c>
      <c r="N18" s="333" t="str">
        <f>IF(ISERROR(HLOOKUP($B18,Matrice!$A$2:$DP$100,11,FALSE)),"",IF(HLOOKUP($B18,Matrice!$A$2:$DP$100,11,FALSE)="","",HLOOKUP($B18,Matrice!$A$2:$DP$100,11,FALSE)))</f>
        <v/>
      </c>
      <c r="P18" s="276" t="str">
        <f>IF(SUMPRODUCT((Matrice!$D$23:$D$100='Actions de maîtrise'!P$5)*(Matrice!$T$21:$DP$21='Actions de maîtrise'!$C18)*(Matrice!$T$23:$DP$100="X"))=0,"",IF(SUMPRODUCT((Matrice!$D$23:$D$100='Actions de maîtrise'!P$5)*(Matrice!$T$21:$DP$21='Actions de maîtrise'!$C18)*(Matrice!$T$23:$DP$100="X"))=1,"X","erreur"))</f>
        <v/>
      </c>
      <c r="Q18" s="276" t="str">
        <f>IF(SUMPRODUCT((Matrice!$D$23:$D$100='Actions de maîtrise'!Q$5)*(Matrice!$T$21:$DP$21='Actions de maîtrise'!$C18)*(Matrice!$T$23:$DP$100="X"))=0,"",IF(SUMPRODUCT((Matrice!$D$23:$D$100='Actions de maîtrise'!Q$5)*(Matrice!$T$21:$DP$21='Actions de maîtrise'!$C18)*(Matrice!$T$23:$DP$100="X"))=1,"X","erreur"))</f>
        <v/>
      </c>
      <c r="R18" s="276" t="str">
        <f>IF(SUMPRODUCT((Matrice!$D$23:$D$100='Actions de maîtrise'!R$5)*(Matrice!$T$21:$DP$21='Actions de maîtrise'!$C18)*(Matrice!$T$23:$DP$100="X"))=0,"",IF(SUMPRODUCT((Matrice!$D$23:$D$100='Actions de maîtrise'!R$5)*(Matrice!$T$21:$DP$21='Actions de maîtrise'!$C18)*(Matrice!$T$23:$DP$100="X"))=1,"X","erreur"))</f>
        <v/>
      </c>
      <c r="S18" s="276" t="str">
        <f>IF(SUMPRODUCT((Matrice!$D$23:$D$100='Actions de maîtrise'!S$5)*(Matrice!$T$21:$DP$21='Actions de maîtrise'!$C18)*(Matrice!$T$23:$DP$100="X"))=0,"",IF(SUMPRODUCT((Matrice!$D$23:$D$100='Actions de maîtrise'!S$5)*(Matrice!$T$21:$DP$21='Actions de maîtrise'!$C18)*(Matrice!$T$23:$DP$100="X"))=1,"X","erreur"))</f>
        <v/>
      </c>
      <c r="T18" s="276" t="str">
        <f>IF(SUMPRODUCT((Matrice!$D$23:$D$100='Actions de maîtrise'!T$5)*(Matrice!$T$21:$DP$21='Actions de maîtrise'!$C18)*(Matrice!$T$23:$DP$100="X"))=0,"",IF(SUMPRODUCT((Matrice!$D$23:$D$100='Actions de maîtrise'!T$5)*(Matrice!$T$21:$DP$21='Actions de maîtrise'!$C18)*(Matrice!$T$23:$DP$100="X"))=1,"X","erreur"))</f>
        <v/>
      </c>
      <c r="U18" s="276" t="str">
        <f>IF(SUMPRODUCT((Matrice!$D$23:$D$100='Actions de maîtrise'!U$5)*(Matrice!$T$21:$DP$21='Actions de maîtrise'!$C18)*(Matrice!$T$23:$DP$100="X"))=0,"",IF(SUMPRODUCT((Matrice!$D$23:$D$100='Actions de maîtrise'!U$5)*(Matrice!$T$21:$DP$21='Actions de maîtrise'!$C18)*(Matrice!$T$23:$DP$100="X"))=1,"X","erreur"))</f>
        <v/>
      </c>
      <c r="V18" s="276" t="str">
        <f>IF(SUMPRODUCT((Matrice!$D$23:$D$100='Actions de maîtrise'!V$5)*(Matrice!$T$21:$DP$21='Actions de maîtrise'!$C18)*(Matrice!$T$23:$DP$100="X"))=0,"",IF(SUMPRODUCT((Matrice!$D$23:$D$100='Actions de maîtrise'!V$5)*(Matrice!$T$21:$DP$21='Actions de maîtrise'!$C18)*(Matrice!$T$23:$DP$100="X"))=1,"X","erreur"))</f>
        <v/>
      </c>
      <c r="W18" s="276" t="str">
        <f>IF(SUMPRODUCT((Matrice!$D$23:$D$100='Actions de maîtrise'!W$5)*(Matrice!$T$21:$DP$21='Actions de maîtrise'!$C18)*(Matrice!$T$23:$DP$100="X"))=0,"",IF(SUMPRODUCT((Matrice!$D$23:$D$100='Actions de maîtrise'!W$5)*(Matrice!$T$21:$DP$21='Actions de maîtrise'!$C18)*(Matrice!$T$23:$DP$100="X"))=1,"X","erreur"))</f>
        <v/>
      </c>
      <c r="X18" s="276" t="str">
        <f>IF(SUMPRODUCT((Matrice!$D$23:$D$100='Actions de maîtrise'!X$5)*(Matrice!$T$21:$DP$21='Actions de maîtrise'!$C18)*(Matrice!$T$23:$DP$100="X"))=0,"",IF(SUMPRODUCT((Matrice!$D$23:$D$100='Actions de maîtrise'!X$5)*(Matrice!$T$21:$DP$21='Actions de maîtrise'!$C18)*(Matrice!$T$23:$DP$100="X"))=1,"X","erreur"))</f>
        <v/>
      </c>
      <c r="Y18" s="276" t="str">
        <f>IF(SUMPRODUCT((Matrice!$D$23:$D$100='Actions de maîtrise'!Y$5)*(Matrice!$T$21:$DP$21='Actions de maîtrise'!$C18)*(Matrice!$T$23:$DP$100="X"))=0,"",IF(SUMPRODUCT((Matrice!$D$23:$D$100='Actions de maîtrise'!Y$5)*(Matrice!$T$21:$DP$21='Actions de maîtrise'!$C18)*(Matrice!$T$23:$DP$100="X"))=1,"X","erreur"))</f>
        <v/>
      </c>
      <c r="Z18" s="276" t="str">
        <f>IF(SUMPRODUCT((Matrice!$D$23:$D$100='Actions de maîtrise'!Z$5)*(Matrice!$T$21:$DP$21='Actions de maîtrise'!$C18)*(Matrice!$T$23:$DP$100="X"))=0,"",IF(SUMPRODUCT((Matrice!$D$23:$D$100='Actions de maîtrise'!Z$5)*(Matrice!$T$21:$DP$21='Actions de maîtrise'!$C18)*(Matrice!$T$23:$DP$100="X"))=1,"X","erreur"))</f>
        <v/>
      </c>
      <c r="AA18" s="276" t="str">
        <f>IF(SUMPRODUCT((Matrice!$D$23:$D$100='Actions de maîtrise'!AA$5)*(Matrice!$T$21:$DP$21='Actions de maîtrise'!$C18)*(Matrice!$T$23:$DP$100="X"))=0,"",IF(SUMPRODUCT((Matrice!$D$23:$D$100='Actions de maîtrise'!AA$5)*(Matrice!$T$21:$DP$21='Actions de maîtrise'!$C18)*(Matrice!$T$23:$DP$100="X"))=1,"X","erreur"))</f>
        <v/>
      </c>
      <c r="AB18" s="276" t="str">
        <f>IF(SUMPRODUCT((Matrice!$D$23:$D$100='Actions de maîtrise'!AB$5)*(Matrice!$T$21:$DP$21='Actions de maîtrise'!$C18)*(Matrice!$T$23:$DP$100="X"))=0,"",IF(SUMPRODUCT((Matrice!$D$23:$D$100='Actions de maîtrise'!AB$5)*(Matrice!$T$21:$DP$21='Actions de maîtrise'!$C18)*(Matrice!$T$23:$DP$100="X"))=1,"X","erreur"))</f>
        <v/>
      </c>
      <c r="AC18" s="276" t="str">
        <f>IF(SUMPRODUCT((Matrice!$D$23:$D$100='Actions de maîtrise'!AC$5)*(Matrice!$T$21:$DP$21='Actions de maîtrise'!$C18)*(Matrice!$T$23:$DP$100="X"))=0,"",IF(SUMPRODUCT((Matrice!$D$23:$D$100='Actions de maîtrise'!AC$5)*(Matrice!$T$21:$DP$21='Actions de maîtrise'!$C18)*(Matrice!$T$23:$DP$100="X"))=1,"X","erreur"))</f>
        <v/>
      </c>
      <c r="AD18" s="276" t="str">
        <f>IF(SUMPRODUCT((Matrice!$D$23:$D$100='Actions de maîtrise'!AD$5)*(Matrice!$T$21:$DP$21='Actions de maîtrise'!$C18)*(Matrice!$T$23:$DP$100="X"))=0,"",IF(SUMPRODUCT((Matrice!$D$23:$D$100='Actions de maîtrise'!AD$5)*(Matrice!$T$21:$DP$21='Actions de maîtrise'!$C18)*(Matrice!$T$23:$DP$100="X"))=1,"X","erreur"))</f>
        <v/>
      </c>
      <c r="AE18" s="276" t="str">
        <f>IF(SUMPRODUCT((Matrice!$D$23:$D$100='Actions de maîtrise'!AE$5)*(Matrice!$T$21:$DP$21='Actions de maîtrise'!$C18)*(Matrice!$T$23:$DP$100="X"))=0,"",IF(SUMPRODUCT((Matrice!$D$23:$D$100='Actions de maîtrise'!AE$5)*(Matrice!$T$21:$DP$21='Actions de maîtrise'!$C18)*(Matrice!$T$23:$DP$100="X"))=1,"X","erreur"))</f>
        <v/>
      </c>
      <c r="AF18" s="276" t="str">
        <f>IF(SUMPRODUCT((Matrice!$D$23:$D$100='Actions de maîtrise'!AF$5)*(Matrice!$T$21:$DP$21='Actions de maîtrise'!$C18)*(Matrice!$T$23:$DP$100="X"))=0,"",IF(SUMPRODUCT((Matrice!$D$23:$D$100='Actions de maîtrise'!AF$5)*(Matrice!$T$21:$DP$21='Actions de maîtrise'!$C18)*(Matrice!$T$23:$DP$100="X"))=1,"X","erreur"))</f>
        <v/>
      </c>
      <c r="AG18" s="276" t="str">
        <f>IF(SUMPRODUCT((Matrice!$D$23:$D$100='Actions de maîtrise'!AG$5)*(Matrice!$T$21:$DP$21='Actions de maîtrise'!$C18)*(Matrice!$T$23:$DP$100="X"))=0,"",IF(SUMPRODUCT((Matrice!$D$23:$D$100='Actions de maîtrise'!AG$5)*(Matrice!$T$21:$DP$21='Actions de maîtrise'!$C18)*(Matrice!$T$23:$DP$100="X"))=1,"X","erreur"))</f>
        <v/>
      </c>
    </row>
    <row r="19" spans="2:33" ht="18" customHeight="1" x14ac:dyDescent="0.2">
      <c r="B19" s="309" t="str">
        <f>IF((COUNTIF(Matrice!$2:$2,Matrice!$G$1&amp;"-AM"&amp;Listes!A15)=1)=TRUE,Matrice!$G$1&amp;"-AM"&amp;Listes!A15,"")</f>
        <v/>
      </c>
      <c r="C19" s="178" t="str">
        <f>IF(IF(ISERROR(HLOOKUP(B19,Matrice!$A$2:$DP$100,20,FALSE)),"",HLOOKUP(B19,Matrice!$A$2:$DP$100,20,FALSE))="","",IF(ISERROR(HLOOKUP(B19,Matrice!$A$2:$DP$100,20,FALSE)),"-",HLOOKUP(B19,Matrice!$A$2:$DP$100,20,FALSE)))</f>
        <v/>
      </c>
      <c r="D19" s="179" t="str">
        <f>IF(IF(ISERROR(HLOOKUP(B19,Matrice!$A$2:$DP$100,3,FALSE)),"",HLOOKUP(B19,Matrice!$A$2:$DP$100,3,FALSE))="","",IF(ISERROR(HLOOKUP(B19,Matrice!$A$2:$DP$100,3,FALSE)),"-",HLOOKUP(B19,Matrice!$A$2:$DP$100,3,FALSE)))</f>
        <v/>
      </c>
      <c r="E19" s="306"/>
      <c r="F19" s="179" t="str">
        <f>IF(ISERROR(HLOOKUP($B19,Matrice!$A$2:$DP$100,4,FALSE)),"",IF(HLOOKUP($B19,Matrice!$A$2:$DP$100,4,FALSE)="","",HLOOKUP($B19,Matrice!$A$2:$DP$100,4,FALSE)))</f>
        <v/>
      </c>
      <c r="G19" s="179" t="str">
        <f>IF(ISERROR(HLOOKUP($B19,Matrice!$A$2:$DP$100,5,FALSE)),"",IF(HLOOKUP($B19,Matrice!$A$2:$DP$100,5,FALSE)="","",HLOOKUP($B19,Matrice!$A$2:$DP$100,5,FALSE)))</f>
        <v/>
      </c>
      <c r="H19" s="179" t="str">
        <f>IF(ISERROR(HLOOKUP($B19,Matrice!$A$2:$DP$100,6,FALSE)),"",IF(HLOOKUP($B19,Matrice!$A$2:$DP$100,6,FALSE)="","",HLOOKUP($B19,Matrice!$A$2:$DP$100,6,FALSE)))</f>
        <v/>
      </c>
      <c r="I19" s="179" t="str">
        <f>IF(ISERROR(HLOOKUP($B20,Matrice!$A$2:$DP$100,7,FALSE)),"",IF(HLOOKUP($B20,Matrice!$A$2:$DP$100,7,FALSE)="","",HLOOKUP($B20,Matrice!$A$2:$DP$100,7,FALSE)))</f>
        <v/>
      </c>
      <c r="J19" s="277" t="str">
        <f>IF(ISERROR(HLOOKUP($B19,Matrice!$A$2:$DP$100,12,FALSE)),"",IF(HLOOKUP($B19,Matrice!$A$2:$DP$100,12,FALSE)="","",HLOOKUP($B19,Matrice!$A$2:$DP$100,12,FALSE)))</f>
        <v/>
      </c>
      <c r="K19" s="277" t="str">
        <f>IF(ISERROR(HLOOKUP($B19,Matrice!$A$2:$DP$100,13,FALSE)),"",IF(HLOOKUP($B19,Matrice!$A$2:$DP$100,13,FALSE)="","",HLOOKUP($B19,Matrice!$A$2:$DP$100,13,FALSE)))</f>
        <v/>
      </c>
      <c r="L19" s="333" t="str">
        <f>IF(ISERROR(HLOOKUP($B19,Matrice!$A$2:$DP$100,9,FALSE)),"",IF(HLOOKUP($B19,Matrice!$A$2:$DP$100,9,FALSE)="","",HLOOKUP($B19,Matrice!$A$2:$DP$100,9,FALSE)))</f>
        <v/>
      </c>
      <c r="M19" s="333" t="str">
        <f>IF(ISERROR(HLOOKUP($B19,Matrice!$A$2:$DP$100,10,FALSE)),"",IF(HLOOKUP($B19,Matrice!$A$2:$DP$100,10,FALSE)="","",HLOOKUP($B19,Matrice!$A$2:$DP$100,10,FALSE)))</f>
        <v/>
      </c>
      <c r="N19" s="333" t="str">
        <f>IF(ISERROR(HLOOKUP($B19,Matrice!$A$2:$DP$100,11,FALSE)),"",IF(HLOOKUP($B19,Matrice!$A$2:$DP$100,11,FALSE)="","",HLOOKUP($B19,Matrice!$A$2:$DP$100,11,FALSE)))</f>
        <v/>
      </c>
      <c r="P19" s="276" t="str">
        <f>IF(SUMPRODUCT((Matrice!$D$23:$D$100='Actions de maîtrise'!P$5)*(Matrice!$T$21:$DP$21='Actions de maîtrise'!$C19)*(Matrice!$T$23:$DP$100="X"))=0,"",IF(SUMPRODUCT((Matrice!$D$23:$D$100='Actions de maîtrise'!P$5)*(Matrice!$T$21:$DP$21='Actions de maîtrise'!$C19)*(Matrice!$T$23:$DP$100="X"))=1,"X","erreur"))</f>
        <v/>
      </c>
      <c r="Q19" s="276" t="str">
        <f>IF(SUMPRODUCT((Matrice!$D$23:$D$100='Actions de maîtrise'!Q$5)*(Matrice!$T$21:$DP$21='Actions de maîtrise'!$C19)*(Matrice!$T$23:$DP$100="X"))=0,"",IF(SUMPRODUCT((Matrice!$D$23:$D$100='Actions de maîtrise'!Q$5)*(Matrice!$T$21:$DP$21='Actions de maîtrise'!$C19)*(Matrice!$T$23:$DP$100="X"))=1,"X","erreur"))</f>
        <v/>
      </c>
      <c r="R19" s="276" t="str">
        <f>IF(SUMPRODUCT((Matrice!$D$23:$D$100='Actions de maîtrise'!R$5)*(Matrice!$T$21:$DP$21='Actions de maîtrise'!$C19)*(Matrice!$T$23:$DP$100="X"))=0,"",IF(SUMPRODUCT((Matrice!$D$23:$D$100='Actions de maîtrise'!R$5)*(Matrice!$T$21:$DP$21='Actions de maîtrise'!$C19)*(Matrice!$T$23:$DP$100="X"))=1,"X","erreur"))</f>
        <v/>
      </c>
      <c r="S19" s="276" t="str">
        <f>IF(SUMPRODUCT((Matrice!$D$23:$D$100='Actions de maîtrise'!S$5)*(Matrice!$T$21:$DP$21='Actions de maîtrise'!$C19)*(Matrice!$T$23:$DP$100="X"))=0,"",IF(SUMPRODUCT((Matrice!$D$23:$D$100='Actions de maîtrise'!S$5)*(Matrice!$T$21:$DP$21='Actions de maîtrise'!$C19)*(Matrice!$T$23:$DP$100="X"))=1,"X","erreur"))</f>
        <v/>
      </c>
      <c r="T19" s="276" t="str">
        <f>IF(SUMPRODUCT((Matrice!$D$23:$D$100='Actions de maîtrise'!T$5)*(Matrice!$T$21:$DP$21='Actions de maîtrise'!$C19)*(Matrice!$T$23:$DP$100="X"))=0,"",IF(SUMPRODUCT((Matrice!$D$23:$D$100='Actions de maîtrise'!T$5)*(Matrice!$T$21:$DP$21='Actions de maîtrise'!$C19)*(Matrice!$T$23:$DP$100="X"))=1,"X","erreur"))</f>
        <v/>
      </c>
      <c r="U19" s="276" t="str">
        <f>IF(SUMPRODUCT((Matrice!$D$23:$D$100='Actions de maîtrise'!U$5)*(Matrice!$T$21:$DP$21='Actions de maîtrise'!$C19)*(Matrice!$T$23:$DP$100="X"))=0,"",IF(SUMPRODUCT((Matrice!$D$23:$D$100='Actions de maîtrise'!U$5)*(Matrice!$T$21:$DP$21='Actions de maîtrise'!$C19)*(Matrice!$T$23:$DP$100="X"))=1,"X","erreur"))</f>
        <v/>
      </c>
      <c r="V19" s="276" t="str">
        <f>IF(SUMPRODUCT((Matrice!$D$23:$D$100='Actions de maîtrise'!V$5)*(Matrice!$T$21:$DP$21='Actions de maîtrise'!$C19)*(Matrice!$T$23:$DP$100="X"))=0,"",IF(SUMPRODUCT((Matrice!$D$23:$D$100='Actions de maîtrise'!V$5)*(Matrice!$T$21:$DP$21='Actions de maîtrise'!$C19)*(Matrice!$T$23:$DP$100="X"))=1,"X","erreur"))</f>
        <v/>
      </c>
      <c r="W19" s="276" t="str">
        <f>IF(SUMPRODUCT((Matrice!$D$23:$D$100='Actions de maîtrise'!W$5)*(Matrice!$T$21:$DP$21='Actions de maîtrise'!$C19)*(Matrice!$T$23:$DP$100="X"))=0,"",IF(SUMPRODUCT((Matrice!$D$23:$D$100='Actions de maîtrise'!W$5)*(Matrice!$T$21:$DP$21='Actions de maîtrise'!$C19)*(Matrice!$T$23:$DP$100="X"))=1,"X","erreur"))</f>
        <v/>
      </c>
      <c r="X19" s="276" t="str">
        <f>IF(SUMPRODUCT((Matrice!$D$23:$D$100='Actions de maîtrise'!X$5)*(Matrice!$T$21:$DP$21='Actions de maîtrise'!$C19)*(Matrice!$T$23:$DP$100="X"))=0,"",IF(SUMPRODUCT((Matrice!$D$23:$D$100='Actions de maîtrise'!X$5)*(Matrice!$T$21:$DP$21='Actions de maîtrise'!$C19)*(Matrice!$T$23:$DP$100="X"))=1,"X","erreur"))</f>
        <v/>
      </c>
      <c r="Y19" s="276" t="str">
        <f>IF(SUMPRODUCT((Matrice!$D$23:$D$100='Actions de maîtrise'!Y$5)*(Matrice!$T$21:$DP$21='Actions de maîtrise'!$C19)*(Matrice!$T$23:$DP$100="X"))=0,"",IF(SUMPRODUCT((Matrice!$D$23:$D$100='Actions de maîtrise'!Y$5)*(Matrice!$T$21:$DP$21='Actions de maîtrise'!$C19)*(Matrice!$T$23:$DP$100="X"))=1,"X","erreur"))</f>
        <v/>
      </c>
      <c r="Z19" s="276" t="str">
        <f>IF(SUMPRODUCT((Matrice!$D$23:$D$100='Actions de maîtrise'!Z$5)*(Matrice!$T$21:$DP$21='Actions de maîtrise'!$C19)*(Matrice!$T$23:$DP$100="X"))=0,"",IF(SUMPRODUCT((Matrice!$D$23:$D$100='Actions de maîtrise'!Z$5)*(Matrice!$T$21:$DP$21='Actions de maîtrise'!$C19)*(Matrice!$T$23:$DP$100="X"))=1,"X","erreur"))</f>
        <v/>
      </c>
      <c r="AA19" s="276" t="str">
        <f>IF(SUMPRODUCT((Matrice!$D$23:$D$100='Actions de maîtrise'!AA$5)*(Matrice!$T$21:$DP$21='Actions de maîtrise'!$C19)*(Matrice!$T$23:$DP$100="X"))=0,"",IF(SUMPRODUCT((Matrice!$D$23:$D$100='Actions de maîtrise'!AA$5)*(Matrice!$T$21:$DP$21='Actions de maîtrise'!$C19)*(Matrice!$T$23:$DP$100="X"))=1,"X","erreur"))</f>
        <v/>
      </c>
      <c r="AB19" s="276" t="str">
        <f>IF(SUMPRODUCT((Matrice!$D$23:$D$100='Actions de maîtrise'!AB$5)*(Matrice!$T$21:$DP$21='Actions de maîtrise'!$C19)*(Matrice!$T$23:$DP$100="X"))=0,"",IF(SUMPRODUCT((Matrice!$D$23:$D$100='Actions de maîtrise'!AB$5)*(Matrice!$T$21:$DP$21='Actions de maîtrise'!$C19)*(Matrice!$T$23:$DP$100="X"))=1,"X","erreur"))</f>
        <v/>
      </c>
      <c r="AC19" s="276" t="str">
        <f>IF(SUMPRODUCT((Matrice!$D$23:$D$100='Actions de maîtrise'!AC$5)*(Matrice!$T$21:$DP$21='Actions de maîtrise'!$C19)*(Matrice!$T$23:$DP$100="X"))=0,"",IF(SUMPRODUCT((Matrice!$D$23:$D$100='Actions de maîtrise'!AC$5)*(Matrice!$T$21:$DP$21='Actions de maîtrise'!$C19)*(Matrice!$T$23:$DP$100="X"))=1,"X","erreur"))</f>
        <v/>
      </c>
      <c r="AD19" s="276" t="str">
        <f>IF(SUMPRODUCT((Matrice!$D$23:$D$100='Actions de maîtrise'!AD$5)*(Matrice!$T$21:$DP$21='Actions de maîtrise'!$C19)*(Matrice!$T$23:$DP$100="X"))=0,"",IF(SUMPRODUCT((Matrice!$D$23:$D$100='Actions de maîtrise'!AD$5)*(Matrice!$T$21:$DP$21='Actions de maîtrise'!$C19)*(Matrice!$T$23:$DP$100="X"))=1,"X","erreur"))</f>
        <v/>
      </c>
      <c r="AE19" s="276" t="str">
        <f>IF(SUMPRODUCT((Matrice!$D$23:$D$100='Actions de maîtrise'!AE$5)*(Matrice!$T$21:$DP$21='Actions de maîtrise'!$C19)*(Matrice!$T$23:$DP$100="X"))=0,"",IF(SUMPRODUCT((Matrice!$D$23:$D$100='Actions de maîtrise'!AE$5)*(Matrice!$T$21:$DP$21='Actions de maîtrise'!$C19)*(Matrice!$T$23:$DP$100="X"))=1,"X","erreur"))</f>
        <v/>
      </c>
      <c r="AF19" s="276" t="str">
        <f>IF(SUMPRODUCT((Matrice!$D$23:$D$100='Actions de maîtrise'!AF$5)*(Matrice!$T$21:$DP$21='Actions de maîtrise'!$C19)*(Matrice!$T$23:$DP$100="X"))=0,"",IF(SUMPRODUCT((Matrice!$D$23:$D$100='Actions de maîtrise'!AF$5)*(Matrice!$T$21:$DP$21='Actions de maîtrise'!$C19)*(Matrice!$T$23:$DP$100="X"))=1,"X","erreur"))</f>
        <v/>
      </c>
      <c r="AG19" s="276" t="str">
        <f>IF(SUMPRODUCT((Matrice!$D$23:$D$100='Actions de maîtrise'!AG$5)*(Matrice!$T$21:$DP$21='Actions de maîtrise'!$C19)*(Matrice!$T$23:$DP$100="X"))=0,"",IF(SUMPRODUCT((Matrice!$D$23:$D$100='Actions de maîtrise'!AG$5)*(Matrice!$T$21:$DP$21='Actions de maîtrise'!$C19)*(Matrice!$T$23:$DP$100="X"))=1,"X","erreur"))</f>
        <v/>
      </c>
    </row>
    <row r="20" spans="2:33" ht="18.75" customHeight="1" x14ac:dyDescent="0.2">
      <c r="B20" s="309" t="str">
        <f>IF((COUNTIF(Matrice!$2:$2,Matrice!$G$1&amp;"-AM"&amp;Listes!A16)=1)=TRUE,Matrice!$G$1&amp;"-AM"&amp;Listes!A16,"")</f>
        <v/>
      </c>
      <c r="C20" s="178" t="str">
        <f>IF(IF(ISERROR(HLOOKUP(B20,Matrice!$A$2:$DP$100,20,FALSE)),"",HLOOKUP(B20,Matrice!$A$2:$DP$100,20,FALSE))="","",IF(ISERROR(HLOOKUP(B20,Matrice!$A$2:$DP$100,20,FALSE)),"-",HLOOKUP(B20,Matrice!$A$2:$DP$100,20,FALSE)))</f>
        <v/>
      </c>
      <c r="D20" s="179" t="str">
        <f>IF(IF(ISERROR(HLOOKUP(B20,Matrice!$A$2:$DP$100,3,FALSE)),"",HLOOKUP(B20,Matrice!$A$2:$DP$100,3,FALSE))="","",IF(ISERROR(HLOOKUP(B20,Matrice!$A$2:$DP$100,3,FALSE)),"-",HLOOKUP(B20,Matrice!$A$2:$DP$100,3,FALSE)))</f>
        <v/>
      </c>
      <c r="E20" s="306"/>
      <c r="F20" s="179" t="str">
        <f>IF(ISERROR(HLOOKUP($B20,Matrice!$A$2:$DP$100,4,FALSE)),"",IF(HLOOKUP($B20,Matrice!$A$2:$DP$100,4,FALSE)="","",HLOOKUP($B20,Matrice!$A$2:$DP$100,4,FALSE)))</f>
        <v/>
      </c>
      <c r="G20" s="179" t="str">
        <f>IF(ISERROR(HLOOKUP($B20,Matrice!$A$2:$DP$100,5,FALSE)),"",IF(HLOOKUP($B20,Matrice!$A$2:$DP$100,5,FALSE)="","",HLOOKUP($B20,Matrice!$A$2:$DP$100,5,FALSE)))</f>
        <v/>
      </c>
      <c r="H20" s="179" t="str">
        <f>IF(ISERROR(HLOOKUP($B20,Matrice!$A$2:$DP$100,6,FALSE)),"",IF(HLOOKUP($B20,Matrice!$A$2:$DP$100,6,FALSE)="","",HLOOKUP($B20,Matrice!$A$2:$DP$100,6,FALSE)))</f>
        <v/>
      </c>
      <c r="I20" s="179" t="str">
        <f>IF(ISERROR(HLOOKUP($B21,Matrice!$A$2:$DP$100,7,FALSE)),"",IF(HLOOKUP($B21,Matrice!$A$2:$DP$100,7,FALSE)="","",HLOOKUP($B21,Matrice!$A$2:$DP$100,7,FALSE)))</f>
        <v/>
      </c>
      <c r="J20" s="277" t="str">
        <f>IF(ISERROR(HLOOKUP($B20,Matrice!$A$2:$DP$100,12,FALSE)),"",IF(HLOOKUP($B20,Matrice!$A$2:$DP$100,12,FALSE)="","",HLOOKUP($B20,Matrice!$A$2:$DP$100,12,FALSE)))</f>
        <v/>
      </c>
      <c r="K20" s="277" t="str">
        <f>IF(ISERROR(HLOOKUP($B20,Matrice!$A$2:$DP$100,13,FALSE)),"",IF(HLOOKUP($B20,Matrice!$A$2:$DP$100,13,FALSE)="","",HLOOKUP($B20,Matrice!$A$2:$DP$100,13,FALSE)))</f>
        <v/>
      </c>
      <c r="L20" s="333" t="str">
        <f>IF(ISERROR(HLOOKUP($B20,Matrice!$A$2:$DP$100,9,FALSE)),"",IF(HLOOKUP($B20,Matrice!$A$2:$DP$100,9,FALSE)="","",HLOOKUP($B20,Matrice!$A$2:$DP$100,9,FALSE)))</f>
        <v/>
      </c>
      <c r="M20" s="333" t="str">
        <f>IF(ISERROR(HLOOKUP($B20,Matrice!$A$2:$DP$100,10,FALSE)),"",IF(HLOOKUP($B20,Matrice!$A$2:$DP$100,10,FALSE)="","",HLOOKUP($B20,Matrice!$A$2:$DP$100,10,FALSE)))</f>
        <v/>
      </c>
      <c r="N20" s="333" t="str">
        <f>IF(ISERROR(HLOOKUP($B20,Matrice!$A$2:$DP$100,11,FALSE)),"",IF(HLOOKUP($B20,Matrice!$A$2:$DP$100,11,FALSE)="","",HLOOKUP($B20,Matrice!$A$2:$DP$100,11,FALSE)))</f>
        <v/>
      </c>
      <c r="P20" s="276" t="str">
        <f>IF(SUMPRODUCT((Matrice!$D$23:$D$100='Actions de maîtrise'!P$5)*(Matrice!$T$21:$DP$21='Actions de maîtrise'!$C20)*(Matrice!$T$23:$DP$100="X"))=0,"",IF(SUMPRODUCT((Matrice!$D$23:$D$100='Actions de maîtrise'!P$5)*(Matrice!$T$21:$DP$21='Actions de maîtrise'!$C20)*(Matrice!$T$23:$DP$100="X"))=1,"X","erreur"))</f>
        <v/>
      </c>
      <c r="Q20" s="276" t="str">
        <f>IF(SUMPRODUCT((Matrice!$D$23:$D$100='Actions de maîtrise'!Q$5)*(Matrice!$T$21:$DP$21='Actions de maîtrise'!$C20)*(Matrice!$T$23:$DP$100="X"))=0,"",IF(SUMPRODUCT((Matrice!$D$23:$D$100='Actions de maîtrise'!Q$5)*(Matrice!$T$21:$DP$21='Actions de maîtrise'!$C20)*(Matrice!$T$23:$DP$100="X"))=1,"X","erreur"))</f>
        <v/>
      </c>
      <c r="R20" s="276" t="str">
        <f>IF(SUMPRODUCT((Matrice!$D$23:$D$100='Actions de maîtrise'!R$5)*(Matrice!$T$21:$DP$21='Actions de maîtrise'!$C20)*(Matrice!$T$23:$DP$100="X"))=0,"",IF(SUMPRODUCT((Matrice!$D$23:$D$100='Actions de maîtrise'!R$5)*(Matrice!$T$21:$DP$21='Actions de maîtrise'!$C20)*(Matrice!$T$23:$DP$100="X"))=1,"X","erreur"))</f>
        <v/>
      </c>
      <c r="S20" s="276" t="str">
        <f>IF(SUMPRODUCT((Matrice!$D$23:$D$100='Actions de maîtrise'!S$5)*(Matrice!$T$21:$DP$21='Actions de maîtrise'!$C20)*(Matrice!$T$23:$DP$100="X"))=0,"",IF(SUMPRODUCT((Matrice!$D$23:$D$100='Actions de maîtrise'!S$5)*(Matrice!$T$21:$DP$21='Actions de maîtrise'!$C20)*(Matrice!$T$23:$DP$100="X"))=1,"X","erreur"))</f>
        <v/>
      </c>
      <c r="T20" s="276" t="str">
        <f>IF(SUMPRODUCT((Matrice!$D$23:$D$100='Actions de maîtrise'!T$5)*(Matrice!$T$21:$DP$21='Actions de maîtrise'!$C20)*(Matrice!$T$23:$DP$100="X"))=0,"",IF(SUMPRODUCT((Matrice!$D$23:$D$100='Actions de maîtrise'!T$5)*(Matrice!$T$21:$DP$21='Actions de maîtrise'!$C20)*(Matrice!$T$23:$DP$100="X"))=1,"X","erreur"))</f>
        <v/>
      </c>
      <c r="U20" s="276" t="str">
        <f>IF(SUMPRODUCT((Matrice!$D$23:$D$100='Actions de maîtrise'!U$5)*(Matrice!$T$21:$DP$21='Actions de maîtrise'!$C20)*(Matrice!$T$23:$DP$100="X"))=0,"",IF(SUMPRODUCT((Matrice!$D$23:$D$100='Actions de maîtrise'!U$5)*(Matrice!$T$21:$DP$21='Actions de maîtrise'!$C20)*(Matrice!$T$23:$DP$100="X"))=1,"X","erreur"))</f>
        <v/>
      </c>
      <c r="V20" s="276" t="str">
        <f>IF(SUMPRODUCT((Matrice!$D$23:$D$100='Actions de maîtrise'!V$5)*(Matrice!$T$21:$DP$21='Actions de maîtrise'!$C20)*(Matrice!$T$23:$DP$100="X"))=0,"",IF(SUMPRODUCT((Matrice!$D$23:$D$100='Actions de maîtrise'!V$5)*(Matrice!$T$21:$DP$21='Actions de maîtrise'!$C20)*(Matrice!$T$23:$DP$100="X"))=1,"X","erreur"))</f>
        <v/>
      </c>
      <c r="W20" s="276" t="str">
        <f>IF(SUMPRODUCT((Matrice!$D$23:$D$100='Actions de maîtrise'!W$5)*(Matrice!$T$21:$DP$21='Actions de maîtrise'!$C20)*(Matrice!$T$23:$DP$100="X"))=0,"",IF(SUMPRODUCT((Matrice!$D$23:$D$100='Actions de maîtrise'!W$5)*(Matrice!$T$21:$DP$21='Actions de maîtrise'!$C20)*(Matrice!$T$23:$DP$100="X"))=1,"X","erreur"))</f>
        <v/>
      </c>
      <c r="X20" s="276" t="str">
        <f>IF(SUMPRODUCT((Matrice!$D$23:$D$100='Actions de maîtrise'!X$5)*(Matrice!$T$21:$DP$21='Actions de maîtrise'!$C20)*(Matrice!$T$23:$DP$100="X"))=0,"",IF(SUMPRODUCT((Matrice!$D$23:$D$100='Actions de maîtrise'!X$5)*(Matrice!$T$21:$DP$21='Actions de maîtrise'!$C20)*(Matrice!$T$23:$DP$100="X"))=1,"X","erreur"))</f>
        <v/>
      </c>
      <c r="Y20" s="276" t="str">
        <f>IF(SUMPRODUCT((Matrice!$D$23:$D$100='Actions de maîtrise'!Y$5)*(Matrice!$T$21:$DP$21='Actions de maîtrise'!$C20)*(Matrice!$T$23:$DP$100="X"))=0,"",IF(SUMPRODUCT((Matrice!$D$23:$D$100='Actions de maîtrise'!Y$5)*(Matrice!$T$21:$DP$21='Actions de maîtrise'!$C20)*(Matrice!$T$23:$DP$100="X"))=1,"X","erreur"))</f>
        <v/>
      </c>
      <c r="Z20" s="276" t="str">
        <f>IF(SUMPRODUCT((Matrice!$D$23:$D$100='Actions de maîtrise'!Z$5)*(Matrice!$T$21:$DP$21='Actions de maîtrise'!$C20)*(Matrice!$T$23:$DP$100="X"))=0,"",IF(SUMPRODUCT((Matrice!$D$23:$D$100='Actions de maîtrise'!Z$5)*(Matrice!$T$21:$DP$21='Actions de maîtrise'!$C20)*(Matrice!$T$23:$DP$100="X"))=1,"X","erreur"))</f>
        <v/>
      </c>
      <c r="AA20" s="276" t="str">
        <f>IF(SUMPRODUCT((Matrice!$D$23:$D$100='Actions de maîtrise'!AA$5)*(Matrice!$T$21:$DP$21='Actions de maîtrise'!$C20)*(Matrice!$T$23:$DP$100="X"))=0,"",IF(SUMPRODUCT((Matrice!$D$23:$D$100='Actions de maîtrise'!AA$5)*(Matrice!$T$21:$DP$21='Actions de maîtrise'!$C20)*(Matrice!$T$23:$DP$100="X"))=1,"X","erreur"))</f>
        <v/>
      </c>
      <c r="AB20" s="276" t="str">
        <f>IF(SUMPRODUCT((Matrice!$D$23:$D$100='Actions de maîtrise'!AB$5)*(Matrice!$T$21:$DP$21='Actions de maîtrise'!$C20)*(Matrice!$T$23:$DP$100="X"))=0,"",IF(SUMPRODUCT((Matrice!$D$23:$D$100='Actions de maîtrise'!AB$5)*(Matrice!$T$21:$DP$21='Actions de maîtrise'!$C20)*(Matrice!$T$23:$DP$100="X"))=1,"X","erreur"))</f>
        <v/>
      </c>
      <c r="AC20" s="276" t="str">
        <f>IF(SUMPRODUCT((Matrice!$D$23:$D$100='Actions de maîtrise'!AC$5)*(Matrice!$T$21:$DP$21='Actions de maîtrise'!$C20)*(Matrice!$T$23:$DP$100="X"))=0,"",IF(SUMPRODUCT((Matrice!$D$23:$D$100='Actions de maîtrise'!AC$5)*(Matrice!$T$21:$DP$21='Actions de maîtrise'!$C20)*(Matrice!$T$23:$DP$100="X"))=1,"X","erreur"))</f>
        <v/>
      </c>
      <c r="AD20" s="276" t="str">
        <f>IF(SUMPRODUCT((Matrice!$D$23:$D$100='Actions de maîtrise'!AD$5)*(Matrice!$T$21:$DP$21='Actions de maîtrise'!$C20)*(Matrice!$T$23:$DP$100="X"))=0,"",IF(SUMPRODUCT((Matrice!$D$23:$D$100='Actions de maîtrise'!AD$5)*(Matrice!$T$21:$DP$21='Actions de maîtrise'!$C20)*(Matrice!$T$23:$DP$100="X"))=1,"X","erreur"))</f>
        <v/>
      </c>
      <c r="AE20" s="276" t="str">
        <f>IF(SUMPRODUCT((Matrice!$D$23:$D$100='Actions de maîtrise'!AE$5)*(Matrice!$T$21:$DP$21='Actions de maîtrise'!$C20)*(Matrice!$T$23:$DP$100="X"))=0,"",IF(SUMPRODUCT((Matrice!$D$23:$D$100='Actions de maîtrise'!AE$5)*(Matrice!$T$21:$DP$21='Actions de maîtrise'!$C20)*(Matrice!$T$23:$DP$100="X"))=1,"X","erreur"))</f>
        <v/>
      </c>
      <c r="AF20" s="276" t="str">
        <f>IF(SUMPRODUCT((Matrice!$D$23:$D$100='Actions de maîtrise'!AF$5)*(Matrice!$T$21:$DP$21='Actions de maîtrise'!$C20)*(Matrice!$T$23:$DP$100="X"))=0,"",IF(SUMPRODUCT((Matrice!$D$23:$D$100='Actions de maîtrise'!AF$5)*(Matrice!$T$21:$DP$21='Actions de maîtrise'!$C20)*(Matrice!$T$23:$DP$100="X"))=1,"X","erreur"))</f>
        <v/>
      </c>
      <c r="AG20" s="276" t="str">
        <f>IF(SUMPRODUCT((Matrice!$D$23:$D$100='Actions de maîtrise'!AG$5)*(Matrice!$T$21:$DP$21='Actions de maîtrise'!$C20)*(Matrice!$T$23:$DP$100="X"))=0,"",IF(SUMPRODUCT((Matrice!$D$23:$D$100='Actions de maîtrise'!AG$5)*(Matrice!$T$21:$DP$21='Actions de maîtrise'!$C20)*(Matrice!$T$23:$DP$100="X"))=1,"X","erreur"))</f>
        <v/>
      </c>
    </row>
    <row r="21" spans="2:33" ht="18" customHeight="1" x14ac:dyDescent="0.2">
      <c r="B21" s="309" t="str">
        <f>IF((COUNTIF(Matrice!$2:$2,Matrice!$G$1&amp;"-AM"&amp;Listes!A17)=1)=TRUE,Matrice!$G$1&amp;"-AM"&amp;Listes!A17,"")</f>
        <v/>
      </c>
      <c r="C21" s="178" t="str">
        <f>IF(IF(ISERROR(HLOOKUP(B21,Matrice!$A$2:$DP$100,20,FALSE)),"",HLOOKUP(B21,Matrice!$A$2:$DP$100,20,FALSE))="","",IF(ISERROR(HLOOKUP(B21,Matrice!$A$2:$DP$100,20,FALSE)),"-",HLOOKUP(B21,Matrice!$A$2:$DP$100,20,FALSE)))</f>
        <v/>
      </c>
      <c r="D21" s="179" t="str">
        <f>IF(IF(ISERROR(HLOOKUP(B21,Matrice!$A$2:$DP$100,3,FALSE)),"",HLOOKUP(B21,Matrice!$A$2:$DP$100,3,FALSE))="","",IF(ISERROR(HLOOKUP(B21,Matrice!$A$2:$DP$100,3,FALSE)),"-",HLOOKUP(B21,Matrice!$A$2:$DP$100,3,FALSE)))</f>
        <v/>
      </c>
      <c r="E21" s="306"/>
      <c r="F21" s="179" t="str">
        <f>IF(ISERROR(HLOOKUP($B21,Matrice!$A$2:$DP$100,4,FALSE)),"",IF(HLOOKUP($B21,Matrice!$A$2:$DP$100,4,FALSE)="","",HLOOKUP($B21,Matrice!$A$2:$DP$100,4,FALSE)))</f>
        <v/>
      </c>
      <c r="G21" s="179" t="str">
        <f>IF(ISERROR(HLOOKUP($B21,Matrice!$A$2:$DP$100,5,FALSE)),"",IF(HLOOKUP($B21,Matrice!$A$2:$DP$100,5,FALSE)="","",HLOOKUP($B21,Matrice!$A$2:$DP$100,5,FALSE)))</f>
        <v/>
      </c>
      <c r="H21" s="179" t="str">
        <f>IF(ISERROR(HLOOKUP($B21,Matrice!$A$2:$DP$100,6,FALSE)),"",IF(HLOOKUP($B21,Matrice!$A$2:$DP$100,6,FALSE)="","",HLOOKUP($B21,Matrice!$A$2:$DP$100,6,FALSE)))</f>
        <v/>
      </c>
      <c r="I21" s="179" t="str">
        <f>IF(ISERROR(HLOOKUP($B22,Matrice!$A$2:$DP$100,7,FALSE)),"",IF(HLOOKUP($B22,Matrice!$A$2:$DP$100,7,FALSE)="","",HLOOKUP($B22,Matrice!$A$2:$DP$100,7,FALSE)))</f>
        <v/>
      </c>
      <c r="J21" s="277" t="str">
        <f>IF(ISERROR(HLOOKUP($B21,Matrice!$A$2:$DP$100,12,FALSE)),"",IF(HLOOKUP($B21,Matrice!$A$2:$DP$100,12,FALSE)="","",HLOOKUP($B21,Matrice!$A$2:$DP$100,12,FALSE)))</f>
        <v/>
      </c>
      <c r="K21" s="277" t="str">
        <f>IF(ISERROR(HLOOKUP($B21,Matrice!$A$2:$DP$100,13,FALSE)),"",IF(HLOOKUP($B21,Matrice!$A$2:$DP$100,13,FALSE)="","",HLOOKUP($B21,Matrice!$A$2:$DP$100,13,FALSE)))</f>
        <v/>
      </c>
      <c r="L21" s="333" t="str">
        <f>IF(ISERROR(HLOOKUP($B21,Matrice!$A$2:$DP$100,9,FALSE)),"",IF(HLOOKUP($B21,Matrice!$A$2:$DP$100,9,FALSE)="","",HLOOKUP($B21,Matrice!$A$2:$DP$100,9,FALSE)))</f>
        <v/>
      </c>
      <c r="M21" s="333" t="str">
        <f>IF(ISERROR(HLOOKUP($B21,Matrice!$A$2:$DP$100,10,FALSE)),"",IF(HLOOKUP($B21,Matrice!$A$2:$DP$100,10,FALSE)="","",HLOOKUP($B21,Matrice!$A$2:$DP$100,10,FALSE)))</f>
        <v/>
      </c>
      <c r="N21" s="333" t="str">
        <f>IF(ISERROR(HLOOKUP($B21,Matrice!$A$2:$DP$100,11,FALSE)),"",IF(HLOOKUP($B21,Matrice!$A$2:$DP$100,11,FALSE)="","",HLOOKUP($B21,Matrice!$A$2:$DP$100,11,FALSE)))</f>
        <v/>
      </c>
      <c r="P21" s="276" t="str">
        <f>IF(SUMPRODUCT((Matrice!$D$23:$D$100='Actions de maîtrise'!P$5)*(Matrice!$T$21:$DP$21='Actions de maîtrise'!$C21)*(Matrice!$T$23:$DP$100="X"))=0,"",IF(SUMPRODUCT((Matrice!$D$23:$D$100='Actions de maîtrise'!P$5)*(Matrice!$T$21:$DP$21='Actions de maîtrise'!$C21)*(Matrice!$T$23:$DP$100="X"))=1,"X","erreur"))</f>
        <v/>
      </c>
      <c r="Q21" s="276" t="str">
        <f>IF(SUMPRODUCT((Matrice!$D$23:$D$100='Actions de maîtrise'!Q$5)*(Matrice!$T$21:$DP$21='Actions de maîtrise'!$C21)*(Matrice!$T$23:$DP$100="X"))=0,"",IF(SUMPRODUCT((Matrice!$D$23:$D$100='Actions de maîtrise'!Q$5)*(Matrice!$T$21:$DP$21='Actions de maîtrise'!$C21)*(Matrice!$T$23:$DP$100="X"))=1,"X","erreur"))</f>
        <v/>
      </c>
      <c r="R21" s="276" t="str">
        <f>IF(SUMPRODUCT((Matrice!$D$23:$D$100='Actions de maîtrise'!R$5)*(Matrice!$T$21:$DP$21='Actions de maîtrise'!$C21)*(Matrice!$T$23:$DP$100="X"))=0,"",IF(SUMPRODUCT((Matrice!$D$23:$D$100='Actions de maîtrise'!R$5)*(Matrice!$T$21:$DP$21='Actions de maîtrise'!$C21)*(Matrice!$T$23:$DP$100="X"))=1,"X","erreur"))</f>
        <v/>
      </c>
      <c r="S21" s="276" t="str">
        <f>IF(SUMPRODUCT((Matrice!$D$23:$D$100='Actions de maîtrise'!S$5)*(Matrice!$T$21:$DP$21='Actions de maîtrise'!$C21)*(Matrice!$T$23:$DP$100="X"))=0,"",IF(SUMPRODUCT((Matrice!$D$23:$D$100='Actions de maîtrise'!S$5)*(Matrice!$T$21:$DP$21='Actions de maîtrise'!$C21)*(Matrice!$T$23:$DP$100="X"))=1,"X","erreur"))</f>
        <v/>
      </c>
      <c r="T21" s="276" t="str">
        <f>IF(SUMPRODUCT((Matrice!$D$23:$D$100='Actions de maîtrise'!T$5)*(Matrice!$T$21:$DP$21='Actions de maîtrise'!$C21)*(Matrice!$T$23:$DP$100="X"))=0,"",IF(SUMPRODUCT((Matrice!$D$23:$D$100='Actions de maîtrise'!T$5)*(Matrice!$T$21:$DP$21='Actions de maîtrise'!$C21)*(Matrice!$T$23:$DP$100="X"))=1,"X","erreur"))</f>
        <v/>
      </c>
      <c r="U21" s="276" t="str">
        <f>IF(SUMPRODUCT((Matrice!$D$23:$D$100='Actions de maîtrise'!U$5)*(Matrice!$T$21:$DP$21='Actions de maîtrise'!$C21)*(Matrice!$T$23:$DP$100="X"))=0,"",IF(SUMPRODUCT((Matrice!$D$23:$D$100='Actions de maîtrise'!U$5)*(Matrice!$T$21:$DP$21='Actions de maîtrise'!$C21)*(Matrice!$T$23:$DP$100="X"))=1,"X","erreur"))</f>
        <v/>
      </c>
      <c r="V21" s="276" t="str">
        <f>IF(SUMPRODUCT((Matrice!$D$23:$D$100='Actions de maîtrise'!V$5)*(Matrice!$T$21:$DP$21='Actions de maîtrise'!$C21)*(Matrice!$T$23:$DP$100="X"))=0,"",IF(SUMPRODUCT((Matrice!$D$23:$D$100='Actions de maîtrise'!V$5)*(Matrice!$T$21:$DP$21='Actions de maîtrise'!$C21)*(Matrice!$T$23:$DP$100="X"))=1,"X","erreur"))</f>
        <v/>
      </c>
      <c r="W21" s="276" t="str">
        <f>IF(SUMPRODUCT((Matrice!$D$23:$D$100='Actions de maîtrise'!W$5)*(Matrice!$T$21:$DP$21='Actions de maîtrise'!$C21)*(Matrice!$T$23:$DP$100="X"))=0,"",IF(SUMPRODUCT((Matrice!$D$23:$D$100='Actions de maîtrise'!W$5)*(Matrice!$T$21:$DP$21='Actions de maîtrise'!$C21)*(Matrice!$T$23:$DP$100="X"))=1,"X","erreur"))</f>
        <v/>
      </c>
      <c r="X21" s="276" t="str">
        <f>IF(SUMPRODUCT((Matrice!$D$23:$D$100='Actions de maîtrise'!X$5)*(Matrice!$T$21:$DP$21='Actions de maîtrise'!$C21)*(Matrice!$T$23:$DP$100="X"))=0,"",IF(SUMPRODUCT((Matrice!$D$23:$D$100='Actions de maîtrise'!X$5)*(Matrice!$T$21:$DP$21='Actions de maîtrise'!$C21)*(Matrice!$T$23:$DP$100="X"))=1,"X","erreur"))</f>
        <v/>
      </c>
      <c r="Y21" s="276" t="str">
        <f>IF(SUMPRODUCT((Matrice!$D$23:$D$100='Actions de maîtrise'!Y$5)*(Matrice!$T$21:$DP$21='Actions de maîtrise'!$C21)*(Matrice!$T$23:$DP$100="X"))=0,"",IF(SUMPRODUCT((Matrice!$D$23:$D$100='Actions de maîtrise'!Y$5)*(Matrice!$T$21:$DP$21='Actions de maîtrise'!$C21)*(Matrice!$T$23:$DP$100="X"))=1,"X","erreur"))</f>
        <v/>
      </c>
      <c r="Z21" s="276" t="str">
        <f>IF(SUMPRODUCT((Matrice!$D$23:$D$100='Actions de maîtrise'!Z$5)*(Matrice!$T$21:$DP$21='Actions de maîtrise'!$C21)*(Matrice!$T$23:$DP$100="X"))=0,"",IF(SUMPRODUCT((Matrice!$D$23:$D$100='Actions de maîtrise'!Z$5)*(Matrice!$T$21:$DP$21='Actions de maîtrise'!$C21)*(Matrice!$T$23:$DP$100="X"))=1,"X","erreur"))</f>
        <v/>
      </c>
      <c r="AA21" s="276" t="str">
        <f>IF(SUMPRODUCT((Matrice!$D$23:$D$100='Actions de maîtrise'!AA$5)*(Matrice!$T$21:$DP$21='Actions de maîtrise'!$C21)*(Matrice!$T$23:$DP$100="X"))=0,"",IF(SUMPRODUCT((Matrice!$D$23:$D$100='Actions de maîtrise'!AA$5)*(Matrice!$T$21:$DP$21='Actions de maîtrise'!$C21)*(Matrice!$T$23:$DP$100="X"))=1,"X","erreur"))</f>
        <v/>
      </c>
      <c r="AB21" s="276" t="str">
        <f>IF(SUMPRODUCT((Matrice!$D$23:$D$100='Actions de maîtrise'!AB$5)*(Matrice!$T$21:$DP$21='Actions de maîtrise'!$C21)*(Matrice!$T$23:$DP$100="X"))=0,"",IF(SUMPRODUCT((Matrice!$D$23:$D$100='Actions de maîtrise'!AB$5)*(Matrice!$T$21:$DP$21='Actions de maîtrise'!$C21)*(Matrice!$T$23:$DP$100="X"))=1,"X","erreur"))</f>
        <v/>
      </c>
      <c r="AC21" s="276" t="str">
        <f>IF(SUMPRODUCT((Matrice!$D$23:$D$100='Actions de maîtrise'!AC$5)*(Matrice!$T$21:$DP$21='Actions de maîtrise'!$C21)*(Matrice!$T$23:$DP$100="X"))=0,"",IF(SUMPRODUCT((Matrice!$D$23:$D$100='Actions de maîtrise'!AC$5)*(Matrice!$T$21:$DP$21='Actions de maîtrise'!$C21)*(Matrice!$T$23:$DP$100="X"))=1,"X","erreur"))</f>
        <v/>
      </c>
      <c r="AD21" s="276" t="str">
        <f>IF(SUMPRODUCT((Matrice!$D$23:$D$100='Actions de maîtrise'!AD$5)*(Matrice!$T$21:$DP$21='Actions de maîtrise'!$C21)*(Matrice!$T$23:$DP$100="X"))=0,"",IF(SUMPRODUCT((Matrice!$D$23:$D$100='Actions de maîtrise'!AD$5)*(Matrice!$T$21:$DP$21='Actions de maîtrise'!$C21)*(Matrice!$T$23:$DP$100="X"))=1,"X","erreur"))</f>
        <v/>
      </c>
      <c r="AE21" s="276" t="str">
        <f>IF(SUMPRODUCT((Matrice!$D$23:$D$100='Actions de maîtrise'!AE$5)*(Matrice!$T$21:$DP$21='Actions de maîtrise'!$C21)*(Matrice!$T$23:$DP$100="X"))=0,"",IF(SUMPRODUCT((Matrice!$D$23:$D$100='Actions de maîtrise'!AE$5)*(Matrice!$T$21:$DP$21='Actions de maîtrise'!$C21)*(Matrice!$T$23:$DP$100="X"))=1,"X","erreur"))</f>
        <v/>
      </c>
      <c r="AF21" s="276" t="str">
        <f>IF(SUMPRODUCT((Matrice!$D$23:$D$100='Actions de maîtrise'!AF$5)*(Matrice!$T$21:$DP$21='Actions de maîtrise'!$C21)*(Matrice!$T$23:$DP$100="X"))=0,"",IF(SUMPRODUCT((Matrice!$D$23:$D$100='Actions de maîtrise'!AF$5)*(Matrice!$T$21:$DP$21='Actions de maîtrise'!$C21)*(Matrice!$T$23:$DP$100="X"))=1,"X","erreur"))</f>
        <v/>
      </c>
      <c r="AG21" s="276" t="str">
        <f>IF(SUMPRODUCT((Matrice!$D$23:$D$100='Actions de maîtrise'!AG$5)*(Matrice!$T$21:$DP$21='Actions de maîtrise'!$C21)*(Matrice!$T$23:$DP$100="X"))=0,"",IF(SUMPRODUCT((Matrice!$D$23:$D$100='Actions de maîtrise'!AG$5)*(Matrice!$T$21:$DP$21='Actions de maîtrise'!$C21)*(Matrice!$T$23:$DP$100="X"))=1,"X","erreur"))</f>
        <v/>
      </c>
    </row>
    <row r="22" spans="2:33" ht="18" customHeight="1" x14ac:dyDescent="0.2">
      <c r="B22" s="309" t="str">
        <f>IF((COUNTIF(Matrice!$2:$2,Matrice!$G$1&amp;"-AM"&amp;Listes!A18)=1)=TRUE,Matrice!$G$1&amp;"-AM"&amp;Listes!A18,"")</f>
        <v/>
      </c>
      <c r="C22" s="178" t="str">
        <f>IF(IF(ISERROR(HLOOKUP(B22,Matrice!$A$2:$DP$100,20,FALSE)),"",HLOOKUP(B22,Matrice!$A$2:$DP$100,20,FALSE))="","",IF(ISERROR(HLOOKUP(B22,Matrice!$A$2:$DP$100,20,FALSE)),"-",HLOOKUP(B22,Matrice!$A$2:$DP$100,20,FALSE)))</f>
        <v/>
      </c>
      <c r="D22" s="179" t="str">
        <f>IF(IF(ISERROR(HLOOKUP(B22,Matrice!$A$2:$DP$100,3,FALSE)),"",HLOOKUP(B22,Matrice!$A$2:$DP$100,3,FALSE))="","",IF(ISERROR(HLOOKUP(B22,Matrice!$A$2:$DP$100,3,FALSE)),"-",HLOOKUP(B22,Matrice!$A$2:$DP$100,3,FALSE)))</f>
        <v/>
      </c>
      <c r="E22" s="306"/>
      <c r="F22" s="179" t="str">
        <f>IF(ISERROR(HLOOKUP($B22,Matrice!$A$2:$DP$100,4,FALSE)),"",IF(HLOOKUP($B22,Matrice!$A$2:$DP$100,4,FALSE)="","",HLOOKUP($B22,Matrice!$A$2:$DP$100,4,FALSE)))</f>
        <v/>
      </c>
      <c r="G22" s="179" t="str">
        <f>IF(ISERROR(HLOOKUP($B22,Matrice!$A$2:$DP$100,5,FALSE)),"",IF(HLOOKUP($B22,Matrice!$A$2:$DP$100,5,FALSE)="","",HLOOKUP($B22,Matrice!$A$2:$DP$100,5,FALSE)))</f>
        <v/>
      </c>
      <c r="H22" s="179" t="str">
        <f>IF(ISERROR(HLOOKUP($B22,Matrice!$A$2:$DP$100,6,FALSE)),"",IF(HLOOKUP($B22,Matrice!$A$2:$DP$100,6,FALSE)="","",HLOOKUP($B22,Matrice!$A$2:$DP$100,6,FALSE)))</f>
        <v/>
      </c>
      <c r="I22" s="179" t="str">
        <f>IF(ISERROR(HLOOKUP($B23,Matrice!$A$2:$DP$100,7,FALSE)),"",IF(HLOOKUP($B23,Matrice!$A$2:$DP$100,7,FALSE)="","",HLOOKUP($B23,Matrice!$A$2:$DP$100,7,FALSE)))</f>
        <v/>
      </c>
      <c r="J22" s="277" t="str">
        <f>IF(ISERROR(HLOOKUP($B22,Matrice!$A$2:$DP$100,12,FALSE)),"",IF(HLOOKUP($B22,Matrice!$A$2:$DP$100,12,FALSE)="","",HLOOKUP($B22,Matrice!$A$2:$DP$100,12,FALSE)))</f>
        <v/>
      </c>
      <c r="K22" s="277" t="str">
        <f>IF(ISERROR(HLOOKUP($B22,Matrice!$A$2:$DP$100,13,FALSE)),"",IF(HLOOKUP($B22,Matrice!$A$2:$DP$100,13,FALSE)="","",HLOOKUP($B22,Matrice!$A$2:$DP$100,13,FALSE)))</f>
        <v/>
      </c>
      <c r="L22" s="333" t="str">
        <f>IF(ISERROR(HLOOKUP($B22,Matrice!$A$2:$DP$100,9,FALSE)),"",IF(HLOOKUP($B22,Matrice!$A$2:$DP$100,9,FALSE)="","",HLOOKUP($B22,Matrice!$A$2:$DP$100,9,FALSE)))</f>
        <v/>
      </c>
      <c r="M22" s="333" t="str">
        <f>IF(ISERROR(HLOOKUP($B22,Matrice!$A$2:$DP$100,10,FALSE)),"",IF(HLOOKUP($B22,Matrice!$A$2:$DP$100,10,FALSE)="","",HLOOKUP($B22,Matrice!$A$2:$DP$100,10,FALSE)))</f>
        <v/>
      </c>
      <c r="N22" s="333" t="str">
        <f>IF(ISERROR(HLOOKUP($B22,Matrice!$A$2:$DP$100,11,FALSE)),"",IF(HLOOKUP($B22,Matrice!$A$2:$DP$100,11,FALSE)="","",HLOOKUP($B22,Matrice!$A$2:$DP$100,11,FALSE)))</f>
        <v/>
      </c>
      <c r="P22" s="276" t="str">
        <f>IF(SUMPRODUCT((Matrice!$D$23:$D$100='Actions de maîtrise'!P$5)*(Matrice!$T$21:$DP$21='Actions de maîtrise'!$C22)*(Matrice!$T$23:$DP$100="X"))=0,"",IF(SUMPRODUCT((Matrice!$D$23:$D$100='Actions de maîtrise'!P$5)*(Matrice!$T$21:$DP$21='Actions de maîtrise'!$C22)*(Matrice!$T$23:$DP$100="X"))=1,"X","erreur"))</f>
        <v/>
      </c>
      <c r="Q22" s="276" t="str">
        <f>IF(SUMPRODUCT((Matrice!$D$23:$D$100='Actions de maîtrise'!Q$5)*(Matrice!$T$21:$DP$21='Actions de maîtrise'!$C22)*(Matrice!$T$23:$DP$100="X"))=0,"",IF(SUMPRODUCT((Matrice!$D$23:$D$100='Actions de maîtrise'!Q$5)*(Matrice!$T$21:$DP$21='Actions de maîtrise'!$C22)*(Matrice!$T$23:$DP$100="X"))=1,"X","erreur"))</f>
        <v/>
      </c>
      <c r="R22" s="276" t="str">
        <f>IF(SUMPRODUCT((Matrice!$D$23:$D$100='Actions de maîtrise'!R$5)*(Matrice!$T$21:$DP$21='Actions de maîtrise'!$C22)*(Matrice!$T$23:$DP$100="X"))=0,"",IF(SUMPRODUCT((Matrice!$D$23:$D$100='Actions de maîtrise'!R$5)*(Matrice!$T$21:$DP$21='Actions de maîtrise'!$C22)*(Matrice!$T$23:$DP$100="X"))=1,"X","erreur"))</f>
        <v/>
      </c>
      <c r="S22" s="276" t="str">
        <f>IF(SUMPRODUCT((Matrice!$D$23:$D$100='Actions de maîtrise'!S$5)*(Matrice!$T$21:$DP$21='Actions de maîtrise'!$C22)*(Matrice!$T$23:$DP$100="X"))=0,"",IF(SUMPRODUCT((Matrice!$D$23:$D$100='Actions de maîtrise'!S$5)*(Matrice!$T$21:$DP$21='Actions de maîtrise'!$C22)*(Matrice!$T$23:$DP$100="X"))=1,"X","erreur"))</f>
        <v/>
      </c>
      <c r="T22" s="276" t="str">
        <f>IF(SUMPRODUCT((Matrice!$D$23:$D$100='Actions de maîtrise'!T$5)*(Matrice!$T$21:$DP$21='Actions de maîtrise'!$C22)*(Matrice!$T$23:$DP$100="X"))=0,"",IF(SUMPRODUCT((Matrice!$D$23:$D$100='Actions de maîtrise'!T$5)*(Matrice!$T$21:$DP$21='Actions de maîtrise'!$C22)*(Matrice!$T$23:$DP$100="X"))=1,"X","erreur"))</f>
        <v/>
      </c>
      <c r="U22" s="276" t="str">
        <f>IF(SUMPRODUCT((Matrice!$D$23:$D$100='Actions de maîtrise'!U$5)*(Matrice!$T$21:$DP$21='Actions de maîtrise'!$C22)*(Matrice!$T$23:$DP$100="X"))=0,"",IF(SUMPRODUCT((Matrice!$D$23:$D$100='Actions de maîtrise'!U$5)*(Matrice!$T$21:$DP$21='Actions de maîtrise'!$C22)*(Matrice!$T$23:$DP$100="X"))=1,"X","erreur"))</f>
        <v/>
      </c>
      <c r="V22" s="276" t="str">
        <f>IF(SUMPRODUCT((Matrice!$D$23:$D$100='Actions de maîtrise'!V$5)*(Matrice!$T$21:$DP$21='Actions de maîtrise'!$C22)*(Matrice!$T$23:$DP$100="X"))=0,"",IF(SUMPRODUCT((Matrice!$D$23:$D$100='Actions de maîtrise'!V$5)*(Matrice!$T$21:$DP$21='Actions de maîtrise'!$C22)*(Matrice!$T$23:$DP$100="X"))=1,"X","erreur"))</f>
        <v/>
      </c>
      <c r="W22" s="276" t="str">
        <f>IF(SUMPRODUCT((Matrice!$D$23:$D$100='Actions de maîtrise'!W$5)*(Matrice!$T$21:$DP$21='Actions de maîtrise'!$C22)*(Matrice!$T$23:$DP$100="X"))=0,"",IF(SUMPRODUCT((Matrice!$D$23:$D$100='Actions de maîtrise'!W$5)*(Matrice!$T$21:$DP$21='Actions de maîtrise'!$C22)*(Matrice!$T$23:$DP$100="X"))=1,"X","erreur"))</f>
        <v/>
      </c>
      <c r="X22" s="276" t="str">
        <f>IF(SUMPRODUCT((Matrice!$D$23:$D$100='Actions de maîtrise'!X$5)*(Matrice!$T$21:$DP$21='Actions de maîtrise'!$C22)*(Matrice!$T$23:$DP$100="X"))=0,"",IF(SUMPRODUCT((Matrice!$D$23:$D$100='Actions de maîtrise'!X$5)*(Matrice!$T$21:$DP$21='Actions de maîtrise'!$C22)*(Matrice!$T$23:$DP$100="X"))=1,"X","erreur"))</f>
        <v/>
      </c>
      <c r="Y22" s="276" t="str">
        <f>IF(SUMPRODUCT((Matrice!$D$23:$D$100='Actions de maîtrise'!Y$5)*(Matrice!$T$21:$DP$21='Actions de maîtrise'!$C22)*(Matrice!$T$23:$DP$100="X"))=0,"",IF(SUMPRODUCT((Matrice!$D$23:$D$100='Actions de maîtrise'!Y$5)*(Matrice!$T$21:$DP$21='Actions de maîtrise'!$C22)*(Matrice!$T$23:$DP$100="X"))=1,"X","erreur"))</f>
        <v/>
      </c>
      <c r="Z22" s="276" t="str">
        <f>IF(SUMPRODUCT((Matrice!$D$23:$D$100='Actions de maîtrise'!Z$5)*(Matrice!$T$21:$DP$21='Actions de maîtrise'!$C22)*(Matrice!$T$23:$DP$100="X"))=0,"",IF(SUMPRODUCT((Matrice!$D$23:$D$100='Actions de maîtrise'!Z$5)*(Matrice!$T$21:$DP$21='Actions de maîtrise'!$C22)*(Matrice!$T$23:$DP$100="X"))=1,"X","erreur"))</f>
        <v/>
      </c>
      <c r="AA22" s="276" t="str">
        <f>IF(SUMPRODUCT((Matrice!$D$23:$D$100='Actions de maîtrise'!AA$5)*(Matrice!$T$21:$DP$21='Actions de maîtrise'!$C22)*(Matrice!$T$23:$DP$100="X"))=0,"",IF(SUMPRODUCT((Matrice!$D$23:$D$100='Actions de maîtrise'!AA$5)*(Matrice!$T$21:$DP$21='Actions de maîtrise'!$C22)*(Matrice!$T$23:$DP$100="X"))=1,"X","erreur"))</f>
        <v/>
      </c>
      <c r="AB22" s="276" t="str">
        <f>IF(SUMPRODUCT((Matrice!$D$23:$D$100='Actions de maîtrise'!AB$5)*(Matrice!$T$21:$DP$21='Actions de maîtrise'!$C22)*(Matrice!$T$23:$DP$100="X"))=0,"",IF(SUMPRODUCT((Matrice!$D$23:$D$100='Actions de maîtrise'!AB$5)*(Matrice!$T$21:$DP$21='Actions de maîtrise'!$C22)*(Matrice!$T$23:$DP$100="X"))=1,"X","erreur"))</f>
        <v/>
      </c>
      <c r="AC22" s="276" t="str">
        <f>IF(SUMPRODUCT((Matrice!$D$23:$D$100='Actions de maîtrise'!AC$5)*(Matrice!$T$21:$DP$21='Actions de maîtrise'!$C22)*(Matrice!$T$23:$DP$100="X"))=0,"",IF(SUMPRODUCT((Matrice!$D$23:$D$100='Actions de maîtrise'!AC$5)*(Matrice!$T$21:$DP$21='Actions de maîtrise'!$C22)*(Matrice!$T$23:$DP$100="X"))=1,"X","erreur"))</f>
        <v/>
      </c>
      <c r="AD22" s="276" t="str">
        <f>IF(SUMPRODUCT((Matrice!$D$23:$D$100='Actions de maîtrise'!AD$5)*(Matrice!$T$21:$DP$21='Actions de maîtrise'!$C22)*(Matrice!$T$23:$DP$100="X"))=0,"",IF(SUMPRODUCT((Matrice!$D$23:$D$100='Actions de maîtrise'!AD$5)*(Matrice!$T$21:$DP$21='Actions de maîtrise'!$C22)*(Matrice!$T$23:$DP$100="X"))=1,"X","erreur"))</f>
        <v/>
      </c>
      <c r="AE22" s="276" t="str">
        <f>IF(SUMPRODUCT((Matrice!$D$23:$D$100='Actions de maîtrise'!AE$5)*(Matrice!$T$21:$DP$21='Actions de maîtrise'!$C22)*(Matrice!$T$23:$DP$100="X"))=0,"",IF(SUMPRODUCT((Matrice!$D$23:$D$100='Actions de maîtrise'!AE$5)*(Matrice!$T$21:$DP$21='Actions de maîtrise'!$C22)*(Matrice!$T$23:$DP$100="X"))=1,"X","erreur"))</f>
        <v/>
      </c>
      <c r="AF22" s="276" t="str">
        <f>IF(SUMPRODUCT((Matrice!$D$23:$D$100='Actions de maîtrise'!AF$5)*(Matrice!$T$21:$DP$21='Actions de maîtrise'!$C22)*(Matrice!$T$23:$DP$100="X"))=0,"",IF(SUMPRODUCT((Matrice!$D$23:$D$100='Actions de maîtrise'!AF$5)*(Matrice!$T$21:$DP$21='Actions de maîtrise'!$C22)*(Matrice!$T$23:$DP$100="X"))=1,"X","erreur"))</f>
        <v/>
      </c>
      <c r="AG22" s="276" t="str">
        <f>IF(SUMPRODUCT((Matrice!$D$23:$D$100='Actions de maîtrise'!AG$5)*(Matrice!$T$21:$DP$21='Actions de maîtrise'!$C22)*(Matrice!$T$23:$DP$100="X"))=0,"",IF(SUMPRODUCT((Matrice!$D$23:$D$100='Actions de maîtrise'!AG$5)*(Matrice!$T$21:$DP$21='Actions de maîtrise'!$C22)*(Matrice!$T$23:$DP$100="X"))=1,"X","erreur"))</f>
        <v/>
      </c>
    </row>
    <row r="23" spans="2:33" ht="18" customHeight="1" x14ac:dyDescent="0.2">
      <c r="B23" s="309" t="str">
        <f>IF((COUNTIF(Matrice!$2:$2,Matrice!$G$1&amp;"-AM"&amp;Listes!A19)=1)=TRUE,Matrice!$G$1&amp;"-AM"&amp;Listes!A19,"")</f>
        <v/>
      </c>
      <c r="C23" s="178" t="str">
        <f>IF(IF(ISERROR(HLOOKUP(B23,Matrice!$A$2:$DP$100,20,FALSE)),"",HLOOKUP(B23,Matrice!$A$2:$DP$100,20,FALSE))="","",IF(ISERROR(HLOOKUP(B23,Matrice!$A$2:$DP$100,20,FALSE)),"-",HLOOKUP(B23,Matrice!$A$2:$DP$100,20,FALSE)))</f>
        <v/>
      </c>
      <c r="D23" s="179" t="str">
        <f>IF(IF(ISERROR(HLOOKUP(B23,Matrice!$A$2:$DP$100,3,FALSE)),"",HLOOKUP(B23,Matrice!$A$2:$DP$100,3,FALSE))="","",IF(ISERROR(HLOOKUP(B23,Matrice!$A$2:$DP$100,3,FALSE)),"-",HLOOKUP(B23,Matrice!$A$2:$DP$100,3,FALSE)))</f>
        <v/>
      </c>
      <c r="E23" s="306"/>
      <c r="F23" s="179" t="str">
        <f>IF(ISERROR(HLOOKUP($B23,Matrice!$A$2:$DP$100,4,FALSE)),"",IF(HLOOKUP($B23,Matrice!$A$2:$DP$100,4,FALSE)="","",HLOOKUP($B23,Matrice!$A$2:$DP$100,4,FALSE)))</f>
        <v/>
      </c>
      <c r="G23" s="179" t="str">
        <f>IF(ISERROR(HLOOKUP($B23,Matrice!$A$2:$DP$100,5,FALSE)),"",IF(HLOOKUP($B23,Matrice!$A$2:$DP$100,5,FALSE)="","",HLOOKUP($B23,Matrice!$A$2:$DP$100,5,FALSE)))</f>
        <v/>
      </c>
      <c r="H23" s="179" t="str">
        <f>IF(ISERROR(HLOOKUP($B23,Matrice!$A$2:$DP$100,6,FALSE)),"",IF(HLOOKUP($B23,Matrice!$A$2:$DP$100,6,FALSE)="","",HLOOKUP($B23,Matrice!$A$2:$DP$100,6,FALSE)))</f>
        <v/>
      </c>
      <c r="I23" s="179" t="str">
        <f>IF(ISERROR(HLOOKUP($B24,Matrice!$A$2:$DP$100,7,FALSE)),"",IF(HLOOKUP($B24,Matrice!$A$2:$DP$100,7,FALSE)="","",HLOOKUP($B24,Matrice!$A$2:$DP$100,7,FALSE)))</f>
        <v/>
      </c>
      <c r="J23" s="277" t="str">
        <f>IF(ISERROR(HLOOKUP($B23,Matrice!$A$2:$DP$100,12,FALSE)),"",IF(HLOOKUP($B23,Matrice!$A$2:$DP$100,12,FALSE)="","",HLOOKUP($B23,Matrice!$A$2:$DP$100,12,FALSE)))</f>
        <v/>
      </c>
      <c r="K23" s="277" t="str">
        <f>IF(ISERROR(HLOOKUP($B23,Matrice!$A$2:$DP$100,13,FALSE)),"",IF(HLOOKUP($B23,Matrice!$A$2:$DP$100,13,FALSE)="","",HLOOKUP($B23,Matrice!$A$2:$DP$100,13,FALSE)))</f>
        <v/>
      </c>
      <c r="L23" s="333" t="str">
        <f>IF(ISERROR(HLOOKUP($B23,Matrice!$A$2:$DP$100,9,FALSE)),"",IF(HLOOKUP($B23,Matrice!$A$2:$DP$100,9,FALSE)="","",HLOOKUP($B23,Matrice!$A$2:$DP$100,9,FALSE)))</f>
        <v/>
      </c>
      <c r="M23" s="333" t="str">
        <f>IF(ISERROR(HLOOKUP($B23,Matrice!$A$2:$DP$100,10,FALSE)),"",IF(HLOOKUP($B23,Matrice!$A$2:$DP$100,10,FALSE)="","",HLOOKUP($B23,Matrice!$A$2:$DP$100,10,FALSE)))</f>
        <v/>
      </c>
      <c r="N23" s="333" t="str">
        <f>IF(ISERROR(HLOOKUP($B23,Matrice!$A$2:$DP$100,11,FALSE)),"",IF(HLOOKUP($B23,Matrice!$A$2:$DP$100,11,FALSE)="","",HLOOKUP($B23,Matrice!$A$2:$DP$100,11,FALSE)))</f>
        <v/>
      </c>
      <c r="P23" s="276" t="str">
        <f>IF(SUMPRODUCT((Matrice!$D$23:$D$100='Actions de maîtrise'!P$5)*(Matrice!$T$21:$DP$21='Actions de maîtrise'!$C23)*(Matrice!$T$23:$DP$100="X"))=0,"",IF(SUMPRODUCT((Matrice!$D$23:$D$100='Actions de maîtrise'!P$5)*(Matrice!$T$21:$DP$21='Actions de maîtrise'!$C23)*(Matrice!$T$23:$DP$100="X"))=1,"X","erreur"))</f>
        <v/>
      </c>
      <c r="Q23" s="276" t="str">
        <f>IF(SUMPRODUCT((Matrice!$D$23:$D$100='Actions de maîtrise'!Q$5)*(Matrice!$T$21:$DP$21='Actions de maîtrise'!$C23)*(Matrice!$T$23:$DP$100="X"))=0,"",IF(SUMPRODUCT((Matrice!$D$23:$D$100='Actions de maîtrise'!Q$5)*(Matrice!$T$21:$DP$21='Actions de maîtrise'!$C23)*(Matrice!$T$23:$DP$100="X"))=1,"X","erreur"))</f>
        <v/>
      </c>
      <c r="R23" s="276" t="str">
        <f>IF(SUMPRODUCT((Matrice!$D$23:$D$100='Actions de maîtrise'!R$5)*(Matrice!$T$21:$DP$21='Actions de maîtrise'!$C23)*(Matrice!$T$23:$DP$100="X"))=0,"",IF(SUMPRODUCT((Matrice!$D$23:$D$100='Actions de maîtrise'!R$5)*(Matrice!$T$21:$DP$21='Actions de maîtrise'!$C23)*(Matrice!$T$23:$DP$100="X"))=1,"X","erreur"))</f>
        <v/>
      </c>
      <c r="S23" s="276" t="str">
        <f>IF(SUMPRODUCT((Matrice!$D$23:$D$100='Actions de maîtrise'!S$5)*(Matrice!$T$21:$DP$21='Actions de maîtrise'!$C23)*(Matrice!$T$23:$DP$100="X"))=0,"",IF(SUMPRODUCT((Matrice!$D$23:$D$100='Actions de maîtrise'!S$5)*(Matrice!$T$21:$DP$21='Actions de maîtrise'!$C23)*(Matrice!$T$23:$DP$100="X"))=1,"X","erreur"))</f>
        <v/>
      </c>
      <c r="T23" s="276" t="str">
        <f>IF(SUMPRODUCT((Matrice!$D$23:$D$100='Actions de maîtrise'!T$5)*(Matrice!$T$21:$DP$21='Actions de maîtrise'!$C23)*(Matrice!$T$23:$DP$100="X"))=0,"",IF(SUMPRODUCT((Matrice!$D$23:$D$100='Actions de maîtrise'!T$5)*(Matrice!$T$21:$DP$21='Actions de maîtrise'!$C23)*(Matrice!$T$23:$DP$100="X"))=1,"X","erreur"))</f>
        <v/>
      </c>
      <c r="U23" s="276" t="str">
        <f>IF(SUMPRODUCT((Matrice!$D$23:$D$100='Actions de maîtrise'!U$5)*(Matrice!$T$21:$DP$21='Actions de maîtrise'!$C23)*(Matrice!$T$23:$DP$100="X"))=0,"",IF(SUMPRODUCT((Matrice!$D$23:$D$100='Actions de maîtrise'!U$5)*(Matrice!$T$21:$DP$21='Actions de maîtrise'!$C23)*(Matrice!$T$23:$DP$100="X"))=1,"X","erreur"))</f>
        <v/>
      </c>
      <c r="V23" s="276" t="str">
        <f>IF(SUMPRODUCT((Matrice!$D$23:$D$100='Actions de maîtrise'!V$5)*(Matrice!$T$21:$DP$21='Actions de maîtrise'!$C23)*(Matrice!$T$23:$DP$100="X"))=0,"",IF(SUMPRODUCT((Matrice!$D$23:$D$100='Actions de maîtrise'!V$5)*(Matrice!$T$21:$DP$21='Actions de maîtrise'!$C23)*(Matrice!$T$23:$DP$100="X"))=1,"X","erreur"))</f>
        <v/>
      </c>
      <c r="W23" s="276" t="str">
        <f>IF(SUMPRODUCT((Matrice!$D$23:$D$100='Actions de maîtrise'!W$5)*(Matrice!$T$21:$DP$21='Actions de maîtrise'!$C23)*(Matrice!$T$23:$DP$100="X"))=0,"",IF(SUMPRODUCT((Matrice!$D$23:$D$100='Actions de maîtrise'!W$5)*(Matrice!$T$21:$DP$21='Actions de maîtrise'!$C23)*(Matrice!$T$23:$DP$100="X"))=1,"X","erreur"))</f>
        <v/>
      </c>
      <c r="X23" s="276" t="str">
        <f>IF(SUMPRODUCT((Matrice!$D$23:$D$100='Actions de maîtrise'!X$5)*(Matrice!$T$21:$DP$21='Actions de maîtrise'!$C23)*(Matrice!$T$23:$DP$100="X"))=0,"",IF(SUMPRODUCT((Matrice!$D$23:$D$100='Actions de maîtrise'!X$5)*(Matrice!$T$21:$DP$21='Actions de maîtrise'!$C23)*(Matrice!$T$23:$DP$100="X"))=1,"X","erreur"))</f>
        <v/>
      </c>
      <c r="Y23" s="276" t="str">
        <f>IF(SUMPRODUCT((Matrice!$D$23:$D$100='Actions de maîtrise'!Y$5)*(Matrice!$T$21:$DP$21='Actions de maîtrise'!$C23)*(Matrice!$T$23:$DP$100="X"))=0,"",IF(SUMPRODUCT((Matrice!$D$23:$D$100='Actions de maîtrise'!Y$5)*(Matrice!$T$21:$DP$21='Actions de maîtrise'!$C23)*(Matrice!$T$23:$DP$100="X"))=1,"X","erreur"))</f>
        <v/>
      </c>
      <c r="Z23" s="276" t="str">
        <f>IF(SUMPRODUCT((Matrice!$D$23:$D$100='Actions de maîtrise'!Z$5)*(Matrice!$T$21:$DP$21='Actions de maîtrise'!$C23)*(Matrice!$T$23:$DP$100="X"))=0,"",IF(SUMPRODUCT((Matrice!$D$23:$D$100='Actions de maîtrise'!Z$5)*(Matrice!$T$21:$DP$21='Actions de maîtrise'!$C23)*(Matrice!$T$23:$DP$100="X"))=1,"X","erreur"))</f>
        <v/>
      </c>
      <c r="AA23" s="276" t="str">
        <f>IF(SUMPRODUCT((Matrice!$D$23:$D$100='Actions de maîtrise'!AA$5)*(Matrice!$T$21:$DP$21='Actions de maîtrise'!$C23)*(Matrice!$T$23:$DP$100="X"))=0,"",IF(SUMPRODUCT((Matrice!$D$23:$D$100='Actions de maîtrise'!AA$5)*(Matrice!$T$21:$DP$21='Actions de maîtrise'!$C23)*(Matrice!$T$23:$DP$100="X"))=1,"X","erreur"))</f>
        <v/>
      </c>
      <c r="AB23" s="276" t="str">
        <f>IF(SUMPRODUCT((Matrice!$D$23:$D$100='Actions de maîtrise'!AB$5)*(Matrice!$T$21:$DP$21='Actions de maîtrise'!$C23)*(Matrice!$T$23:$DP$100="X"))=0,"",IF(SUMPRODUCT((Matrice!$D$23:$D$100='Actions de maîtrise'!AB$5)*(Matrice!$T$21:$DP$21='Actions de maîtrise'!$C23)*(Matrice!$T$23:$DP$100="X"))=1,"X","erreur"))</f>
        <v/>
      </c>
      <c r="AC23" s="276" t="str">
        <f>IF(SUMPRODUCT((Matrice!$D$23:$D$100='Actions de maîtrise'!AC$5)*(Matrice!$T$21:$DP$21='Actions de maîtrise'!$C23)*(Matrice!$T$23:$DP$100="X"))=0,"",IF(SUMPRODUCT((Matrice!$D$23:$D$100='Actions de maîtrise'!AC$5)*(Matrice!$T$21:$DP$21='Actions de maîtrise'!$C23)*(Matrice!$T$23:$DP$100="X"))=1,"X","erreur"))</f>
        <v/>
      </c>
      <c r="AD23" s="276" t="str">
        <f>IF(SUMPRODUCT((Matrice!$D$23:$D$100='Actions de maîtrise'!AD$5)*(Matrice!$T$21:$DP$21='Actions de maîtrise'!$C23)*(Matrice!$T$23:$DP$100="X"))=0,"",IF(SUMPRODUCT((Matrice!$D$23:$D$100='Actions de maîtrise'!AD$5)*(Matrice!$T$21:$DP$21='Actions de maîtrise'!$C23)*(Matrice!$T$23:$DP$100="X"))=1,"X","erreur"))</f>
        <v/>
      </c>
      <c r="AE23" s="276" t="str">
        <f>IF(SUMPRODUCT((Matrice!$D$23:$D$100='Actions de maîtrise'!AE$5)*(Matrice!$T$21:$DP$21='Actions de maîtrise'!$C23)*(Matrice!$T$23:$DP$100="X"))=0,"",IF(SUMPRODUCT((Matrice!$D$23:$D$100='Actions de maîtrise'!AE$5)*(Matrice!$T$21:$DP$21='Actions de maîtrise'!$C23)*(Matrice!$T$23:$DP$100="X"))=1,"X","erreur"))</f>
        <v/>
      </c>
      <c r="AF23" s="276" t="str">
        <f>IF(SUMPRODUCT((Matrice!$D$23:$D$100='Actions de maîtrise'!AF$5)*(Matrice!$T$21:$DP$21='Actions de maîtrise'!$C23)*(Matrice!$T$23:$DP$100="X"))=0,"",IF(SUMPRODUCT((Matrice!$D$23:$D$100='Actions de maîtrise'!AF$5)*(Matrice!$T$21:$DP$21='Actions de maîtrise'!$C23)*(Matrice!$T$23:$DP$100="X"))=1,"X","erreur"))</f>
        <v/>
      </c>
      <c r="AG23" s="276" t="str">
        <f>IF(SUMPRODUCT((Matrice!$D$23:$D$100='Actions de maîtrise'!AG$5)*(Matrice!$T$21:$DP$21='Actions de maîtrise'!$C23)*(Matrice!$T$23:$DP$100="X"))=0,"",IF(SUMPRODUCT((Matrice!$D$23:$D$100='Actions de maîtrise'!AG$5)*(Matrice!$T$21:$DP$21='Actions de maîtrise'!$C23)*(Matrice!$T$23:$DP$100="X"))=1,"X","erreur"))</f>
        <v/>
      </c>
    </row>
    <row r="24" spans="2:33" ht="18" customHeight="1" x14ac:dyDescent="0.2">
      <c r="B24" s="309" t="str">
        <f>IF((COUNTIF(Matrice!$2:$2,Matrice!$G$1&amp;"-AM"&amp;Listes!A20)=1)=TRUE,Matrice!$G$1&amp;"-AM"&amp;Listes!A20,"")</f>
        <v/>
      </c>
      <c r="C24" s="178" t="str">
        <f>IF(IF(ISERROR(HLOOKUP(B24,Matrice!$A$2:$DP$100,20,FALSE)),"",HLOOKUP(B24,Matrice!$A$2:$DP$100,20,FALSE))="","",IF(ISERROR(HLOOKUP(B24,Matrice!$A$2:$DP$100,20,FALSE)),"-",HLOOKUP(B24,Matrice!$A$2:$DP$100,20,FALSE)))</f>
        <v/>
      </c>
      <c r="D24" s="179" t="str">
        <f>IF(IF(ISERROR(HLOOKUP(B24,Matrice!$A$2:$DP$100,3,FALSE)),"",HLOOKUP(B24,Matrice!$A$2:$DP$100,3,FALSE))="","",IF(ISERROR(HLOOKUP(B24,Matrice!$A$2:$DP$100,3,FALSE)),"-",HLOOKUP(B24,Matrice!$A$2:$DP$100,3,FALSE)))</f>
        <v/>
      </c>
      <c r="E24" s="306"/>
      <c r="F24" s="179" t="str">
        <f>IF(ISERROR(HLOOKUP($B24,Matrice!$A$2:$DP$100,4,FALSE)),"",IF(HLOOKUP($B24,Matrice!$A$2:$DP$100,4,FALSE)="","",HLOOKUP($B24,Matrice!$A$2:$DP$100,4,FALSE)))</f>
        <v/>
      </c>
      <c r="G24" s="179" t="str">
        <f>IF(ISERROR(HLOOKUP($B24,Matrice!$A$2:$DP$100,5,FALSE)),"",IF(HLOOKUP($B24,Matrice!$A$2:$DP$100,5,FALSE)="","",HLOOKUP($B24,Matrice!$A$2:$DP$100,5,FALSE)))</f>
        <v/>
      </c>
      <c r="H24" s="179" t="str">
        <f>IF(ISERROR(HLOOKUP($B24,Matrice!$A$2:$DP$100,6,FALSE)),"",IF(HLOOKUP($B24,Matrice!$A$2:$DP$100,6,FALSE)="","",HLOOKUP($B24,Matrice!$A$2:$DP$100,6,FALSE)))</f>
        <v/>
      </c>
      <c r="I24" s="179" t="str">
        <f>IF(ISERROR(HLOOKUP($B25,Matrice!$A$2:$DP$100,7,FALSE)),"",IF(HLOOKUP($B25,Matrice!$A$2:$DP$100,7,FALSE)="","",HLOOKUP($B25,Matrice!$A$2:$DP$100,7,FALSE)))</f>
        <v/>
      </c>
      <c r="J24" s="277" t="str">
        <f>IF(ISERROR(HLOOKUP($B24,Matrice!$A$2:$DP$100,12,FALSE)),"",IF(HLOOKUP($B24,Matrice!$A$2:$DP$100,12,FALSE)="","",HLOOKUP($B24,Matrice!$A$2:$DP$100,12,FALSE)))</f>
        <v/>
      </c>
      <c r="K24" s="277" t="str">
        <f>IF(ISERROR(HLOOKUP($B24,Matrice!$A$2:$DP$100,13,FALSE)),"",IF(HLOOKUP($B24,Matrice!$A$2:$DP$100,13,FALSE)="","",HLOOKUP($B24,Matrice!$A$2:$DP$100,13,FALSE)))</f>
        <v/>
      </c>
      <c r="L24" s="333" t="str">
        <f>IF(ISERROR(HLOOKUP($B24,Matrice!$A$2:$DP$100,9,FALSE)),"",IF(HLOOKUP($B24,Matrice!$A$2:$DP$100,9,FALSE)="","",HLOOKUP($B24,Matrice!$A$2:$DP$100,9,FALSE)))</f>
        <v/>
      </c>
      <c r="M24" s="333" t="str">
        <f>IF(ISERROR(HLOOKUP($B24,Matrice!$A$2:$DP$100,10,FALSE)),"",IF(HLOOKUP($B24,Matrice!$A$2:$DP$100,10,FALSE)="","",HLOOKUP($B24,Matrice!$A$2:$DP$100,10,FALSE)))</f>
        <v/>
      </c>
      <c r="N24" s="333" t="str">
        <f>IF(ISERROR(HLOOKUP($B24,Matrice!$A$2:$DP$100,11,FALSE)),"",IF(HLOOKUP($B24,Matrice!$A$2:$DP$100,11,FALSE)="","",HLOOKUP($B24,Matrice!$A$2:$DP$100,11,FALSE)))</f>
        <v/>
      </c>
      <c r="P24" s="276" t="str">
        <f>IF(SUMPRODUCT((Matrice!$D$23:$D$100='Actions de maîtrise'!P$5)*(Matrice!$T$21:$DP$21='Actions de maîtrise'!$C24)*(Matrice!$T$23:$DP$100="X"))=0,"",IF(SUMPRODUCT((Matrice!$D$23:$D$100='Actions de maîtrise'!P$5)*(Matrice!$T$21:$DP$21='Actions de maîtrise'!$C24)*(Matrice!$T$23:$DP$100="X"))=1,"X","erreur"))</f>
        <v/>
      </c>
      <c r="Q24" s="276" t="str">
        <f>IF(SUMPRODUCT((Matrice!$D$23:$D$100='Actions de maîtrise'!Q$5)*(Matrice!$T$21:$DP$21='Actions de maîtrise'!$C24)*(Matrice!$T$23:$DP$100="X"))=0,"",IF(SUMPRODUCT((Matrice!$D$23:$D$100='Actions de maîtrise'!Q$5)*(Matrice!$T$21:$DP$21='Actions de maîtrise'!$C24)*(Matrice!$T$23:$DP$100="X"))=1,"X","erreur"))</f>
        <v/>
      </c>
      <c r="R24" s="276" t="str">
        <f>IF(SUMPRODUCT((Matrice!$D$23:$D$100='Actions de maîtrise'!R$5)*(Matrice!$T$21:$DP$21='Actions de maîtrise'!$C24)*(Matrice!$T$23:$DP$100="X"))=0,"",IF(SUMPRODUCT((Matrice!$D$23:$D$100='Actions de maîtrise'!R$5)*(Matrice!$T$21:$DP$21='Actions de maîtrise'!$C24)*(Matrice!$T$23:$DP$100="X"))=1,"X","erreur"))</f>
        <v/>
      </c>
      <c r="S24" s="276" t="str">
        <f>IF(SUMPRODUCT((Matrice!$D$23:$D$100='Actions de maîtrise'!S$5)*(Matrice!$T$21:$DP$21='Actions de maîtrise'!$C24)*(Matrice!$T$23:$DP$100="X"))=0,"",IF(SUMPRODUCT((Matrice!$D$23:$D$100='Actions de maîtrise'!S$5)*(Matrice!$T$21:$DP$21='Actions de maîtrise'!$C24)*(Matrice!$T$23:$DP$100="X"))=1,"X","erreur"))</f>
        <v/>
      </c>
      <c r="T24" s="276" t="str">
        <f>IF(SUMPRODUCT((Matrice!$D$23:$D$100='Actions de maîtrise'!T$5)*(Matrice!$T$21:$DP$21='Actions de maîtrise'!$C24)*(Matrice!$T$23:$DP$100="X"))=0,"",IF(SUMPRODUCT((Matrice!$D$23:$D$100='Actions de maîtrise'!T$5)*(Matrice!$T$21:$DP$21='Actions de maîtrise'!$C24)*(Matrice!$T$23:$DP$100="X"))=1,"X","erreur"))</f>
        <v/>
      </c>
      <c r="U24" s="276" t="str">
        <f>IF(SUMPRODUCT((Matrice!$D$23:$D$100='Actions de maîtrise'!U$5)*(Matrice!$T$21:$DP$21='Actions de maîtrise'!$C24)*(Matrice!$T$23:$DP$100="X"))=0,"",IF(SUMPRODUCT((Matrice!$D$23:$D$100='Actions de maîtrise'!U$5)*(Matrice!$T$21:$DP$21='Actions de maîtrise'!$C24)*(Matrice!$T$23:$DP$100="X"))=1,"X","erreur"))</f>
        <v/>
      </c>
      <c r="V24" s="276" t="str">
        <f>IF(SUMPRODUCT((Matrice!$D$23:$D$100='Actions de maîtrise'!V$5)*(Matrice!$T$21:$DP$21='Actions de maîtrise'!$C24)*(Matrice!$T$23:$DP$100="X"))=0,"",IF(SUMPRODUCT((Matrice!$D$23:$D$100='Actions de maîtrise'!V$5)*(Matrice!$T$21:$DP$21='Actions de maîtrise'!$C24)*(Matrice!$T$23:$DP$100="X"))=1,"X","erreur"))</f>
        <v/>
      </c>
      <c r="W24" s="276" t="str">
        <f>IF(SUMPRODUCT((Matrice!$D$23:$D$100='Actions de maîtrise'!W$5)*(Matrice!$T$21:$DP$21='Actions de maîtrise'!$C24)*(Matrice!$T$23:$DP$100="X"))=0,"",IF(SUMPRODUCT((Matrice!$D$23:$D$100='Actions de maîtrise'!W$5)*(Matrice!$T$21:$DP$21='Actions de maîtrise'!$C24)*(Matrice!$T$23:$DP$100="X"))=1,"X","erreur"))</f>
        <v/>
      </c>
      <c r="X24" s="276" t="str">
        <f>IF(SUMPRODUCT((Matrice!$D$23:$D$100='Actions de maîtrise'!X$5)*(Matrice!$T$21:$DP$21='Actions de maîtrise'!$C24)*(Matrice!$T$23:$DP$100="X"))=0,"",IF(SUMPRODUCT((Matrice!$D$23:$D$100='Actions de maîtrise'!X$5)*(Matrice!$T$21:$DP$21='Actions de maîtrise'!$C24)*(Matrice!$T$23:$DP$100="X"))=1,"X","erreur"))</f>
        <v/>
      </c>
      <c r="Y24" s="276" t="str">
        <f>IF(SUMPRODUCT((Matrice!$D$23:$D$100='Actions de maîtrise'!Y$5)*(Matrice!$T$21:$DP$21='Actions de maîtrise'!$C24)*(Matrice!$T$23:$DP$100="X"))=0,"",IF(SUMPRODUCT((Matrice!$D$23:$D$100='Actions de maîtrise'!Y$5)*(Matrice!$T$21:$DP$21='Actions de maîtrise'!$C24)*(Matrice!$T$23:$DP$100="X"))=1,"X","erreur"))</f>
        <v/>
      </c>
      <c r="Z24" s="276" t="str">
        <f>IF(SUMPRODUCT((Matrice!$D$23:$D$100='Actions de maîtrise'!Z$5)*(Matrice!$T$21:$DP$21='Actions de maîtrise'!$C24)*(Matrice!$T$23:$DP$100="X"))=0,"",IF(SUMPRODUCT((Matrice!$D$23:$D$100='Actions de maîtrise'!Z$5)*(Matrice!$T$21:$DP$21='Actions de maîtrise'!$C24)*(Matrice!$T$23:$DP$100="X"))=1,"X","erreur"))</f>
        <v/>
      </c>
      <c r="AA24" s="276" t="str">
        <f>IF(SUMPRODUCT((Matrice!$D$23:$D$100='Actions de maîtrise'!AA$5)*(Matrice!$T$21:$DP$21='Actions de maîtrise'!$C24)*(Matrice!$T$23:$DP$100="X"))=0,"",IF(SUMPRODUCT((Matrice!$D$23:$D$100='Actions de maîtrise'!AA$5)*(Matrice!$T$21:$DP$21='Actions de maîtrise'!$C24)*(Matrice!$T$23:$DP$100="X"))=1,"X","erreur"))</f>
        <v/>
      </c>
      <c r="AB24" s="276" t="str">
        <f>IF(SUMPRODUCT((Matrice!$D$23:$D$100='Actions de maîtrise'!AB$5)*(Matrice!$T$21:$DP$21='Actions de maîtrise'!$C24)*(Matrice!$T$23:$DP$100="X"))=0,"",IF(SUMPRODUCT((Matrice!$D$23:$D$100='Actions de maîtrise'!AB$5)*(Matrice!$T$21:$DP$21='Actions de maîtrise'!$C24)*(Matrice!$T$23:$DP$100="X"))=1,"X","erreur"))</f>
        <v/>
      </c>
      <c r="AC24" s="276" t="str">
        <f>IF(SUMPRODUCT((Matrice!$D$23:$D$100='Actions de maîtrise'!AC$5)*(Matrice!$T$21:$DP$21='Actions de maîtrise'!$C24)*(Matrice!$T$23:$DP$100="X"))=0,"",IF(SUMPRODUCT((Matrice!$D$23:$D$100='Actions de maîtrise'!AC$5)*(Matrice!$T$21:$DP$21='Actions de maîtrise'!$C24)*(Matrice!$T$23:$DP$100="X"))=1,"X","erreur"))</f>
        <v/>
      </c>
      <c r="AD24" s="276" t="str">
        <f>IF(SUMPRODUCT((Matrice!$D$23:$D$100='Actions de maîtrise'!AD$5)*(Matrice!$T$21:$DP$21='Actions de maîtrise'!$C24)*(Matrice!$T$23:$DP$100="X"))=0,"",IF(SUMPRODUCT((Matrice!$D$23:$D$100='Actions de maîtrise'!AD$5)*(Matrice!$T$21:$DP$21='Actions de maîtrise'!$C24)*(Matrice!$T$23:$DP$100="X"))=1,"X","erreur"))</f>
        <v/>
      </c>
      <c r="AE24" s="276" t="str">
        <f>IF(SUMPRODUCT((Matrice!$D$23:$D$100='Actions de maîtrise'!AE$5)*(Matrice!$T$21:$DP$21='Actions de maîtrise'!$C24)*(Matrice!$T$23:$DP$100="X"))=0,"",IF(SUMPRODUCT((Matrice!$D$23:$D$100='Actions de maîtrise'!AE$5)*(Matrice!$T$21:$DP$21='Actions de maîtrise'!$C24)*(Matrice!$T$23:$DP$100="X"))=1,"X","erreur"))</f>
        <v/>
      </c>
      <c r="AF24" s="276" t="str">
        <f>IF(SUMPRODUCT((Matrice!$D$23:$D$100='Actions de maîtrise'!AF$5)*(Matrice!$T$21:$DP$21='Actions de maîtrise'!$C24)*(Matrice!$T$23:$DP$100="X"))=0,"",IF(SUMPRODUCT((Matrice!$D$23:$D$100='Actions de maîtrise'!AF$5)*(Matrice!$T$21:$DP$21='Actions de maîtrise'!$C24)*(Matrice!$T$23:$DP$100="X"))=1,"X","erreur"))</f>
        <v/>
      </c>
      <c r="AG24" s="276" t="str">
        <f>IF(SUMPRODUCT((Matrice!$D$23:$D$100='Actions de maîtrise'!AG$5)*(Matrice!$T$21:$DP$21='Actions de maîtrise'!$C24)*(Matrice!$T$23:$DP$100="X"))=0,"",IF(SUMPRODUCT((Matrice!$D$23:$D$100='Actions de maîtrise'!AG$5)*(Matrice!$T$21:$DP$21='Actions de maîtrise'!$C24)*(Matrice!$T$23:$DP$100="X"))=1,"X","erreur"))</f>
        <v/>
      </c>
    </row>
    <row r="25" spans="2:33" ht="18" customHeight="1" x14ac:dyDescent="0.2">
      <c r="B25" s="309" t="str">
        <f>IF((COUNTIF(Matrice!$2:$2,Matrice!$G$1&amp;"-AM"&amp;Listes!A21)=1)=TRUE,Matrice!$G$1&amp;"-AM"&amp;Listes!A21,"")</f>
        <v/>
      </c>
      <c r="C25" s="178" t="str">
        <f>IF(IF(ISERROR(HLOOKUP(B25,Matrice!$A$2:$DP$100,20,FALSE)),"",HLOOKUP(B25,Matrice!$A$2:$DP$100,20,FALSE))="","",IF(ISERROR(HLOOKUP(B25,Matrice!$A$2:$DP$100,20,FALSE)),"-",HLOOKUP(B25,Matrice!$A$2:$DP$100,20,FALSE)))</f>
        <v/>
      </c>
      <c r="D25" s="179" t="str">
        <f>IF(IF(ISERROR(HLOOKUP(B25,Matrice!$A$2:$DP$100,3,FALSE)),"",HLOOKUP(B25,Matrice!$A$2:$DP$100,3,FALSE))="","",IF(ISERROR(HLOOKUP(B25,Matrice!$A$2:$DP$100,3,FALSE)),"-",HLOOKUP(B25,Matrice!$A$2:$DP$100,3,FALSE)))</f>
        <v/>
      </c>
      <c r="E25" s="306"/>
      <c r="F25" s="179" t="str">
        <f>IF(ISERROR(HLOOKUP($B25,Matrice!$A$2:$DP$100,4,FALSE)),"",IF(HLOOKUP($B25,Matrice!$A$2:$DP$100,4,FALSE)="","",HLOOKUP($B25,Matrice!$A$2:$DP$100,4,FALSE)))</f>
        <v/>
      </c>
      <c r="G25" s="179" t="str">
        <f>IF(ISERROR(HLOOKUP($B25,Matrice!$A$2:$DP$100,5,FALSE)),"",IF(HLOOKUP($B25,Matrice!$A$2:$DP$100,5,FALSE)="","",HLOOKUP($B25,Matrice!$A$2:$DP$100,5,FALSE)))</f>
        <v/>
      </c>
      <c r="H25" s="179" t="str">
        <f>IF(ISERROR(HLOOKUP($B25,Matrice!$A$2:$DP$100,6,FALSE)),"",IF(HLOOKUP($B25,Matrice!$A$2:$DP$100,6,FALSE)="","",HLOOKUP($B25,Matrice!$A$2:$DP$100,6,FALSE)))</f>
        <v/>
      </c>
      <c r="I25" s="179" t="str">
        <f>IF(ISERROR(HLOOKUP($B26,Matrice!$A$2:$DP$100,7,FALSE)),"",IF(HLOOKUP($B26,Matrice!$A$2:$DP$100,7,FALSE)="","",HLOOKUP($B26,Matrice!$A$2:$DP$100,7,FALSE)))</f>
        <v/>
      </c>
      <c r="J25" s="277" t="str">
        <f>IF(ISERROR(HLOOKUP($B25,Matrice!$A$2:$DP$100,12,FALSE)),"",IF(HLOOKUP($B25,Matrice!$A$2:$DP$100,12,FALSE)="","",HLOOKUP($B25,Matrice!$A$2:$DP$100,12,FALSE)))</f>
        <v/>
      </c>
      <c r="K25" s="277" t="str">
        <f>IF(ISERROR(HLOOKUP($B25,Matrice!$A$2:$DP$100,13,FALSE)),"",IF(HLOOKUP($B25,Matrice!$A$2:$DP$100,13,FALSE)="","",HLOOKUP($B25,Matrice!$A$2:$DP$100,13,FALSE)))</f>
        <v/>
      </c>
      <c r="L25" s="333" t="str">
        <f>IF(ISERROR(HLOOKUP($B25,Matrice!$A$2:$DP$100,9,FALSE)),"",IF(HLOOKUP($B25,Matrice!$A$2:$DP$100,9,FALSE)="","",HLOOKUP($B25,Matrice!$A$2:$DP$100,9,FALSE)))</f>
        <v/>
      </c>
      <c r="M25" s="333" t="str">
        <f>IF(ISERROR(HLOOKUP($B25,Matrice!$A$2:$DP$100,10,FALSE)),"",IF(HLOOKUP($B25,Matrice!$A$2:$DP$100,10,FALSE)="","",HLOOKUP($B25,Matrice!$A$2:$DP$100,10,FALSE)))</f>
        <v/>
      </c>
      <c r="N25" s="333" t="str">
        <f>IF(ISERROR(HLOOKUP($B25,Matrice!$A$2:$DP$100,11,FALSE)),"",IF(HLOOKUP($B25,Matrice!$A$2:$DP$100,11,FALSE)="","",HLOOKUP($B25,Matrice!$A$2:$DP$100,11,FALSE)))</f>
        <v/>
      </c>
      <c r="P25" s="276" t="str">
        <f>IF(SUMPRODUCT((Matrice!$D$23:$D$100='Actions de maîtrise'!P$5)*(Matrice!$T$21:$DP$21='Actions de maîtrise'!$C25)*(Matrice!$T$23:$DP$100="X"))=0,"",IF(SUMPRODUCT((Matrice!$D$23:$D$100='Actions de maîtrise'!P$5)*(Matrice!$T$21:$DP$21='Actions de maîtrise'!$C25)*(Matrice!$T$23:$DP$100="X"))=1,"X","erreur"))</f>
        <v/>
      </c>
      <c r="Q25" s="276" t="str">
        <f>IF(SUMPRODUCT((Matrice!$D$23:$D$100='Actions de maîtrise'!Q$5)*(Matrice!$T$21:$DP$21='Actions de maîtrise'!$C25)*(Matrice!$T$23:$DP$100="X"))=0,"",IF(SUMPRODUCT((Matrice!$D$23:$D$100='Actions de maîtrise'!Q$5)*(Matrice!$T$21:$DP$21='Actions de maîtrise'!$C25)*(Matrice!$T$23:$DP$100="X"))=1,"X","erreur"))</f>
        <v/>
      </c>
      <c r="R25" s="276" t="str">
        <f>IF(SUMPRODUCT((Matrice!$D$23:$D$100='Actions de maîtrise'!R$5)*(Matrice!$T$21:$DP$21='Actions de maîtrise'!$C25)*(Matrice!$T$23:$DP$100="X"))=0,"",IF(SUMPRODUCT((Matrice!$D$23:$D$100='Actions de maîtrise'!R$5)*(Matrice!$T$21:$DP$21='Actions de maîtrise'!$C25)*(Matrice!$T$23:$DP$100="X"))=1,"X","erreur"))</f>
        <v/>
      </c>
      <c r="S25" s="276" t="str">
        <f>IF(SUMPRODUCT((Matrice!$D$23:$D$100='Actions de maîtrise'!S$5)*(Matrice!$T$21:$DP$21='Actions de maîtrise'!$C25)*(Matrice!$T$23:$DP$100="X"))=0,"",IF(SUMPRODUCT((Matrice!$D$23:$D$100='Actions de maîtrise'!S$5)*(Matrice!$T$21:$DP$21='Actions de maîtrise'!$C25)*(Matrice!$T$23:$DP$100="X"))=1,"X","erreur"))</f>
        <v/>
      </c>
      <c r="T25" s="276" t="str">
        <f>IF(SUMPRODUCT((Matrice!$D$23:$D$100='Actions de maîtrise'!T$5)*(Matrice!$T$21:$DP$21='Actions de maîtrise'!$C25)*(Matrice!$T$23:$DP$100="X"))=0,"",IF(SUMPRODUCT((Matrice!$D$23:$D$100='Actions de maîtrise'!T$5)*(Matrice!$T$21:$DP$21='Actions de maîtrise'!$C25)*(Matrice!$T$23:$DP$100="X"))=1,"X","erreur"))</f>
        <v/>
      </c>
      <c r="U25" s="276" t="str">
        <f>IF(SUMPRODUCT((Matrice!$D$23:$D$100='Actions de maîtrise'!U$5)*(Matrice!$T$21:$DP$21='Actions de maîtrise'!$C25)*(Matrice!$T$23:$DP$100="X"))=0,"",IF(SUMPRODUCT((Matrice!$D$23:$D$100='Actions de maîtrise'!U$5)*(Matrice!$T$21:$DP$21='Actions de maîtrise'!$C25)*(Matrice!$T$23:$DP$100="X"))=1,"X","erreur"))</f>
        <v/>
      </c>
      <c r="V25" s="276" t="str">
        <f>IF(SUMPRODUCT((Matrice!$D$23:$D$100='Actions de maîtrise'!V$5)*(Matrice!$T$21:$DP$21='Actions de maîtrise'!$C25)*(Matrice!$T$23:$DP$100="X"))=0,"",IF(SUMPRODUCT((Matrice!$D$23:$D$100='Actions de maîtrise'!V$5)*(Matrice!$T$21:$DP$21='Actions de maîtrise'!$C25)*(Matrice!$T$23:$DP$100="X"))=1,"X","erreur"))</f>
        <v/>
      </c>
      <c r="W25" s="276" t="str">
        <f>IF(SUMPRODUCT((Matrice!$D$23:$D$100='Actions de maîtrise'!W$5)*(Matrice!$T$21:$DP$21='Actions de maîtrise'!$C25)*(Matrice!$T$23:$DP$100="X"))=0,"",IF(SUMPRODUCT((Matrice!$D$23:$D$100='Actions de maîtrise'!W$5)*(Matrice!$T$21:$DP$21='Actions de maîtrise'!$C25)*(Matrice!$T$23:$DP$100="X"))=1,"X","erreur"))</f>
        <v/>
      </c>
      <c r="X25" s="276" t="str">
        <f>IF(SUMPRODUCT((Matrice!$D$23:$D$100='Actions de maîtrise'!X$5)*(Matrice!$T$21:$DP$21='Actions de maîtrise'!$C25)*(Matrice!$T$23:$DP$100="X"))=0,"",IF(SUMPRODUCT((Matrice!$D$23:$D$100='Actions de maîtrise'!X$5)*(Matrice!$T$21:$DP$21='Actions de maîtrise'!$C25)*(Matrice!$T$23:$DP$100="X"))=1,"X","erreur"))</f>
        <v/>
      </c>
      <c r="Y25" s="276" t="str">
        <f>IF(SUMPRODUCT((Matrice!$D$23:$D$100='Actions de maîtrise'!Y$5)*(Matrice!$T$21:$DP$21='Actions de maîtrise'!$C25)*(Matrice!$T$23:$DP$100="X"))=0,"",IF(SUMPRODUCT((Matrice!$D$23:$D$100='Actions de maîtrise'!Y$5)*(Matrice!$T$21:$DP$21='Actions de maîtrise'!$C25)*(Matrice!$T$23:$DP$100="X"))=1,"X","erreur"))</f>
        <v/>
      </c>
      <c r="Z25" s="276" t="str">
        <f>IF(SUMPRODUCT((Matrice!$D$23:$D$100='Actions de maîtrise'!Z$5)*(Matrice!$T$21:$DP$21='Actions de maîtrise'!$C25)*(Matrice!$T$23:$DP$100="X"))=0,"",IF(SUMPRODUCT((Matrice!$D$23:$D$100='Actions de maîtrise'!Z$5)*(Matrice!$T$21:$DP$21='Actions de maîtrise'!$C25)*(Matrice!$T$23:$DP$100="X"))=1,"X","erreur"))</f>
        <v/>
      </c>
      <c r="AA25" s="276" t="str">
        <f>IF(SUMPRODUCT((Matrice!$D$23:$D$100='Actions de maîtrise'!AA$5)*(Matrice!$T$21:$DP$21='Actions de maîtrise'!$C25)*(Matrice!$T$23:$DP$100="X"))=0,"",IF(SUMPRODUCT((Matrice!$D$23:$D$100='Actions de maîtrise'!AA$5)*(Matrice!$T$21:$DP$21='Actions de maîtrise'!$C25)*(Matrice!$T$23:$DP$100="X"))=1,"X","erreur"))</f>
        <v/>
      </c>
      <c r="AB25" s="276" t="str">
        <f>IF(SUMPRODUCT((Matrice!$D$23:$D$100='Actions de maîtrise'!AB$5)*(Matrice!$T$21:$DP$21='Actions de maîtrise'!$C25)*(Matrice!$T$23:$DP$100="X"))=0,"",IF(SUMPRODUCT((Matrice!$D$23:$D$100='Actions de maîtrise'!AB$5)*(Matrice!$T$21:$DP$21='Actions de maîtrise'!$C25)*(Matrice!$T$23:$DP$100="X"))=1,"X","erreur"))</f>
        <v/>
      </c>
      <c r="AC25" s="276" t="str">
        <f>IF(SUMPRODUCT((Matrice!$D$23:$D$100='Actions de maîtrise'!AC$5)*(Matrice!$T$21:$DP$21='Actions de maîtrise'!$C25)*(Matrice!$T$23:$DP$100="X"))=0,"",IF(SUMPRODUCT((Matrice!$D$23:$D$100='Actions de maîtrise'!AC$5)*(Matrice!$T$21:$DP$21='Actions de maîtrise'!$C25)*(Matrice!$T$23:$DP$100="X"))=1,"X","erreur"))</f>
        <v/>
      </c>
      <c r="AD25" s="276" t="str">
        <f>IF(SUMPRODUCT((Matrice!$D$23:$D$100='Actions de maîtrise'!AD$5)*(Matrice!$T$21:$DP$21='Actions de maîtrise'!$C25)*(Matrice!$T$23:$DP$100="X"))=0,"",IF(SUMPRODUCT((Matrice!$D$23:$D$100='Actions de maîtrise'!AD$5)*(Matrice!$T$21:$DP$21='Actions de maîtrise'!$C25)*(Matrice!$T$23:$DP$100="X"))=1,"X","erreur"))</f>
        <v/>
      </c>
      <c r="AE25" s="276" t="str">
        <f>IF(SUMPRODUCT((Matrice!$D$23:$D$100='Actions de maîtrise'!AE$5)*(Matrice!$T$21:$DP$21='Actions de maîtrise'!$C25)*(Matrice!$T$23:$DP$100="X"))=0,"",IF(SUMPRODUCT((Matrice!$D$23:$D$100='Actions de maîtrise'!AE$5)*(Matrice!$T$21:$DP$21='Actions de maîtrise'!$C25)*(Matrice!$T$23:$DP$100="X"))=1,"X","erreur"))</f>
        <v/>
      </c>
      <c r="AF25" s="276" t="str">
        <f>IF(SUMPRODUCT((Matrice!$D$23:$D$100='Actions de maîtrise'!AF$5)*(Matrice!$T$21:$DP$21='Actions de maîtrise'!$C25)*(Matrice!$T$23:$DP$100="X"))=0,"",IF(SUMPRODUCT((Matrice!$D$23:$D$100='Actions de maîtrise'!AF$5)*(Matrice!$T$21:$DP$21='Actions de maîtrise'!$C25)*(Matrice!$T$23:$DP$100="X"))=1,"X","erreur"))</f>
        <v/>
      </c>
      <c r="AG25" s="276" t="str">
        <f>IF(SUMPRODUCT((Matrice!$D$23:$D$100='Actions de maîtrise'!AG$5)*(Matrice!$T$21:$DP$21='Actions de maîtrise'!$C25)*(Matrice!$T$23:$DP$100="X"))=0,"",IF(SUMPRODUCT((Matrice!$D$23:$D$100='Actions de maîtrise'!AG$5)*(Matrice!$T$21:$DP$21='Actions de maîtrise'!$C25)*(Matrice!$T$23:$DP$100="X"))=1,"X","erreur"))</f>
        <v/>
      </c>
    </row>
    <row r="26" spans="2:33" ht="18" customHeight="1" x14ac:dyDescent="0.2">
      <c r="B26" s="309" t="str">
        <f>IF((COUNTIF(Matrice!$2:$2,Matrice!$G$1&amp;"-AM"&amp;Listes!A22)=1)=TRUE,Matrice!$G$1&amp;"-AM"&amp;Listes!A22,"")</f>
        <v/>
      </c>
      <c r="C26" s="178" t="str">
        <f>IF(IF(ISERROR(HLOOKUP(B26,Matrice!$A$2:$DP$100,20,FALSE)),"",HLOOKUP(B26,Matrice!$A$2:$DP$100,20,FALSE))="","",IF(ISERROR(HLOOKUP(B26,Matrice!$A$2:$DP$100,20,FALSE)),"-",HLOOKUP(B26,Matrice!$A$2:$DP$100,20,FALSE)))</f>
        <v/>
      </c>
      <c r="D26" s="179" t="str">
        <f>IF(IF(ISERROR(HLOOKUP(B26,Matrice!$A$2:$DP$100,3,FALSE)),"",HLOOKUP(B26,Matrice!$A$2:$DP$100,3,FALSE))="","",IF(ISERROR(HLOOKUP(B26,Matrice!$A$2:$DP$100,3,FALSE)),"-",HLOOKUP(B26,Matrice!$A$2:$DP$100,3,FALSE)))</f>
        <v/>
      </c>
      <c r="E26" s="305"/>
      <c r="F26" s="179" t="str">
        <f>IF(ISERROR(HLOOKUP($B26,Matrice!$A$2:$DP$100,4,FALSE)),"",IF(HLOOKUP($B26,Matrice!$A$2:$DP$100,4,FALSE)="","",HLOOKUP($B26,Matrice!$A$2:$DP$100,4,FALSE)))</f>
        <v/>
      </c>
      <c r="G26" s="179" t="str">
        <f>IF(ISERROR(HLOOKUP($B26,Matrice!$A$2:$DP$100,5,FALSE)),"",IF(HLOOKUP($B26,Matrice!$A$2:$DP$100,5,FALSE)="","",HLOOKUP($B26,Matrice!$A$2:$DP$100,5,FALSE)))</f>
        <v/>
      </c>
      <c r="H26" s="179" t="str">
        <f>IF(ISERROR(HLOOKUP($B26,Matrice!$A$2:$DP$100,6,FALSE)),"",IF(HLOOKUP($B26,Matrice!$A$2:$DP$100,6,FALSE)="","",HLOOKUP($B26,Matrice!$A$2:$DP$100,6,FALSE)))</f>
        <v/>
      </c>
      <c r="I26" s="179" t="str">
        <f>IF(ISERROR(HLOOKUP($B27,Matrice!$A$2:$DP$100,7,FALSE)),"",IF(HLOOKUP($B27,Matrice!$A$2:$DP$100,7,FALSE)="","",HLOOKUP($B27,Matrice!$A$2:$DP$100,7,FALSE)))</f>
        <v/>
      </c>
      <c r="J26" s="277" t="str">
        <f>IF(ISERROR(HLOOKUP($B26,Matrice!$A$2:$DP$100,12,FALSE)),"",IF(HLOOKUP($B26,Matrice!$A$2:$DP$100,12,FALSE)="","",HLOOKUP($B26,Matrice!$A$2:$DP$100,12,FALSE)))</f>
        <v/>
      </c>
      <c r="K26" s="277" t="str">
        <f>IF(ISERROR(HLOOKUP($B26,Matrice!$A$2:$DP$100,13,FALSE)),"",IF(HLOOKUP($B26,Matrice!$A$2:$DP$100,13,FALSE)="","",HLOOKUP($B26,Matrice!$A$2:$DP$100,13,FALSE)))</f>
        <v/>
      </c>
      <c r="L26" s="333" t="str">
        <f>IF(ISERROR(HLOOKUP($B26,Matrice!$A$2:$DP$100,9,FALSE)),"",IF(HLOOKUP($B26,Matrice!$A$2:$DP$100,9,FALSE)="","",HLOOKUP($B26,Matrice!$A$2:$DP$100,9,FALSE)))</f>
        <v/>
      </c>
      <c r="M26" s="333" t="str">
        <f>IF(ISERROR(HLOOKUP($B26,Matrice!$A$2:$DP$100,10,FALSE)),"",IF(HLOOKUP($B26,Matrice!$A$2:$DP$100,10,FALSE)="","",HLOOKUP($B26,Matrice!$A$2:$DP$100,10,FALSE)))</f>
        <v/>
      </c>
      <c r="N26" s="333" t="str">
        <f>IF(ISERROR(HLOOKUP($B26,Matrice!$A$2:$DP$100,11,FALSE)),"",IF(HLOOKUP($B26,Matrice!$A$2:$DP$100,11,FALSE)="","",HLOOKUP($B26,Matrice!$A$2:$DP$100,11,FALSE)))</f>
        <v/>
      </c>
      <c r="P26" s="276" t="str">
        <f>IF(SUMPRODUCT((Matrice!$D$23:$D$100='Actions de maîtrise'!P$5)*(Matrice!$T$21:$DP$21='Actions de maîtrise'!$C26)*(Matrice!$T$23:$DP$100="X"))=0,"",IF(SUMPRODUCT((Matrice!$D$23:$D$100='Actions de maîtrise'!P$5)*(Matrice!$T$21:$DP$21='Actions de maîtrise'!$C26)*(Matrice!$T$23:$DP$100="X"))=1,"X","erreur"))</f>
        <v/>
      </c>
      <c r="Q26" s="276" t="str">
        <f>IF(SUMPRODUCT((Matrice!$D$23:$D$100='Actions de maîtrise'!Q$5)*(Matrice!$T$21:$DP$21='Actions de maîtrise'!$C26)*(Matrice!$T$23:$DP$100="X"))=0,"",IF(SUMPRODUCT((Matrice!$D$23:$D$100='Actions de maîtrise'!Q$5)*(Matrice!$T$21:$DP$21='Actions de maîtrise'!$C26)*(Matrice!$T$23:$DP$100="X"))=1,"X","erreur"))</f>
        <v/>
      </c>
      <c r="R26" s="276" t="str">
        <f>IF(SUMPRODUCT((Matrice!$D$23:$D$100='Actions de maîtrise'!R$5)*(Matrice!$T$21:$DP$21='Actions de maîtrise'!$C26)*(Matrice!$T$23:$DP$100="X"))=0,"",IF(SUMPRODUCT((Matrice!$D$23:$D$100='Actions de maîtrise'!R$5)*(Matrice!$T$21:$DP$21='Actions de maîtrise'!$C26)*(Matrice!$T$23:$DP$100="X"))=1,"X","erreur"))</f>
        <v/>
      </c>
      <c r="S26" s="276" t="str">
        <f>IF(SUMPRODUCT((Matrice!$D$23:$D$100='Actions de maîtrise'!S$5)*(Matrice!$T$21:$DP$21='Actions de maîtrise'!$C26)*(Matrice!$T$23:$DP$100="X"))=0,"",IF(SUMPRODUCT((Matrice!$D$23:$D$100='Actions de maîtrise'!S$5)*(Matrice!$T$21:$DP$21='Actions de maîtrise'!$C26)*(Matrice!$T$23:$DP$100="X"))=1,"X","erreur"))</f>
        <v/>
      </c>
      <c r="T26" s="276" t="str">
        <f>IF(SUMPRODUCT((Matrice!$D$23:$D$100='Actions de maîtrise'!T$5)*(Matrice!$T$21:$DP$21='Actions de maîtrise'!$C26)*(Matrice!$T$23:$DP$100="X"))=0,"",IF(SUMPRODUCT((Matrice!$D$23:$D$100='Actions de maîtrise'!T$5)*(Matrice!$T$21:$DP$21='Actions de maîtrise'!$C26)*(Matrice!$T$23:$DP$100="X"))=1,"X","erreur"))</f>
        <v/>
      </c>
      <c r="U26" s="276" t="str">
        <f>IF(SUMPRODUCT((Matrice!$D$23:$D$100='Actions de maîtrise'!U$5)*(Matrice!$T$21:$DP$21='Actions de maîtrise'!$C26)*(Matrice!$T$23:$DP$100="X"))=0,"",IF(SUMPRODUCT((Matrice!$D$23:$D$100='Actions de maîtrise'!U$5)*(Matrice!$T$21:$DP$21='Actions de maîtrise'!$C26)*(Matrice!$T$23:$DP$100="X"))=1,"X","erreur"))</f>
        <v/>
      </c>
      <c r="V26" s="276" t="str">
        <f>IF(SUMPRODUCT((Matrice!$D$23:$D$100='Actions de maîtrise'!V$5)*(Matrice!$T$21:$DP$21='Actions de maîtrise'!$C26)*(Matrice!$T$23:$DP$100="X"))=0,"",IF(SUMPRODUCT((Matrice!$D$23:$D$100='Actions de maîtrise'!V$5)*(Matrice!$T$21:$DP$21='Actions de maîtrise'!$C26)*(Matrice!$T$23:$DP$100="X"))=1,"X","erreur"))</f>
        <v/>
      </c>
      <c r="W26" s="276" t="str">
        <f>IF(SUMPRODUCT((Matrice!$D$23:$D$100='Actions de maîtrise'!W$5)*(Matrice!$T$21:$DP$21='Actions de maîtrise'!$C26)*(Matrice!$T$23:$DP$100="X"))=0,"",IF(SUMPRODUCT((Matrice!$D$23:$D$100='Actions de maîtrise'!W$5)*(Matrice!$T$21:$DP$21='Actions de maîtrise'!$C26)*(Matrice!$T$23:$DP$100="X"))=1,"X","erreur"))</f>
        <v/>
      </c>
      <c r="X26" s="276" t="str">
        <f>IF(SUMPRODUCT((Matrice!$D$23:$D$100='Actions de maîtrise'!X$5)*(Matrice!$T$21:$DP$21='Actions de maîtrise'!$C26)*(Matrice!$T$23:$DP$100="X"))=0,"",IF(SUMPRODUCT((Matrice!$D$23:$D$100='Actions de maîtrise'!X$5)*(Matrice!$T$21:$DP$21='Actions de maîtrise'!$C26)*(Matrice!$T$23:$DP$100="X"))=1,"X","erreur"))</f>
        <v/>
      </c>
      <c r="Y26" s="276" t="str">
        <f>IF(SUMPRODUCT((Matrice!$D$23:$D$100='Actions de maîtrise'!Y$5)*(Matrice!$T$21:$DP$21='Actions de maîtrise'!$C26)*(Matrice!$T$23:$DP$100="X"))=0,"",IF(SUMPRODUCT((Matrice!$D$23:$D$100='Actions de maîtrise'!Y$5)*(Matrice!$T$21:$DP$21='Actions de maîtrise'!$C26)*(Matrice!$T$23:$DP$100="X"))=1,"X","erreur"))</f>
        <v/>
      </c>
      <c r="Z26" s="276" t="str">
        <f>IF(SUMPRODUCT((Matrice!$D$23:$D$100='Actions de maîtrise'!Z$5)*(Matrice!$T$21:$DP$21='Actions de maîtrise'!$C26)*(Matrice!$T$23:$DP$100="X"))=0,"",IF(SUMPRODUCT((Matrice!$D$23:$D$100='Actions de maîtrise'!Z$5)*(Matrice!$T$21:$DP$21='Actions de maîtrise'!$C26)*(Matrice!$T$23:$DP$100="X"))=1,"X","erreur"))</f>
        <v/>
      </c>
      <c r="AA26" s="276" t="str">
        <f>IF(SUMPRODUCT((Matrice!$D$23:$D$100='Actions de maîtrise'!AA$5)*(Matrice!$T$21:$DP$21='Actions de maîtrise'!$C26)*(Matrice!$T$23:$DP$100="X"))=0,"",IF(SUMPRODUCT((Matrice!$D$23:$D$100='Actions de maîtrise'!AA$5)*(Matrice!$T$21:$DP$21='Actions de maîtrise'!$C26)*(Matrice!$T$23:$DP$100="X"))=1,"X","erreur"))</f>
        <v/>
      </c>
      <c r="AB26" s="276" t="str">
        <f>IF(SUMPRODUCT((Matrice!$D$23:$D$100='Actions de maîtrise'!AB$5)*(Matrice!$T$21:$DP$21='Actions de maîtrise'!$C26)*(Matrice!$T$23:$DP$100="X"))=0,"",IF(SUMPRODUCT((Matrice!$D$23:$D$100='Actions de maîtrise'!AB$5)*(Matrice!$T$21:$DP$21='Actions de maîtrise'!$C26)*(Matrice!$T$23:$DP$100="X"))=1,"X","erreur"))</f>
        <v/>
      </c>
      <c r="AC26" s="276" t="str">
        <f>IF(SUMPRODUCT((Matrice!$D$23:$D$100='Actions de maîtrise'!AC$5)*(Matrice!$T$21:$DP$21='Actions de maîtrise'!$C26)*(Matrice!$T$23:$DP$100="X"))=0,"",IF(SUMPRODUCT((Matrice!$D$23:$D$100='Actions de maîtrise'!AC$5)*(Matrice!$T$21:$DP$21='Actions de maîtrise'!$C26)*(Matrice!$T$23:$DP$100="X"))=1,"X","erreur"))</f>
        <v/>
      </c>
      <c r="AD26" s="276" t="str">
        <f>IF(SUMPRODUCT((Matrice!$D$23:$D$100='Actions de maîtrise'!AD$5)*(Matrice!$T$21:$DP$21='Actions de maîtrise'!$C26)*(Matrice!$T$23:$DP$100="X"))=0,"",IF(SUMPRODUCT((Matrice!$D$23:$D$100='Actions de maîtrise'!AD$5)*(Matrice!$T$21:$DP$21='Actions de maîtrise'!$C26)*(Matrice!$T$23:$DP$100="X"))=1,"X","erreur"))</f>
        <v/>
      </c>
      <c r="AE26" s="276" t="str">
        <f>IF(SUMPRODUCT((Matrice!$D$23:$D$100='Actions de maîtrise'!AE$5)*(Matrice!$T$21:$DP$21='Actions de maîtrise'!$C26)*(Matrice!$T$23:$DP$100="X"))=0,"",IF(SUMPRODUCT((Matrice!$D$23:$D$100='Actions de maîtrise'!AE$5)*(Matrice!$T$21:$DP$21='Actions de maîtrise'!$C26)*(Matrice!$T$23:$DP$100="X"))=1,"X","erreur"))</f>
        <v/>
      </c>
      <c r="AF26" s="276" t="str">
        <f>IF(SUMPRODUCT((Matrice!$D$23:$D$100='Actions de maîtrise'!AF$5)*(Matrice!$T$21:$DP$21='Actions de maîtrise'!$C26)*(Matrice!$T$23:$DP$100="X"))=0,"",IF(SUMPRODUCT((Matrice!$D$23:$D$100='Actions de maîtrise'!AF$5)*(Matrice!$T$21:$DP$21='Actions de maîtrise'!$C26)*(Matrice!$T$23:$DP$100="X"))=1,"X","erreur"))</f>
        <v/>
      </c>
      <c r="AG26" s="276" t="str">
        <f>IF(SUMPRODUCT((Matrice!$D$23:$D$100='Actions de maîtrise'!AG$5)*(Matrice!$T$21:$DP$21='Actions de maîtrise'!$C26)*(Matrice!$T$23:$DP$100="X"))=0,"",IF(SUMPRODUCT((Matrice!$D$23:$D$100='Actions de maîtrise'!AG$5)*(Matrice!$T$21:$DP$21='Actions de maîtrise'!$C26)*(Matrice!$T$23:$DP$100="X"))=1,"X","erreur"))</f>
        <v/>
      </c>
    </row>
    <row r="27" spans="2:33" ht="18" customHeight="1" x14ac:dyDescent="0.2">
      <c r="B27" s="309" t="str">
        <f>IF((COUNTIF(Matrice!$2:$2,Matrice!$G$1&amp;"-AM"&amp;Listes!A23)=1)=TRUE,Matrice!$G$1&amp;"-AM"&amp;Listes!A23,"")</f>
        <v/>
      </c>
      <c r="C27" s="178" t="str">
        <f>IF(IF(ISERROR(HLOOKUP(B27,Matrice!$A$2:$DP$100,20,FALSE)),"",HLOOKUP(B27,Matrice!$A$2:$DP$100,20,FALSE))="","",IF(ISERROR(HLOOKUP(B27,Matrice!$A$2:$DP$100,20,FALSE)),"-",HLOOKUP(B27,Matrice!$A$2:$DP$100,20,FALSE)))</f>
        <v/>
      </c>
      <c r="D27" s="179" t="str">
        <f>IF(IF(ISERROR(HLOOKUP(B27,Matrice!$A$2:$DP$100,3,FALSE)),"",HLOOKUP(B27,Matrice!$A$2:$DP$100,3,FALSE))="","",IF(ISERROR(HLOOKUP(B27,Matrice!$A$2:$DP$100,3,FALSE)),"-",HLOOKUP(B27,Matrice!$A$2:$DP$100,3,FALSE)))</f>
        <v/>
      </c>
      <c r="E27" s="305"/>
      <c r="F27" s="179" t="str">
        <f>IF(ISERROR(HLOOKUP($B27,Matrice!$A$2:$DP$100,4,FALSE)),"",IF(HLOOKUP($B27,Matrice!$A$2:$DP$100,4,FALSE)="","",HLOOKUP($B27,Matrice!$A$2:$DP$100,4,FALSE)))</f>
        <v/>
      </c>
      <c r="G27" s="179" t="str">
        <f>IF(ISERROR(HLOOKUP($B27,Matrice!$A$2:$DP$100,5,FALSE)),"",IF(HLOOKUP($B27,Matrice!$A$2:$DP$100,5,FALSE)="","",HLOOKUP($B27,Matrice!$A$2:$DP$100,5,FALSE)))</f>
        <v/>
      </c>
      <c r="H27" s="179" t="str">
        <f>IF(ISERROR(HLOOKUP($B27,Matrice!$A$2:$DP$100,6,FALSE)),"",IF(HLOOKUP($B27,Matrice!$A$2:$DP$100,6,FALSE)="","",HLOOKUP($B27,Matrice!$A$2:$DP$100,6,FALSE)))</f>
        <v/>
      </c>
      <c r="I27" s="179" t="str">
        <f>IF(ISERROR(HLOOKUP($B28,Matrice!$A$2:$DP$100,7,FALSE)),"",IF(HLOOKUP($B28,Matrice!$A$2:$DP$100,7,FALSE)="","",HLOOKUP($B28,Matrice!$A$2:$DP$100,7,FALSE)))</f>
        <v/>
      </c>
      <c r="J27" s="277" t="str">
        <f>IF(ISERROR(HLOOKUP($B27,Matrice!$A$2:$DP$100,12,FALSE)),"",IF(HLOOKUP($B27,Matrice!$A$2:$DP$100,12,FALSE)="","",HLOOKUP($B27,Matrice!$A$2:$DP$100,12,FALSE)))</f>
        <v/>
      </c>
      <c r="K27" s="277" t="str">
        <f>IF(ISERROR(HLOOKUP($B27,Matrice!$A$2:$DP$100,13,FALSE)),"",IF(HLOOKUP($B27,Matrice!$A$2:$DP$100,13,FALSE)="","",HLOOKUP($B27,Matrice!$A$2:$DP$100,13,FALSE)))</f>
        <v/>
      </c>
      <c r="L27" s="333" t="str">
        <f>IF(ISERROR(HLOOKUP($B27,Matrice!$A$2:$DP$100,9,FALSE)),"",IF(HLOOKUP($B27,Matrice!$A$2:$DP$100,9,FALSE)="","",HLOOKUP($B27,Matrice!$A$2:$DP$100,9,FALSE)))</f>
        <v/>
      </c>
      <c r="M27" s="333" t="str">
        <f>IF(ISERROR(HLOOKUP($B27,Matrice!$A$2:$DP$100,10,FALSE)),"",IF(HLOOKUP($B27,Matrice!$A$2:$DP$100,10,FALSE)="","",HLOOKUP($B27,Matrice!$A$2:$DP$100,10,FALSE)))</f>
        <v/>
      </c>
      <c r="N27" s="333" t="str">
        <f>IF(ISERROR(HLOOKUP($B27,Matrice!$A$2:$DP$100,11,FALSE)),"",IF(HLOOKUP($B27,Matrice!$A$2:$DP$100,11,FALSE)="","",HLOOKUP($B27,Matrice!$A$2:$DP$100,11,FALSE)))</f>
        <v/>
      </c>
      <c r="P27" s="276" t="str">
        <f>IF(SUMPRODUCT((Matrice!$D$23:$D$100='Actions de maîtrise'!P$5)*(Matrice!$T$21:$DP$21='Actions de maîtrise'!$C27)*(Matrice!$T$23:$DP$100="X"))=0,"",IF(SUMPRODUCT((Matrice!$D$23:$D$100='Actions de maîtrise'!P$5)*(Matrice!$T$21:$DP$21='Actions de maîtrise'!$C27)*(Matrice!$T$23:$DP$100="X"))=1,"X","erreur"))</f>
        <v/>
      </c>
      <c r="Q27" s="276" t="str">
        <f>IF(SUMPRODUCT((Matrice!$D$23:$D$100='Actions de maîtrise'!Q$5)*(Matrice!$T$21:$DP$21='Actions de maîtrise'!$C27)*(Matrice!$T$23:$DP$100="X"))=0,"",IF(SUMPRODUCT((Matrice!$D$23:$D$100='Actions de maîtrise'!Q$5)*(Matrice!$T$21:$DP$21='Actions de maîtrise'!$C27)*(Matrice!$T$23:$DP$100="X"))=1,"X","erreur"))</f>
        <v/>
      </c>
      <c r="R27" s="276" t="str">
        <f>IF(SUMPRODUCT((Matrice!$D$23:$D$100='Actions de maîtrise'!R$5)*(Matrice!$T$21:$DP$21='Actions de maîtrise'!$C27)*(Matrice!$T$23:$DP$100="X"))=0,"",IF(SUMPRODUCT((Matrice!$D$23:$D$100='Actions de maîtrise'!R$5)*(Matrice!$T$21:$DP$21='Actions de maîtrise'!$C27)*(Matrice!$T$23:$DP$100="X"))=1,"X","erreur"))</f>
        <v/>
      </c>
      <c r="S27" s="276" t="str">
        <f>IF(SUMPRODUCT((Matrice!$D$23:$D$100='Actions de maîtrise'!S$5)*(Matrice!$T$21:$DP$21='Actions de maîtrise'!$C27)*(Matrice!$T$23:$DP$100="X"))=0,"",IF(SUMPRODUCT((Matrice!$D$23:$D$100='Actions de maîtrise'!S$5)*(Matrice!$T$21:$DP$21='Actions de maîtrise'!$C27)*(Matrice!$T$23:$DP$100="X"))=1,"X","erreur"))</f>
        <v/>
      </c>
      <c r="T27" s="276" t="str">
        <f>IF(SUMPRODUCT((Matrice!$D$23:$D$100='Actions de maîtrise'!T$5)*(Matrice!$T$21:$DP$21='Actions de maîtrise'!$C27)*(Matrice!$T$23:$DP$100="X"))=0,"",IF(SUMPRODUCT((Matrice!$D$23:$D$100='Actions de maîtrise'!T$5)*(Matrice!$T$21:$DP$21='Actions de maîtrise'!$C27)*(Matrice!$T$23:$DP$100="X"))=1,"X","erreur"))</f>
        <v/>
      </c>
      <c r="U27" s="276" t="str">
        <f>IF(SUMPRODUCT((Matrice!$D$23:$D$100='Actions de maîtrise'!U$5)*(Matrice!$T$21:$DP$21='Actions de maîtrise'!$C27)*(Matrice!$T$23:$DP$100="X"))=0,"",IF(SUMPRODUCT((Matrice!$D$23:$D$100='Actions de maîtrise'!U$5)*(Matrice!$T$21:$DP$21='Actions de maîtrise'!$C27)*(Matrice!$T$23:$DP$100="X"))=1,"X","erreur"))</f>
        <v/>
      </c>
      <c r="V27" s="276" t="str">
        <f>IF(SUMPRODUCT((Matrice!$D$23:$D$100='Actions de maîtrise'!V$5)*(Matrice!$T$21:$DP$21='Actions de maîtrise'!$C27)*(Matrice!$T$23:$DP$100="X"))=0,"",IF(SUMPRODUCT((Matrice!$D$23:$D$100='Actions de maîtrise'!V$5)*(Matrice!$T$21:$DP$21='Actions de maîtrise'!$C27)*(Matrice!$T$23:$DP$100="X"))=1,"X","erreur"))</f>
        <v/>
      </c>
      <c r="W27" s="276" t="str">
        <f>IF(SUMPRODUCT((Matrice!$D$23:$D$100='Actions de maîtrise'!W$5)*(Matrice!$T$21:$DP$21='Actions de maîtrise'!$C27)*(Matrice!$T$23:$DP$100="X"))=0,"",IF(SUMPRODUCT((Matrice!$D$23:$D$100='Actions de maîtrise'!W$5)*(Matrice!$T$21:$DP$21='Actions de maîtrise'!$C27)*(Matrice!$T$23:$DP$100="X"))=1,"X","erreur"))</f>
        <v/>
      </c>
      <c r="X27" s="276" t="str">
        <f>IF(SUMPRODUCT((Matrice!$D$23:$D$100='Actions de maîtrise'!X$5)*(Matrice!$T$21:$DP$21='Actions de maîtrise'!$C27)*(Matrice!$T$23:$DP$100="X"))=0,"",IF(SUMPRODUCT((Matrice!$D$23:$D$100='Actions de maîtrise'!X$5)*(Matrice!$T$21:$DP$21='Actions de maîtrise'!$C27)*(Matrice!$T$23:$DP$100="X"))=1,"X","erreur"))</f>
        <v/>
      </c>
      <c r="Y27" s="276" t="str">
        <f>IF(SUMPRODUCT((Matrice!$D$23:$D$100='Actions de maîtrise'!Y$5)*(Matrice!$T$21:$DP$21='Actions de maîtrise'!$C27)*(Matrice!$T$23:$DP$100="X"))=0,"",IF(SUMPRODUCT((Matrice!$D$23:$D$100='Actions de maîtrise'!Y$5)*(Matrice!$T$21:$DP$21='Actions de maîtrise'!$C27)*(Matrice!$T$23:$DP$100="X"))=1,"X","erreur"))</f>
        <v/>
      </c>
      <c r="Z27" s="276" t="str">
        <f>IF(SUMPRODUCT((Matrice!$D$23:$D$100='Actions de maîtrise'!Z$5)*(Matrice!$T$21:$DP$21='Actions de maîtrise'!$C27)*(Matrice!$T$23:$DP$100="X"))=0,"",IF(SUMPRODUCT((Matrice!$D$23:$D$100='Actions de maîtrise'!Z$5)*(Matrice!$T$21:$DP$21='Actions de maîtrise'!$C27)*(Matrice!$T$23:$DP$100="X"))=1,"X","erreur"))</f>
        <v/>
      </c>
      <c r="AA27" s="276" t="str">
        <f>IF(SUMPRODUCT((Matrice!$D$23:$D$100='Actions de maîtrise'!AA$5)*(Matrice!$T$21:$DP$21='Actions de maîtrise'!$C27)*(Matrice!$T$23:$DP$100="X"))=0,"",IF(SUMPRODUCT((Matrice!$D$23:$D$100='Actions de maîtrise'!AA$5)*(Matrice!$T$21:$DP$21='Actions de maîtrise'!$C27)*(Matrice!$T$23:$DP$100="X"))=1,"X","erreur"))</f>
        <v/>
      </c>
      <c r="AB27" s="276" t="str">
        <f>IF(SUMPRODUCT((Matrice!$D$23:$D$100='Actions de maîtrise'!AB$5)*(Matrice!$T$21:$DP$21='Actions de maîtrise'!$C27)*(Matrice!$T$23:$DP$100="X"))=0,"",IF(SUMPRODUCT((Matrice!$D$23:$D$100='Actions de maîtrise'!AB$5)*(Matrice!$T$21:$DP$21='Actions de maîtrise'!$C27)*(Matrice!$T$23:$DP$100="X"))=1,"X","erreur"))</f>
        <v/>
      </c>
      <c r="AC27" s="276" t="str">
        <f>IF(SUMPRODUCT((Matrice!$D$23:$D$100='Actions de maîtrise'!AC$5)*(Matrice!$T$21:$DP$21='Actions de maîtrise'!$C27)*(Matrice!$T$23:$DP$100="X"))=0,"",IF(SUMPRODUCT((Matrice!$D$23:$D$100='Actions de maîtrise'!AC$5)*(Matrice!$T$21:$DP$21='Actions de maîtrise'!$C27)*(Matrice!$T$23:$DP$100="X"))=1,"X","erreur"))</f>
        <v/>
      </c>
      <c r="AD27" s="276" t="str">
        <f>IF(SUMPRODUCT((Matrice!$D$23:$D$100='Actions de maîtrise'!AD$5)*(Matrice!$T$21:$DP$21='Actions de maîtrise'!$C27)*(Matrice!$T$23:$DP$100="X"))=0,"",IF(SUMPRODUCT((Matrice!$D$23:$D$100='Actions de maîtrise'!AD$5)*(Matrice!$T$21:$DP$21='Actions de maîtrise'!$C27)*(Matrice!$T$23:$DP$100="X"))=1,"X","erreur"))</f>
        <v/>
      </c>
      <c r="AE27" s="276" t="str">
        <f>IF(SUMPRODUCT((Matrice!$D$23:$D$100='Actions de maîtrise'!AE$5)*(Matrice!$T$21:$DP$21='Actions de maîtrise'!$C27)*(Matrice!$T$23:$DP$100="X"))=0,"",IF(SUMPRODUCT((Matrice!$D$23:$D$100='Actions de maîtrise'!AE$5)*(Matrice!$T$21:$DP$21='Actions de maîtrise'!$C27)*(Matrice!$T$23:$DP$100="X"))=1,"X","erreur"))</f>
        <v/>
      </c>
      <c r="AF27" s="276" t="str">
        <f>IF(SUMPRODUCT((Matrice!$D$23:$D$100='Actions de maîtrise'!AF$5)*(Matrice!$T$21:$DP$21='Actions de maîtrise'!$C27)*(Matrice!$T$23:$DP$100="X"))=0,"",IF(SUMPRODUCT((Matrice!$D$23:$D$100='Actions de maîtrise'!AF$5)*(Matrice!$T$21:$DP$21='Actions de maîtrise'!$C27)*(Matrice!$T$23:$DP$100="X"))=1,"X","erreur"))</f>
        <v/>
      </c>
      <c r="AG27" s="276" t="str">
        <f>IF(SUMPRODUCT((Matrice!$D$23:$D$100='Actions de maîtrise'!AG$5)*(Matrice!$T$21:$DP$21='Actions de maîtrise'!$C27)*(Matrice!$T$23:$DP$100="X"))=0,"",IF(SUMPRODUCT((Matrice!$D$23:$D$100='Actions de maîtrise'!AG$5)*(Matrice!$T$21:$DP$21='Actions de maîtrise'!$C27)*(Matrice!$T$23:$DP$100="X"))=1,"X","erreur"))</f>
        <v/>
      </c>
    </row>
    <row r="28" spans="2:33" ht="18" customHeight="1" x14ac:dyDescent="0.2">
      <c r="B28" s="309" t="str">
        <f>IF((COUNTIF(Matrice!$2:$2,Matrice!$G$1&amp;"-AM"&amp;Listes!A24)=1)=TRUE,Matrice!$G$1&amp;"-AM"&amp;Listes!A24,"")</f>
        <v/>
      </c>
      <c r="C28" s="178" t="str">
        <f>IF(IF(ISERROR(HLOOKUP(B28,Matrice!$A$2:$DP$100,20,FALSE)),"",HLOOKUP(B28,Matrice!$A$2:$DP$100,20,FALSE))="","",IF(ISERROR(HLOOKUP(B28,Matrice!$A$2:$DP$100,20,FALSE)),"-",HLOOKUP(B28,Matrice!$A$2:$DP$100,20,FALSE)))</f>
        <v/>
      </c>
      <c r="D28" s="179" t="str">
        <f>IF(IF(ISERROR(HLOOKUP(B28,Matrice!$A$2:$DP$100,3,FALSE)),"",HLOOKUP(B28,Matrice!$A$2:$DP$100,3,FALSE))="","",IF(ISERROR(HLOOKUP(B28,Matrice!$A$2:$DP$100,3,FALSE)),"-",HLOOKUP(B28,Matrice!$A$2:$DP$100,3,FALSE)))</f>
        <v/>
      </c>
      <c r="E28" s="305"/>
      <c r="F28" s="179" t="str">
        <f>IF(ISERROR(HLOOKUP($B28,Matrice!$A$2:$DP$100,4,FALSE)),"",IF(HLOOKUP($B28,Matrice!$A$2:$DP$100,4,FALSE)="","",HLOOKUP($B28,Matrice!$A$2:$DP$100,4,FALSE)))</f>
        <v/>
      </c>
      <c r="G28" s="179" t="str">
        <f>IF(ISERROR(HLOOKUP($B28,Matrice!$A$2:$DP$100,5,FALSE)),"",IF(HLOOKUP($B28,Matrice!$A$2:$DP$100,5,FALSE)="","",HLOOKUP($B28,Matrice!$A$2:$DP$100,5,FALSE)))</f>
        <v/>
      </c>
      <c r="H28" s="179" t="str">
        <f>IF(ISERROR(HLOOKUP($B28,Matrice!$A$2:$DP$100,6,FALSE)),"",IF(HLOOKUP($B28,Matrice!$A$2:$DP$100,6,FALSE)="","",HLOOKUP($B28,Matrice!$A$2:$DP$100,6,FALSE)))</f>
        <v/>
      </c>
      <c r="I28" s="179" t="str">
        <f>IF(ISERROR(HLOOKUP($B29,Matrice!$A$2:$DP$100,7,FALSE)),"",IF(HLOOKUP($B29,Matrice!$A$2:$DP$100,7,FALSE)="","",HLOOKUP($B29,Matrice!$A$2:$DP$100,7,FALSE)))</f>
        <v/>
      </c>
      <c r="J28" s="277" t="str">
        <f>IF(ISERROR(HLOOKUP($B28,Matrice!$A$2:$DP$100,12,FALSE)),"",IF(HLOOKUP($B28,Matrice!$A$2:$DP$100,12,FALSE)="","",HLOOKUP($B28,Matrice!$A$2:$DP$100,12,FALSE)))</f>
        <v/>
      </c>
      <c r="K28" s="277" t="str">
        <f>IF(ISERROR(HLOOKUP($B28,Matrice!$A$2:$DP$100,13,FALSE)),"",IF(HLOOKUP($B28,Matrice!$A$2:$DP$100,13,FALSE)="","",HLOOKUP($B28,Matrice!$A$2:$DP$100,13,FALSE)))</f>
        <v/>
      </c>
      <c r="L28" s="333" t="str">
        <f>IF(ISERROR(HLOOKUP($B28,Matrice!$A$2:$DP$100,9,FALSE)),"",IF(HLOOKUP($B28,Matrice!$A$2:$DP$100,9,FALSE)="","",HLOOKUP($B28,Matrice!$A$2:$DP$100,9,FALSE)))</f>
        <v/>
      </c>
      <c r="M28" s="333" t="str">
        <f>IF(ISERROR(HLOOKUP($B28,Matrice!$A$2:$DP$100,10,FALSE)),"",IF(HLOOKUP($B28,Matrice!$A$2:$DP$100,10,FALSE)="","",HLOOKUP($B28,Matrice!$A$2:$DP$100,10,FALSE)))</f>
        <v/>
      </c>
      <c r="N28" s="333" t="str">
        <f>IF(ISERROR(HLOOKUP($B28,Matrice!$A$2:$DP$100,11,FALSE)),"",IF(HLOOKUP($B28,Matrice!$A$2:$DP$100,11,FALSE)="","",HLOOKUP($B28,Matrice!$A$2:$DP$100,11,FALSE)))</f>
        <v/>
      </c>
      <c r="P28" s="276" t="str">
        <f>IF(SUMPRODUCT((Matrice!$D$23:$D$100='Actions de maîtrise'!P$5)*(Matrice!$T$21:$DP$21='Actions de maîtrise'!$C28)*(Matrice!$T$23:$DP$100="X"))=0,"",IF(SUMPRODUCT((Matrice!$D$23:$D$100='Actions de maîtrise'!P$5)*(Matrice!$T$21:$DP$21='Actions de maîtrise'!$C28)*(Matrice!$T$23:$DP$100="X"))=1,"X","erreur"))</f>
        <v/>
      </c>
      <c r="Q28" s="276" t="str">
        <f>IF(SUMPRODUCT((Matrice!$D$23:$D$100='Actions de maîtrise'!Q$5)*(Matrice!$T$21:$DP$21='Actions de maîtrise'!$C28)*(Matrice!$T$23:$DP$100="X"))=0,"",IF(SUMPRODUCT((Matrice!$D$23:$D$100='Actions de maîtrise'!Q$5)*(Matrice!$T$21:$DP$21='Actions de maîtrise'!$C28)*(Matrice!$T$23:$DP$100="X"))=1,"X","erreur"))</f>
        <v/>
      </c>
      <c r="R28" s="276" t="str">
        <f>IF(SUMPRODUCT((Matrice!$D$23:$D$100='Actions de maîtrise'!R$5)*(Matrice!$T$21:$DP$21='Actions de maîtrise'!$C28)*(Matrice!$T$23:$DP$100="X"))=0,"",IF(SUMPRODUCT((Matrice!$D$23:$D$100='Actions de maîtrise'!R$5)*(Matrice!$T$21:$DP$21='Actions de maîtrise'!$C28)*(Matrice!$T$23:$DP$100="X"))=1,"X","erreur"))</f>
        <v/>
      </c>
      <c r="S28" s="276" t="str">
        <f>IF(SUMPRODUCT((Matrice!$D$23:$D$100='Actions de maîtrise'!S$5)*(Matrice!$T$21:$DP$21='Actions de maîtrise'!$C28)*(Matrice!$T$23:$DP$100="X"))=0,"",IF(SUMPRODUCT((Matrice!$D$23:$D$100='Actions de maîtrise'!S$5)*(Matrice!$T$21:$DP$21='Actions de maîtrise'!$C28)*(Matrice!$T$23:$DP$100="X"))=1,"X","erreur"))</f>
        <v/>
      </c>
      <c r="T28" s="276" t="str">
        <f>IF(SUMPRODUCT((Matrice!$D$23:$D$100='Actions de maîtrise'!T$5)*(Matrice!$T$21:$DP$21='Actions de maîtrise'!$C28)*(Matrice!$T$23:$DP$100="X"))=0,"",IF(SUMPRODUCT((Matrice!$D$23:$D$100='Actions de maîtrise'!T$5)*(Matrice!$T$21:$DP$21='Actions de maîtrise'!$C28)*(Matrice!$T$23:$DP$100="X"))=1,"X","erreur"))</f>
        <v/>
      </c>
      <c r="U28" s="276" t="str">
        <f>IF(SUMPRODUCT((Matrice!$D$23:$D$100='Actions de maîtrise'!U$5)*(Matrice!$T$21:$DP$21='Actions de maîtrise'!$C28)*(Matrice!$T$23:$DP$100="X"))=0,"",IF(SUMPRODUCT((Matrice!$D$23:$D$100='Actions de maîtrise'!U$5)*(Matrice!$T$21:$DP$21='Actions de maîtrise'!$C28)*(Matrice!$T$23:$DP$100="X"))=1,"X","erreur"))</f>
        <v/>
      </c>
      <c r="V28" s="276" t="str">
        <f>IF(SUMPRODUCT((Matrice!$D$23:$D$100='Actions de maîtrise'!V$5)*(Matrice!$T$21:$DP$21='Actions de maîtrise'!$C28)*(Matrice!$T$23:$DP$100="X"))=0,"",IF(SUMPRODUCT((Matrice!$D$23:$D$100='Actions de maîtrise'!V$5)*(Matrice!$T$21:$DP$21='Actions de maîtrise'!$C28)*(Matrice!$T$23:$DP$100="X"))=1,"X","erreur"))</f>
        <v/>
      </c>
      <c r="W28" s="276" t="str">
        <f>IF(SUMPRODUCT((Matrice!$D$23:$D$100='Actions de maîtrise'!W$5)*(Matrice!$T$21:$DP$21='Actions de maîtrise'!$C28)*(Matrice!$T$23:$DP$100="X"))=0,"",IF(SUMPRODUCT((Matrice!$D$23:$D$100='Actions de maîtrise'!W$5)*(Matrice!$T$21:$DP$21='Actions de maîtrise'!$C28)*(Matrice!$T$23:$DP$100="X"))=1,"X","erreur"))</f>
        <v/>
      </c>
      <c r="X28" s="276" t="str">
        <f>IF(SUMPRODUCT((Matrice!$D$23:$D$100='Actions de maîtrise'!X$5)*(Matrice!$T$21:$DP$21='Actions de maîtrise'!$C28)*(Matrice!$T$23:$DP$100="X"))=0,"",IF(SUMPRODUCT((Matrice!$D$23:$D$100='Actions de maîtrise'!X$5)*(Matrice!$T$21:$DP$21='Actions de maîtrise'!$C28)*(Matrice!$T$23:$DP$100="X"))=1,"X","erreur"))</f>
        <v/>
      </c>
      <c r="Y28" s="276" t="str">
        <f>IF(SUMPRODUCT((Matrice!$D$23:$D$100='Actions de maîtrise'!Y$5)*(Matrice!$T$21:$DP$21='Actions de maîtrise'!$C28)*(Matrice!$T$23:$DP$100="X"))=0,"",IF(SUMPRODUCT((Matrice!$D$23:$D$100='Actions de maîtrise'!Y$5)*(Matrice!$T$21:$DP$21='Actions de maîtrise'!$C28)*(Matrice!$T$23:$DP$100="X"))=1,"X","erreur"))</f>
        <v/>
      </c>
      <c r="Z28" s="276" t="str">
        <f>IF(SUMPRODUCT((Matrice!$D$23:$D$100='Actions de maîtrise'!Z$5)*(Matrice!$T$21:$DP$21='Actions de maîtrise'!$C28)*(Matrice!$T$23:$DP$100="X"))=0,"",IF(SUMPRODUCT((Matrice!$D$23:$D$100='Actions de maîtrise'!Z$5)*(Matrice!$T$21:$DP$21='Actions de maîtrise'!$C28)*(Matrice!$T$23:$DP$100="X"))=1,"X","erreur"))</f>
        <v/>
      </c>
      <c r="AA28" s="276" t="str">
        <f>IF(SUMPRODUCT((Matrice!$D$23:$D$100='Actions de maîtrise'!AA$5)*(Matrice!$T$21:$DP$21='Actions de maîtrise'!$C28)*(Matrice!$T$23:$DP$100="X"))=0,"",IF(SUMPRODUCT((Matrice!$D$23:$D$100='Actions de maîtrise'!AA$5)*(Matrice!$T$21:$DP$21='Actions de maîtrise'!$C28)*(Matrice!$T$23:$DP$100="X"))=1,"X","erreur"))</f>
        <v/>
      </c>
      <c r="AB28" s="276" t="str">
        <f>IF(SUMPRODUCT((Matrice!$D$23:$D$100='Actions de maîtrise'!AB$5)*(Matrice!$T$21:$DP$21='Actions de maîtrise'!$C28)*(Matrice!$T$23:$DP$100="X"))=0,"",IF(SUMPRODUCT((Matrice!$D$23:$D$100='Actions de maîtrise'!AB$5)*(Matrice!$T$21:$DP$21='Actions de maîtrise'!$C28)*(Matrice!$T$23:$DP$100="X"))=1,"X","erreur"))</f>
        <v/>
      </c>
      <c r="AC28" s="276" t="str">
        <f>IF(SUMPRODUCT((Matrice!$D$23:$D$100='Actions de maîtrise'!AC$5)*(Matrice!$T$21:$DP$21='Actions de maîtrise'!$C28)*(Matrice!$T$23:$DP$100="X"))=0,"",IF(SUMPRODUCT((Matrice!$D$23:$D$100='Actions de maîtrise'!AC$5)*(Matrice!$T$21:$DP$21='Actions de maîtrise'!$C28)*(Matrice!$T$23:$DP$100="X"))=1,"X","erreur"))</f>
        <v/>
      </c>
      <c r="AD28" s="276" t="str">
        <f>IF(SUMPRODUCT((Matrice!$D$23:$D$100='Actions de maîtrise'!AD$5)*(Matrice!$T$21:$DP$21='Actions de maîtrise'!$C28)*(Matrice!$T$23:$DP$100="X"))=0,"",IF(SUMPRODUCT((Matrice!$D$23:$D$100='Actions de maîtrise'!AD$5)*(Matrice!$T$21:$DP$21='Actions de maîtrise'!$C28)*(Matrice!$T$23:$DP$100="X"))=1,"X","erreur"))</f>
        <v/>
      </c>
      <c r="AE28" s="276" t="str">
        <f>IF(SUMPRODUCT((Matrice!$D$23:$D$100='Actions de maîtrise'!AE$5)*(Matrice!$T$21:$DP$21='Actions de maîtrise'!$C28)*(Matrice!$T$23:$DP$100="X"))=0,"",IF(SUMPRODUCT((Matrice!$D$23:$D$100='Actions de maîtrise'!AE$5)*(Matrice!$T$21:$DP$21='Actions de maîtrise'!$C28)*(Matrice!$T$23:$DP$100="X"))=1,"X","erreur"))</f>
        <v/>
      </c>
      <c r="AF28" s="276" t="str">
        <f>IF(SUMPRODUCT((Matrice!$D$23:$D$100='Actions de maîtrise'!AF$5)*(Matrice!$T$21:$DP$21='Actions de maîtrise'!$C28)*(Matrice!$T$23:$DP$100="X"))=0,"",IF(SUMPRODUCT((Matrice!$D$23:$D$100='Actions de maîtrise'!AF$5)*(Matrice!$T$21:$DP$21='Actions de maîtrise'!$C28)*(Matrice!$T$23:$DP$100="X"))=1,"X","erreur"))</f>
        <v/>
      </c>
      <c r="AG28" s="276" t="str">
        <f>IF(SUMPRODUCT((Matrice!$D$23:$D$100='Actions de maîtrise'!AG$5)*(Matrice!$T$21:$DP$21='Actions de maîtrise'!$C28)*(Matrice!$T$23:$DP$100="X"))=0,"",IF(SUMPRODUCT((Matrice!$D$23:$D$100='Actions de maîtrise'!AG$5)*(Matrice!$T$21:$DP$21='Actions de maîtrise'!$C28)*(Matrice!$T$23:$DP$100="X"))=1,"X","erreur"))</f>
        <v/>
      </c>
    </row>
    <row r="29" spans="2:33" ht="18" customHeight="1" x14ac:dyDescent="0.2">
      <c r="B29" s="309" t="str">
        <f>IF((COUNTIF(Matrice!$2:$2,Matrice!$G$1&amp;"-AM"&amp;Listes!A25)=1)=TRUE,Matrice!$G$1&amp;"-AM"&amp;Listes!A25,"")</f>
        <v/>
      </c>
      <c r="C29" s="178" t="str">
        <f>IF(IF(ISERROR(HLOOKUP(B29,Matrice!$A$2:$DP$100,20,FALSE)),"",HLOOKUP(B29,Matrice!$A$2:$DP$100,20,FALSE))="","",IF(ISERROR(HLOOKUP(B29,Matrice!$A$2:$DP$100,20,FALSE)),"-",HLOOKUP(B29,Matrice!$A$2:$DP$100,20,FALSE)))</f>
        <v/>
      </c>
      <c r="D29" s="179" t="str">
        <f>IF(IF(ISERROR(HLOOKUP(B29,Matrice!$A$2:$DP$100,3,FALSE)),"",HLOOKUP(B29,Matrice!$A$2:$DP$100,3,FALSE))="","",IF(ISERROR(HLOOKUP(B29,Matrice!$A$2:$DP$100,3,FALSE)),"-",HLOOKUP(B29,Matrice!$A$2:$DP$100,3,FALSE)))</f>
        <v/>
      </c>
      <c r="E29" s="305"/>
      <c r="F29" s="179" t="str">
        <f>IF(ISERROR(HLOOKUP($B29,Matrice!$A$2:$DP$100,4,FALSE)),"",IF(HLOOKUP($B29,Matrice!$A$2:$DP$100,4,FALSE)="","",HLOOKUP($B29,Matrice!$A$2:$DP$100,4,FALSE)))</f>
        <v/>
      </c>
      <c r="G29" s="179" t="str">
        <f>IF(ISERROR(HLOOKUP($B29,Matrice!$A$2:$DP$100,5,FALSE)),"",IF(HLOOKUP($B29,Matrice!$A$2:$DP$100,5,FALSE)="","",HLOOKUP($B29,Matrice!$A$2:$DP$100,5,FALSE)))</f>
        <v/>
      </c>
      <c r="H29" s="179" t="str">
        <f>IF(ISERROR(HLOOKUP($B29,Matrice!$A$2:$DP$100,6,FALSE)),"",IF(HLOOKUP($B29,Matrice!$A$2:$DP$100,6,FALSE)="","",HLOOKUP($B29,Matrice!$A$2:$DP$100,6,FALSE)))</f>
        <v/>
      </c>
      <c r="I29" s="179" t="str">
        <f>IF(ISERROR(HLOOKUP($B30,Matrice!$A$2:$DP$100,7,FALSE)),"",IF(HLOOKUP($B30,Matrice!$A$2:$DP$100,7,FALSE)="","",HLOOKUP($B30,Matrice!$A$2:$DP$100,7,FALSE)))</f>
        <v/>
      </c>
      <c r="J29" s="277" t="str">
        <f>IF(ISERROR(HLOOKUP($B29,Matrice!$A$2:$DP$100,12,FALSE)),"",IF(HLOOKUP($B29,Matrice!$A$2:$DP$100,12,FALSE)="","",HLOOKUP($B29,Matrice!$A$2:$DP$100,12,FALSE)))</f>
        <v/>
      </c>
      <c r="K29" s="277" t="str">
        <f>IF(ISERROR(HLOOKUP($B29,Matrice!$A$2:$DP$100,13,FALSE)),"",IF(HLOOKUP($B29,Matrice!$A$2:$DP$100,13,FALSE)="","",HLOOKUP($B29,Matrice!$A$2:$DP$100,13,FALSE)))</f>
        <v/>
      </c>
      <c r="L29" s="333" t="str">
        <f>IF(ISERROR(HLOOKUP($B29,Matrice!$A$2:$DP$100,9,FALSE)),"",IF(HLOOKUP($B29,Matrice!$A$2:$DP$100,9,FALSE)="","",HLOOKUP($B29,Matrice!$A$2:$DP$100,9,FALSE)))</f>
        <v/>
      </c>
      <c r="M29" s="333" t="str">
        <f>IF(ISERROR(HLOOKUP($B29,Matrice!$A$2:$DP$100,10,FALSE)),"",IF(HLOOKUP($B29,Matrice!$A$2:$DP$100,10,FALSE)="","",HLOOKUP($B29,Matrice!$A$2:$DP$100,10,FALSE)))</f>
        <v/>
      </c>
      <c r="N29" s="333" t="str">
        <f>IF(ISERROR(HLOOKUP($B29,Matrice!$A$2:$DP$100,11,FALSE)),"",IF(HLOOKUP($B29,Matrice!$A$2:$DP$100,11,FALSE)="","",HLOOKUP($B29,Matrice!$A$2:$DP$100,11,FALSE)))</f>
        <v/>
      </c>
      <c r="P29" s="276" t="str">
        <f>IF(SUMPRODUCT((Matrice!$D$23:$D$100='Actions de maîtrise'!P$5)*(Matrice!$T$21:$DP$21='Actions de maîtrise'!$C29)*(Matrice!$T$23:$DP$100="X"))=0,"",IF(SUMPRODUCT((Matrice!$D$23:$D$100='Actions de maîtrise'!P$5)*(Matrice!$T$21:$DP$21='Actions de maîtrise'!$C29)*(Matrice!$T$23:$DP$100="X"))=1,"X","erreur"))</f>
        <v/>
      </c>
      <c r="Q29" s="276" t="str">
        <f>IF(SUMPRODUCT((Matrice!$D$23:$D$100='Actions de maîtrise'!Q$5)*(Matrice!$T$21:$DP$21='Actions de maîtrise'!$C29)*(Matrice!$T$23:$DP$100="X"))=0,"",IF(SUMPRODUCT((Matrice!$D$23:$D$100='Actions de maîtrise'!Q$5)*(Matrice!$T$21:$DP$21='Actions de maîtrise'!$C29)*(Matrice!$T$23:$DP$100="X"))=1,"X","erreur"))</f>
        <v/>
      </c>
      <c r="R29" s="276" t="str">
        <f>IF(SUMPRODUCT((Matrice!$D$23:$D$100='Actions de maîtrise'!R$5)*(Matrice!$T$21:$DP$21='Actions de maîtrise'!$C29)*(Matrice!$T$23:$DP$100="X"))=0,"",IF(SUMPRODUCT((Matrice!$D$23:$D$100='Actions de maîtrise'!R$5)*(Matrice!$T$21:$DP$21='Actions de maîtrise'!$C29)*(Matrice!$T$23:$DP$100="X"))=1,"X","erreur"))</f>
        <v/>
      </c>
      <c r="S29" s="276" t="str">
        <f>IF(SUMPRODUCT((Matrice!$D$23:$D$100='Actions de maîtrise'!S$5)*(Matrice!$T$21:$DP$21='Actions de maîtrise'!$C29)*(Matrice!$T$23:$DP$100="X"))=0,"",IF(SUMPRODUCT((Matrice!$D$23:$D$100='Actions de maîtrise'!S$5)*(Matrice!$T$21:$DP$21='Actions de maîtrise'!$C29)*(Matrice!$T$23:$DP$100="X"))=1,"X","erreur"))</f>
        <v/>
      </c>
      <c r="T29" s="276" t="str">
        <f>IF(SUMPRODUCT((Matrice!$D$23:$D$100='Actions de maîtrise'!T$5)*(Matrice!$T$21:$DP$21='Actions de maîtrise'!$C29)*(Matrice!$T$23:$DP$100="X"))=0,"",IF(SUMPRODUCT((Matrice!$D$23:$D$100='Actions de maîtrise'!T$5)*(Matrice!$T$21:$DP$21='Actions de maîtrise'!$C29)*(Matrice!$T$23:$DP$100="X"))=1,"X","erreur"))</f>
        <v/>
      </c>
      <c r="U29" s="276" t="str">
        <f>IF(SUMPRODUCT((Matrice!$D$23:$D$100='Actions de maîtrise'!U$5)*(Matrice!$T$21:$DP$21='Actions de maîtrise'!$C29)*(Matrice!$T$23:$DP$100="X"))=0,"",IF(SUMPRODUCT((Matrice!$D$23:$D$100='Actions de maîtrise'!U$5)*(Matrice!$T$21:$DP$21='Actions de maîtrise'!$C29)*(Matrice!$T$23:$DP$100="X"))=1,"X","erreur"))</f>
        <v/>
      </c>
      <c r="V29" s="276" t="str">
        <f>IF(SUMPRODUCT((Matrice!$D$23:$D$100='Actions de maîtrise'!V$5)*(Matrice!$T$21:$DP$21='Actions de maîtrise'!$C29)*(Matrice!$T$23:$DP$100="X"))=0,"",IF(SUMPRODUCT((Matrice!$D$23:$D$100='Actions de maîtrise'!V$5)*(Matrice!$T$21:$DP$21='Actions de maîtrise'!$C29)*(Matrice!$T$23:$DP$100="X"))=1,"X","erreur"))</f>
        <v/>
      </c>
      <c r="W29" s="276" t="str">
        <f>IF(SUMPRODUCT((Matrice!$D$23:$D$100='Actions de maîtrise'!W$5)*(Matrice!$T$21:$DP$21='Actions de maîtrise'!$C29)*(Matrice!$T$23:$DP$100="X"))=0,"",IF(SUMPRODUCT((Matrice!$D$23:$D$100='Actions de maîtrise'!W$5)*(Matrice!$T$21:$DP$21='Actions de maîtrise'!$C29)*(Matrice!$T$23:$DP$100="X"))=1,"X","erreur"))</f>
        <v/>
      </c>
      <c r="X29" s="276" t="str">
        <f>IF(SUMPRODUCT((Matrice!$D$23:$D$100='Actions de maîtrise'!X$5)*(Matrice!$T$21:$DP$21='Actions de maîtrise'!$C29)*(Matrice!$T$23:$DP$100="X"))=0,"",IF(SUMPRODUCT((Matrice!$D$23:$D$100='Actions de maîtrise'!X$5)*(Matrice!$T$21:$DP$21='Actions de maîtrise'!$C29)*(Matrice!$T$23:$DP$100="X"))=1,"X","erreur"))</f>
        <v/>
      </c>
      <c r="Y29" s="276" t="str">
        <f>IF(SUMPRODUCT((Matrice!$D$23:$D$100='Actions de maîtrise'!Y$5)*(Matrice!$T$21:$DP$21='Actions de maîtrise'!$C29)*(Matrice!$T$23:$DP$100="X"))=0,"",IF(SUMPRODUCT((Matrice!$D$23:$D$100='Actions de maîtrise'!Y$5)*(Matrice!$T$21:$DP$21='Actions de maîtrise'!$C29)*(Matrice!$T$23:$DP$100="X"))=1,"X","erreur"))</f>
        <v/>
      </c>
      <c r="Z29" s="276" t="str">
        <f>IF(SUMPRODUCT((Matrice!$D$23:$D$100='Actions de maîtrise'!Z$5)*(Matrice!$T$21:$DP$21='Actions de maîtrise'!$C29)*(Matrice!$T$23:$DP$100="X"))=0,"",IF(SUMPRODUCT((Matrice!$D$23:$D$100='Actions de maîtrise'!Z$5)*(Matrice!$T$21:$DP$21='Actions de maîtrise'!$C29)*(Matrice!$T$23:$DP$100="X"))=1,"X","erreur"))</f>
        <v/>
      </c>
      <c r="AA29" s="276" t="str">
        <f>IF(SUMPRODUCT((Matrice!$D$23:$D$100='Actions de maîtrise'!AA$5)*(Matrice!$T$21:$DP$21='Actions de maîtrise'!$C29)*(Matrice!$T$23:$DP$100="X"))=0,"",IF(SUMPRODUCT((Matrice!$D$23:$D$100='Actions de maîtrise'!AA$5)*(Matrice!$T$21:$DP$21='Actions de maîtrise'!$C29)*(Matrice!$T$23:$DP$100="X"))=1,"X","erreur"))</f>
        <v/>
      </c>
      <c r="AB29" s="276" t="str">
        <f>IF(SUMPRODUCT((Matrice!$D$23:$D$100='Actions de maîtrise'!AB$5)*(Matrice!$T$21:$DP$21='Actions de maîtrise'!$C29)*(Matrice!$T$23:$DP$100="X"))=0,"",IF(SUMPRODUCT((Matrice!$D$23:$D$100='Actions de maîtrise'!AB$5)*(Matrice!$T$21:$DP$21='Actions de maîtrise'!$C29)*(Matrice!$T$23:$DP$100="X"))=1,"X","erreur"))</f>
        <v/>
      </c>
      <c r="AC29" s="276" t="str">
        <f>IF(SUMPRODUCT((Matrice!$D$23:$D$100='Actions de maîtrise'!AC$5)*(Matrice!$T$21:$DP$21='Actions de maîtrise'!$C29)*(Matrice!$T$23:$DP$100="X"))=0,"",IF(SUMPRODUCT((Matrice!$D$23:$D$100='Actions de maîtrise'!AC$5)*(Matrice!$T$21:$DP$21='Actions de maîtrise'!$C29)*(Matrice!$T$23:$DP$100="X"))=1,"X","erreur"))</f>
        <v/>
      </c>
      <c r="AD29" s="276" t="str">
        <f>IF(SUMPRODUCT((Matrice!$D$23:$D$100='Actions de maîtrise'!AD$5)*(Matrice!$T$21:$DP$21='Actions de maîtrise'!$C29)*(Matrice!$T$23:$DP$100="X"))=0,"",IF(SUMPRODUCT((Matrice!$D$23:$D$100='Actions de maîtrise'!AD$5)*(Matrice!$T$21:$DP$21='Actions de maîtrise'!$C29)*(Matrice!$T$23:$DP$100="X"))=1,"X","erreur"))</f>
        <v/>
      </c>
      <c r="AE29" s="276" t="str">
        <f>IF(SUMPRODUCT((Matrice!$D$23:$D$100='Actions de maîtrise'!AE$5)*(Matrice!$T$21:$DP$21='Actions de maîtrise'!$C29)*(Matrice!$T$23:$DP$100="X"))=0,"",IF(SUMPRODUCT((Matrice!$D$23:$D$100='Actions de maîtrise'!AE$5)*(Matrice!$T$21:$DP$21='Actions de maîtrise'!$C29)*(Matrice!$T$23:$DP$100="X"))=1,"X","erreur"))</f>
        <v/>
      </c>
      <c r="AF29" s="276" t="str">
        <f>IF(SUMPRODUCT((Matrice!$D$23:$D$100='Actions de maîtrise'!AF$5)*(Matrice!$T$21:$DP$21='Actions de maîtrise'!$C29)*(Matrice!$T$23:$DP$100="X"))=0,"",IF(SUMPRODUCT((Matrice!$D$23:$D$100='Actions de maîtrise'!AF$5)*(Matrice!$T$21:$DP$21='Actions de maîtrise'!$C29)*(Matrice!$T$23:$DP$100="X"))=1,"X","erreur"))</f>
        <v/>
      </c>
      <c r="AG29" s="276" t="str">
        <f>IF(SUMPRODUCT((Matrice!$D$23:$D$100='Actions de maîtrise'!AG$5)*(Matrice!$T$21:$DP$21='Actions de maîtrise'!$C29)*(Matrice!$T$23:$DP$100="X"))=0,"",IF(SUMPRODUCT((Matrice!$D$23:$D$100='Actions de maîtrise'!AG$5)*(Matrice!$T$21:$DP$21='Actions de maîtrise'!$C29)*(Matrice!$T$23:$DP$100="X"))=1,"X","erreur"))</f>
        <v/>
      </c>
    </row>
    <row r="30" spans="2:33" ht="18" customHeight="1" x14ac:dyDescent="0.2">
      <c r="B30" s="309" t="str">
        <f>IF((COUNTIF(Matrice!$2:$2,Matrice!$G$1&amp;"-AM"&amp;Listes!A26)=1)=TRUE,Matrice!$G$1&amp;"-AM"&amp;Listes!A26,"")</f>
        <v/>
      </c>
      <c r="C30" s="178" t="str">
        <f>IF(IF(ISERROR(HLOOKUP(B30,Matrice!$A$2:$DP$100,20,FALSE)),"",HLOOKUP(B30,Matrice!$A$2:$DP$100,20,FALSE))="","",IF(ISERROR(HLOOKUP(B30,Matrice!$A$2:$DP$100,20,FALSE)),"-",HLOOKUP(B30,Matrice!$A$2:$DP$100,20,FALSE)))</f>
        <v/>
      </c>
      <c r="D30" s="179" t="str">
        <f>IF(IF(ISERROR(HLOOKUP(B30,Matrice!$A$2:$DP$100,3,FALSE)),"",HLOOKUP(B30,Matrice!$A$2:$DP$100,3,FALSE))="","",IF(ISERROR(HLOOKUP(B30,Matrice!$A$2:$DP$100,3,FALSE)),"-",HLOOKUP(B30,Matrice!$A$2:$DP$100,3,FALSE)))</f>
        <v/>
      </c>
      <c r="E30" s="305"/>
      <c r="F30" s="179" t="str">
        <f>IF(ISERROR(HLOOKUP($B30,Matrice!$A$2:$DP$100,4,FALSE)),"",IF(HLOOKUP($B30,Matrice!$A$2:$DP$100,4,FALSE)="","",HLOOKUP($B30,Matrice!$A$2:$DP$100,4,FALSE)))</f>
        <v/>
      </c>
      <c r="G30" s="179" t="str">
        <f>IF(ISERROR(HLOOKUP($B30,Matrice!$A$2:$DP$100,5,FALSE)),"",IF(HLOOKUP($B30,Matrice!$A$2:$DP$100,5,FALSE)="","",HLOOKUP($B30,Matrice!$A$2:$DP$100,5,FALSE)))</f>
        <v/>
      </c>
      <c r="H30" s="179" t="str">
        <f>IF(ISERROR(HLOOKUP($B30,Matrice!$A$2:$DP$100,6,FALSE)),"",IF(HLOOKUP($B30,Matrice!$A$2:$DP$100,6,FALSE)="","",HLOOKUP($B30,Matrice!$A$2:$DP$100,6,FALSE)))</f>
        <v/>
      </c>
      <c r="I30" s="179" t="str">
        <f>IF(ISERROR(HLOOKUP($B31,Matrice!$A$2:$DP$100,7,FALSE)),"",IF(HLOOKUP($B31,Matrice!$A$2:$DP$100,7,FALSE)="","",HLOOKUP($B31,Matrice!$A$2:$DP$100,7,FALSE)))</f>
        <v/>
      </c>
      <c r="J30" s="277" t="str">
        <f>IF(ISERROR(HLOOKUP($B30,Matrice!$A$2:$DP$100,12,FALSE)),"",IF(HLOOKUP($B30,Matrice!$A$2:$DP$100,12,FALSE)="","",HLOOKUP($B30,Matrice!$A$2:$DP$100,12,FALSE)))</f>
        <v/>
      </c>
      <c r="K30" s="277" t="str">
        <f>IF(ISERROR(HLOOKUP($B30,Matrice!$A$2:$DP$100,13,FALSE)),"",IF(HLOOKUP($B30,Matrice!$A$2:$DP$100,13,FALSE)="","",HLOOKUP($B30,Matrice!$A$2:$DP$100,13,FALSE)))</f>
        <v/>
      </c>
      <c r="L30" s="333" t="str">
        <f>IF(ISERROR(HLOOKUP($B30,Matrice!$A$2:$DP$100,9,FALSE)),"",IF(HLOOKUP($B30,Matrice!$A$2:$DP$100,9,FALSE)="","",HLOOKUP($B30,Matrice!$A$2:$DP$100,9,FALSE)))</f>
        <v/>
      </c>
      <c r="M30" s="333" t="str">
        <f>IF(ISERROR(HLOOKUP($B30,Matrice!$A$2:$DP$100,10,FALSE)),"",IF(HLOOKUP($B30,Matrice!$A$2:$DP$100,10,FALSE)="","",HLOOKUP($B30,Matrice!$A$2:$DP$100,10,FALSE)))</f>
        <v/>
      </c>
      <c r="N30" s="333" t="str">
        <f>IF(ISERROR(HLOOKUP($B30,Matrice!$A$2:$DP$100,11,FALSE)),"",IF(HLOOKUP($B30,Matrice!$A$2:$DP$100,11,FALSE)="","",HLOOKUP($B30,Matrice!$A$2:$DP$100,11,FALSE)))</f>
        <v/>
      </c>
      <c r="P30" s="276" t="str">
        <f>IF(SUMPRODUCT((Matrice!$D$23:$D$100='Actions de maîtrise'!P$5)*(Matrice!$T$21:$DP$21='Actions de maîtrise'!$C30)*(Matrice!$T$23:$DP$100="X"))=0,"",IF(SUMPRODUCT((Matrice!$D$23:$D$100='Actions de maîtrise'!P$5)*(Matrice!$T$21:$DP$21='Actions de maîtrise'!$C30)*(Matrice!$T$23:$DP$100="X"))=1,"X","erreur"))</f>
        <v/>
      </c>
      <c r="Q30" s="276" t="str">
        <f>IF(SUMPRODUCT((Matrice!$D$23:$D$100='Actions de maîtrise'!Q$5)*(Matrice!$T$21:$DP$21='Actions de maîtrise'!$C30)*(Matrice!$T$23:$DP$100="X"))=0,"",IF(SUMPRODUCT((Matrice!$D$23:$D$100='Actions de maîtrise'!Q$5)*(Matrice!$T$21:$DP$21='Actions de maîtrise'!$C30)*(Matrice!$T$23:$DP$100="X"))=1,"X","erreur"))</f>
        <v/>
      </c>
      <c r="R30" s="276" t="str">
        <f>IF(SUMPRODUCT((Matrice!$D$23:$D$100='Actions de maîtrise'!R$5)*(Matrice!$T$21:$DP$21='Actions de maîtrise'!$C30)*(Matrice!$T$23:$DP$100="X"))=0,"",IF(SUMPRODUCT((Matrice!$D$23:$D$100='Actions de maîtrise'!R$5)*(Matrice!$T$21:$DP$21='Actions de maîtrise'!$C30)*(Matrice!$T$23:$DP$100="X"))=1,"X","erreur"))</f>
        <v/>
      </c>
      <c r="S30" s="276" t="str">
        <f>IF(SUMPRODUCT((Matrice!$D$23:$D$100='Actions de maîtrise'!S$5)*(Matrice!$T$21:$DP$21='Actions de maîtrise'!$C30)*(Matrice!$T$23:$DP$100="X"))=0,"",IF(SUMPRODUCT((Matrice!$D$23:$D$100='Actions de maîtrise'!S$5)*(Matrice!$T$21:$DP$21='Actions de maîtrise'!$C30)*(Matrice!$T$23:$DP$100="X"))=1,"X","erreur"))</f>
        <v/>
      </c>
      <c r="T30" s="276" t="str">
        <f>IF(SUMPRODUCT((Matrice!$D$23:$D$100='Actions de maîtrise'!T$5)*(Matrice!$T$21:$DP$21='Actions de maîtrise'!$C30)*(Matrice!$T$23:$DP$100="X"))=0,"",IF(SUMPRODUCT((Matrice!$D$23:$D$100='Actions de maîtrise'!T$5)*(Matrice!$T$21:$DP$21='Actions de maîtrise'!$C30)*(Matrice!$T$23:$DP$100="X"))=1,"X","erreur"))</f>
        <v/>
      </c>
      <c r="U30" s="276" t="str">
        <f>IF(SUMPRODUCT((Matrice!$D$23:$D$100='Actions de maîtrise'!U$5)*(Matrice!$T$21:$DP$21='Actions de maîtrise'!$C30)*(Matrice!$T$23:$DP$100="X"))=0,"",IF(SUMPRODUCT((Matrice!$D$23:$D$100='Actions de maîtrise'!U$5)*(Matrice!$T$21:$DP$21='Actions de maîtrise'!$C30)*(Matrice!$T$23:$DP$100="X"))=1,"X","erreur"))</f>
        <v/>
      </c>
      <c r="V30" s="276" t="str">
        <f>IF(SUMPRODUCT((Matrice!$D$23:$D$100='Actions de maîtrise'!V$5)*(Matrice!$T$21:$DP$21='Actions de maîtrise'!$C30)*(Matrice!$T$23:$DP$100="X"))=0,"",IF(SUMPRODUCT((Matrice!$D$23:$D$100='Actions de maîtrise'!V$5)*(Matrice!$T$21:$DP$21='Actions de maîtrise'!$C30)*(Matrice!$T$23:$DP$100="X"))=1,"X","erreur"))</f>
        <v/>
      </c>
      <c r="W30" s="276" t="str">
        <f>IF(SUMPRODUCT((Matrice!$D$23:$D$100='Actions de maîtrise'!W$5)*(Matrice!$T$21:$DP$21='Actions de maîtrise'!$C30)*(Matrice!$T$23:$DP$100="X"))=0,"",IF(SUMPRODUCT((Matrice!$D$23:$D$100='Actions de maîtrise'!W$5)*(Matrice!$T$21:$DP$21='Actions de maîtrise'!$C30)*(Matrice!$T$23:$DP$100="X"))=1,"X","erreur"))</f>
        <v/>
      </c>
      <c r="X30" s="276" t="str">
        <f>IF(SUMPRODUCT((Matrice!$D$23:$D$100='Actions de maîtrise'!X$5)*(Matrice!$T$21:$DP$21='Actions de maîtrise'!$C30)*(Matrice!$T$23:$DP$100="X"))=0,"",IF(SUMPRODUCT((Matrice!$D$23:$D$100='Actions de maîtrise'!X$5)*(Matrice!$T$21:$DP$21='Actions de maîtrise'!$C30)*(Matrice!$T$23:$DP$100="X"))=1,"X","erreur"))</f>
        <v/>
      </c>
      <c r="Y30" s="276" t="str">
        <f>IF(SUMPRODUCT((Matrice!$D$23:$D$100='Actions de maîtrise'!Y$5)*(Matrice!$T$21:$DP$21='Actions de maîtrise'!$C30)*(Matrice!$T$23:$DP$100="X"))=0,"",IF(SUMPRODUCT((Matrice!$D$23:$D$100='Actions de maîtrise'!Y$5)*(Matrice!$T$21:$DP$21='Actions de maîtrise'!$C30)*(Matrice!$T$23:$DP$100="X"))=1,"X","erreur"))</f>
        <v/>
      </c>
      <c r="Z30" s="276" t="str">
        <f>IF(SUMPRODUCT((Matrice!$D$23:$D$100='Actions de maîtrise'!Z$5)*(Matrice!$T$21:$DP$21='Actions de maîtrise'!$C30)*(Matrice!$T$23:$DP$100="X"))=0,"",IF(SUMPRODUCT((Matrice!$D$23:$D$100='Actions de maîtrise'!Z$5)*(Matrice!$T$21:$DP$21='Actions de maîtrise'!$C30)*(Matrice!$T$23:$DP$100="X"))=1,"X","erreur"))</f>
        <v/>
      </c>
      <c r="AA30" s="276" t="str">
        <f>IF(SUMPRODUCT((Matrice!$D$23:$D$100='Actions de maîtrise'!AA$5)*(Matrice!$T$21:$DP$21='Actions de maîtrise'!$C30)*(Matrice!$T$23:$DP$100="X"))=0,"",IF(SUMPRODUCT((Matrice!$D$23:$D$100='Actions de maîtrise'!AA$5)*(Matrice!$T$21:$DP$21='Actions de maîtrise'!$C30)*(Matrice!$T$23:$DP$100="X"))=1,"X","erreur"))</f>
        <v/>
      </c>
      <c r="AB30" s="276" t="str">
        <f>IF(SUMPRODUCT((Matrice!$D$23:$D$100='Actions de maîtrise'!AB$5)*(Matrice!$T$21:$DP$21='Actions de maîtrise'!$C30)*(Matrice!$T$23:$DP$100="X"))=0,"",IF(SUMPRODUCT((Matrice!$D$23:$D$100='Actions de maîtrise'!AB$5)*(Matrice!$T$21:$DP$21='Actions de maîtrise'!$C30)*(Matrice!$T$23:$DP$100="X"))=1,"X","erreur"))</f>
        <v/>
      </c>
      <c r="AC30" s="276" t="str">
        <f>IF(SUMPRODUCT((Matrice!$D$23:$D$100='Actions de maîtrise'!AC$5)*(Matrice!$T$21:$DP$21='Actions de maîtrise'!$C30)*(Matrice!$T$23:$DP$100="X"))=0,"",IF(SUMPRODUCT((Matrice!$D$23:$D$100='Actions de maîtrise'!AC$5)*(Matrice!$T$21:$DP$21='Actions de maîtrise'!$C30)*(Matrice!$T$23:$DP$100="X"))=1,"X","erreur"))</f>
        <v/>
      </c>
      <c r="AD30" s="276" t="str">
        <f>IF(SUMPRODUCT((Matrice!$D$23:$D$100='Actions de maîtrise'!AD$5)*(Matrice!$T$21:$DP$21='Actions de maîtrise'!$C30)*(Matrice!$T$23:$DP$100="X"))=0,"",IF(SUMPRODUCT((Matrice!$D$23:$D$100='Actions de maîtrise'!AD$5)*(Matrice!$T$21:$DP$21='Actions de maîtrise'!$C30)*(Matrice!$T$23:$DP$100="X"))=1,"X","erreur"))</f>
        <v/>
      </c>
      <c r="AE30" s="276" t="str">
        <f>IF(SUMPRODUCT((Matrice!$D$23:$D$100='Actions de maîtrise'!AE$5)*(Matrice!$T$21:$DP$21='Actions de maîtrise'!$C30)*(Matrice!$T$23:$DP$100="X"))=0,"",IF(SUMPRODUCT((Matrice!$D$23:$D$100='Actions de maîtrise'!AE$5)*(Matrice!$T$21:$DP$21='Actions de maîtrise'!$C30)*(Matrice!$T$23:$DP$100="X"))=1,"X","erreur"))</f>
        <v/>
      </c>
      <c r="AF30" s="276" t="str">
        <f>IF(SUMPRODUCT((Matrice!$D$23:$D$100='Actions de maîtrise'!AF$5)*(Matrice!$T$21:$DP$21='Actions de maîtrise'!$C30)*(Matrice!$T$23:$DP$100="X"))=0,"",IF(SUMPRODUCT((Matrice!$D$23:$D$100='Actions de maîtrise'!AF$5)*(Matrice!$T$21:$DP$21='Actions de maîtrise'!$C30)*(Matrice!$T$23:$DP$100="X"))=1,"X","erreur"))</f>
        <v/>
      </c>
      <c r="AG30" s="276" t="str">
        <f>IF(SUMPRODUCT((Matrice!$D$23:$D$100='Actions de maîtrise'!AG$5)*(Matrice!$T$21:$DP$21='Actions de maîtrise'!$C30)*(Matrice!$T$23:$DP$100="X"))=0,"",IF(SUMPRODUCT((Matrice!$D$23:$D$100='Actions de maîtrise'!AG$5)*(Matrice!$T$21:$DP$21='Actions de maîtrise'!$C30)*(Matrice!$T$23:$DP$100="X"))=1,"X","erreur"))</f>
        <v/>
      </c>
    </row>
    <row r="31" spans="2:33" ht="18" customHeight="1" x14ac:dyDescent="0.2">
      <c r="B31" s="309" t="str">
        <f>IF((COUNTIF(Matrice!$2:$2,Matrice!$G$1&amp;"-AM"&amp;Listes!A27)=1)=TRUE,Matrice!$G$1&amp;"-AM"&amp;Listes!A27,"")</f>
        <v/>
      </c>
      <c r="C31" s="178" t="str">
        <f>IF(IF(ISERROR(HLOOKUP(B31,Matrice!$A$2:$DP$100,20,FALSE)),"",HLOOKUP(B31,Matrice!$A$2:$DP$100,20,FALSE))="","",IF(ISERROR(HLOOKUP(B31,Matrice!$A$2:$DP$100,20,FALSE)),"-",HLOOKUP(B31,Matrice!$A$2:$DP$100,20,FALSE)))</f>
        <v/>
      </c>
      <c r="D31" s="179" t="str">
        <f>IF(IF(ISERROR(HLOOKUP(B31,Matrice!$A$2:$DP$100,3,FALSE)),"",HLOOKUP(B31,Matrice!$A$2:$DP$100,3,FALSE))="","",IF(ISERROR(HLOOKUP(B31,Matrice!$A$2:$DP$100,3,FALSE)),"-",HLOOKUP(B31,Matrice!$A$2:$DP$100,3,FALSE)))</f>
        <v/>
      </c>
      <c r="E31" s="305"/>
      <c r="F31" s="179" t="str">
        <f>IF(ISERROR(HLOOKUP($B31,Matrice!$A$2:$DP$100,4,FALSE)),"",IF(HLOOKUP($B31,Matrice!$A$2:$DP$100,4,FALSE)="","",HLOOKUP($B31,Matrice!$A$2:$DP$100,4,FALSE)))</f>
        <v/>
      </c>
      <c r="G31" s="179" t="str">
        <f>IF(ISERROR(HLOOKUP($B31,Matrice!$A$2:$DP$100,5,FALSE)),"",IF(HLOOKUP($B31,Matrice!$A$2:$DP$100,5,FALSE)="","",HLOOKUP($B31,Matrice!$A$2:$DP$100,5,FALSE)))</f>
        <v/>
      </c>
      <c r="H31" s="179" t="str">
        <f>IF(ISERROR(HLOOKUP($B31,Matrice!$A$2:$DP$100,6,FALSE)),"",IF(HLOOKUP($B31,Matrice!$A$2:$DP$100,6,FALSE)="","",HLOOKUP($B31,Matrice!$A$2:$DP$100,6,FALSE)))</f>
        <v/>
      </c>
      <c r="I31" s="179" t="str">
        <f>IF(ISERROR(HLOOKUP($B32,Matrice!$A$2:$DP$100,7,FALSE)),"",IF(HLOOKUP($B32,Matrice!$A$2:$DP$100,7,FALSE)="","",HLOOKUP($B32,Matrice!$A$2:$DP$100,7,FALSE)))</f>
        <v/>
      </c>
      <c r="J31" s="277" t="str">
        <f>IF(ISERROR(HLOOKUP($B31,Matrice!$A$2:$DP$100,12,FALSE)),"",IF(HLOOKUP($B31,Matrice!$A$2:$DP$100,12,FALSE)="","",HLOOKUP($B31,Matrice!$A$2:$DP$100,12,FALSE)))</f>
        <v/>
      </c>
      <c r="K31" s="277" t="str">
        <f>IF(ISERROR(HLOOKUP($B31,Matrice!$A$2:$DP$100,13,FALSE)),"",IF(HLOOKUP($B31,Matrice!$A$2:$DP$100,13,FALSE)="","",HLOOKUP($B31,Matrice!$A$2:$DP$100,13,FALSE)))</f>
        <v/>
      </c>
      <c r="L31" s="333" t="str">
        <f>IF(ISERROR(HLOOKUP($B31,Matrice!$A$2:$DP$100,9,FALSE)),"",IF(HLOOKUP($B31,Matrice!$A$2:$DP$100,9,FALSE)="","",HLOOKUP($B31,Matrice!$A$2:$DP$100,9,FALSE)))</f>
        <v/>
      </c>
      <c r="M31" s="333" t="str">
        <f>IF(ISERROR(HLOOKUP($B31,Matrice!$A$2:$DP$100,10,FALSE)),"",IF(HLOOKUP($B31,Matrice!$A$2:$DP$100,10,FALSE)="","",HLOOKUP($B31,Matrice!$A$2:$DP$100,10,FALSE)))</f>
        <v/>
      </c>
      <c r="N31" s="333" t="str">
        <f>IF(ISERROR(HLOOKUP($B31,Matrice!$A$2:$DP$100,11,FALSE)),"",IF(HLOOKUP($B31,Matrice!$A$2:$DP$100,11,FALSE)="","",HLOOKUP($B31,Matrice!$A$2:$DP$100,11,FALSE)))</f>
        <v/>
      </c>
      <c r="P31" s="276" t="str">
        <f>IF(SUMPRODUCT((Matrice!$D$23:$D$100='Actions de maîtrise'!P$5)*(Matrice!$T$21:$DP$21='Actions de maîtrise'!$C31)*(Matrice!$T$23:$DP$100="X"))=0,"",IF(SUMPRODUCT((Matrice!$D$23:$D$100='Actions de maîtrise'!P$5)*(Matrice!$T$21:$DP$21='Actions de maîtrise'!$C31)*(Matrice!$T$23:$DP$100="X"))=1,"X","erreur"))</f>
        <v/>
      </c>
      <c r="Q31" s="276" t="str">
        <f>IF(SUMPRODUCT((Matrice!$D$23:$D$100='Actions de maîtrise'!Q$5)*(Matrice!$T$21:$DP$21='Actions de maîtrise'!$C31)*(Matrice!$T$23:$DP$100="X"))=0,"",IF(SUMPRODUCT((Matrice!$D$23:$D$100='Actions de maîtrise'!Q$5)*(Matrice!$T$21:$DP$21='Actions de maîtrise'!$C31)*(Matrice!$T$23:$DP$100="X"))=1,"X","erreur"))</f>
        <v/>
      </c>
      <c r="R31" s="276" t="str">
        <f>IF(SUMPRODUCT((Matrice!$D$23:$D$100='Actions de maîtrise'!R$5)*(Matrice!$T$21:$DP$21='Actions de maîtrise'!$C31)*(Matrice!$T$23:$DP$100="X"))=0,"",IF(SUMPRODUCT((Matrice!$D$23:$D$100='Actions de maîtrise'!R$5)*(Matrice!$T$21:$DP$21='Actions de maîtrise'!$C31)*(Matrice!$T$23:$DP$100="X"))=1,"X","erreur"))</f>
        <v/>
      </c>
      <c r="S31" s="276" t="str">
        <f>IF(SUMPRODUCT((Matrice!$D$23:$D$100='Actions de maîtrise'!S$5)*(Matrice!$T$21:$DP$21='Actions de maîtrise'!$C31)*(Matrice!$T$23:$DP$100="X"))=0,"",IF(SUMPRODUCT((Matrice!$D$23:$D$100='Actions de maîtrise'!S$5)*(Matrice!$T$21:$DP$21='Actions de maîtrise'!$C31)*(Matrice!$T$23:$DP$100="X"))=1,"X","erreur"))</f>
        <v/>
      </c>
      <c r="T31" s="276" t="str">
        <f>IF(SUMPRODUCT((Matrice!$D$23:$D$100='Actions de maîtrise'!T$5)*(Matrice!$T$21:$DP$21='Actions de maîtrise'!$C31)*(Matrice!$T$23:$DP$100="X"))=0,"",IF(SUMPRODUCT((Matrice!$D$23:$D$100='Actions de maîtrise'!T$5)*(Matrice!$T$21:$DP$21='Actions de maîtrise'!$C31)*(Matrice!$T$23:$DP$100="X"))=1,"X","erreur"))</f>
        <v/>
      </c>
      <c r="U31" s="276" t="str">
        <f>IF(SUMPRODUCT((Matrice!$D$23:$D$100='Actions de maîtrise'!U$5)*(Matrice!$T$21:$DP$21='Actions de maîtrise'!$C31)*(Matrice!$T$23:$DP$100="X"))=0,"",IF(SUMPRODUCT((Matrice!$D$23:$D$100='Actions de maîtrise'!U$5)*(Matrice!$T$21:$DP$21='Actions de maîtrise'!$C31)*(Matrice!$T$23:$DP$100="X"))=1,"X","erreur"))</f>
        <v/>
      </c>
      <c r="V31" s="276" t="str">
        <f>IF(SUMPRODUCT((Matrice!$D$23:$D$100='Actions de maîtrise'!V$5)*(Matrice!$T$21:$DP$21='Actions de maîtrise'!$C31)*(Matrice!$T$23:$DP$100="X"))=0,"",IF(SUMPRODUCT((Matrice!$D$23:$D$100='Actions de maîtrise'!V$5)*(Matrice!$T$21:$DP$21='Actions de maîtrise'!$C31)*(Matrice!$T$23:$DP$100="X"))=1,"X","erreur"))</f>
        <v/>
      </c>
      <c r="W31" s="276" t="str">
        <f>IF(SUMPRODUCT((Matrice!$D$23:$D$100='Actions de maîtrise'!W$5)*(Matrice!$T$21:$DP$21='Actions de maîtrise'!$C31)*(Matrice!$T$23:$DP$100="X"))=0,"",IF(SUMPRODUCT((Matrice!$D$23:$D$100='Actions de maîtrise'!W$5)*(Matrice!$T$21:$DP$21='Actions de maîtrise'!$C31)*(Matrice!$T$23:$DP$100="X"))=1,"X","erreur"))</f>
        <v/>
      </c>
      <c r="X31" s="276" t="str">
        <f>IF(SUMPRODUCT((Matrice!$D$23:$D$100='Actions de maîtrise'!X$5)*(Matrice!$T$21:$DP$21='Actions de maîtrise'!$C31)*(Matrice!$T$23:$DP$100="X"))=0,"",IF(SUMPRODUCT((Matrice!$D$23:$D$100='Actions de maîtrise'!X$5)*(Matrice!$T$21:$DP$21='Actions de maîtrise'!$C31)*(Matrice!$T$23:$DP$100="X"))=1,"X","erreur"))</f>
        <v/>
      </c>
      <c r="Y31" s="276" t="str">
        <f>IF(SUMPRODUCT((Matrice!$D$23:$D$100='Actions de maîtrise'!Y$5)*(Matrice!$T$21:$DP$21='Actions de maîtrise'!$C31)*(Matrice!$T$23:$DP$100="X"))=0,"",IF(SUMPRODUCT((Matrice!$D$23:$D$100='Actions de maîtrise'!Y$5)*(Matrice!$T$21:$DP$21='Actions de maîtrise'!$C31)*(Matrice!$T$23:$DP$100="X"))=1,"X","erreur"))</f>
        <v/>
      </c>
      <c r="Z31" s="276" t="str">
        <f>IF(SUMPRODUCT((Matrice!$D$23:$D$100='Actions de maîtrise'!Z$5)*(Matrice!$T$21:$DP$21='Actions de maîtrise'!$C31)*(Matrice!$T$23:$DP$100="X"))=0,"",IF(SUMPRODUCT((Matrice!$D$23:$D$100='Actions de maîtrise'!Z$5)*(Matrice!$T$21:$DP$21='Actions de maîtrise'!$C31)*(Matrice!$T$23:$DP$100="X"))=1,"X","erreur"))</f>
        <v/>
      </c>
      <c r="AA31" s="276" t="str">
        <f>IF(SUMPRODUCT((Matrice!$D$23:$D$100='Actions de maîtrise'!AA$5)*(Matrice!$T$21:$DP$21='Actions de maîtrise'!$C31)*(Matrice!$T$23:$DP$100="X"))=0,"",IF(SUMPRODUCT((Matrice!$D$23:$D$100='Actions de maîtrise'!AA$5)*(Matrice!$T$21:$DP$21='Actions de maîtrise'!$C31)*(Matrice!$T$23:$DP$100="X"))=1,"X","erreur"))</f>
        <v/>
      </c>
      <c r="AB31" s="276" t="str">
        <f>IF(SUMPRODUCT((Matrice!$D$23:$D$100='Actions de maîtrise'!AB$5)*(Matrice!$T$21:$DP$21='Actions de maîtrise'!$C31)*(Matrice!$T$23:$DP$100="X"))=0,"",IF(SUMPRODUCT((Matrice!$D$23:$D$100='Actions de maîtrise'!AB$5)*(Matrice!$T$21:$DP$21='Actions de maîtrise'!$C31)*(Matrice!$T$23:$DP$100="X"))=1,"X","erreur"))</f>
        <v/>
      </c>
      <c r="AC31" s="276" t="str">
        <f>IF(SUMPRODUCT((Matrice!$D$23:$D$100='Actions de maîtrise'!AC$5)*(Matrice!$T$21:$DP$21='Actions de maîtrise'!$C31)*(Matrice!$T$23:$DP$100="X"))=0,"",IF(SUMPRODUCT((Matrice!$D$23:$D$100='Actions de maîtrise'!AC$5)*(Matrice!$T$21:$DP$21='Actions de maîtrise'!$C31)*(Matrice!$T$23:$DP$100="X"))=1,"X","erreur"))</f>
        <v/>
      </c>
      <c r="AD31" s="276" t="str">
        <f>IF(SUMPRODUCT((Matrice!$D$23:$D$100='Actions de maîtrise'!AD$5)*(Matrice!$T$21:$DP$21='Actions de maîtrise'!$C31)*(Matrice!$T$23:$DP$100="X"))=0,"",IF(SUMPRODUCT((Matrice!$D$23:$D$100='Actions de maîtrise'!AD$5)*(Matrice!$T$21:$DP$21='Actions de maîtrise'!$C31)*(Matrice!$T$23:$DP$100="X"))=1,"X","erreur"))</f>
        <v/>
      </c>
      <c r="AE31" s="276" t="str">
        <f>IF(SUMPRODUCT((Matrice!$D$23:$D$100='Actions de maîtrise'!AE$5)*(Matrice!$T$21:$DP$21='Actions de maîtrise'!$C31)*(Matrice!$T$23:$DP$100="X"))=0,"",IF(SUMPRODUCT((Matrice!$D$23:$D$100='Actions de maîtrise'!AE$5)*(Matrice!$T$21:$DP$21='Actions de maîtrise'!$C31)*(Matrice!$T$23:$DP$100="X"))=1,"X","erreur"))</f>
        <v/>
      </c>
      <c r="AF31" s="276" t="str">
        <f>IF(SUMPRODUCT((Matrice!$D$23:$D$100='Actions de maîtrise'!AF$5)*(Matrice!$T$21:$DP$21='Actions de maîtrise'!$C31)*(Matrice!$T$23:$DP$100="X"))=0,"",IF(SUMPRODUCT((Matrice!$D$23:$D$100='Actions de maîtrise'!AF$5)*(Matrice!$T$21:$DP$21='Actions de maîtrise'!$C31)*(Matrice!$T$23:$DP$100="X"))=1,"X","erreur"))</f>
        <v/>
      </c>
      <c r="AG31" s="276" t="str">
        <f>IF(SUMPRODUCT((Matrice!$D$23:$D$100='Actions de maîtrise'!AG$5)*(Matrice!$T$21:$DP$21='Actions de maîtrise'!$C31)*(Matrice!$T$23:$DP$100="X"))=0,"",IF(SUMPRODUCT((Matrice!$D$23:$D$100='Actions de maîtrise'!AG$5)*(Matrice!$T$21:$DP$21='Actions de maîtrise'!$C31)*(Matrice!$T$23:$DP$100="X"))=1,"X","erreur"))</f>
        <v/>
      </c>
    </row>
    <row r="32" spans="2:33" ht="18" customHeight="1" x14ac:dyDescent="0.2">
      <c r="B32" s="309" t="str">
        <f>IF((COUNTIF(Matrice!$2:$2,Matrice!$G$1&amp;"-AM"&amp;Listes!A28)=1)=TRUE,Matrice!$G$1&amp;"-AM"&amp;Listes!A28,"")</f>
        <v/>
      </c>
      <c r="C32" s="178" t="str">
        <f>IF(IF(ISERROR(HLOOKUP(B32,Matrice!$A$2:$DP$100,20,FALSE)),"",HLOOKUP(B32,Matrice!$A$2:$DP$100,20,FALSE))="","",IF(ISERROR(HLOOKUP(B32,Matrice!$A$2:$DP$100,20,FALSE)),"-",HLOOKUP(B32,Matrice!$A$2:$DP$100,20,FALSE)))</f>
        <v/>
      </c>
      <c r="D32" s="179" t="str">
        <f>IF(IF(ISERROR(HLOOKUP(B32,Matrice!$A$2:$DP$100,3,FALSE)),"",HLOOKUP(B32,Matrice!$A$2:$DP$100,3,FALSE))="","",IF(ISERROR(HLOOKUP(B32,Matrice!$A$2:$DP$100,3,FALSE)),"-",HLOOKUP(B32,Matrice!$A$2:$DP$100,3,FALSE)))</f>
        <v/>
      </c>
      <c r="E32" s="305"/>
      <c r="F32" s="179" t="str">
        <f>IF(ISERROR(HLOOKUP($B32,Matrice!$A$2:$DP$100,4,FALSE)),"",IF(HLOOKUP($B32,Matrice!$A$2:$DP$100,4,FALSE)="","",HLOOKUP($B32,Matrice!$A$2:$DP$100,4,FALSE)))</f>
        <v/>
      </c>
      <c r="G32" s="179" t="str">
        <f>IF(ISERROR(HLOOKUP($B32,Matrice!$A$2:$DP$100,5,FALSE)),"",IF(HLOOKUP($B32,Matrice!$A$2:$DP$100,5,FALSE)="","",HLOOKUP($B32,Matrice!$A$2:$DP$100,5,FALSE)))</f>
        <v/>
      </c>
      <c r="H32" s="179" t="str">
        <f>IF(ISERROR(HLOOKUP($B32,Matrice!$A$2:$DP$100,6,FALSE)),"",IF(HLOOKUP($B32,Matrice!$A$2:$DP$100,6,FALSE)="","",HLOOKUP($B32,Matrice!$A$2:$DP$100,6,FALSE)))</f>
        <v/>
      </c>
      <c r="I32" s="179" t="str">
        <f>IF(ISERROR(HLOOKUP($B33,Matrice!$A$2:$DP$100,7,FALSE)),"",IF(HLOOKUP($B33,Matrice!$A$2:$DP$100,7,FALSE)="","",HLOOKUP($B33,Matrice!$A$2:$DP$100,7,FALSE)))</f>
        <v/>
      </c>
      <c r="J32" s="277" t="str">
        <f>IF(ISERROR(HLOOKUP($B32,Matrice!$A$2:$DP$100,12,FALSE)),"",IF(HLOOKUP($B32,Matrice!$A$2:$DP$100,12,FALSE)="","",HLOOKUP($B32,Matrice!$A$2:$DP$100,12,FALSE)))</f>
        <v/>
      </c>
      <c r="K32" s="277" t="str">
        <f>IF(ISERROR(HLOOKUP($B32,Matrice!$A$2:$DP$100,13,FALSE)),"",IF(HLOOKUP($B32,Matrice!$A$2:$DP$100,13,FALSE)="","",HLOOKUP($B32,Matrice!$A$2:$DP$100,13,FALSE)))</f>
        <v/>
      </c>
      <c r="L32" s="333" t="str">
        <f>IF(ISERROR(HLOOKUP($B32,Matrice!$A$2:$DP$100,9,FALSE)),"",IF(HLOOKUP($B32,Matrice!$A$2:$DP$100,9,FALSE)="","",HLOOKUP($B32,Matrice!$A$2:$DP$100,9,FALSE)))</f>
        <v/>
      </c>
      <c r="M32" s="333" t="str">
        <f>IF(ISERROR(HLOOKUP($B32,Matrice!$A$2:$DP$100,10,FALSE)),"",IF(HLOOKUP($B32,Matrice!$A$2:$DP$100,10,FALSE)="","",HLOOKUP($B32,Matrice!$A$2:$DP$100,10,FALSE)))</f>
        <v/>
      </c>
      <c r="N32" s="333" t="str">
        <f>IF(ISERROR(HLOOKUP($B32,Matrice!$A$2:$DP$100,11,FALSE)),"",IF(HLOOKUP($B32,Matrice!$A$2:$DP$100,11,FALSE)="","",HLOOKUP($B32,Matrice!$A$2:$DP$100,11,FALSE)))</f>
        <v/>
      </c>
      <c r="P32" s="276" t="str">
        <f>IF(SUMPRODUCT((Matrice!$D$23:$D$100='Actions de maîtrise'!P$5)*(Matrice!$T$21:$DP$21='Actions de maîtrise'!$C32)*(Matrice!$T$23:$DP$100="X"))=0,"",IF(SUMPRODUCT((Matrice!$D$23:$D$100='Actions de maîtrise'!P$5)*(Matrice!$T$21:$DP$21='Actions de maîtrise'!$C32)*(Matrice!$T$23:$DP$100="X"))=1,"X","erreur"))</f>
        <v/>
      </c>
      <c r="Q32" s="276" t="str">
        <f>IF(SUMPRODUCT((Matrice!$D$23:$D$100='Actions de maîtrise'!Q$5)*(Matrice!$T$21:$DP$21='Actions de maîtrise'!$C32)*(Matrice!$T$23:$DP$100="X"))=0,"",IF(SUMPRODUCT((Matrice!$D$23:$D$100='Actions de maîtrise'!Q$5)*(Matrice!$T$21:$DP$21='Actions de maîtrise'!$C32)*(Matrice!$T$23:$DP$100="X"))=1,"X","erreur"))</f>
        <v/>
      </c>
      <c r="R32" s="276" t="str">
        <f>IF(SUMPRODUCT((Matrice!$D$23:$D$100='Actions de maîtrise'!R$5)*(Matrice!$T$21:$DP$21='Actions de maîtrise'!$C32)*(Matrice!$T$23:$DP$100="X"))=0,"",IF(SUMPRODUCT((Matrice!$D$23:$D$100='Actions de maîtrise'!R$5)*(Matrice!$T$21:$DP$21='Actions de maîtrise'!$C32)*(Matrice!$T$23:$DP$100="X"))=1,"X","erreur"))</f>
        <v/>
      </c>
      <c r="S32" s="276" t="str">
        <f>IF(SUMPRODUCT((Matrice!$D$23:$D$100='Actions de maîtrise'!S$5)*(Matrice!$T$21:$DP$21='Actions de maîtrise'!$C32)*(Matrice!$T$23:$DP$100="X"))=0,"",IF(SUMPRODUCT((Matrice!$D$23:$D$100='Actions de maîtrise'!S$5)*(Matrice!$T$21:$DP$21='Actions de maîtrise'!$C32)*(Matrice!$T$23:$DP$100="X"))=1,"X","erreur"))</f>
        <v/>
      </c>
      <c r="T32" s="276" t="str">
        <f>IF(SUMPRODUCT((Matrice!$D$23:$D$100='Actions de maîtrise'!T$5)*(Matrice!$T$21:$DP$21='Actions de maîtrise'!$C32)*(Matrice!$T$23:$DP$100="X"))=0,"",IF(SUMPRODUCT((Matrice!$D$23:$D$100='Actions de maîtrise'!T$5)*(Matrice!$T$21:$DP$21='Actions de maîtrise'!$C32)*(Matrice!$T$23:$DP$100="X"))=1,"X","erreur"))</f>
        <v/>
      </c>
      <c r="U32" s="276" t="str">
        <f>IF(SUMPRODUCT((Matrice!$D$23:$D$100='Actions de maîtrise'!U$5)*(Matrice!$T$21:$DP$21='Actions de maîtrise'!$C32)*(Matrice!$T$23:$DP$100="X"))=0,"",IF(SUMPRODUCT((Matrice!$D$23:$D$100='Actions de maîtrise'!U$5)*(Matrice!$T$21:$DP$21='Actions de maîtrise'!$C32)*(Matrice!$T$23:$DP$100="X"))=1,"X","erreur"))</f>
        <v/>
      </c>
      <c r="V32" s="276" t="str">
        <f>IF(SUMPRODUCT((Matrice!$D$23:$D$100='Actions de maîtrise'!V$5)*(Matrice!$T$21:$DP$21='Actions de maîtrise'!$C32)*(Matrice!$T$23:$DP$100="X"))=0,"",IF(SUMPRODUCT((Matrice!$D$23:$D$100='Actions de maîtrise'!V$5)*(Matrice!$T$21:$DP$21='Actions de maîtrise'!$C32)*(Matrice!$T$23:$DP$100="X"))=1,"X","erreur"))</f>
        <v/>
      </c>
      <c r="W32" s="276" t="str">
        <f>IF(SUMPRODUCT((Matrice!$D$23:$D$100='Actions de maîtrise'!W$5)*(Matrice!$T$21:$DP$21='Actions de maîtrise'!$C32)*(Matrice!$T$23:$DP$100="X"))=0,"",IF(SUMPRODUCT((Matrice!$D$23:$D$100='Actions de maîtrise'!W$5)*(Matrice!$T$21:$DP$21='Actions de maîtrise'!$C32)*(Matrice!$T$23:$DP$100="X"))=1,"X","erreur"))</f>
        <v/>
      </c>
      <c r="X32" s="276" t="str">
        <f>IF(SUMPRODUCT((Matrice!$D$23:$D$100='Actions de maîtrise'!X$5)*(Matrice!$T$21:$DP$21='Actions de maîtrise'!$C32)*(Matrice!$T$23:$DP$100="X"))=0,"",IF(SUMPRODUCT((Matrice!$D$23:$D$100='Actions de maîtrise'!X$5)*(Matrice!$T$21:$DP$21='Actions de maîtrise'!$C32)*(Matrice!$T$23:$DP$100="X"))=1,"X","erreur"))</f>
        <v/>
      </c>
      <c r="Y32" s="276" t="str">
        <f>IF(SUMPRODUCT((Matrice!$D$23:$D$100='Actions de maîtrise'!Y$5)*(Matrice!$T$21:$DP$21='Actions de maîtrise'!$C32)*(Matrice!$T$23:$DP$100="X"))=0,"",IF(SUMPRODUCT((Matrice!$D$23:$D$100='Actions de maîtrise'!Y$5)*(Matrice!$T$21:$DP$21='Actions de maîtrise'!$C32)*(Matrice!$T$23:$DP$100="X"))=1,"X","erreur"))</f>
        <v/>
      </c>
      <c r="Z32" s="276" t="str">
        <f>IF(SUMPRODUCT((Matrice!$D$23:$D$100='Actions de maîtrise'!Z$5)*(Matrice!$T$21:$DP$21='Actions de maîtrise'!$C32)*(Matrice!$T$23:$DP$100="X"))=0,"",IF(SUMPRODUCT((Matrice!$D$23:$D$100='Actions de maîtrise'!Z$5)*(Matrice!$T$21:$DP$21='Actions de maîtrise'!$C32)*(Matrice!$T$23:$DP$100="X"))=1,"X","erreur"))</f>
        <v/>
      </c>
      <c r="AA32" s="276" t="str">
        <f>IF(SUMPRODUCT((Matrice!$D$23:$D$100='Actions de maîtrise'!AA$5)*(Matrice!$T$21:$DP$21='Actions de maîtrise'!$C32)*(Matrice!$T$23:$DP$100="X"))=0,"",IF(SUMPRODUCT((Matrice!$D$23:$D$100='Actions de maîtrise'!AA$5)*(Matrice!$T$21:$DP$21='Actions de maîtrise'!$C32)*(Matrice!$T$23:$DP$100="X"))=1,"X","erreur"))</f>
        <v/>
      </c>
      <c r="AB32" s="276" t="str">
        <f>IF(SUMPRODUCT((Matrice!$D$23:$D$100='Actions de maîtrise'!AB$5)*(Matrice!$T$21:$DP$21='Actions de maîtrise'!$C32)*(Matrice!$T$23:$DP$100="X"))=0,"",IF(SUMPRODUCT((Matrice!$D$23:$D$100='Actions de maîtrise'!AB$5)*(Matrice!$T$21:$DP$21='Actions de maîtrise'!$C32)*(Matrice!$T$23:$DP$100="X"))=1,"X","erreur"))</f>
        <v/>
      </c>
      <c r="AC32" s="276" t="str">
        <f>IF(SUMPRODUCT((Matrice!$D$23:$D$100='Actions de maîtrise'!AC$5)*(Matrice!$T$21:$DP$21='Actions de maîtrise'!$C32)*(Matrice!$T$23:$DP$100="X"))=0,"",IF(SUMPRODUCT((Matrice!$D$23:$D$100='Actions de maîtrise'!AC$5)*(Matrice!$T$21:$DP$21='Actions de maîtrise'!$C32)*(Matrice!$T$23:$DP$100="X"))=1,"X","erreur"))</f>
        <v/>
      </c>
      <c r="AD32" s="276" t="str">
        <f>IF(SUMPRODUCT((Matrice!$D$23:$D$100='Actions de maîtrise'!AD$5)*(Matrice!$T$21:$DP$21='Actions de maîtrise'!$C32)*(Matrice!$T$23:$DP$100="X"))=0,"",IF(SUMPRODUCT((Matrice!$D$23:$D$100='Actions de maîtrise'!AD$5)*(Matrice!$T$21:$DP$21='Actions de maîtrise'!$C32)*(Matrice!$T$23:$DP$100="X"))=1,"X","erreur"))</f>
        <v/>
      </c>
      <c r="AE32" s="276" t="str">
        <f>IF(SUMPRODUCT((Matrice!$D$23:$D$100='Actions de maîtrise'!AE$5)*(Matrice!$T$21:$DP$21='Actions de maîtrise'!$C32)*(Matrice!$T$23:$DP$100="X"))=0,"",IF(SUMPRODUCT((Matrice!$D$23:$D$100='Actions de maîtrise'!AE$5)*(Matrice!$T$21:$DP$21='Actions de maîtrise'!$C32)*(Matrice!$T$23:$DP$100="X"))=1,"X","erreur"))</f>
        <v/>
      </c>
      <c r="AF32" s="276" t="str">
        <f>IF(SUMPRODUCT((Matrice!$D$23:$D$100='Actions de maîtrise'!AF$5)*(Matrice!$T$21:$DP$21='Actions de maîtrise'!$C32)*(Matrice!$T$23:$DP$100="X"))=0,"",IF(SUMPRODUCT((Matrice!$D$23:$D$100='Actions de maîtrise'!AF$5)*(Matrice!$T$21:$DP$21='Actions de maîtrise'!$C32)*(Matrice!$T$23:$DP$100="X"))=1,"X","erreur"))</f>
        <v/>
      </c>
      <c r="AG32" s="276" t="str">
        <f>IF(SUMPRODUCT((Matrice!$D$23:$D$100='Actions de maîtrise'!AG$5)*(Matrice!$T$21:$DP$21='Actions de maîtrise'!$C32)*(Matrice!$T$23:$DP$100="X"))=0,"",IF(SUMPRODUCT((Matrice!$D$23:$D$100='Actions de maîtrise'!AG$5)*(Matrice!$T$21:$DP$21='Actions de maîtrise'!$C32)*(Matrice!$T$23:$DP$100="X"))=1,"X","erreur"))</f>
        <v/>
      </c>
    </row>
    <row r="33" spans="2:33" ht="18" customHeight="1" x14ac:dyDescent="0.2">
      <c r="B33" s="309" t="str">
        <f>IF((COUNTIF(Matrice!$2:$2,Matrice!$G$1&amp;"-AM"&amp;Listes!A29)=1)=TRUE,Matrice!$G$1&amp;"-AM"&amp;Listes!A29,"")</f>
        <v/>
      </c>
      <c r="C33" s="178" t="str">
        <f>IF(IF(ISERROR(HLOOKUP(B33,Matrice!$A$2:$DP$100,20,FALSE)),"",HLOOKUP(B33,Matrice!$A$2:$DP$100,20,FALSE))="","",IF(ISERROR(HLOOKUP(B33,Matrice!$A$2:$DP$100,20,FALSE)),"-",HLOOKUP(B33,Matrice!$A$2:$DP$100,20,FALSE)))</f>
        <v/>
      </c>
      <c r="D33" s="179" t="str">
        <f>IF(IF(ISERROR(HLOOKUP(B33,Matrice!$A$2:$DP$100,3,FALSE)),"",HLOOKUP(B33,Matrice!$A$2:$DP$100,3,FALSE))="","",IF(ISERROR(HLOOKUP(B33,Matrice!$A$2:$DP$100,3,FALSE)),"-",HLOOKUP(B33,Matrice!$A$2:$DP$100,3,FALSE)))</f>
        <v/>
      </c>
      <c r="E33" s="305"/>
      <c r="F33" s="179" t="str">
        <f>IF(ISERROR(HLOOKUP($B33,Matrice!$A$2:$DP$100,4,FALSE)),"",IF(HLOOKUP($B33,Matrice!$A$2:$DP$100,4,FALSE)="","",HLOOKUP($B33,Matrice!$A$2:$DP$100,4,FALSE)))</f>
        <v/>
      </c>
      <c r="G33" s="179" t="str">
        <f>IF(ISERROR(HLOOKUP($B33,Matrice!$A$2:$DP$100,5,FALSE)),"",IF(HLOOKUP($B33,Matrice!$A$2:$DP$100,5,FALSE)="","",HLOOKUP($B33,Matrice!$A$2:$DP$100,5,FALSE)))</f>
        <v/>
      </c>
      <c r="H33" s="179" t="str">
        <f>IF(ISERROR(HLOOKUP($B33,Matrice!$A$2:$DP$100,6,FALSE)),"",IF(HLOOKUP($B33,Matrice!$A$2:$DP$100,6,FALSE)="","",HLOOKUP($B33,Matrice!$A$2:$DP$100,6,FALSE)))</f>
        <v/>
      </c>
      <c r="I33" s="179" t="str">
        <f>IF(ISERROR(HLOOKUP($B34,Matrice!$A$2:$DP$100,7,FALSE)),"",IF(HLOOKUP($B34,Matrice!$A$2:$DP$100,7,FALSE)="","",HLOOKUP($B34,Matrice!$A$2:$DP$100,7,FALSE)))</f>
        <v/>
      </c>
      <c r="J33" s="277" t="str">
        <f>IF(ISERROR(HLOOKUP($B33,Matrice!$A$2:$DP$100,12,FALSE)),"",IF(HLOOKUP($B33,Matrice!$A$2:$DP$100,12,FALSE)="","",HLOOKUP($B33,Matrice!$A$2:$DP$100,12,FALSE)))</f>
        <v/>
      </c>
      <c r="K33" s="277" t="str">
        <f>IF(ISERROR(HLOOKUP($B33,Matrice!$A$2:$DP$100,13,FALSE)),"",IF(HLOOKUP($B33,Matrice!$A$2:$DP$100,13,FALSE)="","",HLOOKUP($B33,Matrice!$A$2:$DP$100,13,FALSE)))</f>
        <v/>
      </c>
      <c r="L33" s="333" t="str">
        <f>IF(ISERROR(HLOOKUP($B33,Matrice!$A$2:$DP$100,9,FALSE)),"",IF(HLOOKUP($B33,Matrice!$A$2:$DP$100,9,FALSE)="","",HLOOKUP($B33,Matrice!$A$2:$DP$100,9,FALSE)))</f>
        <v/>
      </c>
      <c r="M33" s="333" t="str">
        <f>IF(ISERROR(HLOOKUP($B33,Matrice!$A$2:$DP$100,10,FALSE)),"",IF(HLOOKUP($B33,Matrice!$A$2:$DP$100,10,FALSE)="","",HLOOKUP($B33,Matrice!$A$2:$DP$100,10,FALSE)))</f>
        <v/>
      </c>
      <c r="N33" s="333" t="str">
        <f>IF(ISERROR(HLOOKUP($B33,Matrice!$A$2:$DP$100,11,FALSE)),"",IF(HLOOKUP($B33,Matrice!$A$2:$DP$100,11,FALSE)="","",HLOOKUP($B33,Matrice!$A$2:$DP$100,11,FALSE)))</f>
        <v/>
      </c>
      <c r="P33" s="276" t="str">
        <f>IF(SUMPRODUCT((Matrice!$D$23:$D$100='Actions de maîtrise'!P$5)*(Matrice!$T$21:$DP$21='Actions de maîtrise'!$C33)*(Matrice!$T$23:$DP$100="X"))=0,"",IF(SUMPRODUCT((Matrice!$D$23:$D$100='Actions de maîtrise'!P$5)*(Matrice!$T$21:$DP$21='Actions de maîtrise'!$C33)*(Matrice!$T$23:$DP$100="X"))=1,"X","erreur"))</f>
        <v/>
      </c>
      <c r="Q33" s="276" t="str">
        <f>IF(SUMPRODUCT((Matrice!$D$23:$D$100='Actions de maîtrise'!Q$5)*(Matrice!$T$21:$DP$21='Actions de maîtrise'!$C33)*(Matrice!$T$23:$DP$100="X"))=0,"",IF(SUMPRODUCT((Matrice!$D$23:$D$100='Actions de maîtrise'!Q$5)*(Matrice!$T$21:$DP$21='Actions de maîtrise'!$C33)*(Matrice!$T$23:$DP$100="X"))=1,"X","erreur"))</f>
        <v/>
      </c>
      <c r="R33" s="276" t="str">
        <f>IF(SUMPRODUCT((Matrice!$D$23:$D$100='Actions de maîtrise'!R$5)*(Matrice!$T$21:$DP$21='Actions de maîtrise'!$C33)*(Matrice!$T$23:$DP$100="X"))=0,"",IF(SUMPRODUCT((Matrice!$D$23:$D$100='Actions de maîtrise'!R$5)*(Matrice!$T$21:$DP$21='Actions de maîtrise'!$C33)*(Matrice!$T$23:$DP$100="X"))=1,"X","erreur"))</f>
        <v/>
      </c>
      <c r="S33" s="276" t="str">
        <f>IF(SUMPRODUCT((Matrice!$D$23:$D$100='Actions de maîtrise'!S$5)*(Matrice!$T$21:$DP$21='Actions de maîtrise'!$C33)*(Matrice!$T$23:$DP$100="X"))=0,"",IF(SUMPRODUCT((Matrice!$D$23:$D$100='Actions de maîtrise'!S$5)*(Matrice!$T$21:$DP$21='Actions de maîtrise'!$C33)*(Matrice!$T$23:$DP$100="X"))=1,"X","erreur"))</f>
        <v/>
      </c>
      <c r="T33" s="276" t="str">
        <f>IF(SUMPRODUCT((Matrice!$D$23:$D$100='Actions de maîtrise'!T$5)*(Matrice!$T$21:$DP$21='Actions de maîtrise'!$C33)*(Matrice!$T$23:$DP$100="X"))=0,"",IF(SUMPRODUCT((Matrice!$D$23:$D$100='Actions de maîtrise'!T$5)*(Matrice!$T$21:$DP$21='Actions de maîtrise'!$C33)*(Matrice!$T$23:$DP$100="X"))=1,"X","erreur"))</f>
        <v/>
      </c>
      <c r="U33" s="276" t="str">
        <f>IF(SUMPRODUCT((Matrice!$D$23:$D$100='Actions de maîtrise'!U$5)*(Matrice!$T$21:$DP$21='Actions de maîtrise'!$C33)*(Matrice!$T$23:$DP$100="X"))=0,"",IF(SUMPRODUCT((Matrice!$D$23:$D$100='Actions de maîtrise'!U$5)*(Matrice!$T$21:$DP$21='Actions de maîtrise'!$C33)*(Matrice!$T$23:$DP$100="X"))=1,"X","erreur"))</f>
        <v/>
      </c>
      <c r="V33" s="276" t="str">
        <f>IF(SUMPRODUCT((Matrice!$D$23:$D$100='Actions de maîtrise'!V$5)*(Matrice!$T$21:$DP$21='Actions de maîtrise'!$C33)*(Matrice!$T$23:$DP$100="X"))=0,"",IF(SUMPRODUCT((Matrice!$D$23:$D$100='Actions de maîtrise'!V$5)*(Matrice!$T$21:$DP$21='Actions de maîtrise'!$C33)*(Matrice!$T$23:$DP$100="X"))=1,"X","erreur"))</f>
        <v/>
      </c>
      <c r="W33" s="276" t="str">
        <f>IF(SUMPRODUCT((Matrice!$D$23:$D$100='Actions de maîtrise'!W$5)*(Matrice!$T$21:$DP$21='Actions de maîtrise'!$C33)*(Matrice!$T$23:$DP$100="X"))=0,"",IF(SUMPRODUCT((Matrice!$D$23:$D$100='Actions de maîtrise'!W$5)*(Matrice!$T$21:$DP$21='Actions de maîtrise'!$C33)*(Matrice!$T$23:$DP$100="X"))=1,"X","erreur"))</f>
        <v/>
      </c>
      <c r="X33" s="276" t="str">
        <f>IF(SUMPRODUCT((Matrice!$D$23:$D$100='Actions de maîtrise'!X$5)*(Matrice!$T$21:$DP$21='Actions de maîtrise'!$C33)*(Matrice!$T$23:$DP$100="X"))=0,"",IF(SUMPRODUCT((Matrice!$D$23:$D$100='Actions de maîtrise'!X$5)*(Matrice!$T$21:$DP$21='Actions de maîtrise'!$C33)*(Matrice!$T$23:$DP$100="X"))=1,"X","erreur"))</f>
        <v/>
      </c>
      <c r="Y33" s="276" t="str">
        <f>IF(SUMPRODUCT((Matrice!$D$23:$D$100='Actions de maîtrise'!Y$5)*(Matrice!$T$21:$DP$21='Actions de maîtrise'!$C33)*(Matrice!$T$23:$DP$100="X"))=0,"",IF(SUMPRODUCT((Matrice!$D$23:$D$100='Actions de maîtrise'!Y$5)*(Matrice!$T$21:$DP$21='Actions de maîtrise'!$C33)*(Matrice!$T$23:$DP$100="X"))=1,"X","erreur"))</f>
        <v/>
      </c>
      <c r="Z33" s="276" t="str">
        <f>IF(SUMPRODUCT((Matrice!$D$23:$D$100='Actions de maîtrise'!Z$5)*(Matrice!$T$21:$DP$21='Actions de maîtrise'!$C33)*(Matrice!$T$23:$DP$100="X"))=0,"",IF(SUMPRODUCT((Matrice!$D$23:$D$100='Actions de maîtrise'!Z$5)*(Matrice!$T$21:$DP$21='Actions de maîtrise'!$C33)*(Matrice!$T$23:$DP$100="X"))=1,"X","erreur"))</f>
        <v/>
      </c>
      <c r="AA33" s="276" t="str">
        <f>IF(SUMPRODUCT((Matrice!$D$23:$D$100='Actions de maîtrise'!AA$5)*(Matrice!$T$21:$DP$21='Actions de maîtrise'!$C33)*(Matrice!$T$23:$DP$100="X"))=0,"",IF(SUMPRODUCT((Matrice!$D$23:$D$100='Actions de maîtrise'!AA$5)*(Matrice!$T$21:$DP$21='Actions de maîtrise'!$C33)*(Matrice!$T$23:$DP$100="X"))=1,"X","erreur"))</f>
        <v/>
      </c>
      <c r="AB33" s="276" t="str">
        <f>IF(SUMPRODUCT((Matrice!$D$23:$D$100='Actions de maîtrise'!AB$5)*(Matrice!$T$21:$DP$21='Actions de maîtrise'!$C33)*(Matrice!$T$23:$DP$100="X"))=0,"",IF(SUMPRODUCT((Matrice!$D$23:$D$100='Actions de maîtrise'!AB$5)*(Matrice!$T$21:$DP$21='Actions de maîtrise'!$C33)*(Matrice!$T$23:$DP$100="X"))=1,"X","erreur"))</f>
        <v/>
      </c>
      <c r="AC33" s="276" t="str">
        <f>IF(SUMPRODUCT((Matrice!$D$23:$D$100='Actions de maîtrise'!AC$5)*(Matrice!$T$21:$DP$21='Actions de maîtrise'!$C33)*(Matrice!$T$23:$DP$100="X"))=0,"",IF(SUMPRODUCT((Matrice!$D$23:$D$100='Actions de maîtrise'!AC$5)*(Matrice!$T$21:$DP$21='Actions de maîtrise'!$C33)*(Matrice!$T$23:$DP$100="X"))=1,"X","erreur"))</f>
        <v/>
      </c>
      <c r="AD33" s="276" t="str">
        <f>IF(SUMPRODUCT((Matrice!$D$23:$D$100='Actions de maîtrise'!AD$5)*(Matrice!$T$21:$DP$21='Actions de maîtrise'!$C33)*(Matrice!$T$23:$DP$100="X"))=0,"",IF(SUMPRODUCT((Matrice!$D$23:$D$100='Actions de maîtrise'!AD$5)*(Matrice!$T$21:$DP$21='Actions de maîtrise'!$C33)*(Matrice!$T$23:$DP$100="X"))=1,"X","erreur"))</f>
        <v/>
      </c>
      <c r="AE33" s="276" t="str">
        <f>IF(SUMPRODUCT((Matrice!$D$23:$D$100='Actions de maîtrise'!AE$5)*(Matrice!$T$21:$DP$21='Actions de maîtrise'!$C33)*(Matrice!$T$23:$DP$100="X"))=0,"",IF(SUMPRODUCT((Matrice!$D$23:$D$100='Actions de maîtrise'!AE$5)*(Matrice!$T$21:$DP$21='Actions de maîtrise'!$C33)*(Matrice!$T$23:$DP$100="X"))=1,"X","erreur"))</f>
        <v/>
      </c>
      <c r="AF33" s="276" t="str">
        <f>IF(SUMPRODUCT((Matrice!$D$23:$D$100='Actions de maîtrise'!AF$5)*(Matrice!$T$21:$DP$21='Actions de maîtrise'!$C33)*(Matrice!$T$23:$DP$100="X"))=0,"",IF(SUMPRODUCT((Matrice!$D$23:$D$100='Actions de maîtrise'!AF$5)*(Matrice!$T$21:$DP$21='Actions de maîtrise'!$C33)*(Matrice!$T$23:$DP$100="X"))=1,"X","erreur"))</f>
        <v/>
      </c>
      <c r="AG33" s="276" t="str">
        <f>IF(SUMPRODUCT((Matrice!$D$23:$D$100='Actions de maîtrise'!AG$5)*(Matrice!$T$21:$DP$21='Actions de maîtrise'!$C33)*(Matrice!$T$23:$DP$100="X"))=0,"",IF(SUMPRODUCT((Matrice!$D$23:$D$100='Actions de maîtrise'!AG$5)*(Matrice!$T$21:$DP$21='Actions de maîtrise'!$C33)*(Matrice!$T$23:$DP$100="X"))=1,"X","erreur"))</f>
        <v/>
      </c>
    </row>
    <row r="34" spans="2:33" ht="18" customHeight="1" x14ac:dyDescent="0.2">
      <c r="B34" s="309" t="str">
        <f>IF((COUNTIF(Matrice!$2:$2,Matrice!$G$1&amp;"-AM"&amp;Listes!A30)=1)=TRUE,Matrice!$G$1&amp;"-AM"&amp;Listes!A30,"")</f>
        <v/>
      </c>
      <c r="C34" s="178" t="str">
        <f>IF(IF(ISERROR(HLOOKUP(B34,Matrice!$A$2:$DP$100,20,FALSE)),"",HLOOKUP(B34,Matrice!$A$2:$DP$100,20,FALSE))="","",IF(ISERROR(HLOOKUP(B34,Matrice!$A$2:$DP$100,20,FALSE)),"-",HLOOKUP(B34,Matrice!$A$2:$DP$100,20,FALSE)))</f>
        <v/>
      </c>
      <c r="D34" s="179" t="str">
        <f>IF(IF(ISERROR(HLOOKUP(B34,Matrice!$A$2:$DP$100,3,FALSE)),"",HLOOKUP(B34,Matrice!$A$2:$DP$100,3,FALSE))="","",IF(ISERROR(HLOOKUP(B34,Matrice!$A$2:$DP$100,3,FALSE)),"-",HLOOKUP(B34,Matrice!$A$2:$DP$100,3,FALSE)))</f>
        <v/>
      </c>
      <c r="E34" s="305"/>
      <c r="F34" s="179" t="str">
        <f>IF(ISERROR(HLOOKUP($B34,Matrice!$A$2:$DP$100,4,FALSE)),"",IF(HLOOKUP($B34,Matrice!$A$2:$DP$100,4,FALSE)="","",HLOOKUP($B34,Matrice!$A$2:$DP$100,4,FALSE)))</f>
        <v/>
      </c>
      <c r="G34" s="179" t="str">
        <f>IF(ISERROR(HLOOKUP($B34,Matrice!$A$2:$DP$100,5,FALSE)),"",IF(HLOOKUP($B34,Matrice!$A$2:$DP$100,5,FALSE)="","",HLOOKUP($B34,Matrice!$A$2:$DP$100,5,FALSE)))</f>
        <v/>
      </c>
      <c r="H34" s="179" t="str">
        <f>IF(ISERROR(HLOOKUP($B34,Matrice!$A$2:$DP$100,6,FALSE)),"",IF(HLOOKUP($B34,Matrice!$A$2:$DP$100,6,FALSE)="","",HLOOKUP($B34,Matrice!$A$2:$DP$100,6,FALSE)))</f>
        <v/>
      </c>
      <c r="I34" s="179" t="str">
        <f>IF(ISERROR(HLOOKUP($B35,Matrice!$A$2:$DP$100,7,FALSE)),"",IF(HLOOKUP($B35,Matrice!$A$2:$DP$100,7,FALSE)="","",HLOOKUP($B35,Matrice!$A$2:$DP$100,7,FALSE)))</f>
        <v/>
      </c>
      <c r="J34" s="277" t="str">
        <f>IF(ISERROR(HLOOKUP($B34,Matrice!$A$2:$DP$100,12,FALSE)),"",IF(HLOOKUP($B34,Matrice!$A$2:$DP$100,12,FALSE)="","",HLOOKUP($B34,Matrice!$A$2:$DP$100,12,FALSE)))</f>
        <v/>
      </c>
      <c r="K34" s="277" t="str">
        <f>IF(ISERROR(HLOOKUP($B34,Matrice!$A$2:$DP$100,13,FALSE)),"",IF(HLOOKUP($B34,Matrice!$A$2:$DP$100,13,FALSE)="","",HLOOKUP($B34,Matrice!$A$2:$DP$100,13,FALSE)))</f>
        <v/>
      </c>
      <c r="L34" s="333" t="str">
        <f>IF(ISERROR(HLOOKUP($B34,Matrice!$A$2:$DP$100,9,FALSE)),"",IF(HLOOKUP($B34,Matrice!$A$2:$DP$100,9,FALSE)="","",HLOOKUP($B34,Matrice!$A$2:$DP$100,9,FALSE)))</f>
        <v/>
      </c>
      <c r="M34" s="333" t="str">
        <f>IF(ISERROR(HLOOKUP($B34,Matrice!$A$2:$DP$100,10,FALSE)),"",IF(HLOOKUP($B34,Matrice!$A$2:$DP$100,10,FALSE)="","",HLOOKUP($B34,Matrice!$A$2:$DP$100,10,FALSE)))</f>
        <v/>
      </c>
      <c r="N34" s="333" t="str">
        <f>IF(ISERROR(HLOOKUP($B34,Matrice!$A$2:$DP$100,11,FALSE)),"",IF(HLOOKUP($B34,Matrice!$A$2:$DP$100,11,FALSE)="","",HLOOKUP($B34,Matrice!$A$2:$DP$100,11,FALSE)))</f>
        <v/>
      </c>
      <c r="P34" s="276" t="str">
        <f>IF(SUMPRODUCT((Matrice!$D$23:$D$100='Actions de maîtrise'!P$5)*(Matrice!$T$21:$DP$21='Actions de maîtrise'!$C34)*(Matrice!$T$23:$DP$100="X"))=0,"",IF(SUMPRODUCT((Matrice!$D$23:$D$100='Actions de maîtrise'!P$5)*(Matrice!$T$21:$DP$21='Actions de maîtrise'!$C34)*(Matrice!$T$23:$DP$100="X"))=1,"X","erreur"))</f>
        <v/>
      </c>
      <c r="Q34" s="276" t="str">
        <f>IF(SUMPRODUCT((Matrice!$D$23:$D$100='Actions de maîtrise'!Q$5)*(Matrice!$T$21:$DP$21='Actions de maîtrise'!$C34)*(Matrice!$T$23:$DP$100="X"))=0,"",IF(SUMPRODUCT((Matrice!$D$23:$D$100='Actions de maîtrise'!Q$5)*(Matrice!$T$21:$DP$21='Actions de maîtrise'!$C34)*(Matrice!$T$23:$DP$100="X"))=1,"X","erreur"))</f>
        <v/>
      </c>
      <c r="R34" s="276" t="str">
        <f>IF(SUMPRODUCT((Matrice!$D$23:$D$100='Actions de maîtrise'!R$5)*(Matrice!$T$21:$DP$21='Actions de maîtrise'!$C34)*(Matrice!$T$23:$DP$100="X"))=0,"",IF(SUMPRODUCT((Matrice!$D$23:$D$100='Actions de maîtrise'!R$5)*(Matrice!$T$21:$DP$21='Actions de maîtrise'!$C34)*(Matrice!$T$23:$DP$100="X"))=1,"X","erreur"))</f>
        <v/>
      </c>
      <c r="S34" s="276" t="str">
        <f>IF(SUMPRODUCT((Matrice!$D$23:$D$100='Actions de maîtrise'!S$5)*(Matrice!$T$21:$DP$21='Actions de maîtrise'!$C34)*(Matrice!$T$23:$DP$100="X"))=0,"",IF(SUMPRODUCT((Matrice!$D$23:$D$100='Actions de maîtrise'!S$5)*(Matrice!$T$21:$DP$21='Actions de maîtrise'!$C34)*(Matrice!$T$23:$DP$100="X"))=1,"X","erreur"))</f>
        <v/>
      </c>
      <c r="T34" s="276" t="str">
        <f>IF(SUMPRODUCT((Matrice!$D$23:$D$100='Actions de maîtrise'!T$5)*(Matrice!$T$21:$DP$21='Actions de maîtrise'!$C34)*(Matrice!$T$23:$DP$100="X"))=0,"",IF(SUMPRODUCT((Matrice!$D$23:$D$100='Actions de maîtrise'!T$5)*(Matrice!$T$21:$DP$21='Actions de maîtrise'!$C34)*(Matrice!$T$23:$DP$100="X"))=1,"X","erreur"))</f>
        <v/>
      </c>
      <c r="U34" s="276" t="str">
        <f>IF(SUMPRODUCT((Matrice!$D$23:$D$100='Actions de maîtrise'!U$5)*(Matrice!$T$21:$DP$21='Actions de maîtrise'!$C34)*(Matrice!$T$23:$DP$100="X"))=0,"",IF(SUMPRODUCT((Matrice!$D$23:$D$100='Actions de maîtrise'!U$5)*(Matrice!$T$21:$DP$21='Actions de maîtrise'!$C34)*(Matrice!$T$23:$DP$100="X"))=1,"X","erreur"))</f>
        <v/>
      </c>
      <c r="V34" s="276" t="str">
        <f>IF(SUMPRODUCT((Matrice!$D$23:$D$100='Actions de maîtrise'!V$5)*(Matrice!$T$21:$DP$21='Actions de maîtrise'!$C34)*(Matrice!$T$23:$DP$100="X"))=0,"",IF(SUMPRODUCT((Matrice!$D$23:$D$100='Actions de maîtrise'!V$5)*(Matrice!$T$21:$DP$21='Actions de maîtrise'!$C34)*(Matrice!$T$23:$DP$100="X"))=1,"X","erreur"))</f>
        <v/>
      </c>
      <c r="W34" s="276" t="str">
        <f>IF(SUMPRODUCT((Matrice!$D$23:$D$100='Actions de maîtrise'!W$5)*(Matrice!$T$21:$DP$21='Actions de maîtrise'!$C34)*(Matrice!$T$23:$DP$100="X"))=0,"",IF(SUMPRODUCT((Matrice!$D$23:$D$100='Actions de maîtrise'!W$5)*(Matrice!$T$21:$DP$21='Actions de maîtrise'!$C34)*(Matrice!$T$23:$DP$100="X"))=1,"X","erreur"))</f>
        <v/>
      </c>
      <c r="X34" s="276" t="str">
        <f>IF(SUMPRODUCT((Matrice!$D$23:$D$100='Actions de maîtrise'!X$5)*(Matrice!$T$21:$DP$21='Actions de maîtrise'!$C34)*(Matrice!$T$23:$DP$100="X"))=0,"",IF(SUMPRODUCT((Matrice!$D$23:$D$100='Actions de maîtrise'!X$5)*(Matrice!$T$21:$DP$21='Actions de maîtrise'!$C34)*(Matrice!$T$23:$DP$100="X"))=1,"X","erreur"))</f>
        <v/>
      </c>
      <c r="Y34" s="276" t="str">
        <f>IF(SUMPRODUCT((Matrice!$D$23:$D$100='Actions de maîtrise'!Y$5)*(Matrice!$T$21:$DP$21='Actions de maîtrise'!$C34)*(Matrice!$T$23:$DP$100="X"))=0,"",IF(SUMPRODUCT((Matrice!$D$23:$D$100='Actions de maîtrise'!Y$5)*(Matrice!$T$21:$DP$21='Actions de maîtrise'!$C34)*(Matrice!$T$23:$DP$100="X"))=1,"X","erreur"))</f>
        <v/>
      </c>
      <c r="Z34" s="276" t="str">
        <f>IF(SUMPRODUCT((Matrice!$D$23:$D$100='Actions de maîtrise'!Z$5)*(Matrice!$T$21:$DP$21='Actions de maîtrise'!$C34)*(Matrice!$T$23:$DP$100="X"))=0,"",IF(SUMPRODUCT((Matrice!$D$23:$D$100='Actions de maîtrise'!Z$5)*(Matrice!$T$21:$DP$21='Actions de maîtrise'!$C34)*(Matrice!$T$23:$DP$100="X"))=1,"X","erreur"))</f>
        <v/>
      </c>
      <c r="AA34" s="276" t="str">
        <f>IF(SUMPRODUCT((Matrice!$D$23:$D$100='Actions de maîtrise'!AA$5)*(Matrice!$T$21:$DP$21='Actions de maîtrise'!$C34)*(Matrice!$T$23:$DP$100="X"))=0,"",IF(SUMPRODUCT((Matrice!$D$23:$D$100='Actions de maîtrise'!AA$5)*(Matrice!$T$21:$DP$21='Actions de maîtrise'!$C34)*(Matrice!$T$23:$DP$100="X"))=1,"X","erreur"))</f>
        <v/>
      </c>
      <c r="AB34" s="276" t="str">
        <f>IF(SUMPRODUCT((Matrice!$D$23:$D$100='Actions de maîtrise'!AB$5)*(Matrice!$T$21:$DP$21='Actions de maîtrise'!$C34)*(Matrice!$T$23:$DP$100="X"))=0,"",IF(SUMPRODUCT((Matrice!$D$23:$D$100='Actions de maîtrise'!AB$5)*(Matrice!$T$21:$DP$21='Actions de maîtrise'!$C34)*(Matrice!$T$23:$DP$100="X"))=1,"X","erreur"))</f>
        <v/>
      </c>
      <c r="AC34" s="276" t="str">
        <f>IF(SUMPRODUCT((Matrice!$D$23:$D$100='Actions de maîtrise'!AC$5)*(Matrice!$T$21:$DP$21='Actions de maîtrise'!$C34)*(Matrice!$T$23:$DP$100="X"))=0,"",IF(SUMPRODUCT((Matrice!$D$23:$D$100='Actions de maîtrise'!AC$5)*(Matrice!$T$21:$DP$21='Actions de maîtrise'!$C34)*(Matrice!$T$23:$DP$100="X"))=1,"X","erreur"))</f>
        <v/>
      </c>
      <c r="AD34" s="276" t="str">
        <f>IF(SUMPRODUCT((Matrice!$D$23:$D$100='Actions de maîtrise'!AD$5)*(Matrice!$T$21:$DP$21='Actions de maîtrise'!$C34)*(Matrice!$T$23:$DP$100="X"))=0,"",IF(SUMPRODUCT((Matrice!$D$23:$D$100='Actions de maîtrise'!AD$5)*(Matrice!$T$21:$DP$21='Actions de maîtrise'!$C34)*(Matrice!$T$23:$DP$100="X"))=1,"X","erreur"))</f>
        <v/>
      </c>
      <c r="AE34" s="276" t="str">
        <f>IF(SUMPRODUCT((Matrice!$D$23:$D$100='Actions de maîtrise'!AE$5)*(Matrice!$T$21:$DP$21='Actions de maîtrise'!$C34)*(Matrice!$T$23:$DP$100="X"))=0,"",IF(SUMPRODUCT((Matrice!$D$23:$D$100='Actions de maîtrise'!AE$5)*(Matrice!$T$21:$DP$21='Actions de maîtrise'!$C34)*(Matrice!$T$23:$DP$100="X"))=1,"X","erreur"))</f>
        <v/>
      </c>
      <c r="AF34" s="276" t="str">
        <f>IF(SUMPRODUCT((Matrice!$D$23:$D$100='Actions de maîtrise'!AF$5)*(Matrice!$T$21:$DP$21='Actions de maîtrise'!$C34)*(Matrice!$T$23:$DP$100="X"))=0,"",IF(SUMPRODUCT((Matrice!$D$23:$D$100='Actions de maîtrise'!AF$5)*(Matrice!$T$21:$DP$21='Actions de maîtrise'!$C34)*(Matrice!$T$23:$DP$100="X"))=1,"X","erreur"))</f>
        <v/>
      </c>
      <c r="AG34" s="276" t="str">
        <f>IF(SUMPRODUCT((Matrice!$D$23:$D$100='Actions de maîtrise'!AG$5)*(Matrice!$T$21:$DP$21='Actions de maîtrise'!$C34)*(Matrice!$T$23:$DP$100="X"))=0,"",IF(SUMPRODUCT((Matrice!$D$23:$D$100='Actions de maîtrise'!AG$5)*(Matrice!$T$21:$DP$21='Actions de maîtrise'!$C34)*(Matrice!$T$23:$DP$100="X"))=1,"X","erreur"))</f>
        <v/>
      </c>
    </row>
    <row r="35" spans="2:33" ht="18" customHeight="1" x14ac:dyDescent="0.2">
      <c r="B35" s="309" t="str">
        <f>IF((COUNTIF(Matrice!$2:$2,Matrice!$G$1&amp;"-AM"&amp;Listes!A31)=1)=TRUE,Matrice!$G$1&amp;"-AM"&amp;Listes!A31,"")</f>
        <v/>
      </c>
      <c r="C35" s="178" t="str">
        <f>IF(IF(ISERROR(HLOOKUP(B35,Matrice!$A$2:$DP$100,20,FALSE)),"",HLOOKUP(B35,Matrice!$A$2:$DP$100,20,FALSE))="","",IF(ISERROR(HLOOKUP(B35,Matrice!$A$2:$DP$100,20,FALSE)),"-",HLOOKUP(B35,Matrice!$A$2:$DP$100,20,FALSE)))</f>
        <v/>
      </c>
      <c r="D35" s="179" t="str">
        <f>IF(IF(ISERROR(HLOOKUP(B35,Matrice!$A$2:$DP$100,3,FALSE)),"",HLOOKUP(B35,Matrice!$A$2:$DP$100,3,FALSE))="","",IF(ISERROR(HLOOKUP(B35,Matrice!$A$2:$DP$100,3,FALSE)),"-",HLOOKUP(B35,Matrice!$A$2:$DP$100,3,FALSE)))</f>
        <v/>
      </c>
      <c r="E35" s="305"/>
      <c r="F35" s="179" t="str">
        <f>IF(ISERROR(HLOOKUP($B35,Matrice!$A$2:$DP$100,4,FALSE)),"",IF(HLOOKUP($B35,Matrice!$A$2:$DP$100,4,FALSE)="","",HLOOKUP($B35,Matrice!$A$2:$DP$100,4,FALSE)))</f>
        <v/>
      </c>
      <c r="G35" s="179" t="str">
        <f>IF(ISERROR(HLOOKUP($B35,Matrice!$A$2:$DP$100,5,FALSE)),"",IF(HLOOKUP($B35,Matrice!$A$2:$DP$100,5,FALSE)="","",HLOOKUP($B35,Matrice!$A$2:$DP$100,5,FALSE)))</f>
        <v/>
      </c>
      <c r="H35" s="179" t="str">
        <f>IF(ISERROR(HLOOKUP($B35,Matrice!$A$2:$DP$100,6,FALSE)),"",IF(HLOOKUP($B35,Matrice!$A$2:$DP$100,6,FALSE)="","",HLOOKUP($B35,Matrice!$A$2:$DP$100,6,FALSE)))</f>
        <v/>
      </c>
      <c r="I35" s="179" t="str">
        <f>IF(ISERROR(HLOOKUP($B36,Matrice!$A$2:$DP$100,7,FALSE)),"",IF(HLOOKUP($B36,Matrice!$A$2:$DP$100,7,FALSE)="","",HLOOKUP($B36,Matrice!$A$2:$DP$100,7,FALSE)))</f>
        <v/>
      </c>
      <c r="J35" s="277" t="str">
        <f>IF(ISERROR(HLOOKUP($B35,Matrice!$A$2:$DP$100,12,FALSE)),"",IF(HLOOKUP($B35,Matrice!$A$2:$DP$100,12,FALSE)="","",HLOOKUP($B35,Matrice!$A$2:$DP$100,12,FALSE)))</f>
        <v/>
      </c>
      <c r="K35" s="277" t="str">
        <f>IF(ISERROR(HLOOKUP($B35,Matrice!$A$2:$DP$100,13,FALSE)),"",IF(HLOOKUP($B35,Matrice!$A$2:$DP$100,13,FALSE)="","",HLOOKUP($B35,Matrice!$A$2:$DP$100,13,FALSE)))</f>
        <v/>
      </c>
      <c r="L35" s="333" t="str">
        <f>IF(ISERROR(HLOOKUP($B35,Matrice!$A$2:$DP$100,9,FALSE)),"",IF(HLOOKUP($B35,Matrice!$A$2:$DP$100,9,FALSE)="","",HLOOKUP($B35,Matrice!$A$2:$DP$100,9,FALSE)))</f>
        <v/>
      </c>
      <c r="M35" s="333" t="str">
        <f>IF(ISERROR(HLOOKUP($B35,Matrice!$A$2:$DP$100,10,FALSE)),"",IF(HLOOKUP($B35,Matrice!$A$2:$DP$100,10,FALSE)="","",HLOOKUP($B35,Matrice!$A$2:$DP$100,10,FALSE)))</f>
        <v/>
      </c>
      <c r="N35" s="333" t="str">
        <f>IF(ISERROR(HLOOKUP($B35,Matrice!$A$2:$DP$100,11,FALSE)),"",IF(HLOOKUP($B35,Matrice!$A$2:$DP$100,11,FALSE)="","",HLOOKUP($B35,Matrice!$A$2:$DP$100,11,FALSE)))</f>
        <v/>
      </c>
      <c r="P35" s="276" t="str">
        <f>IF(SUMPRODUCT((Matrice!$D$23:$D$100='Actions de maîtrise'!P$5)*(Matrice!$T$21:$DP$21='Actions de maîtrise'!$C35)*(Matrice!$T$23:$DP$100="X"))=0,"",IF(SUMPRODUCT((Matrice!$D$23:$D$100='Actions de maîtrise'!P$5)*(Matrice!$T$21:$DP$21='Actions de maîtrise'!$C35)*(Matrice!$T$23:$DP$100="X"))=1,"X","erreur"))</f>
        <v/>
      </c>
      <c r="Q35" s="276" t="str">
        <f>IF(SUMPRODUCT((Matrice!$D$23:$D$100='Actions de maîtrise'!Q$5)*(Matrice!$T$21:$DP$21='Actions de maîtrise'!$C35)*(Matrice!$T$23:$DP$100="X"))=0,"",IF(SUMPRODUCT((Matrice!$D$23:$D$100='Actions de maîtrise'!Q$5)*(Matrice!$T$21:$DP$21='Actions de maîtrise'!$C35)*(Matrice!$T$23:$DP$100="X"))=1,"X","erreur"))</f>
        <v/>
      </c>
      <c r="R35" s="276" t="str">
        <f>IF(SUMPRODUCT((Matrice!$D$23:$D$100='Actions de maîtrise'!R$5)*(Matrice!$T$21:$DP$21='Actions de maîtrise'!$C35)*(Matrice!$T$23:$DP$100="X"))=0,"",IF(SUMPRODUCT((Matrice!$D$23:$D$100='Actions de maîtrise'!R$5)*(Matrice!$T$21:$DP$21='Actions de maîtrise'!$C35)*(Matrice!$T$23:$DP$100="X"))=1,"X","erreur"))</f>
        <v/>
      </c>
      <c r="S35" s="276" t="str">
        <f>IF(SUMPRODUCT((Matrice!$D$23:$D$100='Actions de maîtrise'!S$5)*(Matrice!$T$21:$DP$21='Actions de maîtrise'!$C35)*(Matrice!$T$23:$DP$100="X"))=0,"",IF(SUMPRODUCT((Matrice!$D$23:$D$100='Actions de maîtrise'!S$5)*(Matrice!$T$21:$DP$21='Actions de maîtrise'!$C35)*(Matrice!$T$23:$DP$100="X"))=1,"X","erreur"))</f>
        <v/>
      </c>
      <c r="T35" s="276" t="str">
        <f>IF(SUMPRODUCT((Matrice!$D$23:$D$100='Actions de maîtrise'!T$5)*(Matrice!$T$21:$DP$21='Actions de maîtrise'!$C35)*(Matrice!$T$23:$DP$100="X"))=0,"",IF(SUMPRODUCT((Matrice!$D$23:$D$100='Actions de maîtrise'!T$5)*(Matrice!$T$21:$DP$21='Actions de maîtrise'!$C35)*(Matrice!$T$23:$DP$100="X"))=1,"X","erreur"))</f>
        <v/>
      </c>
      <c r="U35" s="276" t="str">
        <f>IF(SUMPRODUCT((Matrice!$D$23:$D$100='Actions de maîtrise'!U$5)*(Matrice!$T$21:$DP$21='Actions de maîtrise'!$C35)*(Matrice!$T$23:$DP$100="X"))=0,"",IF(SUMPRODUCT((Matrice!$D$23:$D$100='Actions de maîtrise'!U$5)*(Matrice!$T$21:$DP$21='Actions de maîtrise'!$C35)*(Matrice!$T$23:$DP$100="X"))=1,"X","erreur"))</f>
        <v/>
      </c>
      <c r="V35" s="276" t="str">
        <f>IF(SUMPRODUCT((Matrice!$D$23:$D$100='Actions de maîtrise'!V$5)*(Matrice!$T$21:$DP$21='Actions de maîtrise'!$C35)*(Matrice!$T$23:$DP$100="X"))=0,"",IF(SUMPRODUCT((Matrice!$D$23:$D$100='Actions de maîtrise'!V$5)*(Matrice!$T$21:$DP$21='Actions de maîtrise'!$C35)*(Matrice!$T$23:$DP$100="X"))=1,"X","erreur"))</f>
        <v/>
      </c>
      <c r="W35" s="276" t="str">
        <f>IF(SUMPRODUCT((Matrice!$D$23:$D$100='Actions de maîtrise'!W$5)*(Matrice!$T$21:$DP$21='Actions de maîtrise'!$C35)*(Matrice!$T$23:$DP$100="X"))=0,"",IF(SUMPRODUCT((Matrice!$D$23:$D$100='Actions de maîtrise'!W$5)*(Matrice!$T$21:$DP$21='Actions de maîtrise'!$C35)*(Matrice!$T$23:$DP$100="X"))=1,"X","erreur"))</f>
        <v/>
      </c>
      <c r="X35" s="276" t="str">
        <f>IF(SUMPRODUCT((Matrice!$D$23:$D$100='Actions de maîtrise'!X$5)*(Matrice!$T$21:$DP$21='Actions de maîtrise'!$C35)*(Matrice!$T$23:$DP$100="X"))=0,"",IF(SUMPRODUCT((Matrice!$D$23:$D$100='Actions de maîtrise'!X$5)*(Matrice!$T$21:$DP$21='Actions de maîtrise'!$C35)*(Matrice!$T$23:$DP$100="X"))=1,"X","erreur"))</f>
        <v/>
      </c>
      <c r="Y35" s="276" t="str">
        <f>IF(SUMPRODUCT((Matrice!$D$23:$D$100='Actions de maîtrise'!Y$5)*(Matrice!$T$21:$DP$21='Actions de maîtrise'!$C35)*(Matrice!$T$23:$DP$100="X"))=0,"",IF(SUMPRODUCT((Matrice!$D$23:$D$100='Actions de maîtrise'!Y$5)*(Matrice!$T$21:$DP$21='Actions de maîtrise'!$C35)*(Matrice!$T$23:$DP$100="X"))=1,"X","erreur"))</f>
        <v/>
      </c>
      <c r="Z35" s="276" t="str">
        <f>IF(SUMPRODUCT((Matrice!$D$23:$D$100='Actions de maîtrise'!Z$5)*(Matrice!$T$21:$DP$21='Actions de maîtrise'!$C35)*(Matrice!$T$23:$DP$100="X"))=0,"",IF(SUMPRODUCT((Matrice!$D$23:$D$100='Actions de maîtrise'!Z$5)*(Matrice!$T$21:$DP$21='Actions de maîtrise'!$C35)*(Matrice!$T$23:$DP$100="X"))=1,"X","erreur"))</f>
        <v/>
      </c>
      <c r="AA35" s="276" t="str">
        <f>IF(SUMPRODUCT((Matrice!$D$23:$D$100='Actions de maîtrise'!AA$5)*(Matrice!$T$21:$DP$21='Actions de maîtrise'!$C35)*(Matrice!$T$23:$DP$100="X"))=0,"",IF(SUMPRODUCT((Matrice!$D$23:$D$100='Actions de maîtrise'!AA$5)*(Matrice!$T$21:$DP$21='Actions de maîtrise'!$C35)*(Matrice!$T$23:$DP$100="X"))=1,"X","erreur"))</f>
        <v/>
      </c>
      <c r="AB35" s="276" t="str">
        <f>IF(SUMPRODUCT((Matrice!$D$23:$D$100='Actions de maîtrise'!AB$5)*(Matrice!$T$21:$DP$21='Actions de maîtrise'!$C35)*(Matrice!$T$23:$DP$100="X"))=0,"",IF(SUMPRODUCT((Matrice!$D$23:$D$100='Actions de maîtrise'!AB$5)*(Matrice!$T$21:$DP$21='Actions de maîtrise'!$C35)*(Matrice!$T$23:$DP$100="X"))=1,"X","erreur"))</f>
        <v/>
      </c>
      <c r="AC35" s="276" t="str">
        <f>IF(SUMPRODUCT((Matrice!$D$23:$D$100='Actions de maîtrise'!AC$5)*(Matrice!$T$21:$DP$21='Actions de maîtrise'!$C35)*(Matrice!$T$23:$DP$100="X"))=0,"",IF(SUMPRODUCT((Matrice!$D$23:$D$100='Actions de maîtrise'!AC$5)*(Matrice!$T$21:$DP$21='Actions de maîtrise'!$C35)*(Matrice!$T$23:$DP$100="X"))=1,"X","erreur"))</f>
        <v/>
      </c>
      <c r="AD35" s="276" t="str">
        <f>IF(SUMPRODUCT((Matrice!$D$23:$D$100='Actions de maîtrise'!AD$5)*(Matrice!$T$21:$DP$21='Actions de maîtrise'!$C35)*(Matrice!$T$23:$DP$100="X"))=0,"",IF(SUMPRODUCT((Matrice!$D$23:$D$100='Actions de maîtrise'!AD$5)*(Matrice!$T$21:$DP$21='Actions de maîtrise'!$C35)*(Matrice!$T$23:$DP$100="X"))=1,"X","erreur"))</f>
        <v/>
      </c>
      <c r="AE35" s="276" t="str">
        <f>IF(SUMPRODUCT((Matrice!$D$23:$D$100='Actions de maîtrise'!AE$5)*(Matrice!$T$21:$DP$21='Actions de maîtrise'!$C35)*(Matrice!$T$23:$DP$100="X"))=0,"",IF(SUMPRODUCT((Matrice!$D$23:$D$100='Actions de maîtrise'!AE$5)*(Matrice!$T$21:$DP$21='Actions de maîtrise'!$C35)*(Matrice!$T$23:$DP$100="X"))=1,"X","erreur"))</f>
        <v/>
      </c>
      <c r="AF35" s="276" t="str">
        <f>IF(SUMPRODUCT((Matrice!$D$23:$D$100='Actions de maîtrise'!AF$5)*(Matrice!$T$21:$DP$21='Actions de maîtrise'!$C35)*(Matrice!$T$23:$DP$100="X"))=0,"",IF(SUMPRODUCT((Matrice!$D$23:$D$100='Actions de maîtrise'!AF$5)*(Matrice!$T$21:$DP$21='Actions de maîtrise'!$C35)*(Matrice!$T$23:$DP$100="X"))=1,"X","erreur"))</f>
        <v/>
      </c>
      <c r="AG35" s="276" t="str">
        <f>IF(SUMPRODUCT((Matrice!$D$23:$D$100='Actions de maîtrise'!AG$5)*(Matrice!$T$21:$DP$21='Actions de maîtrise'!$C35)*(Matrice!$T$23:$DP$100="X"))=0,"",IF(SUMPRODUCT((Matrice!$D$23:$D$100='Actions de maîtrise'!AG$5)*(Matrice!$T$21:$DP$21='Actions de maîtrise'!$C35)*(Matrice!$T$23:$DP$100="X"))=1,"X","erreur"))</f>
        <v/>
      </c>
    </row>
    <row r="36" spans="2:33" ht="18" customHeight="1" x14ac:dyDescent="0.2">
      <c r="B36" s="309" t="str">
        <f>IF((COUNTIF(Matrice!$2:$2,Matrice!$G$1&amp;"-AM"&amp;Listes!A32)=1)=TRUE,Matrice!$G$1&amp;"-AM"&amp;Listes!A32,"")</f>
        <v/>
      </c>
      <c r="C36" s="178" t="str">
        <f>IF(IF(ISERROR(HLOOKUP(B36,Matrice!$A$2:$DP$100,20,FALSE)),"",HLOOKUP(B36,Matrice!$A$2:$DP$100,20,FALSE))="","",IF(ISERROR(HLOOKUP(B36,Matrice!$A$2:$DP$100,20,FALSE)),"-",HLOOKUP(B36,Matrice!$A$2:$DP$100,20,FALSE)))</f>
        <v/>
      </c>
      <c r="D36" s="179" t="str">
        <f>IF(IF(ISERROR(HLOOKUP(B36,Matrice!$A$2:$DP$100,3,FALSE)),"",HLOOKUP(B36,Matrice!$A$2:$DP$100,3,FALSE))="","",IF(ISERROR(HLOOKUP(B36,Matrice!$A$2:$DP$100,3,FALSE)),"-",HLOOKUP(B36,Matrice!$A$2:$DP$100,3,FALSE)))</f>
        <v/>
      </c>
      <c r="E36" s="305"/>
      <c r="F36" s="179" t="str">
        <f>IF(ISERROR(HLOOKUP($B36,Matrice!$A$2:$DP$100,4,FALSE)),"",IF(HLOOKUP($B36,Matrice!$A$2:$DP$100,4,FALSE)="","",HLOOKUP($B36,Matrice!$A$2:$DP$100,4,FALSE)))</f>
        <v/>
      </c>
      <c r="G36" s="179" t="str">
        <f>IF(ISERROR(HLOOKUP($B36,Matrice!$A$2:$DP$100,5,FALSE)),"",IF(HLOOKUP($B36,Matrice!$A$2:$DP$100,5,FALSE)="","",HLOOKUP($B36,Matrice!$A$2:$DP$100,5,FALSE)))</f>
        <v/>
      </c>
      <c r="H36" s="179" t="str">
        <f>IF(ISERROR(HLOOKUP($B36,Matrice!$A$2:$DP$100,6,FALSE)),"",IF(HLOOKUP($B36,Matrice!$A$2:$DP$100,6,FALSE)="","",HLOOKUP($B36,Matrice!$A$2:$DP$100,6,FALSE)))</f>
        <v/>
      </c>
      <c r="I36" s="179" t="str">
        <f>IF(ISERROR(HLOOKUP($B37,Matrice!$A$2:$DP$100,7,FALSE)),"",IF(HLOOKUP($B37,Matrice!$A$2:$DP$100,7,FALSE)="","",HLOOKUP($B37,Matrice!$A$2:$DP$100,7,FALSE)))</f>
        <v/>
      </c>
      <c r="J36" s="277" t="str">
        <f>IF(ISERROR(HLOOKUP($B36,Matrice!$A$2:$DP$100,12,FALSE)),"",IF(HLOOKUP($B36,Matrice!$A$2:$DP$100,12,FALSE)="","",HLOOKUP($B36,Matrice!$A$2:$DP$100,12,FALSE)))</f>
        <v/>
      </c>
      <c r="K36" s="277" t="str">
        <f>IF(ISERROR(HLOOKUP($B36,Matrice!$A$2:$DP$100,13,FALSE)),"",IF(HLOOKUP($B36,Matrice!$A$2:$DP$100,13,FALSE)="","",HLOOKUP($B36,Matrice!$A$2:$DP$100,13,FALSE)))</f>
        <v/>
      </c>
      <c r="L36" s="333" t="str">
        <f>IF(ISERROR(HLOOKUP($B36,Matrice!$A$2:$DP$100,9,FALSE)),"",IF(HLOOKUP($B36,Matrice!$A$2:$DP$100,9,FALSE)="","",HLOOKUP($B36,Matrice!$A$2:$DP$100,9,FALSE)))</f>
        <v/>
      </c>
      <c r="M36" s="333" t="str">
        <f>IF(ISERROR(HLOOKUP($B36,Matrice!$A$2:$DP$100,10,FALSE)),"",IF(HLOOKUP($B36,Matrice!$A$2:$DP$100,10,FALSE)="","",HLOOKUP($B36,Matrice!$A$2:$DP$100,10,FALSE)))</f>
        <v/>
      </c>
      <c r="N36" s="333" t="str">
        <f>IF(ISERROR(HLOOKUP($B36,Matrice!$A$2:$DP$100,11,FALSE)),"",IF(HLOOKUP($B36,Matrice!$A$2:$DP$100,11,FALSE)="","",HLOOKUP($B36,Matrice!$A$2:$DP$100,11,FALSE)))</f>
        <v/>
      </c>
      <c r="P36" s="276" t="str">
        <f>IF(SUMPRODUCT((Matrice!$D$23:$D$100='Actions de maîtrise'!P$5)*(Matrice!$T$21:$DP$21='Actions de maîtrise'!$C36)*(Matrice!$T$23:$DP$100="X"))=0,"",IF(SUMPRODUCT((Matrice!$D$23:$D$100='Actions de maîtrise'!P$5)*(Matrice!$T$21:$DP$21='Actions de maîtrise'!$C36)*(Matrice!$T$23:$DP$100="X"))=1,"X","erreur"))</f>
        <v/>
      </c>
      <c r="Q36" s="276" t="str">
        <f>IF(SUMPRODUCT((Matrice!$D$23:$D$100='Actions de maîtrise'!Q$5)*(Matrice!$T$21:$DP$21='Actions de maîtrise'!$C36)*(Matrice!$T$23:$DP$100="X"))=0,"",IF(SUMPRODUCT((Matrice!$D$23:$D$100='Actions de maîtrise'!Q$5)*(Matrice!$T$21:$DP$21='Actions de maîtrise'!$C36)*(Matrice!$T$23:$DP$100="X"))=1,"X","erreur"))</f>
        <v/>
      </c>
      <c r="R36" s="276" t="str">
        <f>IF(SUMPRODUCT((Matrice!$D$23:$D$100='Actions de maîtrise'!R$5)*(Matrice!$T$21:$DP$21='Actions de maîtrise'!$C36)*(Matrice!$T$23:$DP$100="X"))=0,"",IF(SUMPRODUCT((Matrice!$D$23:$D$100='Actions de maîtrise'!R$5)*(Matrice!$T$21:$DP$21='Actions de maîtrise'!$C36)*(Matrice!$T$23:$DP$100="X"))=1,"X","erreur"))</f>
        <v/>
      </c>
      <c r="S36" s="276" t="str">
        <f>IF(SUMPRODUCT((Matrice!$D$23:$D$100='Actions de maîtrise'!S$5)*(Matrice!$T$21:$DP$21='Actions de maîtrise'!$C36)*(Matrice!$T$23:$DP$100="X"))=0,"",IF(SUMPRODUCT((Matrice!$D$23:$D$100='Actions de maîtrise'!S$5)*(Matrice!$T$21:$DP$21='Actions de maîtrise'!$C36)*(Matrice!$T$23:$DP$100="X"))=1,"X","erreur"))</f>
        <v/>
      </c>
      <c r="T36" s="276" t="str">
        <f>IF(SUMPRODUCT((Matrice!$D$23:$D$100='Actions de maîtrise'!T$5)*(Matrice!$T$21:$DP$21='Actions de maîtrise'!$C36)*(Matrice!$T$23:$DP$100="X"))=0,"",IF(SUMPRODUCT((Matrice!$D$23:$D$100='Actions de maîtrise'!T$5)*(Matrice!$T$21:$DP$21='Actions de maîtrise'!$C36)*(Matrice!$T$23:$DP$100="X"))=1,"X","erreur"))</f>
        <v/>
      </c>
      <c r="U36" s="276" t="str">
        <f>IF(SUMPRODUCT((Matrice!$D$23:$D$100='Actions de maîtrise'!U$5)*(Matrice!$T$21:$DP$21='Actions de maîtrise'!$C36)*(Matrice!$T$23:$DP$100="X"))=0,"",IF(SUMPRODUCT((Matrice!$D$23:$D$100='Actions de maîtrise'!U$5)*(Matrice!$T$21:$DP$21='Actions de maîtrise'!$C36)*(Matrice!$T$23:$DP$100="X"))=1,"X","erreur"))</f>
        <v/>
      </c>
      <c r="V36" s="276" t="str">
        <f>IF(SUMPRODUCT((Matrice!$D$23:$D$100='Actions de maîtrise'!V$5)*(Matrice!$T$21:$DP$21='Actions de maîtrise'!$C36)*(Matrice!$T$23:$DP$100="X"))=0,"",IF(SUMPRODUCT((Matrice!$D$23:$D$100='Actions de maîtrise'!V$5)*(Matrice!$T$21:$DP$21='Actions de maîtrise'!$C36)*(Matrice!$T$23:$DP$100="X"))=1,"X","erreur"))</f>
        <v/>
      </c>
      <c r="W36" s="276" t="str">
        <f>IF(SUMPRODUCT((Matrice!$D$23:$D$100='Actions de maîtrise'!W$5)*(Matrice!$T$21:$DP$21='Actions de maîtrise'!$C36)*(Matrice!$T$23:$DP$100="X"))=0,"",IF(SUMPRODUCT((Matrice!$D$23:$D$100='Actions de maîtrise'!W$5)*(Matrice!$T$21:$DP$21='Actions de maîtrise'!$C36)*(Matrice!$T$23:$DP$100="X"))=1,"X","erreur"))</f>
        <v/>
      </c>
      <c r="X36" s="276" t="str">
        <f>IF(SUMPRODUCT((Matrice!$D$23:$D$100='Actions de maîtrise'!X$5)*(Matrice!$T$21:$DP$21='Actions de maîtrise'!$C36)*(Matrice!$T$23:$DP$100="X"))=0,"",IF(SUMPRODUCT((Matrice!$D$23:$D$100='Actions de maîtrise'!X$5)*(Matrice!$T$21:$DP$21='Actions de maîtrise'!$C36)*(Matrice!$T$23:$DP$100="X"))=1,"X","erreur"))</f>
        <v/>
      </c>
      <c r="Y36" s="276" t="str">
        <f>IF(SUMPRODUCT((Matrice!$D$23:$D$100='Actions de maîtrise'!Y$5)*(Matrice!$T$21:$DP$21='Actions de maîtrise'!$C36)*(Matrice!$T$23:$DP$100="X"))=0,"",IF(SUMPRODUCT((Matrice!$D$23:$D$100='Actions de maîtrise'!Y$5)*(Matrice!$T$21:$DP$21='Actions de maîtrise'!$C36)*(Matrice!$T$23:$DP$100="X"))=1,"X","erreur"))</f>
        <v/>
      </c>
      <c r="Z36" s="276" t="str">
        <f>IF(SUMPRODUCT((Matrice!$D$23:$D$100='Actions de maîtrise'!Z$5)*(Matrice!$T$21:$DP$21='Actions de maîtrise'!$C36)*(Matrice!$T$23:$DP$100="X"))=0,"",IF(SUMPRODUCT((Matrice!$D$23:$D$100='Actions de maîtrise'!Z$5)*(Matrice!$T$21:$DP$21='Actions de maîtrise'!$C36)*(Matrice!$T$23:$DP$100="X"))=1,"X","erreur"))</f>
        <v/>
      </c>
      <c r="AA36" s="276" t="str">
        <f>IF(SUMPRODUCT((Matrice!$D$23:$D$100='Actions de maîtrise'!AA$5)*(Matrice!$T$21:$DP$21='Actions de maîtrise'!$C36)*(Matrice!$T$23:$DP$100="X"))=0,"",IF(SUMPRODUCT((Matrice!$D$23:$D$100='Actions de maîtrise'!AA$5)*(Matrice!$T$21:$DP$21='Actions de maîtrise'!$C36)*(Matrice!$T$23:$DP$100="X"))=1,"X","erreur"))</f>
        <v/>
      </c>
      <c r="AB36" s="276" t="str">
        <f>IF(SUMPRODUCT((Matrice!$D$23:$D$100='Actions de maîtrise'!AB$5)*(Matrice!$T$21:$DP$21='Actions de maîtrise'!$C36)*(Matrice!$T$23:$DP$100="X"))=0,"",IF(SUMPRODUCT((Matrice!$D$23:$D$100='Actions de maîtrise'!AB$5)*(Matrice!$T$21:$DP$21='Actions de maîtrise'!$C36)*(Matrice!$T$23:$DP$100="X"))=1,"X","erreur"))</f>
        <v/>
      </c>
      <c r="AC36" s="276" t="str">
        <f>IF(SUMPRODUCT((Matrice!$D$23:$D$100='Actions de maîtrise'!AC$5)*(Matrice!$T$21:$DP$21='Actions de maîtrise'!$C36)*(Matrice!$T$23:$DP$100="X"))=0,"",IF(SUMPRODUCT((Matrice!$D$23:$D$100='Actions de maîtrise'!AC$5)*(Matrice!$T$21:$DP$21='Actions de maîtrise'!$C36)*(Matrice!$T$23:$DP$100="X"))=1,"X","erreur"))</f>
        <v/>
      </c>
      <c r="AD36" s="276" t="str">
        <f>IF(SUMPRODUCT((Matrice!$D$23:$D$100='Actions de maîtrise'!AD$5)*(Matrice!$T$21:$DP$21='Actions de maîtrise'!$C36)*(Matrice!$T$23:$DP$100="X"))=0,"",IF(SUMPRODUCT((Matrice!$D$23:$D$100='Actions de maîtrise'!AD$5)*(Matrice!$T$21:$DP$21='Actions de maîtrise'!$C36)*(Matrice!$T$23:$DP$100="X"))=1,"X","erreur"))</f>
        <v/>
      </c>
      <c r="AE36" s="276" t="str">
        <f>IF(SUMPRODUCT((Matrice!$D$23:$D$100='Actions de maîtrise'!AE$5)*(Matrice!$T$21:$DP$21='Actions de maîtrise'!$C36)*(Matrice!$T$23:$DP$100="X"))=0,"",IF(SUMPRODUCT((Matrice!$D$23:$D$100='Actions de maîtrise'!AE$5)*(Matrice!$T$21:$DP$21='Actions de maîtrise'!$C36)*(Matrice!$T$23:$DP$100="X"))=1,"X","erreur"))</f>
        <v/>
      </c>
      <c r="AF36" s="276" t="str">
        <f>IF(SUMPRODUCT((Matrice!$D$23:$D$100='Actions de maîtrise'!AF$5)*(Matrice!$T$21:$DP$21='Actions de maîtrise'!$C36)*(Matrice!$T$23:$DP$100="X"))=0,"",IF(SUMPRODUCT((Matrice!$D$23:$D$100='Actions de maîtrise'!AF$5)*(Matrice!$T$21:$DP$21='Actions de maîtrise'!$C36)*(Matrice!$T$23:$DP$100="X"))=1,"X","erreur"))</f>
        <v/>
      </c>
      <c r="AG36" s="276" t="str">
        <f>IF(SUMPRODUCT((Matrice!$D$23:$D$100='Actions de maîtrise'!AG$5)*(Matrice!$T$21:$DP$21='Actions de maîtrise'!$C36)*(Matrice!$T$23:$DP$100="X"))=0,"",IF(SUMPRODUCT((Matrice!$D$23:$D$100='Actions de maîtrise'!AG$5)*(Matrice!$T$21:$DP$21='Actions de maîtrise'!$C36)*(Matrice!$T$23:$DP$100="X"))=1,"X","erreur"))</f>
        <v/>
      </c>
    </row>
    <row r="37" spans="2:33" ht="18" customHeight="1" x14ac:dyDescent="0.2">
      <c r="B37" s="309" t="str">
        <f>IF((COUNTIF(Matrice!$2:$2,Matrice!$G$1&amp;"-AM"&amp;Listes!A33)=1)=TRUE,Matrice!$G$1&amp;"-AM"&amp;Listes!A33,"")</f>
        <v/>
      </c>
      <c r="C37" s="178" t="str">
        <f>IF(IF(ISERROR(HLOOKUP(B37,Matrice!$A$2:$DP$100,20,FALSE)),"",HLOOKUP(B37,Matrice!$A$2:$DP$100,20,FALSE))="","",IF(ISERROR(HLOOKUP(B37,Matrice!$A$2:$DP$100,20,FALSE)),"-",HLOOKUP(B37,Matrice!$A$2:$DP$100,20,FALSE)))</f>
        <v/>
      </c>
      <c r="D37" s="179" t="str">
        <f>IF(IF(ISERROR(HLOOKUP(B37,Matrice!$A$2:$DP$100,3,FALSE)),"",HLOOKUP(B37,Matrice!$A$2:$DP$100,3,FALSE))="","",IF(ISERROR(HLOOKUP(B37,Matrice!$A$2:$DP$100,3,FALSE)),"-",HLOOKUP(B37,Matrice!$A$2:$DP$100,3,FALSE)))</f>
        <v/>
      </c>
      <c r="E37" s="305"/>
      <c r="F37" s="179" t="str">
        <f>IF(ISERROR(HLOOKUP($B37,Matrice!$A$2:$DP$100,4,FALSE)),"",IF(HLOOKUP($B37,Matrice!$A$2:$DP$100,4,FALSE)="","",HLOOKUP($B37,Matrice!$A$2:$DP$100,4,FALSE)))</f>
        <v/>
      </c>
      <c r="G37" s="179" t="str">
        <f>IF(ISERROR(HLOOKUP($B37,Matrice!$A$2:$DP$100,5,FALSE)),"",IF(HLOOKUP($B37,Matrice!$A$2:$DP$100,5,FALSE)="","",HLOOKUP($B37,Matrice!$A$2:$DP$100,5,FALSE)))</f>
        <v/>
      </c>
      <c r="H37" s="179" t="str">
        <f>IF(ISERROR(HLOOKUP($B37,Matrice!$A$2:$DP$100,6,FALSE)),"",IF(HLOOKUP($B37,Matrice!$A$2:$DP$100,6,FALSE)="","",HLOOKUP($B37,Matrice!$A$2:$DP$100,6,FALSE)))</f>
        <v/>
      </c>
      <c r="I37" s="179" t="str">
        <f>IF(ISERROR(HLOOKUP($B38,Matrice!$A$2:$DP$100,7,FALSE)),"",IF(HLOOKUP($B38,Matrice!$A$2:$DP$100,7,FALSE)="","",HLOOKUP($B38,Matrice!$A$2:$DP$100,7,FALSE)))</f>
        <v/>
      </c>
      <c r="J37" s="277" t="str">
        <f>IF(ISERROR(HLOOKUP($B37,Matrice!$A$2:$DP$100,12,FALSE)),"",IF(HLOOKUP($B37,Matrice!$A$2:$DP$100,12,FALSE)="","",HLOOKUP($B37,Matrice!$A$2:$DP$100,12,FALSE)))</f>
        <v/>
      </c>
      <c r="K37" s="277" t="str">
        <f>IF(ISERROR(HLOOKUP($B37,Matrice!$A$2:$DP$100,13,FALSE)),"",IF(HLOOKUP($B37,Matrice!$A$2:$DP$100,13,FALSE)="","",HLOOKUP($B37,Matrice!$A$2:$DP$100,13,FALSE)))</f>
        <v/>
      </c>
      <c r="L37" s="333" t="str">
        <f>IF(ISERROR(HLOOKUP($B37,Matrice!$A$2:$DP$100,9,FALSE)),"",IF(HLOOKUP($B37,Matrice!$A$2:$DP$100,9,FALSE)="","",HLOOKUP($B37,Matrice!$A$2:$DP$100,9,FALSE)))</f>
        <v/>
      </c>
      <c r="M37" s="333" t="str">
        <f>IF(ISERROR(HLOOKUP($B37,Matrice!$A$2:$DP$100,10,FALSE)),"",IF(HLOOKUP($B37,Matrice!$A$2:$DP$100,10,FALSE)="","",HLOOKUP($B37,Matrice!$A$2:$DP$100,10,FALSE)))</f>
        <v/>
      </c>
      <c r="N37" s="333" t="str">
        <f>IF(ISERROR(HLOOKUP($B37,Matrice!$A$2:$DP$100,11,FALSE)),"",IF(HLOOKUP($B37,Matrice!$A$2:$DP$100,11,FALSE)="","",HLOOKUP($B37,Matrice!$A$2:$DP$100,11,FALSE)))</f>
        <v/>
      </c>
      <c r="P37" s="276" t="str">
        <f>IF(SUMPRODUCT((Matrice!$D$23:$D$100='Actions de maîtrise'!P$5)*(Matrice!$T$21:$DP$21='Actions de maîtrise'!$C37)*(Matrice!$T$23:$DP$100="X"))=0,"",IF(SUMPRODUCT((Matrice!$D$23:$D$100='Actions de maîtrise'!P$5)*(Matrice!$T$21:$DP$21='Actions de maîtrise'!$C37)*(Matrice!$T$23:$DP$100="X"))=1,"X","erreur"))</f>
        <v/>
      </c>
      <c r="Q37" s="276" t="str">
        <f>IF(SUMPRODUCT((Matrice!$D$23:$D$100='Actions de maîtrise'!Q$5)*(Matrice!$T$21:$DP$21='Actions de maîtrise'!$C37)*(Matrice!$T$23:$DP$100="X"))=0,"",IF(SUMPRODUCT((Matrice!$D$23:$D$100='Actions de maîtrise'!Q$5)*(Matrice!$T$21:$DP$21='Actions de maîtrise'!$C37)*(Matrice!$T$23:$DP$100="X"))=1,"X","erreur"))</f>
        <v/>
      </c>
      <c r="R37" s="276" t="str">
        <f>IF(SUMPRODUCT((Matrice!$D$23:$D$100='Actions de maîtrise'!R$5)*(Matrice!$T$21:$DP$21='Actions de maîtrise'!$C37)*(Matrice!$T$23:$DP$100="X"))=0,"",IF(SUMPRODUCT((Matrice!$D$23:$D$100='Actions de maîtrise'!R$5)*(Matrice!$T$21:$DP$21='Actions de maîtrise'!$C37)*(Matrice!$T$23:$DP$100="X"))=1,"X","erreur"))</f>
        <v/>
      </c>
      <c r="S37" s="276" t="str">
        <f>IF(SUMPRODUCT((Matrice!$D$23:$D$100='Actions de maîtrise'!S$5)*(Matrice!$T$21:$DP$21='Actions de maîtrise'!$C37)*(Matrice!$T$23:$DP$100="X"))=0,"",IF(SUMPRODUCT((Matrice!$D$23:$D$100='Actions de maîtrise'!S$5)*(Matrice!$T$21:$DP$21='Actions de maîtrise'!$C37)*(Matrice!$T$23:$DP$100="X"))=1,"X","erreur"))</f>
        <v/>
      </c>
      <c r="T37" s="276" t="str">
        <f>IF(SUMPRODUCT((Matrice!$D$23:$D$100='Actions de maîtrise'!T$5)*(Matrice!$T$21:$DP$21='Actions de maîtrise'!$C37)*(Matrice!$T$23:$DP$100="X"))=0,"",IF(SUMPRODUCT((Matrice!$D$23:$D$100='Actions de maîtrise'!T$5)*(Matrice!$T$21:$DP$21='Actions de maîtrise'!$C37)*(Matrice!$T$23:$DP$100="X"))=1,"X","erreur"))</f>
        <v/>
      </c>
      <c r="U37" s="276" t="str">
        <f>IF(SUMPRODUCT((Matrice!$D$23:$D$100='Actions de maîtrise'!U$5)*(Matrice!$T$21:$DP$21='Actions de maîtrise'!$C37)*(Matrice!$T$23:$DP$100="X"))=0,"",IF(SUMPRODUCT((Matrice!$D$23:$D$100='Actions de maîtrise'!U$5)*(Matrice!$T$21:$DP$21='Actions de maîtrise'!$C37)*(Matrice!$T$23:$DP$100="X"))=1,"X","erreur"))</f>
        <v/>
      </c>
      <c r="V37" s="276" t="str">
        <f>IF(SUMPRODUCT((Matrice!$D$23:$D$100='Actions de maîtrise'!V$5)*(Matrice!$T$21:$DP$21='Actions de maîtrise'!$C37)*(Matrice!$T$23:$DP$100="X"))=0,"",IF(SUMPRODUCT((Matrice!$D$23:$D$100='Actions de maîtrise'!V$5)*(Matrice!$T$21:$DP$21='Actions de maîtrise'!$C37)*(Matrice!$T$23:$DP$100="X"))=1,"X","erreur"))</f>
        <v/>
      </c>
      <c r="W37" s="276" t="str">
        <f>IF(SUMPRODUCT((Matrice!$D$23:$D$100='Actions de maîtrise'!W$5)*(Matrice!$T$21:$DP$21='Actions de maîtrise'!$C37)*(Matrice!$T$23:$DP$100="X"))=0,"",IF(SUMPRODUCT((Matrice!$D$23:$D$100='Actions de maîtrise'!W$5)*(Matrice!$T$21:$DP$21='Actions de maîtrise'!$C37)*(Matrice!$T$23:$DP$100="X"))=1,"X","erreur"))</f>
        <v/>
      </c>
      <c r="X37" s="276" t="str">
        <f>IF(SUMPRODUCT((Matrice!$D$23:$D$100='Actions de maîtrise'!X$5)*(Matrice!$T$21:$DP$21='Actions de maîtrise'!$C37)*(Matrice!$T$23:$DP$100="X"))=0,"",IF(SUMPRODUCT((Matrice!$D$23:$D$100='Actions de maîtrise'!X$5)*(Matrice!$T$21:$DP$21='Actions de maîtrise'!$C37)*(Matrice!$T$23:$DP$100="X"))=1,"X","erreur"))</f>
        <v/>
      </c>
      <c r="Y37" s="276" t="str">
        <f>IF(SUMPRODUCT((Matrice!$D$23:$D$100='Actions de maîtrise'!Y$5)*(Matrice!$T$21:$DP$21='Actions de maîtrise'!$C37)*(Matrice!$T$23:$DP$100="X"))=0,"",IF(SUMPRODUCT((Matrice!$D$23:$D$100='Actions de maîtrise'!Y$5)*(Matrice!$T$21:$DP$21='Actions de maîtrise'!$C37)*(Matrice!$T$23:$DP$100="X"))=1,"X","erreur"))</f>
        <v/>
      </c>
      <c r="Z37" s="276" t="str">
        <f>IF(SUMPRODUCT((Matrice!$D$23:$D$100='Actions de maîtrise'!Z$5)*(Matrice!$T$21:$DP$21='Actions de maîtrise'!$C37)*(Matrice!$T$23:$DP$100="X"))=0,"",IF(SUMPRODUCT((Matrice!$D$23:$D$100='Actions de maîtrise'!Z$5)*(Matrice!$T$21:$DP$21='Actions de maîtrise'!$C37)*(Matrice!$T$23:$DP$100="X"))=1,"X","erreur"))</f>
        <v/>
      </c>
      <c r="AA37" s="276" t="str">
        <f>IF(SUMPRODUCT((Matrice!$D$23:$D$100='Actions de maîtrise'!AA$5)*(Matrice!$T$21:$DP$21='Actions de maîtrise'!$C37)*(Matrice!$T$23:$DP$100="X"))=0,"",IF(SUMPRODUCT((Matrice!$D$23:$D$100='Actions de maîtrise'!AA$5)*(Matrice!$T$21:$DP$21='Actions de maîtrise'!$C37)*(Matrice!$T$23:$DP$100="X"))=1,"X","erreur"))</f>
        <v/>
      </c>
      <c r="AB37" s="276" t="str">
        <f>IF(SUMPRODUCT((Matrice!$D$23:$D$100='Actions de maîtrise'!AB$5)*(Matrice!$T$21:$DP$21='Actions de maîtrise'!$C37)*(Matrice!$T$23:$DP$100="X"))=0,"",IF(SUMPRODUCT((Matrice!$D$23:$D$100='Actions de maîtrise'!AB$5)*(Matrice!$T$21:$DP$21='Actions de maîtrise'!$C37)*(Matrice!$T$23:$DP$100="X"))=1,"X","erreur"))</f>
        <v/>
      </c>
      <c r="AC37" s="276" t="str">
        <f>IF(SUMPRODUCT((Matrice!$D$23:$D$100='Actions de maîtrise'!AC$5)*(Matrice!$T$21:$DP$21='Actions de maîtrise'!$C37)*(Matrice!$T$23:$DP$100="X"))=0,"",IF(SUMPRODUCT((Matrice!$D$23:$D$100='Actions de maîtrise'!AC$5)*(Matrice!$T$21:$DP$21='Actions de maîtrise'!$C37)*(Matrice!$T$23:$DP$100="X"))=1,"X","erreur"))</f>
        <v/>
      </c>
      <c r="AD37" s="276" t="str">
        <f>IF(SUMPRODUCT((Matrice!$D$23:$D$100='Actions de maîtrise'!AD$5)*(Matrice!$T$21:$DP$21='Actions de maîtrise'!$C37)*(Matrice!$T$23:$DP$100="X"))=0,"",IF(SUMPRODUCT((Matrice!$D$23:$D$100='Actions de maîtrise'!AD$5)*(Matrice!$T$21:$DP$21='Actions de maîtrise'!$C37)*(Matrice!$T$23:$DP$100="X"))=1,"X","erreur"))</f>
        <v/>
      </c>
      <c r="AE37" s="276" t="str">
        <f>IF(SUMPRODUCT((Matrice!$D$23:$D$100='Actions de maîtrise'!AE$5)*(Matrice!$T$21:$DP$21='Actions de maîtrise'!$C37)*(Matrice!$T$23:$DP$100="X"))=0,"",IF(SUMPRODUCT((Matrice!$D$23:$D$100='Actions de maîtrise'!AE$5)*(Matrice!$T$21:$DP$21='Actions de maîtrise'!$C37)*(Matrice!$T$23:$DP$100="X"))=1,"X","erreur"))</f>
        <v/>
      </c>
      <c r="AF37" s="276" t="str">
        <f>IF(SUMPRODUCT((Matrice!$D$23:$D$100='Actions de maîtrise'!AF$5)*(Matrice!$T$21:$DP$21='Actions de maîtrise'!$C37)*(Matrice!$T$23:$DP$100="X"))=0,"",IF(SUMPRODUCT((Matrice!$D$23:$D$100='Actions de maîtrise'!AF$5)*(Matrice!$T$21:$DP$21='Actions de maîtrise'!$C37)*(Matrice!$T$23:$DP$100="X"))=1,"X","erreur"))</f>
        <v/>
      </c>
      <c r="AG37" s="276" t="str">
        <f>IF(SUMPRODUCT((Matrice!$D$23:$D$100='Actions de maîtrise'!AG$5)*(Matrice!$T$21:$DP$21='Actions de maîtrise'!$C37)*(Matrice!$T$23:$DP$100="X"))=0,"",IF(SUMPRODUCT((Matrice!$D$23:$D$100='Actions de maîtrise'!AG$5)*(Matrice!$T$21:$DP$21='Actions de maîtrise'!$C37)*(Matrice!$T$23:$DP$100="X"))=1,"X","erreur"))</f>
        <v/>
      </c>
    </row>
    <row r="38" spans="2:33" ht="18" customHeight="1" x14ac:dyDescent="0.2">
      <c r="B38" s="309" t="str">
        <f>IF((COUNTIF(Matrice!$2:$2,Matrice!$G$1&amp;"-AM"&amp;Listes!A34)=1)=TRUE,Matrice!$G$1&amp;"-AM"&amp;Listes!A34,"")</f>
        <v/>
      </c>
      <c r="C38" s="178" t="str">
        <f>IF(IF(ISERROR(HLOOKUP(B38,Matrice!$A$2:$DP$100,20,FALSE)),"",HLOOKUP(B38,Matrice!$A$2:$DP$100,20,FALSE))="","",IF(ISERROR(HLOOKUP(B38,Matrice!$A$2:$DP$100,20,FALSE)),"-",HLOOKUP(B38,Matrice!$A$2:$DP$100,20,FALSE)))</f>
        <v/>
      </c>
      <c r="D38" s="179" t="str">
        <f>IF(IF(ISERROR(HLOOKUP(B38,Matrice!$A$2:$DP$100,3,FALSE)),"",HLOOKUP(B38,Matrice!$A$2:$DP$100,3,FALSE))="","",IF(ISERROR(HLOOKUP(B38,Matrice!$A$2:$DP$100,3,FALSE)),"-",HLOOKUP(B38,Matrice!$A$2:$DP$100,3,FALSE)))</f>
        <v/>
      </c>
      <c r="E38" s="305"/>
      <c r="F38" s="179" t="str">
        <f>IF(ISERROR(HLOOKUP($B38,Matrice!$A$2:$DP$100,4,FALSE)),"",IF(HLOOKUP($B38,Matrice!$A$2:$DP$100,4,FALSE)="","",HLOOKUP($B38,Matrice!$A$2:$DP$100,4,FALSE)))</f>
        <v/>
      </c>
      <c r="G38" s="179" t="str">
        <f>IF(ISERROR(HLOOKUP($B38,Matrice!$A$2:$DP$100,5,FALSE)),"",IF(HLOOKUP($B38,Matrice!$A$2:$DP$100,5,FALSE)="","",HLOOKUP($B38,Matrice!$A$2:$DP$100,5,FALSE)))</f>
        <v/>
      </c>
      <c r="H38" s="179" t="str">
        <f>IF(ISERROR(HLOOKUP($B38,Matrice!$A$2:$DP$100,6,FALSE)),"",IF(HLOOKUP($B38,Matrice!$A$2:$DP$100,6,FALSE)="","",HLOOKUP($B38,Matrice!$A$2:$DP$100,6,FALSE)))</f>
        <v/>
      </c>
      <c r="I38" s="179" t="str">
        <f>IF(ISERROR(HLOOKUP($B39,Matrice!$A$2:$DP$100,7,FALSE)),"",IF(HLOOKUP($B39,Matrice!$A$2:$DP$100,7,FALSE)="","",HLOOKUP($B39,Matrice!$A$2:$DP$100,7,FALSE)))</f>
        <v/>
      </c>
      <c r="J38" s="277" t="str">
        <f>IF(ISERROR(HLOOKUP($B38,Matrice!$A$2:$DP$100,12,FALSE)),"",IF(HLOOKUP($B38,Matrice!$A$2:$DP$100,12,FALSE)="","",HLOOKUP($B38,Matrice!$A$2:$DP$100,12,FALSE)))</f>
        <v/>
      </c>
      <c r="K38" s="277" t="str">
        <f>IF(ISERROR(HLOOKUP($B38,Matrice!$A$2:$DP$100,13,FALSE)),"",IF(HLOOKUP($B38,Matrice!$A$2:$DP$100,13,FALSE)="","",HLOOKUP($B38,Matrice!$A$2:$DP$100,13,FALSE)))</f>
        <v/>
      </c>
      <c r="L38" s="333" t="str">
        <f>IF(ISERROR(HLOOKUP($B38,Matrice!$A$2:$DP$100,9,FALSE)),"",IF(HLOOKUP($B38,Matrice!$A$2:$DP$100,9,FALSE)="","",HLOOKUP($B38,Matrice!$A$2:$DP$100,9,FALSE)))</f>
        <v/>
      </c>
      <c r="M38" s="333" t="str">
        <f>IF(ISERROR(HLOOKUP($B38,Matrice!$A$2:$DP$100,10,FALSE)),"",IF(HLOOKUP($B38,Matrice!$A$2:$DP$100,10,FALSE)="","",HLOOKUP($B38,Matrice!$A$2:$DP$100,10,FALSE)))</f>
        <v/>
      </c>
      <c r="N38" s="333" t="str">
        <f>IF(ISERROR(HLOOKUP($B38,Matrice!$A$2:$DP$100,11,FALSE)),"",IF(HLOOKUP($B38,Matrice!$A$2:$DP$100,11,FALSE)="","",HLOOKUP($B38,Matrice!$A$2:$DP$100,11,FALSE)))</f>
        <v/>
      </c>
      <c r="P38" s="276" t="str">
        <f>IF(SUMPRODUCT((Matrice!$D$23:$D$100='Actions de maîtrise'!P$5)*(Matrice!$T$21:$DP$21='Actions de maîtrise'!$C38)*(Matrice!$T$23:$DP$100="X"))=0,"",IF(SUMPRODUCT((Matrice!$D$23:$D$100='Actions de maîtrise'!P$5)*(Matrice!$T$21:$DP$21='Actions de maîtrise'!$C38)*(Matrice!$T$23:$DP$100="X"))=1,"X","erreur"))</f>
        <v/>
      </c>
      <c r="Q38" s="276" t="str">
        <f>IF(SUMPRODUCT((Matrice!$D$23:$D$100='Actions de maîtrise'!Q$5)*(Matrice!$T$21:$DP$21='Actions de maîtrise'!$C38)*(Matrice!$T$23:$DP$100="X"))=0,"",IF(SUMPRODUCT((Matrice!$D$23:$D$100='Actions de maîtrise'!Q$5)*(Matrice!$T$21:$DP$21='Actions de maîtrise'!$C38)*(Matrice!$T$23:$DP$100="X"))=1,"X","erreur"))</f>
        <v/>
      </c>
      <c r="R38" s="276" t="str">
        <f>IF(SUMPRODUCT((Matrice!$D$23:$D$100='Actions de maîtrise'!R$5)*(Matrice!$T$21:$DP$21='Actions de maîtrise'!$C38)*(Matrice!$T$23:$DP$100="X"))=0,"",IF(SUMPRODUCT((Matrice!$D$23:$D$100='Actions de maîtrise'!R$5)*(Matrice!$T$21:$DP$21='Actions de maîtrise'!$C38)*(Matrice!$T$23:$DP$100="X"))=1,"X","erreur"))</f>
        <v/>
      </c>
      <c r="S38" s="276" t="str">
        <f>IF(SUMPRODUCT((Matrice!$D$23:$D$100='Actions de maîtrise'!S$5)*(Matrice!$T$21:$DP$21='Actions de maîtrise'!$C38)*(Matrice!$T$23:$DP$100="X"))=0,"",IF(SUMPRODUCT((Matrice!$D$23:$D$100='Actions de maîtrise'!S$5)*(Matrice!$T$21:$DP$21='Actions de maîtrise'!$C38)*(Matrice!$T$23:$DP$100="X"))=1,"X","erreur"))</f>
        <v/>
      </c>
      <c r="T38" s="276" t="str">
        <f>IF(SUMPRODUCT((Matrice!$D$23:$D$100='Actions de maîtrise'!T$5)*(Matrice!$T$21:$DP$21='Actions de maîtrise'!$C38)*(Matrice!$T$23:$DP$100="X"))=0,"",IF(SUMPRODUCT((Matrice!$D$23:$D$100='Actions de maîtrise'!T$5)*(Matrice!$T$21:$DP$21='Actions de maîtrise'!$C38)*(Matrice!$T$23:$DP$100="X"))=1,"X","erreur"))</f>
        <v/>
      </c>
      <c r="U38" s="276" t="str">
        <f>IF(SUMPRODUCT((Matrice!$D$23:$D$100='Actions de maîtrise'!U$5)*(Matrice!$T$21:$DP$21='Actions de maîtrise'!$C38)*(Matrice!$T$23:$DP$100="X"))=0,"",IF(SUMPRODUCT((Matrice!$D$23:$D$100='Actions de maîtrise'!U$5)*(Matrice!$T$21:$DP$21='Actions de maîtrise'!$C38)*(Matrice!$T$23:$DP$100="X"))=1,"X","erreur"))</f>
        <v/>
      </c>
      <c r="V38" s="276" t="str">
        <f>IF(SUMPRODUCT((Matrice!$D$23:$D$100='Actions de maîtrise'!V$5)*(Matrice!$T$21:$DP$21='Actions de maîtrise'!$C38)*(Matrice!$T$23:$DP$100="X"))=0,"",IF(SUMPRODUCT((Matrice!$D$23:$D$100='Actions de maîtrise'!V$5)*(Matrice!$T$21:$DP$21='Actions de maîtrise'!$C38)*(Matrice!$T$23:$DP$100="X"))=1,"X","erreur"))</f>
        <v/>
      </c>
      <c r="W38" s="276" t="str">
        <f>IF(SUMPRODUCT((Matrice!$D$23:$D$100='Actions de maîtrise'!W$5)*(Matrice!$T$21:$DP$21='Actions de maîtrise'!$C38)*(Matrice!$T$23:$DP$100="X"))=0,"",IF(SUMPRODUCT((Matrice!$D$23:$D$100='Actions de maîtrise'!W$5)*(Matrice!$T$21:$DP$21='Actions de maîtrise'!$C38)*(Matrice!$T$23:$DP$100="X"))=1,"X","erreur"))</f>
        <v/>
      </c>
      <c r="X38" s="276" t="str">
        <f>IF(SUMPRODUCT((Matrice!$D$23:$D$100='Actions de maîtrise'!X$5)*(Matrice!$T$21:$DP$21='Actions de maîtrise'!$C38)*(Matrice!$T$23:$DP$100="X"))=0,"",IF(SUMPRODUCT((Matrice!$D$23:$D$100='Actions de maîtrise'!X$5)*(Matrice!$T$21:$DP$21='Actions de maîtrise'!$C38)*(Matrice!$T$23:$DP$100="X"))=1,"X","erreur"))</f>
        <v/>
      </c>
      <c r="Y38" s="276" t="str">
        <f>IF(SUMPRODUCT((Matrice!$D$23:$D$100='Actions de maîtrise'!Y$5)*(Matrice!$T$21:$DP$21='Actions de maîtrise'!$C38)*(Matrice!$T$23:$DP$100="X"))=0,"",IF(SUMPRODUCT((Matrice!$D$23:$D$100='Actions de maîtrise'!Y$5)*(Matrice!$T$21:$DP$21='Actions de maîtrise'!$C38)*(Matrice!$T$23:$DP$100="X"))=1,"X","erreur"))</f>
        <v/>
      </c>
      <c r="Z38" s="276" t="str">
        <f>IF(SUMPRODUCT((Matrice!$D$23:$D$100='Actions de maîtrise'!Z$5)*(Matrice!$T$21:$DP$21='Actions de maîtrise'!$C38)*(Matrice!$T$23:$DP$100="X"))=0,"",IF(SUMPRODUCT((Matrice!$D$23:$D$100='Actions de maîtrise'!Z$5)*(Matrice!$T$21:$DP$21='Actions de maîtrise'!$C38)*(Matrice!$T$23:$DP$100="X"))=1,"X","erreur"))</f>
        <v/>
      </c>
      <c r="AA38" s="276" t="str">
        <f>IF(SUMPRODUCT((Matrice!$D$23:$D$100='Actions de maîtrise'!AA$5)*(Matrice!$T$21:$DP$21='Actions de maîtrise'!$C38)*(Matrice!$T$23:$DP$100="X"))=0,"",IF(SUMPRODUCT((Matrice!$D$23:$D$100='Actions de maîtrise'!AA$5)*(Matrice!$T$21:$DP$21='Actions de maîtrise'!$C38)*(Matrice!$T$23:$DP$100="X"))=1,"X","erreur"))</f>
        <v/>
      </c>
      <c r="AB38" s="276" t="str">
        <f>IF(SUMPRODUCT((Matrice!$D$23:$D$100='Actions de maîtrise'!AB$5)*(Matrice!$T$21:$DP$21='Actions de maîtrise'!$C38)*(Matrice!$T$23:$DP$100="X"))=0,"",IF(SUMPRODUCT((Matrice!$D$23:$D$100='Actions de maîtrise'!AB$5)*(Matrice!$T$21:$DP$21='Actions de maîtrise'!$C38)*(Matrice!$T$23:$DP$100="X"))=1,"X","erreur"))</f>
        <v/>
      </c>
      <c r="AC38" s="276" t="str">
        <f>IF(SUMPRODUCT((Matrice!$D$23:$D$100='Actions de maîtrise'!AC$5)*(Matrice!$T$21:$DP$21='Actions de maîtrise'!$C38)*(Matrice!$T$23:$DP$100="X"))=0,"",IF(SUMPRODUCT((Matrice!$D$23:$D$100='Actions de maîtrise'!AC$5)*(Matrice!$T$21:$DP$21='Actions de maîtrise'!$C38)*(Matrice!$T$23:$DP$100="X"))=1,"X","erreur"))</f>
        <v/>
      </c>
      <c r="AD38" s="276" t="str">
        <f>IF(SUMPRODUCT((Matrice!$D$23:$D$100='Actions de maîtrise'!AD$5)*(Matrice!$T$21:$DP$21='Actions de maîtrise'!$C38)*(Matrice!$T$23:$DP$100="X"))=0,"",IF(SUMPRODUCT((Matrice!$D$23:$D$100='Actions de maîtrise'!AD$5)*(Matrice!$T$21:$DP$21='Actions de maîtrise'!$C38)*(Matrice!$T$23:$DP$100="X"))=1,"X","erreur"))</f>
        <v/>
      </c>
      <c r="AE38" s="276" t="str">
        <f>IF(SUMPRODUCT((Matrice!$D$23:$D$100='Actions de maîtrise'!AE$5)*(Matrice!$T$21:$DP$21='Actions de maîtrise'!$C38)*(Matrice!$T$23:$DP$100="X"))=0,"",IF(SUMPRODUCT((Matrice!$D$23:$D$100='Actions de maîtrise'!AE$5)*(Matrice!$T$21:$DP$21='Actions de maîtrise'!$C38)*(Matrice!$T$23:$DP$100="X"))=1,"X","erreur"))</f>
        <v/>
      </c>
      <c r="AF38" s="276" t="str">
        <f>IF(SUMPRODUCT((Matrice!$D$23:$D$100='Actions de maîtrise'!AF$5)*(Matrice!$T$21:$DP$21='Actions de maîtrise'!$C38)*(Matrice!$T$23:$DP$100="X"))=0,"",IF(SUMPRODUCT((Matrice!$D$23:$D$100='Actions de maîtrise'!AF$5)*(Matrice!$T$21:$DP$21='Actions de maîtrise'!$C38)*(Matrice!$T$23:$DP$100="X"))=1,"X","erreur"))</f>
        <v/>
      </c>
      <c r="AG38" s="276" t="str">
        <f>IF(SUMPRODUCT((Matrice!$D$23:$D$100='Actions de maîtrise'!AG$5)*(Matrice!$T$21:$DP$21='Actions de maîtrise'!$C38)*(Matrice!$T$23:$DP$100="X"))=0,"",IF(SUMPRODUCT((Matrice!$D$23:$D$100='Actions de maîtrise'!AG$5)*(Matrice!$T$21:$DP$21='Actions de maîtrise'!$C38)*(Matrice!$T$23:$DP$100="X"))=1,"X","erreur"))</f>
        <v/>
      </c>
    </row>
    <row r="39" spans="2:33" ht="18" customHeight="1" x14ac:dyDescent="0.2">
      <c r="B39" s="309" t="str">
        <f>IF((COUNTIF(Matrice!$2:$2,Matrice!$G$1&amp;"-AM"&amp;Listes!A35)=1)=TRUE,Matrice!$G$1&amp;"-AM"&amp;Listes!A35,"")</f>
        <v/>
      </c>
      <c r="C39" s="178" t="str">
        <f>IF(IF(ISERROR(HLOOKUP(B39,Matrice!$A$2:$DP$100,20,FALSE)),"",HLOOKUP(B39,Matrice!$A$2:$DP$100,20,FALSE))="","",IF(ISERROR(HLOOKUP(B39,Matrice!$A$2:$DP$100,20,FALSE)),"-",HLOOKUP(B39,Matrice!$A$2:$DP$100,20,FALSE)))</f>
        <v/>
      </c>
      <c r="D39" s="179" t="str">
        <f>IF(IF(ISERROR(HLOOKUP(B39,Matrice!$A$2:$DP$100,3,FALSE)),"",HLOOKUP(B39,Matrice!$A$2:$DP$100,3,FALSE))="","",IF(ISERROR(HLOOKUP(B39,Matrice!$A$2:$DP$100,3,FALSE)),"-",HLOOKUP(B39,Matrice!$A$2:$DP$100,3,FALSE)))</f>
        <v/>
      </c>
      <c r="E39" s="305"/>
      <c r="F39" s="179" t="str">
        <f>IF(ISERROR(HLOOKUP($B39,Matrice!$A$2:$DP$100,4,FALSE)),"",IF(HLOOKUP($B39,Matrice!$A$2:$DP$100,4,FALSE)="","",HLOOKUP($B39,Matrice!$A$2:$DP$100,4,FALSE)))</f>
        <v/>
      </c>
      <c r="G39" s="179" t="str">
        <f>IF(ISERROR(HLOOKUP($B39,Matrice!$A$2:$DP$100,5,FALSE)),"",IF(HLOOKUP($B39,Matrice!$A$2:$DP$100,5,FALSE)="","",HLOOKUP($B39,Matrice!$A$2:$DP$100,5,FALSE)))</f>
        <v/>
      </c>
      <c r="H39" s="179" t="str">
        <f>IF(ISERROR(HLOOKUP($B39,Matrice!$A$2:$DP$100,6,FALSE)),"",IF(HLOOKUP($B39,Matrice!$A$2:$DP$100,6,FALSE)="","",HLOOKUP($B39,Matrice!$A$2:$DP$100,6,FALSE)))</f>
        <v/>
      </c>
      <c r="I39" s="179" t="str">
        <f>IF(ISERROR(HLOOKUP($B40,Matrice!$A$2:$DP$100,7,FALSE)),"",IF(HLOOKUP($B40,Matrice!$A$2:$DP$100,7,FALSE)="","",HLOOKUP($B40,Matrice!$A$2:$DP$100,7,FALSE)))</f>
        <v/>
      </c>
      <c r="J39" s="277" t="str">
        <f>IF(ISERROR(HLOOKUP($B39,Matrice!$A$2:$DP$100,12,FALSE)),"",IF(HLOOKUP($B39,Matrice!$A$2:$DP$100,12,FALSE)="","",HLOOKUP($B39,Matrice!$A$2:$DP$100,12,FALSE)))</f>
        <v/>
      </c>
      <c r="K39" s="277" t="str">
        <f>IF(ISERROR(HLOOKUP($B39,Matrice!$A$2:$DP$100,13,FALSE)),"",IF(HLOOKUP($B39,Matrice!$A$2:$DP$100,13,FALSE)="","",HLOOKUP($B39,Matrice!$A$2:$DP$100,13,FALSE)))</f>
        <v/>
      </c>
      <c r="L39" s="333" t="str">
        <f>IF(ISERROR(HLOOKUP($B39,Matrice!$A$2:$DP$100,9,FALSE)),"",IF(HLOOKUP($B39,Matrice!$A$2:$DP$100,9,FALSE)="","",HLOOKUP($B39,Matrice!$A$2:$DP$100,9,FALSE)))</f>
        <v/>
      </c>
      <c r="M39" s="333" t="str">
        <f>IF(ISERROR(HLOOKUP($B39,Matrice!$A$2:$DP$100,10,FALSE)),"",IF(HLOOKUP($B39,Matrice!$A$2:$DP$100,10,FALSE)="","",HLOOKUP($B39,Matrice!$A$2:$DP$100,10,FALSE)))</f>
        <v/>
      </c>
      <c r="N39" s="333" t="str">
        <f>IF(ISERROR(HLOOKUP($B39,Matrice!$A$2:$DP$100,11,FALSE)),"",IF(HLOOKUP($B39,Matrice!$A$2:$DP$100,11,FALSE)="","",HLOOKUP($B39,Matrice!$A$2:$DP$100,11,FALSE)))</f>
        <v/>
      </c>
      <c r="P39" s="276" t="str">
        <f>IF(SUMPRODUCT((Matrice!$D$23:$D$100='Actions de maîtrise'!P$5)*(Matrice!$T$21:$DP$21='Actions de maîtrise'!$C39)*(Matrice!$T$23:$DP$100="X"))=0,"",IF(SUMPRODUCT((Matrice!$D$23:$D$100='Actions de maîtrise'!P$5)*(Matrice!$T$21:$DP$21='Actions de maîtrise'!$C39)*(Matrice!$T$23:$DP$100="X"))=1,"X","erreur"))</f>
        <v/>
      </c>
      <c r="Q39" s="276" t="str">
        <f>IF(SUMPRODUCT((Matrice!$D$23:$D$100='Actions de maîtrise'!Q$5)*(Matrice!$T$21:$DP$21='Actions de maîtrise'!$C39)*(Matrice!$T$23:$DP$100="X"))=0,"",IF(SUMPRODUCT((Matrice!$D$23:$D$100='Actions de maîtrise'!Q$5)*(Matrice!$T$21:$DP$21='Actions de maîtrise'!$C39)*(Matrice!$T$23:$DP$100="X"))=1,"X","erreur"))</f>
        <v/>
      </c>
      <c r="R39" s="276" t="str">
        <f>IF(SUMPRODUCT((Matrice!$D$23:$D$100='Actions de maîtrise'!R$5)*(Matrice!$T$21:$DP$21='Actions de maîtrise'!$C39)*(Matrice!$T$23:$DP$100="X"))=0,"",IF(SUMPRODUCT((Matrice!$D$23:$D$100='Actions de maîtrise'!R$5)*(Matrice!$T$21:$DP$21='Actions de maîtrise'!$C39)*(Matrice!$T$23:$DP$100="X"))=1,"X","erreur"))</f>
        <v/>
      </c>
      <c r="S39" s="276" t="str">
        <f>IF(SUMPRODUCT((Matrice!$D$23:$D$100='Actions de maîtrise'!S$5)*(Matrice!$T$21:$DP$21='Actions de maîtrise'!$C39)*(Matrice!$T$23:$DP$100="X"))=0,"",IF(SUMPRODUCT((Matrice!$D$23:$D$100='Actions de maîtrise'!S$5)*(Matrice!$T$21:$DP$21='Actions de maîtrise'!$C39)*(Matrice!$T$23:$DP$100="X"))=1,"X","erreur"))</f>
        <v/>
      </c>
      <c r="T39" s="276" t="str">
        <f>IF(SUMPRODUCT((Matrice!$D$23:$D$100='Actions de maîtrise'!T$5)*(Matrice!$T$21:$DP$21='Actions de maîtrise'!$C39)*(Matrice!$T$23:$DP$100="X"))=0,"",IF(SUMPRODUCT((Matrice!$D$23:$D$100='Actions de maîtrise'!T$5)*(Matrice!$T$21:$DP$21='Actions de maîtrise'!$C39)*(Matrice!$T$23:$DP$100="X"))=1,"X","erreur"))</f>
        <v/>
      </c>
      <c r="U39" s="276" t="str">
        <f>IF(SUMPRODUCT((Matrice!$D$23:$D$100='Actions de maîtrise'!U$5)*(Matrice!$T$21:$DP$21='Actions de maîtrise'!$C39)*(Matrice!$T$23:$DP$100="X"))=0,"",IF(SUMPRODUCT((Matrice!$D$23:$D$100='Actions de maîtrise'!U$5)*(Matrice!$T$21:$DP$21='Actions de maîtrise'!$C39)*(Matrice!$T$23:$DP$100="X"))=1,"X","erreur"))</f>
        <v/>
      </c>
      <c r="V39" s="276" t="str">
        <f>IF(SUMPRODUCT((Matrice!$D$23:$D$100='Actions de maîtrise'!V$5)*(Matrice!$T$21:$DP$21='Actions de maîtrise'!$C39)*(Matrice!$T$23:$DP$100="X"))=0,"",IF(SUMPRODUCT((Matrice!$D$23:$D$100='Actions de maîtrise'!V$5)*(Matrice!$T$21:$DP$21='Actions de maîtrise'!$C39)*(Matrice!$T$23:$DP$100="X"))=1,"X","erreur"))</f>
        <v/>
      </c>
      <c r="W39" s="276" t="str">
        <f>IF(SUMPRODUCT((Matrice!$D$23:$D$100='Actions de maîtrise'!W$5)*(Matrice!$T$21:$DP$21='Actions de maîtrise'!$C39)*(Matrice!$T$23:$DP$100="X"))=0,"",IF(SUMPRODUCT((Matrice!$D$23:$D$100='Actions de maîtrise'!W$5)*(Matrice!$T$21:$DP$21='Actions de maîtrise'!$C39)*(Matrice!$T$23:$DP$100="X"))=1,"X","erreur"))</f>
        <v/>
      </c>
      <c r="X39" s="276" t="str">
        <f>IF(SUMPRODUCT((Matrice!$D$23:$D$100='Actions de maîtrise'!X$5)*(Matrice!$T$21:$DP$21='Actions de maîtrise'!$C39)*(Matrice!$T$23:$DP$100="X"))=0,"",IF(SUMPRODUCT((Matrice!$D$23:$D$100='Actions de maîtrise'!X$5)*(Matrice!$T$21:$DP$21='Actions de maîtrise'!$C39)*(Matrice!$T$23:$DP$100="X"))=1,"X","erreur"))</f>
        <v/>
      </c>
      <c r="Y39" s="276" t="str">
        <f>IF(SUMPRODUCT((Matrice!$D$23:$D$100='Actions de maîtrise'!Y$5)*(Matrice!$T$21:$DP$21='Actions de maîtrise'!$C39)*(Matrice!$T$23:$DP$100="X"))=0,"",IF(SUMPRODUCT((Matrice!$D$23:$D$100='Actions de maîtrise'!Y$5)*(Matrice!$T$21:$DP$21='Actions de maîtrise'!$C39)*(Matrice!$T$23:$DP$100="X"))=1,"X","erreur"))</f>
        <v/>
      </c>
      <c r="Z39" s="276" t="str">
        <f>IF(SUMPRODUCT((Matrice!$D$23:$D$100='Actions de maîtrise'!Z$5)*(Matrice!$T$21:$DP$21='Actions de maîtrise'!$C39)*(Matrice!$T$23:$DP$100="X"))=0,"",IF(SUMPRODUCT((Matrice!$D$23:$D$100='Actions de maîtrise'!Z$5)*(Matrice!$T$21:$DP$21='Actions de maîtrise'!$C39)*(Matrice!$T$23:$DP$100="X"))=1,"X","erreur"))</f>
        <v/>
      </c>
      <c r="AA39" s="276" t="str">
        <f>IF(SUMPRODUCT((Matrice!$D$23:$D$100='Actions de maîtrise'!AA$5)*(Matrice!$T$21:$DP$21='Actions de maîtrise'!$C39)*(Matrice!$T$23:$DP$100="X"))=0,"",IF(SUMPRODUCT((Matrice!$D$23:$D$100='Actions de maîtrise'!AA$5)*(Matrice!$T$21:$DP$21='Actions de maîtrise'!$C39)*(Matrice!$T$23:$DP$100="X"))=1,"X","erreur"))</f>
        <v/>
      </c>
      <c r="AB39" s="276" t="str">
        <f>IF(SUMPRODUCT((Matrice!$D$23:$D$100='Actions de maîtrise'!AB$5)*(Matrice!$T$21:$DP$21='Actions de maîtrise'!$C39)*(Matrice!$T$23:$DP$100="X"))=0,"",IF(SUMPRODUCT((Matrice!$D$23:$D$100='Actions de maîtrise'!AB$5)*(Matrice!$T$21:$DP$21='Actions de maîtrise'!$C39)*(Matrice!$T$23:$DP$100="X"))=1,"X","erreur"))</f>
        <v/>
      </c>
      <c r="AC39" s="276" t="str">
        <f>IF(SUMPRODUCT((Matrice!$D$23:$D$100='Actions de maîtrise'!AC$5)*(Matrice!$T$21:$DP$21='Actions de maîtrise'!$C39)*(Matrice!$T$23:$DP$100="X"))=0,"",IF(SUMPRODUCT((Matrice!$D$23:$D$100='Actions de maîtrise'!AC$5)*(Matrice!$T$21:$DP$21='Actions de maîtrise'!$C39)*(Matrice!$T$23:$DP$100="X"))=1,"X","erreur"))</f>
        <v/>
      </c>
      <c r="AD39" s="276" t="str">
        <f>IF(SUMPRODUCT((Matrice!$D$23:$D$100='Actions de maîtrise'!AD$5)*(Matrice!$T$21:$DP$21='Actions de maîtrise'!$C39)*(Matrice!$T$23:$DP$100="X"))=0,"",IF(SUMPRODUCT((Matrice!$D$23:$D$100='Actions de maîtrise'!AD$5)*(Matrice!$T$21:$DP$21='Actions de maîtrise'!$C39)*(Matrice!$T$23:$DP$100="X"))=1,"X","erreur"))</f>
        <v/>
      </c>
      <c r="AE39" s="276" t="str">
        <f>IF(SUMPRODUCT((Matrice!$D$23:$D$100='Actions de maîtrise'!AE$5)*(Matrice!$T$21:$DP$21='Actions de maîtrise'!$C39)*(Matrice!$T$23:$DP$100="X"))=0,"",IF(SUMPRODUCT((Matrice!$D$23:$D$100='Actions de maîtrise'!AE$5)*(Matrice!$T$21:$DP$21='Actions de maîtrise'!$C39)*(Matrice!$T$23:$DP$100="X"))=1,"X","erreur"))</f>
        <v/>
      </c>
      <c r="AF39" s="276" t="str">
        <f>IF(SUMPRODUCT((Matrice!$D$23:$D$100='Actions de maîtrise'!AF$5)*(Matrice!$T$21:$DP$21='Actions de maîtrise'!$C39)*(Matrice!$T$23:$DP$100="X"))=0,"",IF(SUMPRODUCT((Matrice!$D$23:$D$100='Actions de maîtrise'!AF$5)*(Matrice!$T$21:$DP$21='Actions de maîtrise'!$C39)*(Matrice!$T$23:$DP$100="X"))=1,"X","erreur"))</f>
        <v/>
      </c>
      <c r="AG39" s="276" t="str">
        <f>IF(SUMPRODUCT((Matrice!$D$23:$D$100='Actions de maîtrise'!AG$5)*(Matrice!$T$21:$DP$21='Actions de maîtrise'!$C39)*(Matrice!$T$23:$DP$100="X"))=0,"",IF(SUMPRODUCT((Matrice!$D$23:$D$100='Actions de maîtrise'!AG$5)*(Matrice!$T$21:$DP$21='Actions de maîtrise'!$C39)*(Matrice!$T$23:$DP$100="X"))=1,"X","erreur"))</f>
        <v/>
      </c>
    </row>
    <row r="40" spans="2:33" ht="18" customHeight="1" x14ac:dyDescent="0.2">
      <c r="B40" s="309" t="str">
        <f>IF((COUNTIF(Matrice!$2:$2,Matrice!$G$1&amp;"-AM"&amp;Listes!A36)=1)=TRUE,Matrice!$G$1&amp;"-AM"&amp;Listes!A36,"")</f>
        <v/>
      </c>
      <c r="C40" s="178" t="str">
        <f>IF(IF(ISERROR(HLOOKUP(B40,Matrice!$A$2:$DP$100,20,FALSE)),"",HLOOKUP(B40,Matrice!$A$2:$DP$100,20,FALSE))="","",IF(ISERROR(HLOOKUP(B40,Matrice!$A$2:$DP$100,20,FALSE)),"-",HLOOKUP(B40,Matrice!$A$2:$DP$100,20,FALSE)))</f>
        <v/>
      </c>
      <c r="D40" s="179" t="str">
        <f>IF(IF(ISERROR(HLOOKUP(B40,Matrice!$A$2:$DP$100,3,FALSE)),"",HLOOKUP(B40,Matrice!$A$2:$DP$100,3,FALSE))="","",IF(ISERROR(HLOOKUP(B40,Matrice!$A$2:$DP$100,3,FALSE)),"-",HLOOKUP(B40,Matrice!$A$2:$DP$100,3,FALSE)))</f>
        <v/>
      </c>
      <c r="E40" s="305"/>
      <c r="F40" s="179" t="str">
        <f>IF(ISERROR(HLOOKUP($B40,Matrice!$A$2:$DP$100,4,FALSE)),"",IF(HLOOKUP($B40,Matrice!$A$2:$DP$100,4,FALSE)="","",HLOOKUP($B40,Matrice!$A$2:$DP$100,4,FALSE)))</f>
        <v/>
      </c>
      <c r="G40" s="179" t="str">
        <f>IF(ISERROR(HLOOKUP($B40,Matrice!$A$2:$DP$100,5,FALSE)),"",IF(HLOOKUP($B40,Matrice!$A$2:$DP$100,5,FALSE)="","",HLOOKUP($B40,Matrice!$A$2:$DP$100,5,FALSE)))</f>
        <v/>
      </c>
      <c r="H40" s="179" t="str">
        <f>IF(ISERROR(HLOOKUP($B40,Matrice!$A$2:$DP$100,6,FALSE)),"",IF(HLOOKUP($B40,Matrice!$A$2:$DP$100,6,FALSE)="","",HLOOKUP($B40,Matrice!$A$2:$DP$100,6,FALSE)))</f>
        <v/>
      </c>
      <c r="I40" s="179" t="str">
        <f>IF(ISERROR(HLOOKUP($B41,Matrice!$A$2:$DP$100,7,FALSE)),"",IF(HLOOKUP($B41,Matrice!$A$2:$DP$100,7,FALSE)="","",HLOOKUP($B41,Matrice!$A$2:$DP$100,7,FALSE)))</f>
        <v/>
      </c>
      <c r="J40" s="277" t="str">
        <f>IF(ISERROR(HLOOKUP($B40,Matrice!$A$2:$DP$100,12,FALSE)),"",IF(HLOOKUP($B40,Matrice!$A$2:$DP$100,12,FALSE)="","",HLOOKUP($B40,Matrice!$A$2:$DP$100,12,FALSE)))</f>
        <v/>
      </c>
      <c r="K40" s="277" t="str">
        <f>IF(ISERROR(HLOOKUP($B40,Matrice!$A$2:$DP$100,13,FALSE)),"",IF(HLOOKUP($B40,Matrice!$A$2:$DP$100,13,FALSE)="","",HLOOKUP($B40,Matrice!$A$2:$DP$100,13,FALSE)))</f>
        <v/>
      </c>
      <c r="L40" s="333" t="str">
        <f>IF(ISERROR(HLOOKUP($B40,Matrice!$A$2:$DP$100,9,FALSE)),"",IF(HLOOKUP($B40,Matrice!$A$2:$DP$100,9,FALSE)="","",HLOOKUP($B40,Matrice!$A$2:$DP$100,9,FALSE)))</f>
        <v/>
      </c>
      <c r="M40" s="333" t="str">
        <f>IF(ISERROR(HLOOKUP($B40,Matrice!$A$2:$DP$100,10,FALSE)),"",IF(HLOOKUP($B40,Matrice!$A$2:$DP$100,10,FALSE)="","",HLOOKUP($B40,Matrice!$A$2:$DP$100,10,FALSE)))</f>
        <v/>
      </c>
      <c r="N40" s="333" t="str">
        <f>IF(ISERROR(HLOOKUP($B40,Matrice!$A$2:$DP$100,11,FALSE)),"",IF(HLOOKUP($B40,Matrice!$A$2:$DP$100,11,FALSE)="","",HLOOKUP($B40,Matrice!$A$2:$DP$100,11,FALSE)))</f>
        <v/>
      </c>
      <c r="P40" s="276" t="str">
        <f>IF(SUMPRODUCT((Matrice!$D$23:$D$100='Actions de maîtrise'!P$5)*(Matrice!$T$21:$DP$21='Actions de maîtrise'!$C40)*(Matrice!$T$23:$DP$100="X"))=0,"",IF(SUMPRODUCT((Matrice!$D$23:$D$100='Actions de maîtrise'!P$5)*(Matrice!$T$21:$DP$21='Actions de maîtrise'!$C40)*(Matrice!$T$23:$DP$100="X"))=1,"X","erreur"))</f>
        <v/>
      </c>
      <c r="Q40" s="276" t="str">
        <f>IF(SUMPRODUCT((Matrice!$D$23:$D$100='Actions de maîtrise'!Q$5)*(Matrice!$T$21:$DP$21='Actions de maîtrise'!$C40)*(Matrice!$T$23:$DP$100="X"))=0,"",IF(SUMPRODUCT((Matrice!$D$23:$D$100='Actions de maîtrise'!Q$5)*(Matrice!$T$21:$DP$21='Actions de maîtrise'!$C40)*(Matrice!$T$23:$DP$100="X"))=1,"X","erreur"))</f>
        <v/>
      </c>
      <c r="R40" s="276" t="str">
        <f>IF(SUMPRODUCT((Matrice!$D$23:$D$100='Actions de maîtrise'!R$5)*(Matrice!$T$21:$DP$21='Actions de maîtrise'!$C40)*(Matrice!$T$23:$DP$100="X"))=0,"",IF(SUMPRODUCT((Matrice!$D$23:$D$100='Actions de maîtrise'!R$5)*(Matrice!$T$21:$DP$21='Actions de maîtrise'!$C40)*(Matrice!$T$23:$DP$100="X"))=1,"X","erreur"))</f>
        <v/>
      </c>
      <c r="S40" s="276" t="str">
        <f>IF(SUMPRODUCT((Matrice!$D$23:$D$100='Actions de maîtrise'!S$5)*(Matrice!$T$21:$DP$21='Actions de maîtrise'!$C40)*(Matrice!$T$23:$DP$100="X"))=0,"",IF(SUMPRODUCT((Matrice!$D$23:$D$100='Actions de maîtrise'!S$5)*(Matrice!$T$21:$DP$21='Actions de maîtrise'!$C40)*(Matrice!$T$23:$DP$100="X"))=1,"X","erreur"))</f>
        <v/>
      </c>
      <c r="T40" s="276" t="str">
        <f>IF(SUMPRODUCT((Matrice!$D$23:$D$100='Actions de maîtrise'!T$5)*(Matrice!$T$21:$DP$21='Actions de maîtrise'!$C40)*(Matrice!$T$23:$DP$100="X"))=0,"",IF(SUMPRODUCT((Matrice!$D$23:$D$100='Actions de maîtrise'!T$5)*(Matrice!$T$21:$DP$21='Actions de maîtrise'!$C40)*(Matrice!$T$23:$DP$100="X"))=1,"X","erreur"))</f>
        <v/>
      </c>
      <c r="U40" s="276" t="str">
        <f>IF(SUMPRODUCT((Matrice!$D$23:$D$100='Actions de maîtrise'!U$5)*(Matrice!$T$21:$DP$21='Actions de maîtrise'!$C40)*(Matrice!$T$23:$DP$100="X"))=0,"",IF(SUMPRODUCT((Matrice!$D$23:$D$100='Actions de maîtrise'!U$5)*(Matrice!$T$21:$DP$21='Actions de maîtrise'!$C40)*(Matrice!$T$23:$DP$100="X"))=1,"X","erreur"))</f>
        <v/>
      </c>
      <c r="V40" s="276" t="str">
        <f>IF(SUMPRODUCT((Matrice!$D$23:$D$100='Actions de maîtrise'!V$5)*(Matrice!$T$21:$DP$21='Actions de maîtrise'!$C40)*(Matrice!$T$23:$DP$100="X"))=0,"",IF(SUMPRODUCT((Matrice!$D$23:$D$100='Actions de maîtrise'!V$5)*(Matrice!$T$21:$DP$21='Actions de maîtrise'!$C40)*(Matrice!$T$23:$DP$100="X"))=1,"X","erreur"))</f>
        <v/>
      </c>
      <c r="W40" s="276" t="str">
        <f>IF(SUMPRODUCT((Matrice!$D$23:$D$100='Actions de maîtrise'!W$5)*(Matrice!$T$21:$DP$21='Actions de maîtrise'!$C40)*(Matrice!$T$23:$DP$100="X"))=0,"",IF(SUMPRODUCT((Matrice!$D$23:$D$100='Actions de maîtrise'!W$5)*(Matrice!$T$21:$DP$21='Actions de maîtrise'!$C40)*(Matrice!$T$23:$DP$100="X"))=1,"X","erreur"))</f>
        <v/>
      </c>
      <c r="X40" s="276" t="str">
        <f>IF(SUMPRODUCT((Matrice!$D$23:$D$100='Actions de maîtrise'!X$5)*(Matrice!$T$21:$DP$21='Actions de maîtrise'!$C40)*(Matrice!$T$23:$DP$100="X"))=0,"",IF(SUMPRODUCT((Matrice!$D$23:$D$100='Actions de maîtrise'!X$5)*(Matrice!$T$21:$DP$21='Actions de maîtrise'!$C40)*(Matrice!$T$23:$DP$100="X"))=1,"X","erreur"))</f>
        <v/>
      </c>
      <c r="Y40" s="276" t="str">
        <f>IF(SUMPRODUCT((Matrice!$D$23:$D$100='Actions de maîtrise'!Y$5)*(Matrice!$T$21:$DP$21='Actions de maîtrise'!$C40)*(Matrice!$T$23:$DP$100="X"))=0,"",IF(SUMPRODUCT((Matrice!$D$23:$D$100='Actions de maîtrise'!Y$5)*(Matrice!$T$21:$DP$21='Actions de maîtrise'!$C40)*(Matrice!$T$23:$DP$100="X"))=1,"X","erreur"))</f>
        <v/>
      </c>
      <c r="Z40" s="276" t="str">
        <f>IF(SUMPRODUCT((Matrice!$D$23:$D$100='Actions de maîtrise'!Z$5)*(Matrice!$T$21:$DP$21='Actions de maîtrise'!$C40)*(Matrice!$T$23:$DP$100="X"))=0,"",IF(SUMPRODUCT((Matrice!$D$23:$D$100='Actions de maîtrise'!Z$5)*(Matrice!$T$21:$DP$21='Actions de maîtrise'!$C40)*(Matrice!$T$23:$DP$100="X"))=1,"X","erreur"))</f>
        <v/>
      </c>
      <c r="AA40" s="276" t="str">
        <f>IF(SUMPRODUCT((Matrice!$D$23:$D$100='Actions de maîtrise'!AA$5)*(Matrice!$T$21:$DP$21='Actions de maîtrise'!$C40)*(Matrice!$T$23:$DP$100="X"))=0,"",IF(SUMPRODUCT((Matrice!$D$23:$D$100='Actions de maîtrise'!AA$5)*(Matrice!$T$21:$DP$21='Actions de maîtrise'!$C40)*(Matrice!$T$23:$DP$100="X"))=1,"X","erreur"))</f>
        <v/>
      </c>
      <c r="AB40" s="276" t="str">
        <f>IF(SUMPRODUCT((Matrice!$D$23:$D$100='Actions de maîtrise'!AB$5)*(Matrice!$T$21:$DP$21='Actions de maîtrise'!$C40)*(Matrice!$T$23:$DP$100="X"))=0,"",IF(SUMPRODUCT((Matrice!$D$23:$D$100='Actions de maîtrise'!AB$5)*(Matrice!$T$21:$DP$21='Actions de maîtrise'!$C40)*(Matrice!$T$23:$DP$100="X"))=1,"X","erreur"))</f>
        <v/>
      </c>
      <c r="AC40" s="276" t="str">
        <f>IF(SUMPRODUCT((Matrice!$D$23:$D$100='Actions de maîtrise'!AC$5)*(Matrice!$T$21:$DP$21='Actions de maîtrise'!$C40)*(Matrice!$T$23:$DP$100="X"))=0,"",IF(SUMPRODUCT((Matrice!$D$23:$D$100='Actions de maîtrise'!AC$5)*(Matrice!$T$21:$DP$21='Actions de maîtrise'!$C40)*(Matrice!$T$23:$DP$100="X"))=1,"X","erreur"))</f>
        <v/>
      </c>
      <c r="AD40" s="276" t="str">
        <f>IF(SUMPRODUCT((Matrice!$D$23:$D$100='Actions de maîtrise'!AD$5)*(Matrice!$T$21:$DP$21='Actions de maîtrise'!$C40)*(Matrice!$T$23:$DP$100="X"))=0,"",IF(SUMPRODUCT((Matrice!$D$23:$D$100='Actions de maîtrise'!AD$5)*(Matrice!$T$21:$DP$21='Actions de maîtrise'!$C40)*(Matrice!$T$23:$DP$100="X"))=1,"X","erreur"))</f>
        <v/>
      </c>
      <c r="AE40" s="276" t="str">
        <f>IF(SUMPRODUCT((Matrice!$D$23:$D$100='Actions de maîtrise'!AE$5)*(Matrice!$T$21:$DP$21='Actions de maîtrise'!$C40)*(Matrice!$T$23:$DP$100="X"))=0,"",IF(SUMPRODUCT((Matrice!$D$23:$D$100='Actions de maîtrise'!AE$5)*(Matrice!$T$21:$DP$21='Actions de maîtrise'!$C40)*(Matrice!$T$23:$DP$100="X"))=1,"X","erreur"))</f>
        <v/>
      </c>
      <c r="AF40" s="276" t="str">
        <f>IF(SUMPRODUCT((Matrice!$D$23:$D$100='Actions de maîtrise'!AF$5)*(Matrice!$T$21:$DP$21='Actions de maîtrise'!$C40)*(Matrice!$T$23:$DP$100="X"))=0,"",IF(SUMPRODUCT((Matrice!$D$23:$D$100='Actions de maîtrise'!AF$5)*(Matrice!$T$21:$DP$21='Actions de maîtrise'!$C40)*(Matrice!$T$23:$DP$100="X"))=1,"X","erreur"))</f>
        <v/>
      </c>
      <c r="AG40" s="276" t="str">
        <f>IF(SUMPRODUCT((Matrice!$D$23:$D$100='Actions de maîtrise'!AG$5)*(Matrice!$T$21:$DP$21='Actions de maîtrise'!$C40)*(Matrice!$T$23:$DP$100="X"))=0,"",IF(SUMPRODUCT((Matrice!$D$23:$D$100='Actions de maîtrise'!AG$5)*(Matrice!$T$21:$DP$21='Actions de maîtrise'!$C40)*(Matrice!$T$23:$DP$100="X"))=1,"X","erreur"))</f>
        <v/>
      </c>
    </row>
    <row r="41" spans="2:33" ht="18" customHeight="1" x14ac:dyDescent="0.2">
      <c r="B41" s="309" t="str">
        <f>IF((COUNTIF(Matrice!$2:$2,Matrice!$G$1&amp;"-AM"&amp;Listes!A37)=1)=TRUE,Matrice!$G$1&amp;"-AM"&amp;Listes!A37,"")</f>
        <v/>
      </c>
      <c r="C41" s="178" t="str">
        <f>IF(IF(ISERROR(HLOOKUP(B41,Matrice!$A$2:$DP$100,20,FALSE)),"",HLOOKUP(B41,Matrice!$A$2:$DP$100,20,FALSE))="","",IF(ISERROR(HLOOKUP(B41,Matrice!$A$2:$DP$100,20,FALSE)),"-",HLOOKUP(B41,Matrice!$A$2:$DP$100,20,FALSE)))</f>
        <v/>
      </c>
      <c r="D41" s="179" t="str">
        <f>IF(IF(ISERROR(HLOOKUP(B41,Matrice!$A$2:$DP$100,3,FALSE)),"",HLOOKUP(B41,Matrice!$A$2:$DP$100,3,FALSE))="","",IF(ISERROR(HLOOKUP(B41,Matrice!$A$2:$DP$100,3,FALSE)),"-",HLOOKUP(B41,Matrice!$A$2:$DP$100,3,FALSE)))</f>
        <v/>
      </c>
      <c r="E41" s="305"/>
      <c r="F41" s="179" t="str">
        <f>IF(ISERROR(HLOOKUP($B41,Matrice!$A$2:$DP$100,4,FALSE)),"",IF(HLOOKUP($B41,Matrice!$A$2:$DP$100,4,FALSE)="","",HLOOKUP($B41,Matrice!$A$2:$DP$100,4,FALSE)))</f>
        <v/>
      </c>
      <c r="G41" s="179" t="str">
        <f>IF(ISERROR(HLOOKUP($B41,Matrice!$A$2:$DP$100,5,FALSE)),"",IF(HLOOKUP($B41,Matrice!$A$2:$DP$100,5,FALSE)="","",HLOOKUP($B41,Matrice!$A$2:$DP$100,5,FALSE)))</f>
        <v/>
      </c>
      <c r="H41" s="179" t="str">
        <f>IF(ISERROR(HLOOKUP($B41,Matrice!$A$2:$DP$100,6,FALSE)),"",IF(HLOOKUP($B41,Matrice!$A$2:$DP$100,6,FALSE)="","",HLOOKUP($B41,Matrice!$A$2:$DP$100,6,FALSE)))</f>
        <v/>
      </c>
      <c r="I41" s="179" t="str">
        <f>IF(ISERROR(HLOOKUP($B42,Matrice!$A$2:$DP$100,7,FALSE)),"",IF(HLOOKUP($B42,Matrice!$A$2:$DP$100,7,FALSE)="","",HLOOKUP($B42,Matrice!$A$2:$DP$100,7,FALSE)))</f>
        <v/>
      </c>
      <c r="J41" s="277" t="str">
        <f>IF(ISERROR(HLOOKUP($B41,Matrice!$A$2:$DP$100,12,FALSE)),"",IF(HLOOKUP($B41,Matrice!$A$2:$DP$100,12,FALSE)="","",HLOOKUP($B41,Matrice!$A$2:$DP$100,12,FALSE)))</f>
        <v/>
      </c>
      <c r="K41" s="277" t="str">
        <f>IF(ISERROR(HLOOKUP($B41,Matrice!$A$2:$DP$100,13,FALSE)),"",IF(HLOOKUP($B41,Matrice!$A$2:$DP$100,13,FALSE)="","",HLOOKUP($B41,Matrice!$A$2:$DP$100,13,FALSE)))</f>
        <v/>
      </c>
      <c r="L41" s="333" t="str">
        <f>IF(ISERROR(HLOOKUP($B41,Matrice!$A$2:$DP$100,9,FALSE)),"",IF(HLOOKUP($B41,Matrice!$A$2:$DP$100,9,FALSE)="","",HLOOKUP($B41,Matrice!$A$2:$DP$100,9,FALSE)))</f>
        <v/>
      </c>
      <c r="M41" s="333" t="str">
        <f>IF(ISERROR(HLOOKUP($B41,Matrice!$A$2:$DP$100,10,FALSE)),"",IF(HLOOKUP($B41,Matrice!$A$2:$DP$100,10,FALSE)="","",HLOOKUP($B41,Matrice!$A$2:$DP$100,10,FALSE)))</f>
        <v/>
      </c>
      <c r="N41" s="333" t="str">
        <f>IF(ISERROR(HLOOKUP($B41,Matrice!$A$2:$DP$100,11,FALSE)),"",IF(HLOOKUP($B41,Matrice!$A$2:$DP$100,11,FALSE)="","",HLOOKUP($B41,Matrice!$A$2:$DP$100,11,FALSE)))</f>
        <v/>
      </c>
      <c r="P41" s="276" t="str">
        <f>IF(SUMPRODUCT((Matrice!$D$23:$D$100='Actions de maîtrise'!P$5)*(Matrice!$T$21:$DP$21='Actions de maîtrise'!$C41)*(Matrice!$T$23:$DP$100="X"))=0,"",IF(SUMPRODUCT((Matrice!$D$23:$D$100='Actions de maîtrise'!P$5)*(Matrice!$T$21:$DP$21='Actions de maîtrise'!$C41)*(Matrice!$T$23:$DP$100="X"))=1,"X","erreur"))</f>
        <v/>
      </c>
      <c r="Q41" s="276" t="str">
        <f>IF(SUMPRODUCT((Matrice!$D$23:$D$100='Actions de maîtrise'!Q$5)*(Matrice!$T$21:$DP$21='Actions de maîtrise'!$C41)*(Matrice!$T$23:$DP$100="X"))=0,"",IF(SUMPRODUCT((Matrice!$D$23:$D$100='Actions de maîtrise'!Q$5)*(Matrice!$T$21:$DP$21='Actions de maîtrise'!$C41)*(Matrice!$T$23:$DP$100="X"))=1,"X","erreur"))</f>
        <v/>
      </c>
      <c r="R41" s="276" t="str">
        <f>IF(SUMPRODUCT((Matrice!$D$23:$D$100='Actions de maîtrise'!R$5)*(Matrice!$T$21:$DP$21='Actions de maîtrise'!$C41)*(Matrice!$T$23:$DP$100="X"))=0,"",IF(SUMPRODUCT((Matrice!$D$23:$D$100='Actions de maîtrise'!R$5)*(Matrice!$T$21:$DP$21='Actions de maîtrise'!$C41)*(Matrice!$T$23:$DP$100="X"))=1,"X","erreur"))</f>
        <v/>
      </c>
      <c r="S41" s="276" t="str">
        <f>IF(SUMPRODUCT((Matrice!$D$23:$D$100='Actions de maîtrise'!S$5)*(Matrice!$T$21:$DP$21='Actions de maîtrise'!$C41)*(Matrice!$T$23:$DP$100="X"))=0,"",IF(SUMPRODUCT((Matrice!$D$23:$D$100='Actions de maîtrise'!S$5)*(Matrice!$T$21:$DP$21='Actions de maîtrise'!$C41)*(Matrice!$T$23:$DP$100="X"))=1,"X","erreur"))</f>
        <v/>
      </c>
      <c r="T41" s="276" t="str">
        <f>IF(SUMPRODUCT((Matrice!$D$23:$D$100='Actions de maîtrise'!T$5)*(Matrice!$T$21:$DP$21='Actions de maîtrise'!$C41)*(Matrice!$T$23:$DP$100="X"))=0,"",IF(SUMPRODUCT((Matrice!$D$23:$D$100='Actions de maîtrise'!T$5)*(Matrice!$T$21:$DP$21='Actions de maîtrise'!$C41)*(Matrice!$T$23:$DP$100="X"))=1,"X","erreur"))</f>
        <v/>
      </c>
      <c r="U41" s="276" t="str">
        <f>IF(SUMPRODUCT((Matrice!$D$23:$D$100='Actions de maîtrise'!U$5)*(Matrice!$T$21:$DP$21='Actions de maîtrise'!$C41)*(Matrice!$T$23:$DP$100="X"))=0,"",IF(SUMPRODUCT((Matrice!$D$23:$D$100='Actions de maîtrise'!U$5)*(Matrice!$T$21:$DP$21='Actions de maîtrise'!$C41)*(Matrice!$T$23:$DP$100="X"))=1,"X","erreur"))</f>
        <v/>
      </c>
      <c r="V41" s="276" t="str">
        <f>IF(SUMPRODUCT((Matrice!$D$23:$D$100='Actions de maîtrise'!V$5)*(Matrice!$T$21:$DP$21='Actions de maîtrise'!$C41)*(Matrice!$T$23:$DP$100="X"))=0,"",IF(SUMPRODUCT((Matrice!$D$23:$D$100='Actions de maîtrise'!V$5)*(Matrice!$T$21:$DP$21='Actions de maîtrise'!$C41)*(Matrice!$T$23:$DP$100="X"))=1,"X","erreur"))</f>
        <v/>
      </c>
      <c r="W41" s="276" t="str">
        <f>IF(SUMPRODUCT((Matrice!$D$23:$D$100='Actions de maîtrise'!W$5)*(Matrice!$T$21:$DP$21='Actions de maîtrise'!$C41)*(Matrice!$T$23:$DP$100="X"))=0,"",IF(SUMPRODUCT((Matrice!$D$23:$D$100='Actions de maîtrise'!W$5)*(Matrice!$T$21:$DP$21='Actions de maîtrise'!$C41)*(Matrice!$T$23:$DP$100="X"))=1,"X","erreur"))</f>
        <v/>
      </c>
      <c r="X41" s="276" t="str">
        <f>IF(SUMPRODUCT((Matrice!$D$23:$D$100='Actions de maîtrise'!X$5)*(Matrice!$T$21:$DP$21='Actions de maîtrise'!$C41)*(Matrice!$T$23:$DP$100="X"))=0,"",IF(SUMPRODUCT((Matrice!$D$23:$D$100='Actions de maîtrise'!X$5)*(Matrice!$T$21:$DP$21='Actions de maîtrise'!$C41)*(Matrice!$T$23:$DP$100="X"))=1,"X","erreur"))</f>
        <v/>
      </c>
      <c r="Y41" s="276" t="str">
        <f>IF(SUMPRODUCT((Matrice!$D$23:$D$100='Actions de maîtrise'!Y$5)*(Matrice!$T$21:$DP$21='Actions de maîtrise'!$C41)*(Matrice!$T$23:$DP$100="X"))=0,"",IF(SUMPRODUCT((Matrice!$D$23:$D$100='Actions de maîtrise'!Y$5)*(Matrice!$T$21:$DP$21='Actions de maîtrise'!$C41)*(Matrice!$T$23:$DP$100="X"))=1,"X","erreur"))</f>
        <v/>
      </c>
      <c r="Z41" s="276" t="str">
        <f>IF(SUMPRODUCT((Matrice!$D$23:$D$100='Actions de maîtrise'!Z$5)*(Matrice!$T$21:$DP$21='Actions de maîtrise'!$C41)*(Matrice!$T$23:$DP$100="X"))=0,"",IF(SUMPRODUCT((Matrice!$D$23:$D$100='Actions de maîtrise'!Z$5)*(Matrice!$T$21:$DP$21='Actions de maîtrise'!$C41)*(Matrice!$T$23:$DP$100="X"))=1,"X","erreur"))</f>
        <v/>
      </c>
      <c r="AA41" s="276" t="str">
        <f>IF(SUMPRODUCT((Matrice!$D$23:$D$100='Actions de maîtrise'!AA$5)*(Matrice!$T$21:$DP$21='Actions de maîtrise'!$C41)*(Matrice!$T$23:$DP$100="X"))=0,"",IF(SUMPRODUCT((Matrice!$D$23:$D$100='Actions de maîtrise'!AA$5)*(Matrice!$T$21:$DP$21='Actions de maîtrise'!$C41)*(Matrice!$T$23:$DP$100="X"))=1,"X","erreur"))</f>
        <v/>
      </c>
      <c r="AB41" s="276" t="str">
        <f>IF(SUMPRODUCT((Matrice!$D$23:$D$100='Actions de maîtrise'!AB$5)*(Matrice!$T$21:$DP$21='Actions de maîtrise'!$C41)*(Matrice!$T$23:$DP$100="X"))=0,"",IF(SUMPRODUCT((Matrice!$D$23:$D$100='Actions de maîtrise'!AB$5)*(Matrice!$T$21:$DP$21='Actions de maîtrise'!$C41)*(Matrice!$T$23:$DP$100="X"))=1,"X","erreur"))</f>
        <v/>
      </c>
      <c r="AC41" s="276" t="str">
        <f>IF(SUMPRODUCT((Matrice!$D$23:$D$100='Actions de maîtrise'!AC$5)*(Matrice!$T$21:$DP$21='Actions de maîtrise'!$C41)*(Matrice!$T$23:$DP$100="X"))=0,"",IF(SUMPRODUCT((Matrice!$D$23:$D$100='Actions de maîtrise'!AC$5)*(Matrice!$T$21:$DP$21='Actions de maîtrise'!$C41)*(Matrice!$T$23:$DP$100="X"))=1,"X","erreur"))</f>
        <v/>
      </c>
      <c r="AD41" s="276" t="str">
        <f>IF(SUMPRODUCT((Matrice!$D$23:$D$100='Actions de maîtrise'!AD$5)*(Matrice!$T$21:$DP$21='Actions de maîtrise'!$C41)*(Matrice!$T$23:$DP$100="X"))=0,"",IF(SUMPRODUCT((Matrice!$D$23:$D$100='Actions de maîtrise'!AD$5)*(Matrice!$T$21:$DP$21='Actions de maîtrise'!$C41)*(Matrice!$T$23:$DP$100="X"))=1,"X","erreur"))</f>
        <v/>
      </c>
      <c r="AE41" s="276" t="str">
        <f>IF(SUMPRODUCT((Matrice!$D$23:$D$100='Actions de maîtrise'!AE$5)*(Matrice!$T$21:$DP$21='Actions de maîtrise'!$C41)*(Matrice!$T$23:$DP$100="X"))=0,"",IF(SUMPRODUCT((Matrice!$D$23:$D$100='Actions de maîtrise'!AE$5)*(Matrice!$T$21:$DP$21='Actions de maîtrise'!$C41)*(Matrice!$T$23:$DP$100="X"))=1,"X","erreur"))</f>
        <v/>
      </c>
      <c r="AF41" s="276" t="str">
        <f>IF(SUMPRODUCT((Matrice!$D$23:$D$100='Actions de maîtrise'!AF$5)*(Matrice!$T$21:$DP$21='Actions de maîtrise'!$C41)*(Matrice!$T$23:$DP$100="X"))=0,"",IF(SUMPRODUCT((Matrice!$D$23:$D$100='Actions de maîtrise'!AF$5)*(Matrice!$T$21:$DP$21='Actions de maîtrise'!$C41)*(Matrice!$T$23:$DP$100="X"))=1,"X","erreur"))</f>
        <v/>
      </c>
      <c r="AG41" s="276" t="str">
        <f>IF(SUMPRODUCT((Matrice!$D$23:$D$100='Actions de maîtrise'!AG$5)*(Matrice!$T$21:$DP$21='Actions de maîtrise'!$C41)*(Matrice!$T$23:$DP$100="X"))=0,"",IF(SUMPRODUCT((Matrice!$D$23:$D$100='Actions de maîtrise'!AG$5)*(Matrice!$T$21:$DP$21='Actions de maîtrise'!$C41)*(Matrice!$T$23:$DP$100="X"))=1,"X","erreur"))</f>
        <v/>
      </c>
    </row>
    <row r="42" spans="2:33" ht="18" customHeight="1" x14ac:dyDescent="0.2">
      <c r="B42" s="309" t="str">
        <f>IF((COUNTIF(Matrice!$2:$2,Matrice!$G$1&amp;"-AM"&amp;Listes!A38)=1)=TRUE,Matrice!$G$1&amp;"-AM"&amp;Listes!A38,"")</f>
        <v/>
      </c>
      <c r="C42" s="178" t="str">
        <f>IF(IF(ISERROR(HLOOKUP(B42,Matrice!$A$2:$DP$100,20,FALSE)),"",HLOOKUP(B42,Matrice!$A$2:$DP$100,20,FALSE))="","",IF(ISERROR(HLOOKUP(B42,Matrice!$A$2:$DP$100,20,FALSE)),"-",HLOOKUP(B42,Matrice!$A$2:$DP$100,20,FALSE)))</f>
        <v/>
      </c>
      <c r="D42" s="179" t="str">
        <f>IF(IF(ISERROR(HLOOKUP(B42,Matrice!$A$2:$DP$100,3,FALSE)),"",HLOOKUP(B42,Matrice!$A$2:$DP$100,3,FALSE))="","",IF(ISERROR(HLOOKUP(B42,Matrice!$A$2:$DP$100,3,FALSE)),"-",HLOOKUP(B42,Matrice!$A$2:$DP$100,3,FALSE)))</f>
        <v/>
      </c>
      <c r="E42" s="305"/>
      <c r="F42" s="179" t="str">
        <f>IF(ISERROR(HLOOKUP($B42,Matrice!$A$2:$DP$100,4,FALSE)),"",IF(HLOOKUP($B42,Matrice!$A$2:$DP$100,4,FALSE)="","",HLOOKUP($B42,Matrice!$A$2:$DP$100,4,FALSE)))</f>
        <v/>
      </c>
      <c r="G42" s="179" t="str">
        <f>IF(ISERROR(HLOOKUP($B42,Matrice!$A$2:$DP$100,5,FALSE)),"",IF(HLOOKUP($B42,Matrice!$A$2:$DP$100,5,FALSE)="","",HLOOKUP($B42,Matrice!$A$2:$DP$100,5,FALSE)))</f>
        <v/>
      </c>
      <c r="H42" s="179" t="str">
        <f>IF(ISERROR(HLOOKUP($B42,Matrice!$A$2:$DP$100,6,FALSE)),"",IF(HLOOKUP($B42,Matrice!$A$2:$DP$100,6,FALSE)="","",HLOOKUP($B42,Matrice!$A$2:$DP$100,6,FALSE)))</f>
        <v/>
      </c>
      <c r="I42" s="179" t="str">
        <f>IF(ISERROR(HLOOKUP($B43,Matrice!$A$2:$DP$100,7,FALSE)),"",IF(HLOOKUP($B43,Matrice!$A$2:$DP$100,7,FALSE)="","",HLOOKUP($B43,Matrice!$A$2:$DP$100,7,FALSE)))</f>
        <v/>
      </c>
      <c r="J42" s="277" t="str">
        <f>IF(ISERROR(HLOOKUP($B42,Matrice!$A$2:$DP$100,12,FALSE)),"",IF(HLOOKUP($B42,Matrice!$A$2:$DP$100,12,FALSE)="","",HLOOKUP($B42,Matrice!$A$2:$DP$100,12,FALSE)))</f>
        <v/>
      </c>
      <c r="K42" s="277" t="str">
        <f>IF(ISERROR(HLOOKUP($B42,Matrice!$A$2:$DP$100,13,FALSE)),"",IF(HLOOKUP($B42,Matrice!$A$2:$DP$100,13,FALSE)="","",HLOOKUP($B42,Matrice!$A$2:$DP$100,13,FALSE)))</f>
        <v/>
      </c>
      <c r="L42" s="333" t="str">
        <f>IF(ISERROR(HLOOKUP($B42,Matrice!$A$2:$DP$100,9,FALSE)),"",IF(HLOOKUP($B42,Matrice!$A$2:$DP$100,9,FALSE)="","",HLOOKUP($B42,Matrice!$A$2:$DP$100,9,FALSE)))</f>
        <v/>
      </c>
      <c r="M42" s="333" t="str">
        <f>IF(ISERROR(HLOOKUP($B42,Matrice!$A$2:$DP$100,10,FALSE)),"",IF(HLOOKUP($B42,Matrice!$A$2:$DP$100,10,FALSE)="","",HLOOKUP($B42,Matrice!$A$2:$DP$100,10,FALSE)))</f>
        <v/>
      </c>
      <c r="N42" s="333" t="str">
        <f>IF(ISERROR(HLOOKUP($B42,Matrice!$A$2:$DP$100,11,FALSE)),"",IF(HLOOKUP($B42,Matrice!$A$2:$DP$100,11,FALSE)="","",HLOOKUP($B42,Matrice!$A$2:$DP$100,11,FALSE)))</f>
        <v/>
      </c>
      <c r="P42" s="276" t="str">
        <f>IF(SUMPRODUCT((Matrice!$D$23:$D$100='Actions de maîtrise'!P$5)*(Matrice!$T$21:$DP$21='Actions de maîtrise'!$C42)*(Matrice!$T$23:$DP$100="X"))=0,"",IF(SUMPRODUCT((Matrice!$D$23:$D$100='Actions de maîtrise'!P$5)*(Matrice!$T$21:$DP$21='Actions de maîtrise'!$C42)*(Matrice!$T$23:$DP$100="X"))=1,"X","erreur"))</f>
        <v/>
      </c>
      <c r="Q42" s="276" t="str">
        <f>IF(SUMPRODUCT((Matrice!$D$23:$D$100='Actions de maîtrise'!Q$5)*(Matrice!$T$21:$DP$21='Actions de maîtrise'!$C42)*(Matrice!$T$23:$DP$100="X"))=0,"",IF(SUMPRODUCT((Matrice!$D$23:$D$100='Actions de maîtrise'!Q$5)*(Matrice!$T$21:$DP$21='Actions de maîtrise'!$C42)*(Matrice!$T$23:$DP$100="X"))=1,"X","erreur"))</f>
        <v/>
      </c>
      <c r="R42" s="276" t="str">
        <f>IF(SUMPRODUCT((Matrice!$D$23:$D$100='Actions de maîtrise'!R$5)*(Matrice!$T$21:$DP$21='Actions de maîtrise'!$C42)*(Matrice!$T$23:$DP$100="X"))=0,"",IF(SUMPRODUCT((Matrice!$D$23:$D$100='Actions de maîtrise'!R$5)*(Matrice!$T$21:$DP$21='Actions de maîtrise'!$C42)*(Matrice!$T$23:$DP$100="X"))=1,"X","erreur"))</f>
        <v/>
      </c>
      <c r="S42" s="276" t="str">
        <f>IF(SUMPRODUCT((Matrice!$D$23:$D$100='Actions de maîtrise'!S$5)*(Matrice!$T$21:$DP$21='Actions de maîtrise'!$C42)*(Matrice!$T$23:$DP$100="X"))=0,"",IF(SUMPRODUCT((Matrice!$D$23:$D$100='Actions de maîtrise'!S$5)*(Matrice!$T$21:$DP$21='Actions de maîtrise'!$C42)*(Matrice!$T$23:$DP$100="X"))=1,"X","erreur"))</f>
        <v/>
      </c>
      <c r="T42" s="276" t="str">
        <f>IF(SUMPRODUCT((Matrice!$D$23:$D$100='Actions de maîtrise'!T$5)*(Matrice!$T$21:$DP$21='Actions de maîtrise'!$C42)*(Matrice!$T$23:$DP$100="X"))=0,"",IF(SUMPRODUCT((Matrice!$D$23:$D$100='Actions de maîtrise'!T$5)*(Matrice!$T$21:$DP$21='Actions de maîtrise'!$C42)*(Matrice!$T$23:$DP$100="X"))=1,"X","erreur"))</f>
        <v/>
      </c>
      <c r="U42" s="276" t="str">
        <f>IF(SUMPRODUCT((Matrice!$D$23:$D$100='Actions de maîtrise'!U$5)*(Matrice!$T$21:$DP$21='Actions de maîtrise'!$C42)*(Matrice!$T$23:$DP$100="X"))=0,"",IF(SUMPRODUCT((Matrice!$D$23:$D$100='Actions de maîtrise'!U$5)*(Matrice!$T$21:$DP$21='Actions de maîtrise'!$C42)*(Matrice!$T$23:$DP$100="X"))=1,"X","erreur"))</f>
        <v/>
      </c>
      <c r="V42" s="276" t="str">
        <f>IF(SUMPRODUCT((Matrice!$D$23:$D$100='Actions de maîtrise'!V$5)*(Matrice!$T$21:$DP$21='Actions de maîtrise'!$C42)*(Matrice!$T$23:$DP$100="X"))=0,"",IF(SUMPRODUCT((Matrice!$D$23:$D$100='Actions de maîtrise'!V$5)*(Matrice!$T$21:$DP$21='Actions de maîtrise'!$C42)*(Matrice!$T$23:$DP$100="X"))=1,"X","erreur"))</f>
        <v/>
      </c>
      <c r="W42" s="276" t="str">
        <f>IF(SUMPRODUCT((Matrice!$D$23:$D$100='Actions de maîtrise'!W$5)*(Matrice!$T$21:$DP$21='Actions de maîtrise'!$C42)*(Matrice!$T$23:$DP$100="X"))=0,"",IF(SUMPRODUCT((Matrice!$D$23:$D$100='Actions de maîtrise'!W$5)*(Matrice!$T$21:$DP$21='Actions de maîtrise'!$C42)*(Matrice!$T$23:$DP$100="X"))=1,"X","erreur"))</f>
        <v/>
      </c>
      <c r="X42" s="276" t="str">
        <f>IF(SUMPRODUCT((Matrice!$D$23:$D$100='Actions de maîtrise'!X$5)*(Matrice!$T$21:$DP$21='Actions de maîtrise'!$C42)*(Matrice!$T$23:$DP$100="X"))=0,"",IF(SUMPRODUCT((Matrice!$D$23:$D$100='Actions de maîtrise'!X$5)*(Matrice!$T$21:$DP$21='Actions de maîtrise'!$C42)*(Matrice!$T$23:$DP$100="X"))=1,"X","erreur"))</f>
        <v/>
      </c>
      <c r="Y42" s="276" t="str">
        <f>IF(SUMPRODUCT((Matrice!$D$23:$D$100='Actions de maîtrise'!Y$5)*(Matrice!$T$21:$DP$21='Actions de maîtrise'!$C42)*(Matrice!$T$23:$DP$100="X"))=0,"",IF(SUMPRODUCT((Matrice!$D$23:$D$100='Actions de maîtrise'!Y$5)*(Matrice!$T$21:$DP$21='Actions de maîtrise'!$C42)*(Matrice!$T$23:$DP$100="X"))=1,"X","erreur"))</f>
        <v/>
      </c>
      <c r="Z42" s="276" t="str">
        <f>IF(SUMPRODUCT((Matrice!$D$23:$D$100='Actions de maîtrise'!Z$5)*(Matrice!$T$21:$DP$21='Actions de maîtrise'!$C42)*(Matrice!$T$23:$DP$100="X"))=0,"",IF(SUMPRODUCT((Matrice!$D$23:$D$100='Actions de maîtrise'!Z$5)*(Matrice!$T$21:$DP$21='Actions de maîtrise'!$C42)*(Matrice!$T$23:$DP$100="X"))=1,"X","erreur"))</f>
        <v/>
      </c>
      <c r="AA42" s="276" t="str">
        <f>IF(SUMPRODUCT((Matrice!$D$23:$D$100='Actions de maîtrise'!AA$5)*(Matrice!$T$21:$DP$21='Actions de maîtrise'!$C42)*(Matrice!$T$23:$DP$100="X"))=0,"",IF(SUMPRODUCT((Matrice!$D$23:$D$100='Actions de maîtrise'!AA$5)*(Matrice!$T$21:$DP$21='Actions de maîtrise'!$C42)*(Matrice!$T$23:$DP$100="X"))=1,"X","erreur"))</f>
        <v/>
      </c>
      <c r="AB42" s="276" t="str">
        <f>IF(SUMPRODUCT((Matrice!$D$23:$D$100='Actions de maîtrise'!AB$5)*(Matrice!$T$21:$DP$21='Actions de maîtrise'!$C42)*(Matrice!$T$23:$DP$100="X"))=0,"",IF(SUMPRODUCT((Matrice!$D$23:$D$100='Actions de maîtrise'!AB$5)*(Matrice!$T$21:$DP$21='Actions de maîtrise'!$C42)*(Matrice!$T$23:$DP$100="X"))=1,"X","erreur"))</f>
        <v/>
      </c>
      <c r="AC42" s="276" t="str">
        <f>IF(SUMPRODUCT((Matrice!$D$23:$D$100='Actions de maîtrise'!AC$5)*(Matrice!$T$21:$DP$21='Actions de maîtrise'!$C42)*(Matrice!$T$23:$DP$100="X"))=0,"",IF(SUMPRODUCT((Matrice!$D$23:$D$100='Actions de maîtrise'!AC$5)*(Matrice!$T$21:$DP$21='Actions de maîtrise'!$C42)*(Matrice!$T$23:$DP$100="X"))=1,"X","erreur"))</f>
        <v/>
      </c>
      <c r="AD42" s="276" t="str">
        <f>IF(SUMPRODUCT((Matrice!$D$23:$D$100='Actions de maîtrise'!AD$5)*(Matrice!$T$21:$DP$21='Actions de maîtrise'!$C42)*(Matrice!$T$23:$DP$100="X"))=0,"",IF(SUMPRODUCT((Matrice!$D$23:$D$100='Actions de maîtrise'!AD$5)*(Matrice!$T$21:$DP$21='Actions de maîtrise'!$C42)*(Matrice!$T$23:$DP$100="X"))=1,"X","erreur"))</f>
        <v/>
      </c>
      <c r="AE42" s="276" t="str">
        <f>IF(SUMPRODUCT((Matrice!$D$23:$D$100='Actions de maîtrise'!AE$5)*(Matrice!$T$21:$DP$21='Actions de maîtrise'!$C42)*(Matrice!$T$23:$DP$100="X"))=0,"",IF(SUMPRODUCT((Matrice!$D$23:$D$100='Actions de maîtrise'!AE$5)*(Matrice!$T$21:$DP$21='Actions de maîtrise'!$C42)*(Matrice!$T$23:$DP$100="X"))=1,"X","erreur"))</f>
        <v/>
      </c>
      <c r="AF42" s="276" t="str">
        <f>IF(SUMPRODUCT((Matrice!$D$23:$D$100='Actions de maîtrise'!AF$5)*(Matrice!$T$21:$DP$21='Actions de maîtrise'!$C42)*(Matrice!$T$23:$DP$100="X"))=0,"",IF(SUMPRODUCT((Matrice!$D$23:$D$100='Actions de maîtrise'!AF$5)*(Matrice!$T$21:$DP$21='Actions de maîtrise'!$C42)*(Matrice!$T$23:$DP$100="X"))=1,"X","erreur"))</f>
        <v/>
      </c>
      <c r="AG42" s="276" t="str">
        <f>IF(SUMPRODUCT((Matrice!$D$23:$D$100='Actions de maîtrise'!AG$5)*(Matrice!$T$21:$DP$21='Actions de maîtrise'!$C42)*(Matrice!$T$23:$DP$100="X"))=0,"",IF(SUMPRODUCT((Matrice!$D$23:$D$100='Actions de maîtrise'!AG$5)*(Matrice!$T$21:$DP$21='Actions de maîtrise'!$C42)*(Matrice!$T$23:$DP$100="X"))=1,"X","erreur"))</f>
        <v/>
      </c>
    </row>
    <row r="43" spans="2:33" ht="18.75" x14ac:dyDescent="0.2">
      <c r="B43" s="309" t="str">
        <f>IF((COUNTIF(Matrice!$2:$2,Matrice!$G$1&amp;"-AM"&amp;Listes!A39)=1)=TRUE,Matrice!$G$1&amp;"-AM"&amp;Listes!A39,"")</f>
        <v/>
      </c>
      <c r="C43" s="178" t="str">
        <f>IF(IF(ISERROR(HLOOKUP(B43,Matrice!$A$2:$DP$100,20,FALSE)),"",HLOOKUP(B43,Matrice!$A$2:$DP$100,20,FALSE))="","",IF(ISERROR(HLOOKUP(B43,Matrice!$A$2:$DP$100,20,FALSE)),"-",HLOOKUP(B43,Matrice!$A$2:$DP$100,20,FALSE)))</f>
        <v/>
      </c>
      <c r="D43" s="179" t="str">
        <f>IF(IF(ISERROR(HLOOKUP(B43,Matrice!$A$2:$DP$100,3,FALSE)),"",HLOOKUP(B43,Matrice!$A$2:$DP$100,3,FALSE))="","",IF(ISERROR(HLOOKUP(B43,Matrice!$A$2:$DP$100,3,FALSE)),"-",HLOOKUP(B43,Matrice!$A$2:$DP$100,3,FALSE)))</f>
        <v/>
      </c>
      <c r="E43" s="305"/>
      <c r="F43" s="179" t="str">
        <f>IF(ISERROR(HLOOKUP($B43,Matrice!$A$2:$DP$100,4,FALSE)),"",IF(HLOOKUP($B43,Matrice!$A$2:$DP$100,4,FALSE)="","",HLOOKUP($B43,Matrice!$A$2:$DP$100,4,FALSE)))</f>
        <v/>
      </c>
      <c r="G43" s="179" t="str">
        <f>IF(ISERROR(HLOOKUP($B43,Matrice!$A$2:$DP$100,5,FALSE)),"",IF(HLOOKUP($B43,Matrice!$A$2:$DP$100,5,FALSE)="","",HLOOKUP($B43,Matrice!$A$2:$DP$100,5,FALSE)))</f>
        <v/>
      </c>
      <c r="H43" s="179" t="str">
        <f>IF(ISERROR(HLOOKUP($B43,Matrice!$A$2:$DP$100,6,FALSE)),"",IF(HLOOKUP($B43,Matrice!$A$2:$DP$100,6,FALSE)="","",HLOOKUP($B43,Matrice!$A$2:$DP$100,6,FALSE)))</f>
        <v/>
      </c>
      <c r="I43" s="179" t="str">
        <f>IF(ISERROR(HLOOKUP($B44,Matrice!$A$2:$DP$100,7,FALSE)),"",IF(HLOOKUP($B44,Matrice!$A$2:$DP$100,7,FALSE)="","",HLOOKUP($B44,Matrice!$A$2:$DP$100,7,FALSE)))</f>
        <v/>
      </c>
      <c r="J43" s="277" t="str">
        <f>IF(ISERROR(HLOOKUP($B43,Matrice!$A$2:$DP$100,12,FALSE)),"",IF(HLOOKUP($B43,Matrice!$A$2:$DP$100,12,FALSE)="","",HLOOKUP($B43,Matrice!$A$2:$DP$100,12,FALSE)))</f>
        <v/>
      </c>
      <c r="K43" s="277" t="str">
        <f>IF(ISERROR(HLOOKUP($B43,Matrice!$A$2:$DP$100,13,FALSE)),"",IF(HLOOKUP($B43,Matrice!$A$2:$DP$100,13,FALSE)="","",HLOOKUP($B43,Matrice!$A$2:$DP$100,13,FALSE)))</f>
        <v/>
      </c>
      <c r="L43" s="333" t="str">
        <f>IF(ISERROR(HLOOKUP($B43,Matrice!$A$2:$DP$100,9,FALSE)),"",IF(HLOOKUP($B43,Matrice!$A$2:$DP$100,9,FALSE)="","",HLOOKUP($B43,Matrice!$A$2:$DP$100,9,FALSE)))</f>
        <v/>
      </c>
      <c r="M43" s="333" t="str">
        <f>IF(ISERROR(HLOOKUP($B43,Matrice!$A$2:$DP$100,10,FALSE)),"",IF(HLOOKUP($B43,Matrice!$A$2:$DP$100,10,FALSE)="","",HLOOKUP($B43,Matrice!$A$2:$DP$100,10,FALSE)))</f>
        <v/>
      </c>
      <c r="N43" s="333" t="str">
        <f>IF(ISERROR(HLOOKUP($B43,Matrice!$A$2:$DP$100,11,FALSE)),"",IF(HLOOKUP($B43,Matrice!$A$2:$DP$100,11,FALSE)="","",HLOOKUP($B43,Matrice!$A$2:$DP$100,11,FALSE)))</f>
        <v/>
      </c>
      <c r="P43" s="276" t="str">
        <f>IF(SUMPRODUCT((Matrice!$D$23:$D$100='Actions de maîtrise'!P$5)*(Matrice!$T$21:$DP$21='Actions de maîtrise'!$C43)*(Matrice!$T$23:$DP$100="X"))=0,"",IF(SUMPRODUCT((Matrice!$D$23:$D$100='Actions de maîtrise'!P$5)*(Matrice!$T$21:$DP$21='Actions de maîtrise'!$C43)*(Matrice!$T$23:$DP$100="X"))=1,"X","erreur"))</f>
        <v/>
      </c>
      <c r="Q43" s="276" t="str">
        <f>IF(SUMPRODUCT((Matrice!$D$23:$D$100='Actions de maîtrise'!Q$5)*(Matrice!$T$21:$DP$21='Actions de maîtrise'!$C43)*(Matrice!$T$23:$DP$100="X"))=0,"",IF(SUMPRODUCT((Matrice!$D$23:$D$100='Actions de maîtrise'!Q$5)*(Matrice!$T$21:$DP$21='Actions de maîtrise'!$C43)*(Matrice!$T$23:$DP$100="X"))=1,"X","erreur"))</f>
        <v/>
      </c>
      <c r="R43" s="276" t="str">
        <f>IF(SUMPRODUCT((Matrice!$D$23:$D$100='Actions de maîtrise'!R$5)*(Matrice!$T$21:$DP$21='Actions de maîtrise'!$C43)*(Matrice!$T$23:$DP$100="X"))=0,"",IF(SUMPRODUCT((Matrice!$D$23:$D$100='Actions de maîtrise'!R$5)*(Matrice!$T$21:$DP$21='Actions de maîtrise'!$C43)*(Matrice!$T$23:$DP$100="X"))=1,"X","erreur"))</f>
        <v/>
      </c>
      <c r="S43" s="276" t="str">
        <f>IF(SUMPRODUCT((Matrice!$D$23:$D$100='Actions de maîtrise'!S$5)*(Matrice!$T$21:$DP$21='Actions de maîtrise'!$C43)*(Matrice!$T$23:$DP$100="X"))=0,"",IF(SUMPRODUCT((Matrice!$D$23:$D$100='Actions de maîtrise'!S$5)*(Matrice!$T$21:$DP$21='Actions de maîtrise'!$C43)*(Matrice!$T$23:$DP$100="X"))=1,"X","erreur"))</f>
        <v/>
      </c>
      <c r="T43" s="276" t="str">
        <f>IF(SUMPRODUCT((Matrice!$D$23:$D$100='Actions de maîtrise'!T$5)*(Matrice!$T$21:$DP$21='Actions de maîtrise'!$C43)*(Matrice!$T$23:$DP$100="X"))=0,"",IF(SUMPRODUCT((Matrice!$D$23:$D$100='Actions de maîtrise'!T$5)*(Matrice!$T$21:$DP$21='Actions de maîtrise'!$C43)*(Matrice!$T$23:$DP$100="X"))=1,"X","erreur"))</f>
        <v/>
      </c>
      <c r="U43" s="276" t="str">
        <f>IF(SUMPRODUCT((Matrice!$D$23:$D$100='Actions de maîtrise'!U$5)*(Matrice!$T$21:$DP$21='Actions de maîtrise'!$C43)*(Matrice!$T$23:$DP$100="X"))=0,"",IF(SUMPRODUCT((Matrice!$D$23:$D$100='Actions de maîtrise'!U$5)*(Matrice!$T$21:$DP$21='Actions de maîtrise'!$C43)*(Matrice!$T$23:$DP$100="X"))=1,"X","erreur"))</f>
        <v/>
      </c>
      <c r="V43" s="276" t="str">
        <f>IF(SUMPRODUCT((Matrice!$D$23:$D$100='Actions de maîtrise'!V$5)*(Matrice!$T$21:$DP$21='Actions de maîtrise'!$C43)*(Matrice!$T$23:$DP$100="X"))=0,"",IF(SUMPRODUCT((Matrice!$D$23:$D$100='Actions de maîtrise'!V$5)*(Matrice!$T$21:$DP$21='Actions de maîtrise'!$C43)*(Matrice!$T$23:$DP$100="X"))=1,"X","erreur"))</f>
        <v/>
      </c>
      <c r="W43" s="276" t="str">
        <f>IF(SUMPRODUCT((Matrice!$D$23:$D$100='Actions de maîtrise'!W$5)*(Matrice!$T$21:$DP$21='Actions de maîtrise'!$C43)*(Matrice!$T$23:$DP$100="X"))=0,"",IF(SUMPRODUCT((Matrice!$D$23:$D$100='Actions de maîtrise'!W$5)*(Matrice!$T$21:$DP$21='Actions de maîtrise'!$C43)*(Matrice!$T$23:$DP$100="X"))=1,"X","erreur"))</f>
        <v/>
      </c>
      <c r="X43" s="276" t="str">
        <f>IF(SUMPRODUCT((Matrice!$D$23:$D$100='Actions de maîtrise'!X$5)*(Matrice!$T$21:$DP$21='Actions de maîtrise'!$C43)*(Matrice!$T$23:$DP$100="X"))=0,"",IF(SUMPRODUCT((Matrice!$D$23:$D$100='Actions de maîtrise'!X$5)*(Matrice!$T$21:$DP$21='Actions de maîtrise'!$C43)*(Matrice!$T$23:$DP$100="X"))=1,"X","erreur"))</f>
        <v/>
      </c>
      <c r="Y43" s="276" t="str">
        <f>IF(SUMPRODUCT((Matrice!$D$23:$D$100='Actions de maîtrise'!Y$5)*(Matrice!$T$21:$DP$21='Actions de maîtrise'!$C43)*(Matrice!$T$23:$DP$100="X"))=0,"",IF(SUMPRODUCT((Matrice!$D$23:$D$100='Actions de maîtrise'!Y$5)*(Matrice!$T$21:$DP$21='Actions de maîtrise'!$C43)*(Matrice!$T$23:$DP$100="X"))=1,"X","erreur"))</f>
        <v/>
      </c>
      <c r="Z43" s="276" t="str">
        <f>IF(SUMPRODUCT((Matrice!$D$23:$D$100='Actions de maîtrise'!Z$5)*(Matrice!$T$21:$DP$21='Actions de maîtrise'!$C43)*(Matrice!$T$23:$DP$100="X"))=0,"",IF(SUMPRODUCT((Matrice!$D$23:$D$100='Actions de maîtrise'!Z$5)*(Matrice!$T$21:$DP$21='Actions de maîtrise'!$C43)*(Matrice!$T$23:$DP$100="X"))=1,"X","erreur"))</f>
        <v/>
      </c>
      <c r="AA43" s="276" t="str">
        <f>IF(SUMPRODUCT((Matrice!$D$23:$D$100='Actions de maîtrise'!AA$5)*(Matrice!$T$21:$DP$21='Actions de maîtrise'!$C43)*(Matrice!$T$23:$DP$100="X"))=0,"",IF(SUMPRODUCT((Matrice!$D$23:$D$100='Actions de maîtrise'!AA$5)*(Matrice!$T$21:$DP$21='Actions de maîtrise'!$C43)*(Matrice!$T$23:$DP$100="X"))=1,"X","erreur"))</f>
        <v/>
      </c>
      <c r="AB43" s="276" t="str">
        <f>IF(SUMPRODUCT((Matrice!$D$23:$D$100='Actions de maîtrise'!AB$5)*(Matrice!$T$21:$DP$21='Actions de maîtrise'!$C43)*(Matrice!$T$23:$DP$100="X"))=0,"",IF(SUMPRODUCT((Matrice!$D$23:$D$100='Actions de maîtrise'!AB$5)*(Matrice!$T$21:$DP$21='Actions de maîtrise'!$C43)*(Matrice!$T$23:$DP$100="X"))=1,"X","erreur"))</f>
        <v/>
      </c>
      <c r="AC43" s="276" t="str">
        <f>IF(SUMPRODUCT((Matrice!$D$23:$D$100='Actions de maîtrise'!AC$5)*(Matrice!$T$21:$DP$21='Actions de maîtrise'!$C43)*(Matrice!$T$23:$DP$100="X"))=0,"",IF(SUMPRODUCT((Matrice!$D$23:$D$100='Actions de maîtrise'!AC$5)*(Matrice!$T$21:$DP$21='Actions de maîtrise'!$C43)*(Matrice!$T$23:$DP$100="X"))=1,"X","erreur"))</f>
        <v/>
      </c>
      <c r="AD43" s="276" t="str">
        <f>IF(SUMPRODUCT((Matrice!$D$23:$D$100='Actions de maîtrise'!AD$5)*(Matrice!$T$21:$DP$21='Actions de maîtrise'!$C43)*(Matrice!$T$23:$DP$100="X"))=0,"",IF(SUMPRODUCT((Matrice!$D$23:$D$100='Actions de maîtrise'!AD$5)*(Matrice!$T$21:$DP$21='Actions de maîtrise'!$C43)*(Matrice!$T$23:$DP$100="X"))=1,"X","erreur"))</f>
        <v/>
      </c>
      <c r="AE43" s="276" t="str">
        <f>IF(SUMPRODUCT((Matrice!$D$23:$D$100='Actions de maîtrise'!AE$5)*(Matrice!$T$21:$DP$21='Actions de maîtrise'!$C43)*(Matrice!$T$23:$DP$100="X"))=0,"",IF(SUMPRODUCT((Matrice!$D$23:$D$100='Actions de maîtrise'!AE$5)*(Matrice!$T$21:$DP$21='Actions de maîtrise'!$C43)*(Matrice!$T$23:$DP$100="X"))=1,"X","erreur"))</f>
        <v/>
      </c>
      <c r="AF43" s="276" t="str">
        <f>IF(SUMPRODUCT((Matrice!$D$23:$D$100='Actions de maîtrise'!AF$5)*(Matrice!$T$21:$DP$21='Actions de maîtrise'!$C43)*(Matrice!$T$23:$DP$100="X"))=0,"",IF(SUMPRODUCT((Matrice!$D$23:$D$100='Actions de maîtrise'!AF$5)*(Matrice!$T$21:$DP$21='Actions de maîtrise'!$C43)*(Matrice!$T$23:$DP$100="X"))=1,"X","erreur"))</f>
        <v/>
      </c>
      <c r="AG43" s="276" t="str">
        <f>IF(SUMPRODUCT((Matrice!$D$23:$D$100='Actions de maîtrise'!AG$5)*(Matrice!$T$21:$DP$21='Actions de maîtrise'!$C43)*(Matrice!$T$23:$DP$100="X"))=0,"",IF(SUMPRODUCT((Matrice!$D$23:$D$100='Actions de maîtrise'!AG$5)*(Matrice!$T$21:$DP$21='Actions de maîtrise'!$C43)*(Matrice!$T$23:$DP$100="X"))=1,"X","erreur"))</f>
        <v/>
      </c>
    </row>
    <row r="44" spans="2:33" ht="18.75" x14ac:dyDescent="0.2">
      <c r="B44" s="309" t="str">
        <f>IF((COUNTIF(Matrice!$2:$2,Matrice!$G$1&amp;"-AM"&amp;Listes!A40)=1)=TRUE,Matrice!$G$1&amp;"-AM"&amp;Listes!A40,"")</f>
        <v/>
      </c>
      <c r="C44" s="178" t="str">
        <f>IF(IF(ISERROR(HLOOKUP(B44,Matrice!$A$2:$DP$100,20,FALSE)),"",HLOOKUP(B44,Matrice!$A$2:$DP$100,20,FALSE))="","",IF(ISERROR(HLOOKUP(B44,Matrice!$A$2:$DP$100,20,FALSE)),"-",HLOOKUP(B44,Matrice!$A$2:$DP$100,20,FALSE)))</f>
        <v/>
      </c>
      <c r="D44" s="179" t="str">
        <f>IF(IF(ISERROR(HLOOKUP(B44,Matrice!$A$2:$DP$100,3,FALSE)),"",HLOOKUP(B44,Matrice!$A$2:$DP$100,3,FALSE))="","",IF(ISERROR(HLOOKUP(B44,Matrice!$A$2:$DP$100,3,FALSE)),"-",HLOOKUP(B44,Matrice!$A$2:$DP$100,3,FALSE)))</f>
        <v/>
      </c>
      <c r="E44" s="305"/>
      <c r="F44" s="179" t="str">
        <f>IF(ISERROR(HLOOKUP($B44,Matrice!$A$2:$DP$100,4,FALSE)),"",IF(HLOOKUP($B44,Matrice!$A$2:$DP$100,4,FALSE)="","",HLOOKUP($B44,Matrice!$A$2:$DP$100,4,FALSE)))</f>
        <v/>
      </c>
      <c r="G44" s="179" t="str">
        <f>IF(ISERROR(HLOOKUP($B44,Matrice!$A$2:$DP$100,5,FALSE)),"",IF(HLOOKUP($B44,Matrice!$A$2:$DP$100,5,FALSE)="","",HLOOKUP($B44,Matrice!$A$2:$DP$100,5,FALSE)))</f>
        <v/>
      </c>
      <c r="H44" s="179" t="str">
        <f>IF(ISERROR(HLOOKUP($B44,Matrice!$A$2:$DP$100,6,FALSE)),"",IF(HLOOKUP($B44,Matrice!$A$2:$DP$100,6,FALSE)="","",HLOOKUP($B44,Matrice!$A$2:$DP$100,6,FALSE)))</f>
        <v/>
      </c>
      <c r="I44" s="179" t="str">
        <f>IF(ISERROR(HLOOKUP($B45,Matrice!$A$2:$DP$100,7,FALSE)),"",IF(HLOOKUP($B45,Matrice!$A$2:$DP$100,7,FALSE)="","",HLOOKUP($B45,Matrice!$A$2:$DP$100,7,FALSE)))</f>
        <v/>
      </c>
      <c r="J44" s="277" t="str">
        <f>IF(ISERROR(HLOOKUP($B44,Matrice!$A$2:$DP$100,12,FALSE)),"",IF(HLOOKUP($B44,Matrice!$A$2:$DP$100,12,FALSE)="","",HLOOKUP($B44,Matrice!$A$2:$DP$100,12,FALSE)))</f>
        <v/>
      </c>
      <c r="K44" s="277" t="str">
        <f>IF(ISERROR(HLOOKUP($B44,Matrice!$A$2:$DP$100,13,FALSE)),"",IF(HLOOKUP($B44,Matrice!$A$2:$DP$100,13,FALSE)="","",HLOOKUP($B44,Matrice!$A$2:$DP$100,13,FALSE)))</f>
        <v/>
      </c>
      <c r="L44" s="333" t="str">
        <f>IF(ISERROR(HLOOKUP($B44,Matrice!$A$2:$DP$100,9,FALSE)),"",IF(HLOOKUP($B44,Matrice!$A$2:$DP$100,9,FALSE)="","",HLOOKUP($B44,Matrice!$A$2:$DP$100,9,FALSE)))</f>
        <v/>
      </c>
      <c r="M44" s="333" t="str">
        <f>IF(ISERROR(HLOOKUP($B44,Matrice!$A$2:$DP$100,10,FALSE)),"",IF(HLOOKUP($B44,Matrice!$A$2:$DP$100,10,FALSE)="","",HLOOKUP($B44,Matrice!$A$2:$DP$100,10,FALSE)))</f>
        <v/>
      </c>
      <c r="N44" s="333" t="str">
        <f>IF(ISERROR(HLOOKUP($B44,Matrice!$A$2:$DP$100,11,FALSE)),"",IF(HLOOKUP($B44,Matrice!$A$2:$DP$100,11,FALSE)="","",HLOOKUP($B44,Matrice!$A$2:$DP$100,11,FALSE)))</f>
        <v/>
      </c>
      <c r="P44" s="276" t="str">
        <f>IF(SUMPRODUCT((Matrice!$D$23:$D$100='Actions de maîtrise'!P$5)*(Matrice!$T$21:$DP$21='Actions de maîtrise'!$C44)*(Matrice!$T$23:$DP$100="X"))=0,"",IF(SUMPRODUCT((Matrice!$D$23:$D$100='Actions de maîtrise'!P$5)*(Matrice!$T$21:$DP$21='Actions de maîtrise'!$C44)*(Matrice!$T$23:$DP$100="X"))=1,"X","erreur"))</f>
        <v/>
      </c>
      <c r="Q44" s="276" t="str">
        <f>IF(SUMPRODUCT((Matrice!$D$23:$D$100='Actions de maîtrise'!Q$5)*(Matrice!$T$21:$DP$21='Actions de maîtrise'!$C44)*(Matrice!$T$23:$DP$100="X"))=0,"",IF(SUMPRODUCT((Matrice!$D$23:$D$100='Actions de maîtrise'!Q$5)*(Matrice!$T$21:$DP$21='Actions de maîtrise'!$C44)*(Matrice!$T$23:$DP$100="X"))=1,"X","erreur"))</f>
        <v/>
      </c>
      <c r="R44" s="276" t="str">
        <f>IF(SUMPRODUCT((Matrice!$D$23:$D$100='Actions de maîtrise'!R$5)*(Matrice!$T$21:$DP$21='Actions de maîtrise'!$C44)*(Matrice!$T$23:$DP$100="X"))=0,"",IF(SUMPRODUCT((Matrice!$D$23:$D$100='Actions de maîtrise'!R$5)*(Matrice!$T$21:$DP$21='Actions de maîtrise'!$C44)*(Matrice!$T$23:$DP$100="X"))=1,"X","erreur"))</f>
        <v/>
      </c>
      <c r="S44" s="276" t="str">
        <f>IF(SUMPRODUCT((Matrice!$D$23:$D$100='Actions de maîtrise'!S$5)*(Matrice!$T$21:$DP$21='Actions de maîtrise'!$C44)*(Matrice!$T$23:$DP$100="X"))=0,"",IF(SUMPRODUCT((Matrice!$D$23:$D$100='Actions de maîtrise'!S$5)*(Matrice!$T$21:$DP$21='Actions de maîtrise'!$C44)*(Matrice!$T$23:$DP$100="X"))=1,"X","erreur"))</f>
        <v/>
      </c>
      <c r="T44" s="276" t="str">
        <f>IF(SUMPRODUCT((Matrice!$D$23:$D$100='Actions de maîtrise'!T$5)*(Matrice!$T$21:$DP$21='Actions de maîtrise'!$C44)*(Matrice!$T$23:$DP$100="X"))=0,"",IF(SUMPRODUCT((Matrice!$D$23:$D$100='Actions de maîtrise'!T$5)*(Matrice!$T$21:$DP$21='Actions de maîtrise'!$C44)*(Matrice!$T$23:$DP$100="X"))=1,"X","erreur"))</f>
        <v/>
      </c>
      <c r="U44" s="276" t="str">
        <f>IF(SUMPRODUCT((Matrice!$D$23:$D$100='Actions de maîtrise'!U$5)*(Matrice!$T$21:$DP$21='Actions de maîtrise'!$C44)*(Matrice!$T$23:$DP$100="X"))=0,"",IF(SUMPRODUCT((Matrice!$D$23:$D$100='Actions de maîtrise'!U$5)*(Matrice!$T$21:$DP$21='Actions de maîtrise'!$C44)*(Matrice!$T$23:$DP$100="X"))=1,"X","erreur"))</f>
        <v/>
      </c>
      <c r="V44" s="276" t="str">
        <f>IF(SUMPRODUCT((Matrice!$D$23:$D$100='Actions de maîtrise'!V$5)*(Matrice!$T$21:$DP$21='Actions de maîtrise'!$C44)*(Matrice!$T$23:$DP$100="X"))=0,"",IF(SUMPRODUCT((Matrice!$D$23:$D$100='Actions de maîtrise'!V$5)*(Matrice!$T$21:$DP$21='Actions de maîtrise'!$C44)*(Matrice!$T$23:$DP$100="X"))=1,"X","erreur"))</f>
        <v/>
      </c>
      <c r="W44" s="276" t="str">
        <f>IF(SUMPRODUCT((Matrice!$D$23:$D$100='Actions de maîtrise'!W$5)*(Matrice!$T$21:$DP$21='Actions de maîtrise'!$C44)*(Matrice!$T$23:$DP$100="X"))=0,"",IF(SUMPRODUCT((Matrice!$D$23:$D$100='Actions de maîtrise'!W$5)*(Matrice!$T$21:$DP$21='Actions de maîtrise'!$C44)*(Matrice!$T$23:$DP$100="X"))=1,"X","erreur"))</f>
        <v/>
      </c>
      <c r="X44" s="276" t="str">
        <f>IF(SUMPRODUCT((Matrice!$D$23:$D$100='Actions de maîtrise'!X$5)*(Matrice!$T$21:$DP$21='Actions de maîtrise'!$C44)*(Matrice!$T$23:$DP$100="X"))=0,"",IF(SUMPRODUCT((Matrice!$D$23:$D$100='Actions de maîtrise'!X$5)*(Matrice!$T$21:$DP$21='Actions de maîtrise'!$C44)*(Matrice!$T$23:$DP$100="X"))=1,"X","erreur"))</f>
        <v/>
      </c>
      <c r="Y44" s="276" t="str">
        <f>IF(SUMPRODUCT((Matrice!$D$23:$D$100='Actions de maîtrise'!Y$5)*(Matrice!$T$21:$DP$21='Actions de maîtrise'!$C44)*(Matrice!$T$23:$DP$100="X"))=0,"",IF(SUMPRODUCT((Matrice!$D$23:$D$100='Actions de maîtrise'!Y$5)*(Matrice!$T$21:$DP$21='Actions de maîtrise'!$C44)*(Matrice!$T$23:$DP$100="X"))=1,"X","erreur"))</f>
        <v/>
      </c>
      <c r="Z44" s="276" t="str">
        <f>IF(SUMPRODUCT((Matrice!$D$23:$D$100='Actions de maîtrise'!Z$5)*(Matrice!$T$21:$DP$21='Actions de maîtrise'!$C44)*(Matrice!$T$23:$DP$100="X"))=0,"",IF(SUMPRODUCT((Matrice!$D$23:$D$100='Actions de maîtrise'!Z$5)*(Matrice!$T$21:$DP$21='Actions de maîtrise'!$C44)*(Matrice!$T$23:$DP$100="X"))=1,"X","erreur"))</f>
        <v/>
      </c>
      <c r="AA44" s="276" t="str">
        <f>IF(SUMPRODUCT((Matrice!$D$23:$D$100='Actions de maîtrise'!AA$5)*(Matrice!$T$21:$DP$21='Actions de maîtrise'!$C44)*(Matrice!$T$23:$DP$100="X"))=0,"",IF(SUMPRODUCT((Matrice!$D$23:$D$100='Actions de maîtrise'!AA$5)*(Matrice!$T$21:$DP$21='Actions de maîtrise'!$C44)*(Matrice!$T$23:$DP$100="X"))=1,"X","erreur"))</f>
        <v/>
      </c>
      <c r="AB44" s="276" t="str">
        <f>IF(SUMPRODUCT((Matrice!$D$23:$D$100='Actions de maîtrise'!AB$5)*(Matrice!$T$21:$DP$21='Actions de maîtrise'!$C44)*(Matrice!$T$23:$DP$100="X"))=0,"",IF(SUMPRODUCT((Matrice!$D$23:$D$100='Actions de maîtrise'!AB$5)*(Matrice!$T$21:$DP$21='Actions de maîtrise'!$C44)*(Matrice!$T$23:$DP$100="X"))=1,"X","erreur"))</f>
        <v/>
      </c>
      <c r="AC44" s="276" t="str">
        <f>IF(SUMPRODUCT((Matrice!$D$23:$D$100='Actions de maîtrise'!AC$5)*(Matrice!$T$21:$DP$21='Actions de maîtrise'!$C44)*(Matrice!$T$23:$DP$100="X"))=0,"",IF(SUMPRODUCT((Matrice!$D$23:$D$100='Actions de maîtrise'!AC$5)*(Matrice!$T$21:$DP$21='Actions de maîtrise'!$C44)*(Matrice!$T$23:$DP$100="X"))=1,"X","erreur"))</f>
        <v/>
      </c>
      <c r="AD44" s="276" t="str">
        <f>IF(SUMPRODUCT((Matrice!$D$23:$D$100='Actions de maîtrise'!AD$5)*(Matrice!$T$21:$DP$21='Actions de maîtrise'!$C44)*(Matrice!$T$23:$DP$100="X"))=0,"",IF(SUMPRODUCT((Matrice!$D$23:$D$100='Actions de maîtrise'!AD$5)*(Matrice!$T$21:$DP$21='Actions de maîtrise'!$C44)*(Matrice!$T$23:$DP$100="X"))=1,"X","erreur"))</f>
        <v/>
      </c>
      <c r="AE44" s="276" t="str">
        <f>IF(SUMPRODUCT((Matrice!$D$23:$D$100='Actions de maîtrise'!AE$5)*(Matrice!$T$21:$DP$21='Actions de maîtrise'!$C44)*(Matrice!$T$23:$DP$100="X"))=0,"",IF(SUMPRODUCT((Matrice!$D$23:$D$100='Actions de maîtrise'!AE$5)*(Matrice!$T$21:$DP$21='Actions de maîtrise'!$C44)*(Matrice!$T$23:$DP$100="X"))=1,"X","erreur"))</f>
        <v/>
      </c>
      <c r="AF44" s="276" t="str">
        <f>IF(SUMPRODUCT((Matrice!$D$23:$D$100='Actions de maîtrise'!AF$5)*(Matrice!$T$21:$DP$21='Actions de maîtrise'!$C44)*(Matrice!$T$23:$DP$100="X"))=0,"",IF(SUMPRODUCT((Matrice!$D$23:$D$100='Actions de maîtrise'!AF$5)*(Matrice!$T$21:$DP$21='Actions de maîtrise'!$C44)*(Matrice!$T$23:$DP$100="X"))=1,"X","erreur"))</f>
        <v/>
      </c>
      <c r="AG44" s="276" t="str">
        <f>IF(SUMPRODUCT((Matrice!$D$23:$D$100='Actions de maîtrise'!AG$5)*(Matrice!$T$21:$DP$21='Actions de maîtrise'!$C44)*(Matrice!$T$23:$DP$100="X"))=0,"",IF(SUMPRODUCT((Matrice!$D$23:$D$100='Actions de maîtrise'!AG$5)*(Matrice!$T$21:$DP$21='Actions de maîtrise'!$C44)*(Matrice!$T$23:$DP$100="X"))=1,"X","erreur"))</f>
        <v/>
      </c>
    </row>
    <row r="45" spans="2:33" ht="18.75" x14ac:dyDescent="0.2">
      <c r="B45" s="309" t="str">
        <f>IF((COUNTIF(Matrice!$2:$2,Matrice!$G$1&amp;"-AM"&amp;Listes!A41)=1)=TRUE,Matrice!$G$1&amp;"-AM"&amp;Listes!A41,"")</f>
        <v/>
      </c>
      <c r="C45" s="178" t="str">
        <f>IF(IF(ISERROR(HLOOKUP(B45,Matrice!$A$2:$DP$100,20,FALSE)),"",HLOOKUP(B45,Matrice!$A$2:$DP$100,20,FALSE))="","",IF(ISERROR(HLOOKUP(B45,Matrice!$A$2:$DP$100,20,FALSE)),"-",HLOOKUP(B45,Matrice!$A$2:$DP$100,20,FALSE)))</f>
        <v/>
      </c>
      <c r="D45" s="179" t="str">
        <f>IF(IF(ISERROR(HLOOKUP(B45,Matrice!$A$2:$DP$100,3,FALSE)),"",HLOOKUP(B45,Matrice!$A$2:$DP$100,3,FALSE))="","",IF(ISERROR(HLOOKUP(B45,Matrice!$A$2:$DP$100,3,FALSE)),"-",HLOOKUP(B45,Matrice!$A$2:$DP$100,3,FALSE)))</f>
        <v/>
      </c>
      <c r="E45" s="305"/>
      <c r="F45" s="179" t="str">
        <f>IF(ISERROR(HLOOKUP($B45,Matrice!$A$2:$DP$100,4,FALSE)),"",IF(HLOOKUP($B45,Matrice!$A$2:$DP$100,4,FALSE)="","",HLOOKUP($B45,Matrice!$A$2:$DP$100,4,FALSE)))</f>
        <v/>
      </c>
      <c r="G45" s="179" t="str">
        <f>IF(ISERROR(HLOOKUP($B45,Matrice!$A$2:$DP$100,5,FALSE)),"",IF(HLOOKUP($B45,Matrice!$A$2:$DP$100,5,FALSE)="","",HLOOKUP($B45,Matrice!$A$2:$DP$100,5,FALSE)))</f>
        <v/>
      </c>
      <c r="H45" s="179" t="str">
        <f>IF(ISERROR(HLOOKUP($B45,Matrice!$A$2:$DP$100,6,FALSE)),"",IF(HLOOKUP($B45,Matrice!$A$2:$DP$100,6,FALSE)="","",HLOOKUP($B45,Matrice!$A$2:$DP$100,6,FALSE)))</f>
        <v/>
      </c>
      <c r="I45" s="179" t="str">
        <f>IF(ISERROR(HLOOKUP($B46,Matrice!$A$2:$DP$100,7,FALSE)),"",IF(HLOOKUP($B46,Matrice!$A$2:$DP$100,7,FALSE)="","",HLOOKUP($B46,Matrice!$A$2:$DP$100,7,FALSE)))</f>
        <v/>
      </c>
      <c r="J45" s="277" t="str">
        <f>IF(ISERROR(HLOOKUP($B45,Matrice!$A$2:$DP$100,12,FALSE)),"",IF(HLOOKUP($B45,Matrice!$A$2:$DP$100,12,FALSE)="","",HLOOKUP($B45,Matrice!$A$2:$DP$100,12,FALSE)))</f>
        <v/>
      </c>
      <c r="K45" s="277" t="str">
        <f>IF(ISERROR(HLOOKUP($B45,Matrice!$A$2:$DP$100,13,FALSE)),"",IF(HLOOKUP($B45,Matrice!$A$2:$DP$100,13,FALSE)="","",HLOOKUP($B45,Matrice!$A$2:$DP$100,13,FALSE)))</f>
        <v/>
      </c>
      <c r="L45" s="333" t="str">
        <f>IF(ISERROR(HLOOKUP($B45,Matrice!$A$2:$DP$100,9,FALSE)),"",IF(HLOOKUP($B45,Matrice!$A$2:$DP$100,9,FALSE)="","",HLOOKUP($B45,Matrice!$A$2:$DP$100,9,FALSE)))</f>
        <v/>
      </c>
      <c r="M45" s="333" t="str">
        <f>IF(ISERROR(HLOOKUP($B45,Matrice!$A$2:$DP$100,10,FALSE)),"",IF(HLOOKUP($B45,Matrice!$A$2:$DP$100,10,FALSE)="","",HLOOKUP($B45,Matrice!$A$2:$DP$100,10,FALSE)))</f>
        <v/>
      </c>
      <c r="N45" s="333" t="str">
        <f>IF(ISERROR(HLOOKUP($B45,Matrice!$A$2:$DP$100,11,FALSE)),"",IF(HLOOKUP($B45,Matrice!$A$2:$DP$100,11,FALSE)="","",HLOOKUP($B45,Matrice!$A$2:$DP$100,11,FALSE)))</f>
        <v/>
      </c>
      <c r="P45" s="276" t="str">
        <f>IF(SUMPRODUCT((Matrice!$D$23:$D$100='Actions de maîtrise'!P$5)*(Matrice!$T$21:$DP$21='Actions de maîtrise'!$C45)*(Matrice!$T$23:$DP$100="X"))=0,"",IF(SUMPRODUCT((Matrice!$D$23:$D$100='Actions de maîtrise'!P$5)*(Matrice!$T$21:$DP$21='Actions de maîtrise'!$C45)*(Matrice!$T$23:$DP$100="X"))=1,"X","erreur"))</f>
        <v/>
      </c>
      <c r="Q45" s="276" t="str">
        <f>IF(SUMPRODUCT((Matrice!$D$23:$D$100='Actions de maîtrise'!Q$5)*(Matrice!$T$21:$DP$21='Actions de maîtrise'!$C45)*(Matrice!$T$23:$DP$100="X"))=0,"",IF(SUMPRODUCT((Matrice!$D$23:$D$100='Actions de maîtrise'!Q$5)*(Matrice!$T$21:$DP$21='Actions de maîtrise'!$C45)*(Matrice!$T$23:$DP$100="X"))=1,"X","erreur"))</f>
        <v/>
      </c>
      <c r="R45" s="276" t="str">
        <f>IF(SUMPRODUCT((Matrice!$D$23:$D$100='Actions de maîtrise'!R$5)*(Matrice!$T$21:$DP$21='Actions de maîtrise'!$C45)*(Matrice!$T$23:$DP$100="X"))=0,"",IF(SUMPRODUCT((Matrice!$D$23:$D$100='Actions de maîtrise'!R$5)*(Matrice!$T$21:$DP$21='Actions de maîtrise'!$C45)*(Matrice!$T$23:$DP$100="X"))=1,"X","erreur"))</f>
        <v/>
      </c>
      <c r="S45" s="276" t="str">
        <f>IF(SUMPRODUCT((Matrice!$D$23:$D$100='Actions de maîtrise'!S$5)*(Matrice!$T$21:$DP$21='Actions de maîtrise'!$C45)*(Matrice!$T$23:$DP$100="X"))=0,"",IF(SUMPRODUCT((Matrice!$D$23:$D$100='Actions de maîtrise'!S$5)*(Matrice!$T$21:$DP$21='Actions de maîtrise'!$C45)*(Matrice!$T$23:$DP$100="X"))=1,"X","erreur"))</f>
        <v/>
      </c>
      <c r="T45" s="276" t="str">
        <f>IF(SUMPRODUCT((Matrice!$D$23:$D$100='Actions de maîtrise'!T$5)*(Matrice!$T$21:$DP$21='Actions de maîtrise'!$C45)*(Matrice!$T$23:$DP$100="X"))=0,"",IF(SUMPRODUCT((Matrice!$D$23:$D$100='Actions de maîtrise'!T$5)*(Matrice!$T$21:$DP$21='Actions de maîtrise'!$C45)*(Matrice!$T$23:$DP$100="X"))=1,"X","erreur"))</f>
        <v/>
      </c>
      <c r="U45" s="276" t="str">
        <f>IF(SUMPRODUCT((Matrice!$D$23:$D$100='Actions de maîtrise'!U$5)*(Matrice!$T$21:$DP$21='Actions de maîtrise'!$C45)*(Matrice!$T$23:$DP$100="X"))=0,"",IF(SUMPRODUCT((Matrice!$D$23:$D$100='Actions de maîtrise'!U$5)*(Matrice!$T$21:$DP$21='Actions de maîtrise'!$C45)*(Matrice!$T$23:$DP$100="X"))=1,"X","erreur"))</f>
        <v/>
      </c>
      <c r="V45" s="276" t="str">
        <f>IF(SUMPRODUCT((Matrice!$D$23:$D$100='Actions de maîtrise'!V$5)*(Matrice!$T$21:$DP$21='Actions de maîtrise'!$C45)*(Matrice!$T$23:$DP$100="X"))=0,"",IF(SUMPRODUCT((Matrice!$D$23:$D$100='Actions de maîtrise'!V$5)*(Matrice!$T$21:$DP$21='Actions de maîtrise'!$C45)*(Matrice!$T$23:$DP$100="X"))=1,"X","erreur"))</f>
        <v/>
      </c>
      <c r="W45" s="276" t="str">
        <f>IF(SUMPRODUCT((Matrice!$D$23:$D$100='Actions de maîtrise'!W$5)*(Matrice!$T$21:$DP$21='Actions de maîtrise'!$C45)*(Matrice!$T$23:$DP$100="X"))=0,"",IF(SUMPRODUCT((Matrice!$D$23:$D$100='Actions de maîtrise'!W$5)*(Matrice!$T$21:$DP$21='Actions de maîtrise'!$C45)*(Matrice!$T$23:$DP$100="X"))=1,"X","erreur"))</f>
        <v/>
      </c>
      <c r="X45" s="276" t="str">
        <f>IF(SUMPRODUCT((Matrice!$D$23:$D$100='Actions de maîtrise'!X$5)*(Matrice!$T$21:$DP$21='Actions de maîtrise'!$C45)*(Matrice!$T$23:$DP$100="X"))=0,"",IF(SUMPRODUCT((Matrice!$D$23:$D$100='Actions de maîtrise'!X$5)*(Matrice!$T$21:$DP$21='Actions de maîtrise'!$C45)*(Matrice!$T$23:$DP$100="X"))=1,"X","erreur"))</f>
        <v/>
      </c>
      <c r="Y45" s="276" t="str">
        <f>IF(SUMPRODUCT((Matrice!$D$23:$D$100='Actions de maîtrise'!Y$5)*(Matrice!$T$21:$DP$21='Actions de maîtrise'!$C45)*(Matrice!$T$23:$DP$100="X"))=0,"",IF(SUMPRODUCT((Matrice!$D$23:$D$100='Actions de maîtrise'!Y$5)*(Matrice!$T$21:$DP$21='Actions de maîtrise'!$C45)*(Matrice!$T$23:$DP$100="X"))=1,"X","erreur"))</f>
        <v/>
      </c>
      <c r="Z45" s="276" t="str">
        <f>IF(SUMPRODUCT((Matrice!$D$23:$D$100='Actions de maîtrise'!Z$5)*(Matrice!$T$21:$DP$21='Actions de maîtrise'!$C45)*(Matrice!$T$23:$DP$100="X"))=0,"",IF(SUMPRODUCT((Matrice!$D$23:$D$100='Actions de maîtrise'!Z$5)*(Matrice!$T$21:$DP$21='Actions de maîtrise'!$C45)*(Matrice!$T$23:$DP$100="X"))=1,"X","erreur"))</f>
        <v/>
      </c>
      <c r="AA45" s="276" t="str">
        <f>IF(SUMPRODUCT((Matrice!$D$23:$D$100='Actions de maîtrise'!AA$5)*(Matrice!$T$21:$DP$21='Actions de maîtrise'!$C45)*(Matrice!$T$23:$DP$100="X"))=0,"",IF(SUMPRODUCT((Matrice!$D$23:$D$100='Actions de maîtrise'!AA$5)*(Matrice!$T$21:$DP$21='Actions de maîtrise'!$C45)*(Matrice!$T$23:$DP$100="X"))=1,"X","erreur"))</f>
        <v/>
      </c>
      <c r="AB45" s="276" t="str">
        <f>IF(SUMPRODUCT((Matrice!$D$23:$D$100='Actions de maîtrise'!AB$5)*(Matrice!$T$21:$DP$21='Actions de maîtrise'!$C45)*(Matrice!$T$23:$DP$100="X"))=0,"",IF(SUMPRODUCT((Matrice!$D$23:$D$100='Actions de maîtrise'!AB$5)*(Matrice!$T$21:$DP$21='Actions de maîtrise'!$C45)*(Matrice!$T$23:$DP$100="X"))=1,"X","erreur"))</f>
        <v/>
      </c>
      <c r="AC45" s="276" t="str">
        <f>IF(SUMPRODUCT((Matrice!$D$23:$D$100='Actions de maîtrise'!AC$5)*(Matrice!$T$21:$DP$21='Actions de maîtrise'!$C45)*(Matrice!$T$23:$DP$100="X"))=0,"",IF(SUMPRODUCT((Matrice!$D$23:$D$100='Actions de maîtrise'!AC$5)*(Matrice!$T$21:$DP$21='Actions de maîtrise'!$C45)*(Matrice!$T$23:$DP$100="X"))=1,"X","erreur"))</f>
        <v/>
      </c>
      <c r="AD45" s="276" t="str">
        <f>IF(SUMPRODUCT((Matrice!$D$23:$D$100='Actions de maîtrise'!AD$5)*(Matrice!$T$21:$DP$21='Actions de maîtrise'!$C45)*(Matrice!$T$23:$DP$100="X"))=0,"",IF(SUMPRODUCT((Matrice!$D$23:$D$100='Actions de maîtrise'!AD$5)*(Matrice!$T$21:$DP$21='Actions de maîtrise'!$C45)*(Matrice!$T$23:$DP$100="X"))=1,"X","erreur"))</f>
        <v/>
      </c>
      <c r="AE45" s="276" t="str">
        <f>IF(SUMPRODUCT((Matrice!$D$23:$D$100='Actions de maîtrise'!AE$5)*(Matrice!$T$21:$DP$21='Actions de maîtrise'!$C45)*(Matrice!$T$23:$DP$100="X"))=0,"",IF(SUMPRODUCT((Matrice!$D$23:$D$100='Actions de maîtrise'!AE$5)*(Matrice!$T$21:$DP$21='Actions de maîtrise'!$C45)*(Matrice!$T$23:$DP$100="X"))=1,"X","erreur"))</f>
        <v/>
      </c>
      <c r="AF45" s="276" t="str">
        <f>IF(SUMPRODUCT((Matrice!$D$23:$D$100='Actions de maîtrise'!AF$5)*(Matrice!$T$21:$DP$21='Actions de maîtrise'!$C45)*(Matrice!$T$23:$DP$100="X"))=0,"",IF(SUMPRODUCT((Matrice!$D$23:$D$100='Actions de maîtrise'!AF$5)*(Matrice!$T$21:$DP$21='Actions de maîtrise'!$C45)*(Matrice!$T$23:$DP$100="X"))=1,"X","erreur"))</f>
        <v/>
      </c>
      <c r="AG45" s="276" t="str">
        <f>IF(SUMPRODUCT((Matrice!$D$23:$D$100='Actions de maîtrise'!AG$5)*(Matrice!$T$21:$DP$21='Actions de maîtrise'!$C45)*(Matrice!$T$23:$DP$100="X"))=0,"",IF(SUMPRODUCT((Matrice!$D$23:$D$100='Actions de maîtrise'!AG$5)*(Matrice!$T$21:$DP$21='Actions de maîtrise'!$C45)*(Matrice!$T$23:$DP$100="X"))=1,"X","erreur"))</f>
        <v/>
      </c>
    </row>
    <row r="46" spans="2:33" ht="18.75" x14ac:dyDescent="0.2">
      <c r="B46" s="309" t="str">
        <f>IF((COUNTIF(Matrice!$2:$2,Matrice!$G$1&amp;"-AM"&amp;Listes!A42)=1)=TRUE,Matrice!$G$1&amp;"-AM"&amp;Listes!A42,"")</f>
        <v/>
      </c>
      <c r="C46" s="178" t="str">
        <f>IF(IF(ISERROR(HLOOKUP(B46,Matrice!$A$2:$DP$100,20,FALSE)),"",HLOOKUP(B46,Matrice!$A$2:$DP$100,20,FALSE))="","",IF(ISERROR(HLOOKUP(B46,Matrice!$A$2:$DP$100,20,FALSE)),"-",HLOOKUP(B46,Matrice!$A$2:$DP$100,20,FALSE)))</f>
        <v/>
      </c>
      <c r="D46" s="179" t="str">
        <f>IF(IF(ISERROR(HLOOKUP(B46,Matrice!$A$2:$DP$100,3,FALSE)),"",HLOOKUP(B46,Matrice!$A$2:$DP$100,3,FALSE))="","",IF(ISERROR(HLOOKUP(B46,Matrice!$A$2:$DP$100,3,FALSE)),"-",HLOOKUP(B46,Matrice!$A$2:$DP$100,3,FALSE)))</f>
        <v/>
      </c>
      <c r="E46" s="305"/>
      <c r="F46" s="179" t="str">
        <f>IF(ISERROR(HLOOKUP($B46,Matrice!$A$2:$DP$100,4,FALSE)),"",IF(HLOOKUP($B46,Matrice!$A$2:$DP$100,4,FALSE)="","",HLOOKUP($B46,Matrice!$A$2:$DP$100,4,FALSE)))</f>
        <v/>
      </c>
      <c r="G46" s="179" t="str">
        <f>IF(ISERROR(HLOOKUP($B46,Matrice!$A$2:$DP$100,5,FALSE)),"",IF(HLOOKUP($B46,Matrice!$A$2:$DP$100,5,FALSE)="","",HLOOKUP($B46,Matrice!$A$2:$DP$100,5,FALSE)))</f>
        <v/>
      </c>
      <c r="H46" s="179" t="str">
        <f>IF(ISERROR(HLOOKUP($B46,Matrice!$A$2:$DP$100,6,FALSE)),"",IF(HLOOKUP($B46,Matrice!$A$2:$DP$100,6,FALSE)="","",HLOOKUP($B46,Matrice!$A$2:$DP$100,6,FALSE)))</f>
        <v/>
      </c>
      <c r="I46" s="179" t="str">
        <f>IF(ISERROR(HLOOKUP($B47,Matrice!$A$2:$DP$100,7,FALSE)),"",IF(HLOOKUP($B47,Matrice!$A$2:$DP$100,7,FALSE)="","",HLOOKUP($B47,Matrice!$A$2:$DP$100,7,FALSE)))</f>
        <v/>
      </c>
      <c r="J46" s="277" t="str">
        <f>IF(ISERROR(HLOOKUP($B46,Matrice!$A$2:$DP$100,12,FALSE)),"",IF(HLOOKUP($B46,Matrice!$A$2:$DP$100,12,FALSE)="","",HLOOKUP($B46,Matrice!$A$2:$DP$100,12,FALSE)))</f>
        <v/>
      </c>
      <c r="K46" s="277" t="str">
        <f>IF(ISERROR(HLOOKUP($B46,Matrice!$A$2:$DP$100,13,FALSE)),"",IF(HLOOKUP($B46,Matrice!$A$2:$DP$100,13,FALSE)="","",HLOOKUP($B46,Matrice!$A$2:$DP$100,13,FALSE)))</f>
        <v/>
      </c>
      <c r="L46" s="333" t="str">
        <f>IF(ISERROR(HLOOKUP($B46,Matrice!$A$2:$DP$100,9,FALSE)),"",IF(HLOOKUP($B46,Matrice!$A$2:$DP$100,9,FALSE)="","",HLOOKUP($B46,Matrice!$A$2:$DP$100,9,FALSE)))</f>
        <v/>
      </c>
      <c r="M46" s="333" t="str">
        <f>IF(ISERROR(HLOOKUP($B46,Matrice!$A$2:$DP$100,10,FALSE)),"",IF(HLOOKUP($B46,Matrice!$A$2:$DP$100,10,FALSE)="","",HLOOKUP($B46,Matrice!$A$2:$DP$100,10,FALSE)))</f>
        <v/>
      </c>
      <c r="N46" s="333" t="str">
        <f>IF(ISERROR(HLOOKUP($B46,Matrice!$A$2:$DP$100,11,FALSE)),"",IF(HLOOKUP($B46,Matrice!$A$2:$DP$100,11,FALSE)="","",HLOOKUP($B46,Matrice!$A$2:$DP$100,11,FALSE)))</f>
        <v/>
      </c>
      <c r="P46" s="276" t="str">
        <f>IF(SUMPRODUCT((Matrice!$D$23:$D$100='Actions de maîtrise'!P$5)*(Matrice!$T$21:$DP$21='Actions de maîtrise'!$C46)*(Matrice!$T$23:$DP$100="X"))=0,"",IF(SUMPRODUCT((Matrice!$D$23:$D$100='Actions de maîtrise'!P$5)*(Matrice!$T$21:$DP$21='Actions de maîtrise'!$C46)*(Matrice!$T$23:$DP$100="X"))=1,"X","erreur"))</f>
        <v/>
      </c>
      <c r="Q46" s="276" t="str">
        <f>IF(SUMPRODUCT((Matrice!$D$23:$D$100='Actions de maîtrise'!Q$5)*(Matrice!$T$21:$DP$21='Actions de maîtrise'!$C46)*(Matrice!$T$23:$DP$100="X"))=0,"",IF(SUMPRODUCT((Matrice!$D$23:$D$100='Actions de maîtrise'!Q$5)*(Matrice!$T$21:$DP$21='Actions de maîtrise'!$C46)*(Matrice!$T$23:$DP$100="X"))=1,"X","erreur"))</f>
        <v/>
      </c>
      <c r="R46" s="276" t="str">
        <f>IF(SUMPRODUCT((Matrice!$D$23:$D$100='Actions de maîtrise'!R$5)*(Matrice!$T$21:$DP$21='Actions de maîtrise'!$C46)*(Matrice!$T$23:$DP$100="X"))=0,"",IF(SUMPRODUCT((Matrice!$D$23:$D$100='Actions de maîtrise'!R$5)*(Matrice!$T$21:$DP$21='Actions de maîtrise'!$C46)*(Matrice!$T$23:$DP$100="X"))=1,"X","erreur"))</f>
        <v/>
      </c>
      <c r="S46" s="276" t="str">
        <f>IF(SUMPRODUCT((Matrice!$D$23:$D$100='Actions de maîtrise'!S$5)*(Matrice!$T$21:$DP$21='Actions de maîtrise'!$C46)*(Matrice!$T$23:$DP$100="X"))=0,"",IF(SUMPRODUCT((Matrice!$D$23:$D$100='Actions de maîtrise'!S$5)*(Matrice!$T$21:$DP$21='Actions de maîtrise'!$C46)*(Matrice!$T$23:$DP$100="X"))=1,"X","erreur"))</f>
        <v/>
      </c>
      <c r="T46" s="276" t="str">
        <f>IF(SUMPRODUCT((Matrice!$D$23:$D$100='Actions de maîtrise'!T$5)*(Matrice!$T$21:$DP$21='Actions de maîtrise'!$C46)*(Matrice!$T$23:$DP$100="X"))=0,"",IF(SUMPRODUCT((Matrice!$D$23:$D$100='Actions de maîtrise'!T$5)*(Matrice!$T$21:$DP$21='Actions de maîtrise'!$C46)*(Matrice!$T$23:$DP$100="X"))=1,"X","erreur"))</f>
        <v/>
      </c>
      <c r="U46" s="276" t="str">
        <f>IF(SUMPRODUCT((Matrice!$D$23:$D$100='Actions de maîtrise'!U$5)*(Matrice!$T$21:$DP$21='Actions de maîtrise'!$C46)*(Matrice!$T$23:$DP$100="X"))=0,"",IF(SUMPRODUCT((Matrice!$D$23:$D$100='Actions de maîtrise'!U$5)*(Matrice!$T$21:$DP$21='Actions de maîtrise'!$C46)*(Matrice!$T$23:$DP$100="X"))=1,"X","erreur"))</f>
        <v/>
      </c>
      <c r="V46" s="276" t="str">
        <f>IF(SUMPRODUCT((Matrice!$D$23:$D$100='Actions de maîtrise'!V$5)*(Matrice!$T$21:$DP$21='Actions de maîtrise'!$C46)*(Matrice!$T$23:$DP$100="X"))=0,"",IF(SUMPRODUCT((Matrice!$D$23:$D$100='Actions de maîtrise'!V$5)*(Matrice!$T$21:$DP$21='Actions de maîtrise'!$C46)*(Matrice!$T$23:$DP$100="X"))=1,"X","erreur"))</f>
        <v/>
      </c>
      <c r="W46" s="276" t="str">
        <f>IF(SUMPRODUCT((Matrice!$D$23:$D$100='Actions de maîtrise'!W$5)*(Matrice!$T$21:$DP$21='Actions de maîtrise'!$C46)*(Matrice!$T$23:$DP$100="X"))=0,"",IF(SUMPRODUCT((Matrice!$D$23:$D$100='Actions de maîtrise'!W$5)*(Matrice!$T$21:$DP$21='Actions de maîtrise'!$C46)*(Matrice!$T$23:$DP$100="X"))=1,"X","erreur"))</f>
        <v/>
      </c>
      <c r="X46" s="276" t="str">
        <f>IF(SUMPRODUCT((Matrice!$D$23:$D$100='Actions de maîtrise'!X$5)*(Matrice!$T$21:$DP$21='Actions de maîtrise'!$C46)*(Matrice!$T$23:$DP$100="X"))=0,"",IF(SUMPRODUCT((Matrice!$D$23:$D$100='Actions de maîtrise'!X$5)*(Matrice!$T$21:$DP$21='Actions de maîtrise'!$C46)*(Matrice!$T$23:$DP$100="X"))=1,"X","erreur"))</f>
        <v/>
      </c>
      <c r="Y46" s="276" t="str">
        <f>IF(SUMPRODUCT((Matrice!$D$23:$D$100='Actions de maîtrise'!Y$5)*(Matrice!$T$21:$DP$21='Actions de maîtrise'!$C46)*(Matrice!$T$23:$DP$100="X"))=0,"",IF(SUMPRODUCT((Matrice!$D$23:$D$100='Actions de maîtrise'!Y$5)*(Matrice!$T$21:$DP$21='Actions de maîtrise'!$C46)*(Matrice!$T$23:$DP$100="X"))=1,"X","erreur"))</f>
        <v/>
      </c>
      <c r="Z46" s="276" t="str">
        <f>IF(SUMPRODUCT((Matrice!$D$23:$D$100='Actions de maîtrise'!Z$5)*(Matrice!$T$21:$DP$21='Actions de maîtrise'!$C46)*(Matrice!$T$23:$DP$100="X"))=0,"",IF(SUMPRODUCT((Matrice!$D$23:$D$100='Actions de maîtrise'!Z$5)*(Matrice!$T$21:$DP$21='Actions de maîtrise'!$C46)*(Matrice!$T$23:$DP$100="X"))=1,"X","erreur"))</f>
        <v/>
      </c>
      <c r="AA46" s="276" t="str">
        <f>IF(SUMPRODUCT((Matrice!$D$23:$D$100='Actions de maîtrise'!AA$5)*(Matrice!$T$21:$DP$21='Actions de maîtrise'!$C46)*(Matrice!$T$23:$DP$100="X"))=0,"",IF(SUMPRODUCT((Matrice!$D$23:$D$100='Actions de maîtrise'!AA$5)*(Matrice!$T$21:$DP$21='Actions de maîtrise'!$C46)*(Matrice!$T$23:$DP$100="X"))=1,"X","erreur"))</f>
        <v/>
      </c>
      <c r="AB46" s="276" t="str">
        <f>IF(SUMPRODUCT((Matrice!$D$23:$D$100='Actions de maîtrise'!AB$5)*(Matrice!$T$21:$DP$21='Actions de maîtrise'!$C46)*(Matrice!$T$23:$DP$100="X"))=0,"",IF(SUMPRODUCT((Matrice!$D$23:$D$100='Actions de maîtrise'!AB$5)*(Matrice!$T$21:$DP$21='Actions de maîtrise'!$C46)*(Matrice!$T$23:$DP$100="X"))=1,"X","erreur"))</f>
        <v/>
      </c>
      <c r="AC46" s="276" t="str">
        <f>IF(SUMPRODUCT((Matrice!$D$23:$D$100='Actions de maîtrise'!AC$5)*(Matrice!$T$21:$DP$21='Actions de maîtrise'!$C46)*(Matrice!$T$23:$DP$100="X"))=0,"",IF(SUMPRODUCT((Matrice!$D$23:$D$100='Actions de maîtrise'!AC$5)*(Matrice!$T$21:$DP$21='Actions de maîtrise'!$C46)*(Matrice!$T$23:$DP$100="X"))=1,"X","erreur"))</f>
        <v/>
      </c>
      <c r="AD46" s="276" t="str">
        <f>IF(SUMPRODUCT((Matrice!$D$23:$D$100='Actions de maîtrise'!AD$5)*(Matrice!$T$21:$DP$21='Actions de maîtrise'!$C46)*(Matrice!$T$23:$DP$100="X"))=0,"",IF(SUMPRODUCT((Matrice!$D$23:$D$100='Actions de maîtrise'!AD$5)*(Matrice!$T$21:$DP$21='Actions de maîtrise'!$C46)*(Matrice!$T$23:$DP$100="X"))=1,"X","erreur"))</f>
        <v/>
      </c>
      <c r="AE46" s="276" t="str">
        <f>IF(SUMPRODUCT((Matrice!$D$23:$D$100='Actions de maîtrise'!AE$5)*(Matrice!$T$21:$DP$21='Actions de maîtrise'!$C46)*(Matrice!$T$23:$DP$100="X"))=0,"",IF(SUMPRODUCT((Matrice!$D$23:$D$100='Actions de maîtrise'!AE$5)*(Matrice!$T$21:$DP$21='Actions de maîtrise'!$C46)*(Matrice!$T$23:$DP$100="X"))=1,"X","erreur"))</f>
        <v/>
      </c>
      <c r="AF46" s="276" t="str">
        <f>IF(SUMPRODUCT((Matrice!$D$23:$D$100='Actions de maîtrise'!AF$5)*(Matrice!$T$21:$DP$21='Actions de maîtrise'!$C46)*(Matrice!$T$23:$DP$100="X"))=0,"",IF(SUMPRODUCT((Matrice!$D$23:$D$100='Actions de maîtrise'!AF$5)*(Matrice!$T$21:$DP$21='Actions de maîtrise'!$C46)*(Matrice!$T$23:$DP$100="X"))=1,"X","erreur"))</f>
        <v/>
      </c>
      <c r="AG46" s="276" t="str">
        <f>IF(SUMPRODUCT((Matrice!$D$23:$D$100='Actions de maîtrise'!AG$5)*(Matrice!$T$21:$DP$21='Actions de maîtrise'!$C46)*(Matrice!$T$23:$DP$100="X"))=0,"",IF(SUMPRODUCT((Matrice!$D$23:$D$100='Actions de maîtrise'!AG$5)*(Matrice!$T$21:$DP$21='Actions de maîtrise'!$C46)*(Matrice!$T$23:$DP$100="X"))=1,"X","erreur"))</f>
        <v/>
      </c>
    </row>
    <row r="47" spans="2:33" ht="18.75" x14ac:dyDescent="0.2">
      <c r="B47" s="309" t="str">
        <f>IF((COUNTIF(Matrice!$2:$2,Matrice!$G$1&amp;"-AM"&amp;Listes!A43)=1)=TRUE,Matrice!$G$1&amp;"-AM"&amp;Listes!A43,"")</f>
        <v/>
      </c>
      <c r="C47" s="178" t="str">
        <f>IF(IF(ISERROR(HLOOKUP(B47,Matrice!$A$2:$DP$100,20,FALSE)),"",HLOOKUP(B47,Matrice!$A$2:$DP$100,20,FALSE))="","",IF(ISERROR(HLOOKUP(B47,Matrice!$A$2:$DP$100,20,FALSE)),"-",HLOOKUP(B47,Matrice!$A$2:$DP$100,20,FALSE)))</f>
        <v/>
      </c>
      <c r="D47" s="179" t="str">
        <f>IF(IF(ISERROR(HLOOKUP(B47,Matrice!$A$2:$DP$100,3,FALSE)),"",HLOOKUP(B47,Matrice!$A$2:$DP$100,3,FALSE))="","",IF(ISERROR(HLOOKUP(B47,Matrice!$A$2:$DP$100,3,FALSE)),"-",HLOOKUP(B47,Matrice!$A$2:$DP$100,3,FALSE)))</f>
        <v/>
      </c>
      <c r="E47" s="305"/>
      <c r="F47" s="179" t="str">
        <f>IF(ISERROR(HLOOKUP($B47,Matrice!$A$2:$DP$100,4,FALSE)),"",IF(HLOOKUP($B47,Matrice!$A$2:$DP$100,4,FALSE)="","",HLOOKUP($B47,Matrice!$A$2:$DP$100,4,FALSE)))</f>
        <v/>
      </c>
      <c r="G47" s="179" t="str">
        <f>IF(ISERROR(HLOOKUP($B47,Matrice!$A$2:$DP$100,5,FALSE)),"",IF(HLOOKUP($B47,Matrice!$A$2:$DP$100,5,FALSE)="","",HLOOKUP($B47,Matrice!$A$2:$DP$100,5,FALSE)))</f>
        <v/>
      </c>
      <c r="H47" s="179" t="str">
        <f>IF(ISERROR(HLOOKUP($B47,Matrice!$A$2:$DP$100,6,FALSE)),"",IF(HLOOKUP($B47,Matrice!$A$2:$DP$100,6,FALSE)="","",HLOOKUP($B47,Matrice!$A$2:$DP$100,6,FALSE)))</f>
        <v/>
      </c>
      <c r="I47" s="179" t="str">
        <f>IF(ISERROR(HLOOKUP($B48,Matrice!$A$2:$DP$100,7,FALSE)),"",IF(HLOOKUP($B48,Matrice!$A$2:$DP$100,7,FALSE)="","",HLOOKUP($B48,Matrice!$A$2:$DP$100,7,FALSE)))</f>
        <v/>
      </c>
      <c r="J47" s="277" t="str">
        <f>IF(ISERROR(HLOOKUP($B47,Matrice!$A$2:$DP$100,12,FALSE)),"",IF(HLOOKUP($B47,Matrice!$A$2:$DP$100,12,FALSE)="","",HLOOKUP($B47,Matrice!$A$2:$DP$100,12,FALSE)))</f>
        <v/>
      </c>
      <c r="K47" s="277" t="str">
        <f>IF(ISERROR(HLOOKUP($B47,Matrice!$A$2:$DP$100,13,FALSE)),"",IF(HLOOKUP($B47,Matrice!$A$2:$DP$100,13,FALSE)="","",HLOOKUP($B47,Matrice!$A$2:$DP$100,13,FALSE)))</f>
        <v/>
      </c>
      <c r="L47" s="333" t="str">
        <f>IF(ISERROR(HLOOKUP($B47,Matrice!$A$2:$DP$100,9,FALSE)),"",IF(HLOOKUP($B47,Matrice!$A$2:$DP$100,9,FALSE)="","",HLOOKUP($B47,Matrice!$A$2:$DP$100,9,FALSE)))</f>
        <v/>
      </c>
      <c r="M47" s="333" t="str">
        <f>IF(ISERROR(HLOOKUP($B47,Matrice!$A$2:$DP$100,10,FALSE)),"",IF(HLOOKUP($B47,Matrice!$A$2:$DP$100,10,FALSE)="","",HLOOKUP($B47,Matrice!$A$2:$DP$100,10,FALSE)))</f>
        <v/>
      </c>
      <c r="N47" s="333" t="str">
        <f>IF(ISERROR(HLOOKUP($B47,Matrice!$A$2:$DP$100,11,FALSE)),"",IF(HLOOKUP($B47,Matrice!$A$2:$DP$100,11,FALSE)="","",HLOOKUP($B47,Matrice!$A$2:$DP$100,11,FALSE)))</f>
        <v/>
      </c>
      <c r="P47" s="276" t="str">
        <f>IF(SUMPRODUCT((Matrice!$D$23:$D$100='Actions de maîtrise'!P$5)*(Matrice!$T$21:$DP$21='Actions de maîtrise'!$C47)*(Matrice!$T$23:$DP$100="X"))=0,"",IF(SUMPRODUCT((Matrice!$D$23:$D$100='Actions de maîtrise'!P$5)*(Matrice!$T$21:$DP$21='Actions de maîtrise'!$C47)*(Matrice!$T$23:$DP$100="X"))=1,"X","erreur"))</f>
        <v/>
      </c>
      <c r="Q47" s="276" t="str">
        <f>IF(SUMPRODUCT((Matrice!$D$23:$D$100='Actions de maîtrise'!Q$5)*(Matrice!$T$21:$DP$21='Actions de maîtrise'!$C47)*(Matrice!$T$23:$DP$100="X"))=0,"",IF(SUMPRODUCT((Matrice!$D$23:$D$100='Actions de maîtrise'!Q$5)*(Matrice!$T$21:$DP$21='Actions de maîtrise'!$C47)*(Matrice!$T$23:$DP$100="X"))=1,"X","erreur"))</f>
        <v/>
      </c>
      <c r="R47" s="276" t="str">
        <f>IF(SUMPRODUCT((Matrice!$D$23:$D$100='Actions de maîtrise'!R$5)*(Matrice!$T$21:$DP$21='Actions de maîtrise'!$C47)*(Matrice!$T$23:$DP$100="X"))=0,"",IF(SUMPRODUCT((Matrice!$D$23:$D$100='Actions de maîtrise'!R$5)*(Matrice!$T$21:$DP$21='Actions de maîtrise'!$C47)*(Matrice!$T$23:$DP$100="X"))=1,"X","erreur"))</f>
        <v/>
      </c>
      <c r="S47" s="276" t="str">
        <f>IF(SUMPRODUCT((Matrice!$D$23:$D$100='Actions de maîtrise'!S$5)*(Matrice!$T$21:$DP$21='Actions de maîtrise'!$C47)*(Matrice!$T$23:$DP$100="X"))=0,"",IF(SUMPRODUCT((Matrice!$D$23:$D$100='Actions de maîtrise'!S$5)*(Matrice!$T$21:$DP$21='Actions de maîtrise'!$C47)*(Matrice!$T$23:$DP$100="X"))=1,"X","erreur"))</f>
        <v/>
      </c>
      <c r="T47" s="276" t="str">
        <f>IF(SUMPRODUCT((Matrice!$D$23:$D$100='Actions de maîtrise'!T$5)*(Matrice!$T$21:$DP$21='Actions de maîtrise'!$C47)*(Matrice!$T$23:$DP$100="X"))=0,"",IF(SUMPRODUCT((Matrice!$D$23:$D$100='Actions de maîtrise'!T$5)*(Matrice!$T$21:$DP$21='Actions de maîtrise'!$C47)*(Matrice!$T$23:$DP$100="X"))=1,"X","erreur"))</f>
        <v/>
      </c>
      <c r="U47" s="276" t="str">
        <f>IF(SUMPRODUCT((Matrice!$D$23:$D$100='Actions de maîtrise'!U$5)*(Matrice!$T$21:$DP$21='Actions de maîtrise'!$C47)*(Matrice!$T$23:$DP$100="X"))=0,"",IF(SUMPRODUCT((Matrice!$D$23:$D$100='Actions de maîtrise'!U$5)*(Matrice!$T$21:$DP$21='Actions de maîtrise'!$C47)*(Matrice!$T$23:$DP$100="X"))=1,"X","erreur"))</f>
        <v/>
      </c>
      <c r="V47" s="276" t="str">
        <f>IF(SUMPRODUCT((Matrice!$D$23:$D$100='Actions de maîtrise'!V$5)*(Matrice!$T$21:$DP$21='Actions de maîtrise'!$C47)*(Matrice!$T$23:$DP$100="X"))=0,"",IF(SUMPRODUCT((Matrice!$D$23:$D$100='Actions de maîtrise'!V$5)*(Matrice!$T$21:$DP$21='Actions de maîtrise'!$C47)*(Matrice!$T$23:$DP$100="X"))=1,"X","erreur"))</f>
        <v/>
      </c>
      <c r="W47" s="276" t="str">
        <f>IF(SUMPRODUCT((Matrice!$D$23:$D$100='Actions de maîtrise'!W$5)*(Matrice!$T$21:$DP$21='Actions de maîtrise'!$C47)*(Matrice!$T$23:$DP$100="X"))=0,"",IF(SUMPRODUCT((Matrice!$D$23:$D$100='Actions de maîtrise'!W$5)*(Matrice!$T$21:$DP$21='Actions de maîtrise'!$C47)*(Matrice!$T$23:$DP$100="X"))=1,"X","erreur"))</f>
        <v/>
      </c>
      <c r="X47" s="276" t="str">
        <f>IF(SUMPRODUCT((Matrice!$D$23:$D$100='Actions de maîtrise'!X$5)*(Matrice!$T$21:$DP$21='Actions de maîtrise'!$C47)*(Matrice!$T$23:$DP$100="X"))=0,"",IF(SUMPRODUCT((Matrice!$D$23:$D$100='Actions de maîtrise'!X$5)*(Matrice!$T$21:$DP$21='Actions de maîtrise'!$C47)*(Matrice!$T$23:$DP$100="X"))=1,"X","erreur"))</f>
        <v/>
      </c>
      <c r="Y47" s="276" t="str">
        <f>IF(SUMPRODUCT((Matrice!$D$23:$D$100='Actions de maîtrise'!Y$5)*(Matrice!$T$21:$DP$21='Actions de maîtrise'!$C47)*(Matrice!$T$23:$DP$100="X"))=0,"",IF(SUMPRODUCT((Matrice!$D$23:$D$100='Actions de maîtrise'!Y$5)*(Matrice!$T$21:$DP$21='Actions de maîtrise'!$C47)*(Matrice!$T$23:$DP$100="X"))=1,"X","erreur"))</f>
        <v/>
      </c>
      <c r="Z47" s="276" t="str">
        <f>IF(SUMPRODUCT((Matrice!$D$23:$D$100='Actions de maîtrise'!Z$5)*(Matrice!$T$21:$DP$21='Actions de maîtrise'!$C47)*(Matrice!$T$23:$DP$100="X"))=0,"",IF(SUMPRODUCT((Matrice!$D$23:$D$100='Actions de maîtrise'!Z$5)*(Matrice!$T$21:$DP$21='Actions de maîtrise'!$C47)*(Matrice!$T$23:$DP$100="X"))=1,"X","erreur"))</f>
        <v/>
      </c>
      <c r="AA47" s="276" t="str">
        <f>IF(SUMPRODUCT((Matrice!$D$23:$D$100='Actions de maîtrise'!AA$5)*(Matrice!$T$21:$DP$21='Actions de maîtrise'!$C47)*(Matrice!$T$23:$DP$100="X"))=0,"",IF(SUMPRODUCT((Matrice!$D$23:$D$100='Actions de maîtrise'!AA$5)*(Matrice!$T$21:$DP$21='Actions de maîtrise'!$C47)*(Matrice!$T$23:$DP$100="X"))=1,"X","erreur"))</f>
        <v/>
      </c>
      <c r="AB47" s="276" t="str">
        <f>IF(SUMPRODUCT((Matrice!$D$23:$D$100='Actions de maîtrise'!AB$5)*(Matrice!$T$21:$DP$21='Actions de maîtrise'!$C47)*(Matrice!$T$23:$DP$100="X"))=0,"",IF(SUMPRODUCT((Matrice!$D$23:$D$100='Actions de maîtrise'!AB$5)*(Matrice!$T$21:$DP$21='Actions de maîtrise'!$C47)*(Matrice!$T$23:$DP$100="X"))=1,"X","erreur"))</f>
        <v/>
      </c>
      <c r="AC47" s="276" t="str">
        <f>IF(SUMPRODUCT((Matrice!$D$23:$D$100='Actions de maîtrise'!AC$5)*(Matrice!$T$21:$DP$21='Actions de maîtrise'!$C47)*(Matrice!$T$23:$DP$100="X"))=0,"",IF(SUMPRODUCT((Matrice!$D$23:$D$100='Actions de maîtrise'!AC$5)*(Matrice!$T$21:$DP$21='Actions de maîtrise'!$C47)*(Matrice!$T$23:$DP$100="X"))=1,"X","erreur"))</f>
        <v/>
      </c>
      <c r="AD47" s="276" t="str">
        <f>IF(SUMPRODUCT((Matrice!$D$23:$D$100='Actions de maîtrise'!AD$5)*(Matrice!$T$21:$DP$21='Actions de maîtrise'!$C47)*(Matrice!$T$23:$DP$100="X"))=0,"",IF(SUMPRODUCT((Matrice!$D$23:$D$100='Actions de maîtrise'!AD$5)*(Matrice!$T$21:$DP$21='Actions de maîtrise'!$C47)*(Matrice!$T$23:$DP$100="X"))=1,"X","erreur"))</f>
        <v/>
      </c>
      <c r="AE47" s="276" t="str">
        <f>IF(SUMPRODUCT((Matrice!$D$23:$D$100='Actions de maîtrise'!AE$5)*(Matrice!$T$21:$DP$21='Actions de maîtrise'!$C47)*(Matrice!$T$23:$DP$100="X"))=0,"",IF(SUMPRODUCT((Matrice!$D$23:$D$100='Actions de maîtrise'!AE$5)*(Matrice!$T$21:$DP$21='Actions de maîtrise'!$C47)*(Matrice!$T$23:$DP$100="X"))=1,"X","erreur"))</f>
        <v/>
      </c>
      <c r="AF47" s="276" t="str">
        <f>IF(SUMPRODUCT((Matrice!$D$23:$D$100='Actions de maîtrise'!AF$5)*(Matrice!$T$21:$DP$21='Actions de maîtrise'!$C47)*(Matrice!$T$23:$DP$100="X"))=0,"",IF(SUMPRODUCT((Matrice!$D$23:$D$100='Actions de maîtrise'!AF$5)*(Matrice!$T$21:$DP$21='Actions de maîtrise'!$C47)*(Matrice!$T$23:$DP$100="X"))=1,"X","erreur"))</f>
        <v/>
      </c>
      <c r="AG47" s="276" t="str">
        <f>IF(SUMPRODUCT((Matrice!$D$23:$D$100='Actions de maîtrise'!AG$5)*(Matrice!$T$21:$DP$21='Actions de maîtrise'!$C47)*(Matrice!$T$23:$DP$100="X"))=0,"",IF(SUMPRODUCT((Matrice!$D$23:$D$100='Actions de maîtrise'!AG$5)*(Matrice!$T$21:$DP$21='Actions de maîtrise'!$C47)*(Matrice!$T$23:$DP$100="X"))=1,"X","erreur"))</f>
        <v/>
      </c>
    </row>
    <row r="48" spans="2:33" ht="18.75" x14ac:dyDescent="0.2">
      <c r="B48" s="309" t="str">
        <f>IF((COUNTIF(Matrice!$2:$2,Matrice!$G$1&amp;"-AM"&amp;Listes!A44)=1)=TRUE,Matrice!$G$1&amp;"-AM"&amp;Listes!A44,"")</f>
        <v/>
      </c>
      <c r="C48" s="178" t="str">
        <f>IF(IF(ISERROR(HLOOKUP(B48,Matrice!$A$2:$DP$100,20,FALSE)),"",HLOOKUP(B48,Matrice!$A$2:$DP$100,20,FALSE))="","",IF(ISERROR(HLOOKUP(B48,Matrice!$A$2:$DP$100,20,FALSE)),"-",HLOOKUP(B48,Matrice!$A$2:$DP$100,20,FALSE)))</f>
        <v/>
      </c>
      <c r="D48" s="179" t="str">
        <f>IF(IF(ISERROR(HLOOKUP(B48,Matrice!$A$2:$DP$100,3,FALSE)),"",HLOOKUP(B48,Matrice!$A$2:$DP$100,3,FALSE))="","",IF(ISERROR(HLOOKUP(B48,Matrice!$A$2:$DP$100,3,FALSE)),"-",HLOOKUP(B48,Matrice!$A$2:$DP$100,3,FALSE)))</f>
        <v/>
      </c>
      <c r="E48" s="305"/>
      <c r="F48" s="179" t="str">
        <f>IF(ISERROR(HLOOKUP($B48,Matrice!$A$2:$DP$100,4,FALSE)),"",IF(HLOOKUP($B48,Matrice!$A$2:$DP$100,4,FALSE)="","",HLOOKUP($B48,Matrice!$A$2:$DP$100,4,FALSE)))</f>
        <v/>
      </c>
      <c r="G48" s="179" t="str">
        <f>IF(ISERROR(HLOOKUP($B48,Matrice!$A$2:$DP$100,5,FALSE)),"",IF(HLOOKUP($B48,Matrice!$A$2:$DP$100,5,FALSE)="","",HLOOKUP($B48,Matrice!$A$2:$DP$100,5,FALSE)))</f>
        <v/>
      </c>
      <c r="H48" s="179" t="str">
        <f>IF(ISERROR(HLOOKUP($B48,Matrice!$A$2:$DP$100,6,FALSE)),"",IF(HLOOKUP($B48,Matrice!$A$2:$DP$100,6,FALSE)="","",HLOOKUP($B48,Matrice!$A$2:$DP$100,6,FALSE)))</f>
        <v/>
      </c>
      <c r="I48" s="179" t="str">
        <f>IF(ISERROR(HLOOKUP($B49,Matrice!$A$2:$DP$100,7,FALSE)),"",IF(HLOOKUP($B49,Matrice!$A$2:$DP$100,7,FALSE)="","",HLOOKUP($B49,Matrice!$A$2:$DP$100,7,FALSE)))</f>
        <v/>
      </c>
      <c r="J48" s="277" t="str">
        <f>IF(ISERROR(HLOOKUP($B48,Matrice!$A$2:$DP$100,12,FALSE)),"",IF(HLOOKUP($B48,Matrice!$A$2:$DP$100,12,FALSE)="","",HLOOKUP($B48,Matrice!$A$2:$DP$100,12,FALSE)))</f>
        <v/>
      </c>
      <c r="K48" s="277" t="str">
        <f>IF(ISERROR(HLOOKUP($B48,Matrice!$A$2:$DP$100,13,FALSE)),"",IF(HLOOKUP($B48,Matrice!$A$2:$DP$100,13,FALSE)="","",HLOOKUP($B48,Matrice!$A$2:$DP$100,13,FALSE)))</f>
        <v/>
      </c>
      <c r="L48" s="333" t="str">
        <f>IF(ISERROR(HLOOKUP($B48,Matrice!$A$2:$DP$100,9,FALSE)),"",IF(HLOOKUP($B48,Matrice!$A$2:$DP$100,9,FALSE)="","",HLOOKUP($B48,Matrice!$A$2:$DP$100,9,FALSE)))</f>
        <v/>
      </c>
      <c r="M48" s="333" t="str">
        <f>IF(ISERROR(HLOOKUP($B48,Matrice!$A$2:$DP$100,10,FALSE)),"",IF(HLOOKUP($B48,Matrice!$A$2:$DP$100,10,FALSE)="","",HLOOKUP($B48,Matrice!$A$2:$DP$100,10,FALSE)))</f>
        <v/>
      </c>
      <c r="N48" s="333" t="str">
        <f>IF(ISERROR(HLOOKUP($B48,Matrice!$A$2:$DP$100,11,FALSE)),"",IF(HLOOKUP($B48,Matrice!$A$2:$DP$100,11,FALSE)="","",HLOOKUP($B48,Matrice!$A$2:$DP$100,11,FALSE)))</f>
        <v/>
      </c>
      <c r="P48" s="276" t="str">
        <f>IF(SUMPRODUCT((Matrice!$D$23:$D$100='Actions de maîtrise'!P$5)*(Matrice!$T$21:$DP$21='Actions de maîtrise'!$C48)*(Matrice!$T$23:$DP$100="X"))=0,"",IF(SUMPRODUCT((Matrice!$D$23:$D$100='Actions de maîtrise'!P$5)*(Matrice!$T$21:$DP$21='Actions de maîtrise'!$C48)*(Matrice!$T$23:$DP$100="X"))=1,"X","erreur"))</f>
        <v/>
      </c>
      <c r="Q48" s="276" t="str">
        <f>IF(SUMPRODUCT((Matrice!$D$23:$D$100='Actions de maîtrise'!Q$5)*(Matrice!$T$21:$DP$21='Actions de maîtrise'!$C48)*(Matrice!$T$23:$DP$100="X"))=0,"",IF(SUMPRODUCT((Matrice!$D$23:$D$100='Actions de maîtrise'!Q$5)*(Matrice!$T$21:$DP$21='Actions de maîtrise'!$C48)*(Matrice!$T$23:$DP$100="X"))=1,"X","erreur"))</f>
        <v/>
      </c>
      <c r="R48" s="276" t="str">
        <f>IF(SUMPRODUCT((Matrice!$D$23:$D$100='Actions de maîtrise'!R$5)*(Matrice!$T$21:$DP$21='Actions de maîtrise'!$C48)*(Matrice!$T$23:$DP$100="X"))=0,"",IF(SUMPRODUCT((Matrice!$D$23:$D$100='Actions de maîtrise'!R$5)*(Matrice!$T$21:$DP$21='Actions de maîtrise'!$C48)*(Matrice!$T$23:$DP$100="X"))=1,"X","erreur"))</f>
        <v/>
      </c>
      <c r="S48" s="276" t="str">
        <f>IF(SUMPRODUCT((Matrice!$D$23:$D$100='Actions de maîtrise'!S$5)*(Matrice!$T$21:$DP$21='Actions de maîtrise'!$C48)*(Matrice!$T$23:$DP$100="X"))=0,"",IF(SUMPRODUCT((Matrice!$D$23:$D$100='Actions de maîtrise'!S$5)*(Matrice!$T$21:$DP$21='Actions de maîtrise'!$C48)*(Matrice!$T$23:$DP$100="X"))=1,"X","erreur"))</f>
        <v/>
      </c>
      <c r="T48" s="276" t="str">
        <f>IF(SUMPRODUCT((Matrice!$D$23:$D$100='Actions de maîtrise'!T$5)*(Matrice!$T$21:$DP$21='Actions de maîtrise'!$C48)*(Matrice!$T$23:$DP$100="X"))=0,"",IF(SUMPRODUCT((Matrice!$D$23:$D$100='Actions de maîtrise'!T$5)*(Matrice!$T$21:$DP$21='Actions de maîtrise'!$C48)*(Matrice!$T$23:$DP$100="X"))=1,"X","erreur"))</f>
        <v/>
      </c>
      <c r="U48" s="276" t="str">
        <f>IF(SUMPRODUCT((Matrice!$D$23:$D$100='Actions de maîtrise'!U$5)*(Matrice!$T$21:$DP$21='Actions de maîtrise'!$C48)*(Matrice!$T$23:$DP$100="X"))=0,"",IF(SUMPRODUCT((Matrice!$D$23:$D$100='Actions de maîtrise'!U$5)*(Matrice!$T$21:$DP$21='Actions de maîtrise'!$C48)*(Matrice!$T$23:$DP$100="X"))=1,"X","erreur"))</f>
        <v/>
      </c>
      <c r="V48" s="276" t="str">
        <f>IF(SUMPRODUCT((Matrice!$D$23:$D$100='Actions de maîtrise'!V$5)*(Matrice!$T$21:$DP$21='Actions de maîtrise'!$C48)*(Matrice!$T$23:$DP$100="X"))=0,"",IF(SUMPRODUCT((Matrice!$D$23:$D$100='Actions de maîtrise'!V$5)*(Matrice!$T$21:$DP$21='Actions de maîtrise'!$C48)*(Matrice!$T$23:$DP$100="X"))=1,"X","erreur"))</f>
        <v/>
      </c>
      <c r="W48" s="276" t="str">
        <f>IF(SUMPRODUCT((Matrice!$D$23:$D$100='Actions de maîtrise'!W$5)*(Matrice!$T$21:$DP$21='Actions de maîtrise'!$C48)*(Matrice!$T$23:$DP$100="X"))=0,"",IF(SUMPRODUCT((Matrice!$D$23:$D$100='Actions de maîtrise'!W$5)*(Matrice!$T$21:$DP$21='Actions de maîtrise'!$C48)*(Matrice!$T$23:$DP$100="X"))=1,"X","erreur"))</f>
        <v/>
      </c>
      <c r="X48" s="276" t="str">
        <f>IF(SUMPRODUCT((Matrice!$D$23:$D$100='Actions de maîtrise'!X$5)*(Matrice!$T$21:$DP$21='Actions de maîtrise'!$C48)*(Matrice!$T$23:$DP$100="X"))=0,"",IF(SUMPRODUCT((Matrice!$D$23:$D$100='Actions de maîtrise'!X$5)*(Matrice!$T$21:$DP$21='Actions de maîtrise'!$C48)*(Matrice!$T$23:$DP$100="X"))=1,"X","erreur"))</f>
        <v/>
      </c>
      <c r="Y48" s="276" t="str">
        <f>IF(SUMPRODUCT((Matrice!$D$23:$D$100='Actions de maîtrise'!Y$5)*(Matrice!$T$21:$DP$21='Actions de maîtrise'!$C48)*(Matrice!$T$23:$DP$100="X"))=0,"",IF(SUMPRODUCT((Matrice!$D$23:$D$100='Actions de maîtrise'!Y$5)*(Matrice!$T$21:$DP$21='Actions de maîtrise'!$C48)*(Matrice!$T$23:$DP$100="X"))=1,"X","erreur"))</f>
        <v/>
      </c>
      <c r="Z48" s="276" t="str">
        <f>IF(SUMPRODUCT((Matrice!$D$23:$D$100='Actions de maîtrise'!Z$5)*(Matrice!$T$21:$DP$21='Actions de maîtrise'!$C48)*(Matrice!$T$23:$DP$100="X"))=0,"",IF(SUMPRODUCT((Matrice!$D$23:$D$100='Actions de maîtrise'!Z$5)*(Matrice!$T$21:$DP$21='Actions de maîtrise'!$C48)*(Matrice!$T$23:$DP$100="X"))=1,"X","erreur"))</f>
        <v/>
      </c>
      <c r="AA48" s="276" t="str">
        <f>IF(SUMPRODUCT((Matrice!$D$23:$D$100='Actions de maîtrise'!AA$5)*(Matrice!$T$21:$DP$21='Actions de maîtrise'!$C48)*(Matrice!$T$23:$DP$100="X"))=0,"",IF(SUMPRODUCT((Matrice!$D$23:$D$100='Actions de maîtrise'!AA$5)*(Matrice!$T$21:$DP$21='Actions de maîtrise'!$C48)*(Matrice!$T$23:$DP$100="X"))=1,"X","erreur"))</f>
        <v/>
      </c>
      <c r="AB48" s="276" t="str">
        <f>IF(SUMPRODUCT((Matrice!$D$23:$D$100='Actions de maîtrise'!AB$5)*(Matrice!$T$21:$DP$21='Actions de maîtrise'!$C48)*(Matrice!$T$23:$DP$100="X"))=0,"",IF(SUMPRODUCT((Matrice!$D$23:$D$100='Actions de maîtrise'!AB$5)*(Matrice!$T$21:$DP$21='Actions de maîtrise'!$C48)*(Matrice!$T$23:$DP$100="X"))=1,"X","erreur"))</f>
        <v/>
      </c>
      <c r="AC48" s="276" t="str">
        <f>IF(SUMPRODUCT((Matrice!$D$23:$D$100='Actions de maîtrise'!AC$5)*(Matrice!$T$21:$DP$21='Actions de maîtrise'!$C48)*(Matrice!$T$23:$DP$100="X"))=0,"",IF(SUMPRODUCT((Matrice!$D$23:$D$100='Actions de maîtrise'!AC$5)*(Matrice!$T$21:$DP$21='Actions de maîtrise'!$C48)*(Matrice!$T$23:$DP$100="X"))=1,"X","erreur"))</f>
        <v/>
      </c>
      <c r="AD48" s="276" t="str">
        <f>IF(SUMPRODUCT((Matrice!$D$23:$D$100='Actions de maîtrise'!AD$5)*(Matrice!$T$21:$DP$21='Actions de maîtrise'!$C48)*(Matrice!$T$23:$DP$100="X"))=0,"",IF(SUMPRODUCT((Matrice!$D$23:$D$100='Actions de maîtrise'!AD$5)*(Matrice!$T$21:$DP$21='Actions de maîtrise'!$C48)*(Matrice!$T$23:$DP$100="X"))=1,"X","erreur"))</f>
        <v/>
      </c>
      <c r="AE48" s="276" t="str">
        <f>IF(SUMPRODUCT((Matrice!$D$23:$D$100='Actions de maîtrise'!AE$5)*(Matrice!$T$21:$DP$21='Actions de maîtrise'!$C48)*(Matrice!$T$23:$DP$100="X"))=0,"",IF(SUMPRODUCT((Matrice!$D$23:$D$100='Actions de maîtrise'!AE$5)*(Matrice!$T$21:$DP$21='Actions de maîtrise'!$C48)*(Matrice!$T$23:$DP$100="X"))=1,"X","erreur"))</f>
        <v/>
      </c>
      <c r="AF48" s="276" t="str">
        <f>IF(SUMPRODUCT((Matrice!$D$23:$D$100='Actions de maîtrise'!AF$5)*(Matrice!$T$21:$DP$21='Actions de maîtrise'!$C48)*(Matrice!$T$23:$DP$100="X"))=0,"",IF(SUMPRODUCT((Matrice!$D$23:$D$100='Actions de maîtrise'!AF$5)*(Matrice!$T$21:$DP$21='Actions de maîtrise'!$C48)*(Matrice!$T$23:$DP$100="X"))=1,"X","erreur"))</f>
        <v/>
      </c>
      <c r="AG48" s="276" t="str">
        <f>IF(SUMPRODUCT((Matrice!$D$23:$D$100='Actions de maîtrise'!AG$5)*(Matrice!$T$21:$DP$21='Actions de maîtrise'!$C48)*(Matrice!$T$23:$DP$100="X"))=0,"",IF(SUMPRODUCT((Matrice!$D$23:$D$100='Actions de maîtrise'!AG$5)*(Matrice!$T$21:$DP$21='Actions de maîtrise'!$C48)*(Matrice!$T$23:$DP$100="X"))=1,"X","erreur"))</f>
        <v/>
      </c>
    </row>
    <row r="49" spans="2:33" ht="18.75" x14ac:dyDescent="0.2">
      <c r="B49" s="309" t="str">
        <f>IF((COUNTIF(Matrice!$2:$2,Matrice!$G$1&amp;"-AM"&amp;Listes!A45)=1)=TRUE,Matrice!$G$1&amp;"-AM"&amp;Listes!A45,"")</f>
        <v/>
      </c>
      <c r="C49" s="178" t="str">
        <f>IF(IF(ISERROR(HLOOKUP(B49,Matrice!$A$2:$DP$100,20,FALSE)),"",HLOOKUP(B49,Matrice!$A$2:$DP$100,20,FALSE))="","",IF(ISERROR(HLOOKUP(B49,Matrice!$A$2:$DP$100,20,FALSE)),"-",HLOOKUP(B49,Matrice!$A$2:$DP$100,20,FALSE)))</f>
        <v/>
      </c>
      <c r="D49" s="179" t="str">
        <f>IF(IF(ISERROR(HLOOKUP(B49,Matrice!$A$2:$DP$100,3,FALSE)),"",HLOOKUP(B49,Matrice!$A$2:$DP$100,3,FALSE))="","",IF(ISERROR(HLOOKUP(B49,Matrice!$A$2:$DP$100,3,FALSE)),"-",HLOOKUP(B49,Matrice!$A$2:$DP$100,3,FALSE)))</f>
        <v/>
      </c>
      <c r="E49" s="305"/>
      <c r="F49" s="179" t="str">
        <f>IF(ISERROR(HLOOKUP($B49,Matrice!$A$2:$DP$100,4,FALSE)),"",IF(HLOOKUP($B49,Matrice!$A$2:$DP$100,4,FALSE)="","",HLOOKUP($B49,Matrice!$A$2:$DP$100,4,FALSE)))</f>
        <v/>
      </c>
      <c r="G49" s="179" t="str">
        <f>IF(ISERROR(HLOOKUP($B49,Matrice!$A$2:$DP$100,5,FALSE)),"",IF(HLOOKUP($B49,Matrice!$A$2:$DP$100,5,FALSE)="","",HLOOKUP($B49,Matrice!$A$2:$DP$100,5,FALSE)))</f>
        <v/>
      </c>
      <c r="H49" s="179" t="str">
        <f>IF(ISERROR(HLOOKUP($B49,Matrice!$A$2:$DP$100,6,FALSE)),"",IF(HLOOKUP($B49,Matrice!$A$2:$DP$100,6,FALSE)="","",HLOOKUP($B49,Matrice!$A$2:$DP$100,6,FALSE)))</f>
        <v/>
      </c>
      <c r="I49" s="179" t="str">
        <f>IF(ISERROR(HLOOKUP($B50,Matrice!$A$2:$DP$100,7,FALSE)),"",IF(HLOOKUP($B50,Matrice!$A$2:$DP$100,7,FALSE)="","",HLOOKUP($B50,Matrice!$A$2:$DP$100,7,FALSE)))</f>
        <v/>
      </c>
      <c r="J49" s="277" t="str">
        <f>IF(ISERROR(HLOOKUP($B49,Matrice!$A$2:$DP$100,12,FALSE)),"",IF(HLOOKUP($B49,Matrice!$A$2:$DP$100,12,FALSE)="","",HLOOKUP($B49,Matrice!$A$2:$DP$100,12,FALSE)))</f>
        <v/>
      </c>
      <c r="K49" s="277" t="str">
        <f>IF(ISERROR(HLOOKUP($B49,Matrice!$A$2:$DP$100,13,FALSE)),"",IF(HLOOKUP($B49,Matrice!$A$2:$DP$100,13,FALSE)="","",HLOOKUP($B49,Matrice!$A$2:$DP$100,13,FALSE)))</f>
        <v/>
      </c>
      <c r="L49" s="333" t="str">
        <f>IF(ISERROR(HLOOKUP($B49,Matrice!$A$2:$DP$100,9,FALSE)),"",IF(HLOOKUP($B49,Matrice!$A$2:$DP$100,9,FALSE)="","",HLOOKUP($B49,Matrice!$A$2:$DP$100,9,FALSE)))</f>
        <v/>
      </c>
      <c r="M49" s="333" t="str">
        <f>IF(ISERROR(HLOOKUP($B49,Matrice!$A$2:$DP$100,10,FALSE)),"",IF(HLOOKUP($B49,Matrice!$A$2:$DP$100,10,FALSE)="","",HLOOKUP($B49,Matrice!$A$2:$DP$100,10,FALSE)))</f>
        <v/>
      </c>
      <c r="N49" s="333" t="str">
        <f>IF(ISERROR(HLOOKUP($B49,Matrice!$A$2:$DP$100,11,FALSE)),"",IF(HLOOKUP($B49,Matrice!$A$2:$DP$100,11,FALSE)="","",HLOOKUP($B49,Matrice!$A$2:$DP$100,11,FALSE)))</f>
        <v/>
      </c>
      <c r="P49" s="276" t="str">
        <f>IF(SUMPRODUCT((Matrice!$D$23:$D$100='Actions de maîtrise'!P$5)*(Matrice!$T$21:$DP$21='Actions de maîtrise'!$C49)*(Matrice!$T$23:$DP$100="X"))=0,"",IF(SUMPRODUCT((Matrice!$D$23:$D$100='Actions de maîtrise'!P$5)*(Matrice!$T$21:$DP$21='Actions de maîtrise'!$C49)*(Matrice!$T$23:$DP$100="X"))=1,"X","erreur"))</f>
        <v/>
      </c>
      <c r="Q49" s="276" t="str">
        <f>IF(SUMPRODUCT((Matrice!$D$23:$D$100='Actions de maîtrise'!Q$5)*(Matrice!$T$21:$DP$21='Actions de maîtrise'!$C49)*(Matrice!$T$23:$DP$100="X"))=0,"",IF(SUMPRODUCT((Matrice!$D$23:$D$100='Actions de maîtrise'!Q$5)*(Matrice!$T$21:$DP$21='Actions de maîtrise'!$C49)*(Matrice!$T$23:$DP$100="X"))=1,"X","erreur"))</f>
        <v/>
      </c>
      <c r="R49" s="276" t="str">
        <f>IF(SUMPRODUCT((Matrice!$D$23:$D$100='Actions de maîtrise'!R$5)*(Matrice!$T$21:$DP$21='Actions de maîtrise'!$C49)*(Matrice!$T$23:$DP$100="X"))=0,"",IF(SUMPRODUCT((Matrice!$D$23:$D$100='Actions de maîtrise'!R$5)*(Matrice!$T$21:$DP$21='Actions de maîtrise'!$C49)*(Matrice!$T$23:$DP$100="X"))=1,"X","erreur"))</f>
        <v/>
      </c>
      <c r="S49" s="276" t="str">
        <f>IF(SUMPRODUCT((Matrice!$D$23:$D$100='Actions de maîtrise'!S$5)*(Matrice!$T$21:$DP$21='Actions de maîtrise'!$C49)*(Matrice!$T$23:$DP$100="X"))=0,"",IF(SUMPRODUCT((Matrice!$D$23:$D$100='Actions de maîtrise'!S$5)*(Matrice!$T$21:$DP$21='Actions de maîtrise'!$C49)*(Matrice!$T$23:$DP$100="X"))=1,"X","erreur"))</f>
        <v/>
      </c>
      <c r="T49" s="276" t="str">
        <f>IF(SUMPRODUCT((Matrice!$D$23:$D$100='Actions de maîtrise'!T$5)*(Matrice!$T$21:$DP$21='Actions de maîtrise'!$C49)*(Matrice!$T$23:$DP$100="X"))=0,"",IF(SUMPRODUCT((Matrice!$D$23:$D$100='Actions de maîtrise'!T$5)*(Matrice!$T$21:$DP$21='Actions de maîtrise'!$C49)*(Matrice!$T$23:$DP$100="X"))=1,"X","erreur"))</f>
        <v/>
      </c>
      <c r="U49" s="276" t="str">
        <f>IF(SUMPRODUCT((Matrice!$D$23:$D$100='Actions de maîtrise'!U$5)*(Matrice!$T$21:$DP$21='Actions de maîtrise'!$C49)*(Matrice!$T$23:$DP$100="X"))=0,"",IF(SUMPRODUCT((Matrice!$D$23:$D$100='Actions de maîtrise'!U$5)*(Matrice!$T$21:$DP$21='Actions de maîtrise'!$C49)*(Matrice!$T$23:$DP$100="X"))=1,"X","erreur"))</f>
        <v/>
      </c>
      <c r="V49" s="276" t="str">
        <f>IF(SUMPRODUCT((Matrice!$D$23:$D$100='Actions de maîtrise'!V$5)*(Matrice!$T$21:$DP$21='Actions de maîtrise'!$C49)*(Matrice!$T$23:$DP$100="X"))=0,"",IF(SUMPRODUCT((Matrice!$D$23:$D$100='Actions de maîtrise'!V$5)*(Matrice!$T$21:$DP$21='Actions de maîtrise'!$C49)*(Matrice!$T$23:$DP$100="X"))=1,"X","erreur"))</f>
        <v/>
      </c>
      <c r="W49" s="276" t="str">
        <f>IF(SUMPRODUCT((Matrice!$D$23:$D$100='Actions de maîtrise'!W$5)*(Matrice!$T$21:$DP$21='Actions de maîtrise'!$C49)*(Matrice!$T$23:$DP$100="X"))=0,"",IF(SUMPRODUCT((Matrice!$D$23:$D$100='Actions de maîtrise'!W$5)*(Matrice!$T$21:$DP$21='Actions de maîtrise'!$C49)*(Matrice!$T$23:$DP$100="X"))=1,"X","erreur"))</f>
        <v/>
      </c>
      <c r="X49" s="276" t="str">
        <f>IF(SUMPRODUCT((Matrice!$D$23:$D$100='Actions de maîtrise'!X$5)*(Matrice!$T$21:$DP$21='Actions de maîtrise'!$C49)*(Matrice!$T$23:$DP$100="X"))=0,"",IF(SUMPRODUCT((Matrice!$D$23:$D$100='Actions de maîtrise'!X$5)*(Matrice!$T$21:$DP$21='Actions de maîtrise'!$C49)*(Matrice!$T$23:$DP$100="X"))=1,"X","erreur"))</f>
        <v/>
      </c>
      <c r="Y49" s="276" t="str">
        <f>IF(SUMPRODUCT((Matrice!$D$23:$D$100='Actions de maîtrise'!Y$5)*(Matrice!$T$21:$DP$21='Actions de maîtrise'!$C49)*(Matrice!$T$23:$DP$100="X"))=0,"",IF(SUMPRODUCT((Matrice!$D$23:$D$100='Actions de maîtrise'!Y$5)*(Matrice!$T$21:$DP$21='Actions de maîtrise'!$C49)*(Matrice!$T$23:$DP$100="X"))=1,"X","erreur"))</f>
        <v/>
      </c>
      <c r="Z49" s="276" t="str">
        <f>IF(SUMPRODUCT((Matrice!$D$23:$D$100='Actions de maîtrise'!Z$5)*(Matrice!$T$21:$DP$21='Actions de maîtrise'!$C49)*(Matrice!$T$23:$DP$100="X"))=0,"",IF(SUMPRODUCT((Matrice!$D$23:$D$100='Actions de maîtrise'!Z$5)*(Matrice!$T$21:$DP$21='Actions de maîtrise'!$C49)*(Matrice!$T$23:$DP$100="X"))=1,"X","erreur"))</f>
        <v/>
      </c>
      <c r="AA49" s="276" t="str">
        <f>IF(SUMPRODUCT((Matrice!$D$23:$D$100='Actions de maîtrise'!AA$5)*(Matrice!$T$21:$DP$21='Actions de maîtrise'!$C49)*(Matrice!$T$23:$DP$100="X"))=0,"",IF(SUMPRODUCT((Matrice!$D$23:$D$100='Actions de maîtrise'!AA$5)*(Matrice!$T$21:$DP$21='Actions de maîtrise'!$C49)*(Matrice!$T$23:$DP$100="X"))=1,"X","erreur"))</f>
        <v/>
      </c>
      <c r="AB49" s="276" t="str">
        <f>IF(SUMPRODUCT((Matrice!$D$23:$D$100='Actions de maîtrise'!AB$5)*(Matrice!$T$21:$DP$21='Actions de maîtrise'!$C49)*(Matrice!$T$23:$DP$100="X"))=0,"",IF(SUMPRODUCT((Matrice!$D$23:$D$100='Actions de maîtrise'!AB$5)*(Matrice!$T$21:$DP$21='Actions de maîtrise'!$C49)*(Matrice!$T$23:$DP$100="X"))=1,"X","erreur"))</f>
        <v/>
      </c>
      <c r="AC49" s="276" t="str">
        <f>IF(SUMPRODUCT((Matrice!$D$23:$D$100='Actions de maîtrise'!AC$5)*(Matrice!$T$21:$DP$21='Actions de maîtrise'!$C49)*(Matrice!$T$23:$DP$100="X"))=0,"",IF(SUMPRODUCT((Matrice!$D$23:$D$100='Actions de maîtrise'!AC$5)*(Matrice!$T$21:$DP$21='Actions de maîtrise'!$C49)*(Matrice!$T$23:$DP$100="X"))=1,"X","erreur"))</f>
        <v/>
      </c>
      <c r="AD49" s="276" t="str">
        <f>IF(SUMPRODUCT((Matrice!$D$23:$D$100='Actions de maîtrise'!AD$5)*(Matrice!$T$21:$DP$21='Actions de maîtrise'!$C49)*(Matrice!$T$23:$DP$100="X"))=0,"",IF(SUMPRODUCT((Matrice!$D$23:$D$100='Actions de maîtrise'!AD$5)*(Matrice!$T$21:$DP$21='Actions de maîtrise'!$C49)*(Matrice!$T$23:$DP$100="X"))=1,"X","erreur"))</f>
        <v/>
      </c>
      <c r="AE49" s="276" t="str">
        <f>IF(SUMPRODUCT((Matrice!$D$23:$D$100='Actions de maîtrise'!AE$5)*(Matrice!$T$21:$DP$21='Actions de maîtrise'!$C49)*(Matrice!$T$23:$DP$100="X"))=0,"",IF(SUMPRODUCT((Matrice!$D$23:$D$100='Actions de maîtrise'!AE$5)*(Matrice!$T$21:$DP$21='Actions de maîtrise'!$C49)*(Matrice!$T$23:$DP$100="X"))=1,"X","erreur"))</f>
        <v/>
      </c>
      <c r="AF49" s="276" t="str">
        <f>IF(SUMPRODUCT((Matrice!$D$23:$D$100='Actions de maîtrise'!AF$5)*(Matrice!$T$21:$DP$21='Actions de maîtrise'!$C49)*(Matrice!$T$23:$DP$100="X"))=0,"",IF(SUMPRODUCT((Matrice!$D$23:$D$100='Actions de maîtrise'!AF$5)*(Matrice!$T$21:$DP$21='Actions de maîtrise'!$C49)*(Matrice!$T$23:$DP$100="X"))=1,"X","erreur"))</f>
        <v/>
      </c>
      <c r="AG49" s="276" t="str">
        <f>IF(SUMPRODUCT((Matrice!$D$23:$D$100='Actions de maîtrise'!AG$5)*(Matrice!$T$21:$DP$21='Actions de maîtrise'!$C49)*(Matrice!$T$23:$DP$100="X"))=0,"",IF(SUMPRODUCT((Matrice!$D$23:$D$100='Actions de maîtrise'!AG$5)*(Matrice!$T$21:$DP$21='Actions de maîtrise'!$C49)*(Matrice!$T$23:$DP$100="X"))=1,"X","erreur"))</f>
        <v/>
      </c>
    </row>
    <row r="50" spans="2:33" ht="18.75" x14ac:dyDescent="0.2">
      <c r="B50" s="309" t="str">
        <f>IF((COUNTIF(Matrice!$2:$2,Matrice!$G$1&amp;"-AM"&amp;Listes!A46)=1)=TRUE,Matrice!$G$1&amp;"-AM"&amp;Listes!A46,"")</f>
        <v/>
      </c>
      <c r="C50" s="178" t="str">
        <f>IF(IF(ISERROR(HLOOKUP(B50,Matrice!$A$2:$DP$100,20,FALSE)),"",HLOOKUP(B50,Matrice!$A$2:$DP$100,20,FALSE))="","",IF(ISERROR(HLOOKUP(B50,Matrice!$A$2:$DP$100,20,FALSE)),"-",HLOOKUP(B50,Matrice!$A$2:$DP$100,20,FALSE)))</f>
        <v/>
      </c>
      <c r="D50" s="179" t="str">
        <f>IF(IF(ISERROR(HLOOKUP(B50,Matrice!$A$2:$DP$100,3,FALSE)),"",HLOOKUP(B50,Matrice!$A$2:$DP$100,3,FALSE))="","",IF(ISERROR(HLOOKUP(B50,Matrice!$A$2:$DP$100,3,FALSE)),"-",HLOOKUP(B50,Matrice!$A$2:$DP$100,3,FALSE)))</f>
        <v/>
      </c>
      <c r="E50" s="305"/>
      <c r="F50" s="179" t="str">
        <f>IF(ISERROR(HLOOKUP($B50,Matrice!$A$2:$DP$100,4,FALSE)),"",IF(HLOOKUP($B50,Matrice!$A$2:$DP$100,4,FALSE)="","",HLOOKUP($B50,Matrice!$A$2:$DP$100,4,FALSE)))</f>
        <v/>
      </c>
      <c r="G50" s="179" t="str">
        <f>IF(ISERROR(HLOOKUP($B50,Matrice!$A$2:$DP$100,5,FALSE)),"",IF(HLOOKUP($B50,Matrice!$A$2:$DP$100,5,FALSE)="","",HLOOKUP($B50,Matrice!$A$2:$DP$100,5,FALSE)))</f>
        <v/>
      </c>
      <c r="H50" s="179" t="str">
        <f>IF(ISERROR(HLOOKUP($B50,Matrice!$A$2:$DP$100,6,FALSE)),"",IF(HLOOKUP($B50,Matrice!$A$2:$DP$100,6,FALSE)="","",HLOOKUP($B50,Matrice!$A$2:$DP$100,6,FALSE)))</f>
        <v/>
      </c>
      <c r="I50" s="179" t="str">
        <f>IF(ISERROR(HLOOKUP($B51,Matrice!$A$2:$DP$100,7,FALSE)),"",IF(HLOOKUP($B51,Matrice!$A$2:$DP$100,7,FALSE)="","",HLOOKUP($B51,Matrice!$A$2:$DP$100,7,FALSE)))</f>
        <v/>
      </c>
      <c r="J50" s="277" t="str">
        <f>IF(ISERROR(HLOOKUP($B50,Matrice!$A$2:$DP$100,12,FALSE)),"",IF(HLOOKUP($B50,Matrice!$A$2:$DP$100,12,FALSE)="","",HLOOKUP($B50,Matrice!$A$2:$DP$100,12,FALSE)))</f>
        <v/>
      </c>
      <c r="K50" s="277" t="str">
        <f>IF(ISERROR(HLOOKUP($B50,Matrice!$A$2:$DP$100,13,FALSE)),"",IF(HLOOKUP($B50,Matrice!$A$2:$DP$100,13,FALSE)="","",HLOOKUP($B50,Matrice!$A$2:$DP$100,13,FALSE)))</f>
        <v/>
      </c>
      <c r="L50" s="333" t="str">
        <f>IF(ISERROR(HLOOKUP($B50,Matrice!$A$2:$DP$100,9,FALSE)),"",IF(HLOOKUP($B50,Matrice!$A$2:$DP$100,9,FALSE)="","",HLOOKUP($B50,Matrice!$A$2:$DP$100,9,FALSE)))</f>
        <v/>
      </c>
      <c r="M50" s="333" t="str">
        <f>IF(ISERROR(HLOOKUP($B50,Matrice!$A$2:$DP$100,10,FALSE)),"",IF(HLOOKUP($B50,Matrice!$A$2:$DP$100,10,FALSE)="","",HLOOKUP($B50,Matrice!$A$2:$DP$100,10,FALSE)))</f>
        <v/>
      </c>
      <c r="N50" s="333" t="str">
        <f>IF(ISERROR(HLOOKUP($B50,Matrice!$A$2:$DP$100,11,FALSE)),"",IF(HLOOKUP($B50,Matrice!$A$2:$DP$100,11,FALSE)="","",HLOOKUP($B50,Matrice!$A$2:$DP$100,11,FALSE)))</f>
        <v/>
      </c>
      <c r="P50" s="276" t="str">
        <f>IF(SUMPRODUCT((Matrice!$D$23:$D$100='Actions de maîtrise'!P$5)*(Matrice!$T$21:$DP$21='Actions de maîtrise'!$C50)*(Matrice!$T$23:$DP$100="X"))=0,"",IF(SUMPRODUCT((Matrice!$D$23:$D$100='Actions de maîtrise'!P$5)*(Matrice!$T$21:$DP$21='Actions de maîtrise'!$C50)*(Matrice!$T$23:$DP$100="X"))=1,"X","erreur"))</f>
        <v/>
      </c>
      <c r="Q50" s="276" t="str">
        <f>IF(SUMPRODUCT((Matrice!$D$23:$D$100='Actions de maîtrise'!Q$5)*(Matrice!$T$21:$DP$21='Actions de maîtrise'!$C50)*(Matrice!$T$23:$DP$100="X"))=0,"",IF(SUMPRODUCT((Matrice!$D$23:$D$100='Actions de maîtrise'!Q$5)*(Matrice!$T$21:$DP$21='Actions de maîtrise'!$C50)*(Matrice!$T$23:$DP$100="X"))=1,"X","erreur"))</f>
        <v/>
      </c>
      <c r="R50" s="276" t="str">
        <f>IF(SUMPRODUCT((Matrice!$D$23:$D$100='Actions de maîtrise'!R$5)*(Matrice!$T$21:$DP$21='Actions de maîtrise'!$C50)*(Matrice!$T$23:$DP$100="X"))=0,"",IF(SUMPRODUCT((Matrice!$D$23:$D$100='Actions de maîtrise'!R$5)*(Matrice!$T$21:$DP$21='Actions de maîtrise'!$C50)*(Matrice!$T$23:$DP$100="X"))=1,"X","erreur"))</f>
        <v/>
      </c>
      <c r="S50" s="276" t="str">
        <f>IF(SUMPRODUCT((Matrice!$D$23:$D$100='Actions de maîtrise'!S$5)*(Matrice!$T$21:$DP$21='Actions de maîtrise'!$C50)*(Matrice!$T$23:$DP$100="X"))=0,"",IF(SUMPRODUCT((Matrice!$D$23:$D$100='Actions de maîtrise'!S$5)*(Matrice!$T$21:$DP$21='Actions de maîtrise'!$C50)*(Matrice!$T$23:$DP$100="X"))=1,"X","erreur"))</f>
        <v/>
      </c>
      <c r="T50" s="276" t="str">
        <f>IF(SUMPRODUCT((Matrice!$D$23:$D$100='Actions de maîtrise'!T$5)*(Matrice!$T$21:$DP$21='Actions de maîtrise'!$C50)*(Matrice!$T$23:$DP$100="X"))=0,"",IF(SUMPRODUCT((Matrice!$D$23:$D$100='Actions de maîtrise'!T$5)*(Matrice!$T$21:$DP$21='Actions de maîtrise'!$C50)*(Matrice!$T$23:$DP$100="X"))=1,"X","erreur"))</f>
        <v/>
      </c>
      <c r="U50" s="276" t="str">
        <f>IF(SUMPRODUCT((Matrice!$D$23:$D$100='Actions de maîtrise'!U$5)*(Matrice!$T$21:$DP$21='Actions de maîtrise'!$C50)*(Matrice!$T$23:$DP$100="X"))=0,"",IF(SUMPRODUCT((Matrice!$D$23:$D$100='Actions de maîtrise'!U$5)*(Matrice!$T$21:$DP$21='Actions de maîtrise'!$C50)*(Matrice!$T$23:$DP$100="X"))=1,"X","erreur"))</f>
        <v/>
      </c>
      <c r="V50" s="276" t="str">
        <f>IF(SUMPRODUCT((Matrice!$D$23:$D$100='Actions de maîtrise'!V$5)*(Matrice!$T$21:$DP$21='Actions de maîtrise'!$C50)*(Matrice!$T$23:$DP$100="X"))=0,"",IF(SUMPRODUCT((Matrice!$D$23:$D$100='Actions de maîtrise'!V$5)*(Matrice!$T$21:$DP$21='Actions de maîtrise'!$C50)*(Matrice!$T$23:$DP$100="X"))=1,"X","erreur"))</f>
        <v/>
      </c>
      <c r="W50" s="276" t="str">
        <f>IF(SUMPRODUCT((Matrice!$D$23:$D$100='Actions de maîtrise'!W$5)*(Matrice!$T$21:$DP$21='Actions de maîtrise'!$C50)*(Matrice!$T$23:$DP$100="X"))=0,"",IF(SUMPRODUCT((Matrice!$D$23:$D$100='Actions de maîtrise'!W$5)*(Matrice!$T$21:$DP$21='Actions de maîtrise'!$C50)*(Matrice!$T$23:$DP$100="X"))=1,"X","erreur"))</f>
        <v/>
      </c>
      <c r="X50" s="276" t="str">
        <f>IF(SUMPRODUCT((Matrice!$D$23:$D$100='Actions de maîtrise'!X$5)*(Matrice!$T$21:$DP$21='Actions de maîtrise'!$C50)*(Matrice!$T$23:$DP$100="X"))=0,"",IF(SUMPRODUCT((Matrice!$D$23:$D$100='Actions de maîtrise'!X$5)*(Matrice!$T$21:$DP$21='Actions de maîtrise'!$C50)*(Matrice!$T$23:$DP$100="X"))=1,"X","erreur"))</f>
        <v/>
      </c>
      <c r="Y50" s="276" t="str">
        <f>IF(SUMPRODUCT((Matrice!$D$23:$D$100='Actions de maîtrise'!Y$5)*(Matrice!$T$21:$DP$21='Actions de maîtrise'!$C50)*(Matrice!$T$23:$DP$100="X"))=0,"",IF(SUMPRODUCT((Matrice!$D$23:$D$100='Actions de maîtrise'!Y$5)*(Matrice!$T$21:$DP$21='Actions de maîtrise'!$C50)*(Matrice!$T$23:$DP$100="X"))=1,"X","erreur"))</f>
        <v/>
      </c>
      <c r="Z50" s="276" t="str">
        <f>IF(SUMPRODUCT((Matrice!$D$23:$D$100='Actions de maîtrise'!Z$5)*(Matrice!$T$21:$DP$21='Actions de maîtrise'!$C50)*(Matrice!$T$23:$DP$100="X"))=0,"",IF(SUMPRODUCT((Matrice!$D$23:$D$100='Actions de maîtrise'!Z$5)*(Matrice!$T$21:$DP$21='Actions de maîtrise'!$C50)*(Matrice!$T$23:$DP$100="X"))=1,"X","erreur"))</f>
        <v/>
      </c>
      <c r="AA50" s="276" t="str">
        <f>IF(SUMPRODUCT((Matrice!$D$23:$D$100='Actions de maîtrise'!AA$5)*(Matrice!$T$21:$DP$21='Actions de maîtrise'!$C50)*(Matrice!$T$23:$DP$100="X"))=0,"",IF(SUMPRODUCT((Matrice!$D$23:$D$100='Actions de maîtrise'!AA$5)*(Matrice!$T$21:$DP$21='Actions de maîtrise'!$C50)*(Matrice!$T$23:$DP$100="X"))=1,"X","erreur"))</f>
        <v/>
      </c>
      <c r="AB50" s="276" t="str">
        <f>IF(SUMPRODUCT((Matrice!$D$23:$D$100='Actions de maîtrise'!AB$5)*(Matrice!$T$21:$DP$21='Actions de maîtrise'!$C50)*(Matrice!$T$23:$DP$100="X"))=0,"",IF(SUMPRODUCT((Matrice!$D$23:$D$100='Actions de maîtrise'!AB$5)*(Matrice!$T$21:$DP$21='Actions de maîtrise'!$C50)*(Matrice!$T$23:$DP$100="X"))=1,"X","erreur"))</f>
        <v/>
      </c>
      <c r="AC50" s="276" t="str">
        <f>IF(SUMPRODUCT((Matrice!$D$23:$D$100='Actions de maîtrise'!AC$5)*(Matrice!$T$21:$DP$21='Actions de maîtrise'!$C50)*(Matrice!$T$23:$DP$100="X"))=0,"",IF(SUMPRODUCT((Matrice!$D$23:$D$100='Actions de maîtrise'!AC$5)*(Matrice!$T$21:$DP$21='Actions de maîtrise'!$C50)*(Matrice!$T$23:$DP$100="X"))=1,"X","erreur"))</f>
        <v/>
      </c>
      <c r="AD50" s="276" t="str">
        <f>IF(SUMPRODUCT((Matrice!$D$23:$D$100='Actions de maîtrise'!AD$5)*(Matrice!$T$21:$DP$21='Actions de maîtrise'!$C50)*(Matrice!$T$23:$DP$100="X"))=0,"",IF(SUMPRODUCT((Matrice!$D$23:$D$100='Actions de maîtrise'!AD$5)*(Matrice!$T$21:$DP$21='Actions de maîtrise'!$C50)*(Matrice!$T$23:$DP$100="X"))=1,"X","erreur"))</f>
        <v/>
      </c>
      <c r="AE50" s="276" t="str">
        <f>IF(SUMPRODUCT((Matrice!$D$23:$D$100='Actions de maîtrise'!AE$5)*(Matrice!$T$21:$DP$21='Actions de maîtrise'!$C50)*(Matrice!$T$23:$DP$100="X"))=0,"",IF(SUMPRODUCT((Matrice!$D$23:$D$100='Actions de maîtrise'!AE$5)*(Matrice!$T$21:$DP$21='Actions de maîtrise'!$C50)*(Matrice!$T$23:$DP$100="X"))=1,"X","erreur"))</f>
        <v/>
      </c>
      <c r="AF50" s="276" t="str">
        <f>IF(SUMPRODUCT((Matrice!$D$23:$D$100='Actions de maîtrise'!AF$5)*(Matrice!$T$21:$DP$21='Actions de maîtrise'!$C50)*(Matrice!$T$23:$DP$100="X"))=0,"",IF(SUMPRODUCT((Matrice!$D$23:$D$100='Actions de maîtrise'!AF$5)*(Matrice!$T$21:$DP$21='Actions de maîtrise'!$C50)*(Matrice!$T$23:$DP$100="X"))=1,"X","erreur"))</f>
        <v/>
      </c>
      <c r="AG50" s="276" t="str">
        <f>IF(SUMPRODUCT((Matrice!$D$23:$D$100='Actions de maîtrise'!AG$5)*(Matrice!$T$21:$DP$21='Actions de maîtrise'!$C50)*(Matrice!$T$23:$DP$100="X"))=0,"",IF(SUMPRODUCT((Matrice!$D$23:$D$100='Actions de maîtrise'!AG$5)*(Matrice!$T$21:$DP$21='Actions de maîtrise'!$C50)*(Matrice!$T$23:$DP$100="X"))=1,"X","erreur"))</f>
        <v/>
      </c>
    </row>
    <row r="51" spans="2:33" ht="18.75" x14ac:dyDescent="0.2">
      <c r="B51" s="309" t="str">
        <f>IF((COUNTIF(Matrice!$2:$2,Matrice!$G$1&amp;"-AM"&amp;Listes!A47)=1)=TRUE,Matrice!$G$1&amp;"-AM"&amp;Listes!A47,"")</f>
        <v/>
      </c>
      <c r="C51" s="178" t="str">
        <f>IF(IF(ISERROR(HLOOKUP(B51,Matrice!$A$2:$DP$100,20,FALSE)),"",HLOOKUP(B51,Matrice!$A$2:$DP$100,20,FALSE))="","",IF(ISERROR(HLOOKUP(B51,Matrice!$A$2:$DP$100,20,FALSE)),"-",HLOOKUP(B51,Matrice!$A$2:$DP$100,20,FALSE)))</f>
        <v/>
      </c>
      <c r="D51" s="179" t="str">
        <f>IF(IF(ISERROR(HLOOKUP(B51,Matrice!$A$2:$DP$100,3,FALSE)),"",HLOOKUP(B51,Matrice!$A$2:$DP$100,3,FALSE))="","",IF(ISERROR(HLOOKUP(B51,Matrice!$A$2:$DP$100,3,FALSE)),"-",HLOOKUP(B51,Matrice!$A$2:$DP$100,3,FALSE)))</f>
        <v/>
      </c>
      <c r="E51" s="305"/>
      <c r="F51" s="179" t="str">
        <f>IF(ISERROR(HLOOKUP($B51,Matrice!$A$2:$DP$100,4,FALSE)),"",IF(HLOOKUP($B51,Matrice!$A$2:$DP$100,4,FALSE)="","",HLOOKUP($B51,Matrice!$A$2:$DP$100,4,FALSE)))</f>
        <v/>
      </c>
      <c r="G51" s="179" t="str">
        <f>IF(ISERROR(HLOOKUP($B51,Matrice!$A$2:$DP$100,5,FALSE)),"",IF(HLOOKUP($B51,Matrice!$A$2:$DP$100,5,FALSE)="","",HLOOKUP($B51,Matrice!$A$2:$DP$100,5,FALSE)))</f>
        <v/>
      </c>
      <c r="H51" s="179" t="str">
        <f>IF(ISERROR(HLOOKUP($B51,Matrice!$A$2:$DP$100,6,FALSE)),"",IF(HLOOKUP($B51,Matrice!$A$2:$DP$100,6,FALSE)="","",HLOOKUP($B51,Matrice!$A$2:$DP$100,6,FALSE)))</f>
        <v/>
      </c>
      <c r="I51" s="179" t="str">
        <f>IF(ISERROR(HLOOKUP($B52,Matrice!$A$2:$DP$100,7,FALSE)),"",IF(HLOOKUP($B52,Matrice!$A$2:$DP$100,7,FALSE)="","",HLOOKUP($B52,Matrice!$A$2:$DP$100,7,FALSE)))</f>
        <v/>
      </c>
      <c r="J51" s="277" t="str">
        <f>IF(ISERROR(HLOOKUP($B51,Matrice!$A$2:$DP$100,12,FALSE)),"",IF(HLOOKUP($B51,Matrice!$A$2:$DP$100,12,FALSE)="","",HLOOKUP($B51,Matrice!$A$2:$DP$100,12,FALSE)))</f>
        <v/>
      </c>
      <c r="K51" s="277" t="str">
        <f>IF(ISERROR(HLOOKUP($B51,Matrice!$A$2:$DP$100,13,FALSE)),"",IF(HLOOKUP($B51,Matrice!$A$2:$DP$100,13,FALSE)="","",HLOOKUP($B51,Matrice!$A$2:$DP$100,13,FALSE)))</f>
        <v/>
      </c>
      <c r="L51" s="333" t="str">
        <f>IF(ISERROR(HLOOKUP($B51,Matrice!$A$2:$DP$100,9,FALSE)),"",IF(HLOOKUP($B51,Matrice!$A$2:$DP$100,9,FALSE)="","",HLOOKUP($B51,Matrice!$A$2:$DP$100,9,FALSE)))</f>
        <v/>
      </c>
      <c r="M51" s="333" t="str">
        <f>IF(ISERROR(HLOOKUP($B51,Matrice!$A$2:$DP$100,10,FALSE)),"",IF(HLOOKUP($B51,Matrice!$A$2:$DP$100,10,FALSE)="","",HLOOKUP($B51,Matrice!$A$2:$DP$100,10,FALSE)))</f>
        <v/>
      </c>
      <c r="N51" s="333" t="str">
        <f>IF(ISERROR(HLOOKUP($B51,Matrice!$A$2:$DP$100,11,FALSE)),"",IF(HLOOKUP($B51,Matrice!$A$2:$DP$100,11,FALSE)="","",HLOOKUP($B51,Matrice!$A$2:$DP$100,11,FALSE)))</f>
        <v/>
      </c>
      <c r="P51" s="276" t="str">
        <f>IF(SUMPRODUCT((Matrice!$D$23:$D$100='Actions de maîtrise'!P$5)*(Matrice!$T$21:$DP$21='Actions de maîtrise'!$C51)*(Matrice!$T$23:$DP$100="X"))=0,"",IF(SUMPRODUCT((Matrice!$D$23:$D$100='Actions de maîtrise'!P$5)*(Matrice!$T$21:$DP$21='Actions de maîtrise'!$C51)*(Matrice!$T$23:$DP$100="X"))=1,"X","erreur"))</f>
        <v/>
      </c>
      <c r="Q51" s="276" t="str">
        <f>IF(SUMPRODUCT((Matrice!$D$23:$D$100='Actions de maîtrise'!Q$5)*(Matrice!$T$21:$DP$21='Actions de maîtrise'!$C51)*(Matrice!$T$23:$DP$100="X"))=0,"",IF(SUMPRODUCT((Matrice!$D$23:$D$100='Actions de maîtrise'!Q$5)*(Matrice!$T$21:$DP$21='Actions de maîtrise'!$C51)*(Matrice!$T$23:$DP$100="X"))=1,"X","erreur"))</f>
        <v/>
      </c>
      <c r="R51" s="276" t="str">
        <f>IF(SUMPRODUCT((Matrice!$D$23:$D$100='Actions de maîtrise'!R$5)*(Matrice!$T$21:$DP$21='Actions de maîtrise'!$C51)*(Matrice!$T$23:$DP$100="X"))=0,"",IF(SUMPRODUCT((Matrice!$D$23:$D$100='Actions de maîtrise'!R$5)*(Matrice!$T$21:$DP$21='Actions de maîtrise'!$C51)*(Matrice!$T$23:$DP$100="X"))=1,"X","erreur"))</f>
        <v/>
      </c>
      <c r="S51" s="276" t="str">
        <f>IF(SUMPRODUCT((Matrice!$D$23:$D$100='Actions de maîtrise'!S$5)*(Matrice!$T$21:$DP$21='Actions de maîtrise'!$C51)*(Matrice!$T$23:$DP$100="X"))=0,"",IF(SUMPRODUCT((Matrice!$D$23:$D$100='Actions de maîtrise'!S$5)*(Matrice!$T$21:$DP$21='Actions de maîtrise'!$C51)*(Matrice!$T$23:$DP$100="X"))=1,"X","erreur"))</f>
        <v/>
      </c>
      <c r="T51" s="276" t="str">
        <f>IF(SUMPRODUCT((Matrice!$D$23:$D$100='Actions de maîtrise'!T$5)*(Matrice!$T$21:$DP$21='Actions de maîtrise'!$C51)*(Matrice!$T$23:$DP$100="X"))=0,"",IF(SUMPRODUCT((Matrice!$D$23:$D$100='Actions de maîtrise'!T$5)*(Matrice!$T$21:$DP$21='Actions de maîtrise'!$C51)*(Matrice!$T$23:$DP$100="X"))=1,"X","erreur"))</f>
        <v/>
      </c>
      <c r="U51" s="276" t="str">
        <f>IF(SUMPRODUCT((Matrice!$D$23:$D$100='Actions de maîtrise'!U$5)*(Matrice!$T$21:$DP$21='Actions de maîtrise'!$C51)*(Matrice!$T$23:$DP$100="X"))=0,"",IF(SUMPRODUCT((Matrice!$D$23:$D$100='Actions de maîtrise'!U$5)*(Matrice!$T$21:$DP$21='Actions de maîtrise'!$C51)*(Matrice!$T$23:$DP$100="X"))=1,"X","erreur"))</f>
        <v/>
      </c>
      <c r="V51" s="276" t="str">
        <f>IF(SUMPRODUCT((Matrice!$D$23:$D$100='Actions de maîtrise'!V$5)*(Matrice!$T$21:$DP$21='Actions de maîtrise'!$C51)*(Matrice!$T$23:$DP$100="X"))=0,"",IF(SUMPRODUCT((Matrice!$D$23:$D$100='Actions de maîtrise'!V$5)*(Matrice!$T$21:$DP$21='Actions de maîtrise'!$C51)*(Matrice!$T$23:$DP$100="X"))=1,"X","erreur"))</f>
        <v/>
      </c>
      <c r="W51" s="276" t="str">
        <f>IF(SUMPRODUCT((Matrice!$D$23:$D$100='Actions de maîtrise'!W$5)*(Matrice!$T$21:$DP$21='Actions de maîtrise'!$C51)*(Matrice!$T$23:$DP$100="X"))=0,"",IF(SUMPRODUCT((Matrice!$D$23:$D$100='Actions de maîtrise'!W$5)*(Matrice!$T$21:$DP$21='Actions de maîtrise'!$C51)*(Matrice!$T$23:$DP$100="X"))=1,"X","erreur"))</f>
        <v/>
      </c>
      <c r="X51" s="276" t="str">
        <f>IF(SUMPRODUCT((Matrice!$D$23:$D$100='Actions de maîtrise'!X$5)*(Matrice!$T$21:$DP$21='Actions de maîtrise'!$C51)*(Matrice!$T$23:$DP$100="X"))=0,"",IF(SUMPRODUCT((Matrice!$D$23:$D$100='Actions de maîtrise'!X$5)*(Matrice!$T$21:$DP$21='Actions de maîtrise'!$C51)*(Matrice!$T$23:$DP$100="X"))=1,"X","erreur"))</f>
        <v/>
      </c>
      <c r="Y51" s="276" t="str">
        <f>IF(SUMPRODUCT((Matrice!$D$23:$D$100='Actions de maîtrise'!Y$5)*(Matrice!$T$21:$DP$21='Actions de maîtrise'!$C51)*(Matrice!$T$23:$DP$100="X"))=0,"",IF(SUMPRODUCT((Matrice!$D$23:$D$100='Actions de maîtrise'!Y$5)*(Matrice!$T$21:$DP$21='Actions de maîtrise'!$C51)*(Matrice!$T$23:$DP$100="X"))=1,"X","erreur"))</f>
        <v/>
      </c>
      <c r="Z51" s="276" t="str">
        <f>IF(SUMPRODUCT((Matrice!$D$23:$D$100='Actions de maîtrise'!Z$5)*(Matrice!$T$21:$DP$21='Actions de maîtrise'!$C51)*(Matrice!$T$23:$DP$100="X"))=0,"",IF(SUMPRODUCT((Matrice!$D$23:$D$100='Actions de maîtrise'!Z$5)*(Matrice!$T$21:$DP$21='Actions de maîtrise'!$C51)*(Matrice!$T$23:$DP$100="X"))=1,"X","erreur"))</f>
        <v/>
      </c>
      <c r="AA51" s="276" t="str">
        <f>IF(SUMPRODUCT((Matrice!$D$23:$D$100='Actions de maîtrise'!AA$5)*(Matrice!$T$21:$DP$21='Actions de maîtrise'!$C51)*(Matrice!$T$23:$DP$100="X"))=0,"",IF(SUMPRODUCT((Matrice!$D$23:$D$100='Actions de maîtrise'!AA$5)*(Matrice!$T$21:$DP$21='Actions de maîtrise'!$C51)*(Matrice!$T$23:$DP$100="X"))=1,"X","erreur"))</f>
        <v/>
      </c>
      <c r="AB51" s="276" t="str">
        <f>IF(SUMPRODUCT((Matrice!$D$23:$D$100='Actions de maîtrise'!AB$5)*(Matrice!$T$21:$DP$21='Actions de maîtrise'!$C51)*(Matrice!$T$23:$DP$100="X"))=0,"",IF(SUMPRODUCT((Matrice!$D$23:$D$100='Actions de maîtrise'!AB$5)*(Matrice!$T$21:$DP$21='Actions de maîtrise'!$C51)*(Matrice!$T$23:$DP$100="X"))=1,"X","erreur"))</f>
        <v/>
      </c>
      <c r="AC51" s="276" t="str">
        <f>IF(SUMPRODUCT((Matrice!$D$23:$D$100='Actions de maîtrise'!AC$5)*(Matrice!$T$21:$DP$21='Actions de maîtrise'!$C51)*(Matrice!$T$23:$DP$100="X"))=0,"",IF(SUMPRODUCT((Matrice!$D$23:$D$100='Actions de maîtrise'!AC$5)*(Matrice!$T$21:$DP$21='Actions de maîtrise'!$C51)*(Matrice!$T$23:$DP$100="X"))=1,"X","erreur"))</f>
        <v/>
      </c>
      <c r="AD51" s="276" t="str">
        <f>IF(SUMPRODUCT((Matrice!$D$23:$D$100='Actions de maîtrise'!AD$5)*(Matrice!$T$21:$DP$21='Actions de maîtrise'!$C51)*(Matrice!$T$23:$DP$100="X"))=0,"",IF(SUMPRODUCT((Matrice!$D$23:$D$100='Actions de maîtrise'!AD$5)*(Matrice!$T$21:$DP$21='Actions de maîtrise'!$C51)*(Matrice!$T$23:$DP$100="X"))=1,"X","erreur"))</f>
        <v/>
      </c>
      <c r="AE51" s="276" t="str">
        <f>IF(SUMPRODUCT((Matrice!$D$23:$D$100='Actions de maîtrise'!AE$5)*(Matrice!$T$21:$DP$21='Actions de maîtrise'!$C51)*(Matrice!$T$23:$DP$100="X"))=0,"",IF(SUMPRODUCT((Matrice!$D$23:$D$100='Actions de maîtrise'!AE$5)*(Matrice!$T$21:$DP$21='Actions de maîtrise'!$C51)*(Matrice!$T$23:$DP$100="X"))=1,"X","erreur"))</f>
        <v/>
      </c>
      <c r="AF51" s="276" t="str">
        <f>IF(SUMPRODUCT((Matrice!$D$23:$D$100='Actions de maîtrise'!AF$5)*(Matrice!$T$21:$DP$21='Actions de maîtrise'!$C51)*(Matrice!$T$23:$DP$100="X"))=0,"",IF(SUMPRODUCT((Matrice!$D$23:$D$100='Actions de maîtrise'!AF$5)*(Matrice!$T$21:$DP$21='Actions de maîtrise'!$C51)*(Matrice!$T$23:$DP$100="X"))=1,"X","erreur"))</f>
        <v/>
      </c>
      <c r="AG51" s="276" t="str">
        <f>IF(SUMPRODUCT((Matrice!$D$23:$D$100='Actions de maîtrise'!AG$5)*(Matrice!$T$21:$DP$21='Actions de maîtrise'!$C51)*(Matrice!$T$23:$DP$100="X"))=0,"",IF(SUMPRODUCT((Matrice!$D$23:$D$100='Actions de maîtrise'!AG$5)*(Matrice!$T$21:$DP$21='Actions de maîtrise'!$C51)*(Matrice!$T$23:$DP$100="X"))=1,"X","erreur"))</f>
        <v/>
      </c>
    </row>
    <row r="52" spans="2:33" ht="18.75" x14ac:dyDescent="0.2">
      <c r="B52" s="309" t="str">
        <f>IF((COUNTIF(Matrice!$2:$2,Matrice!$G$1&amp;"-AM"&amp;Listes!A48)=1)=TRUE,Matrice!$G$1&amp;"-AM"&amp;Listes!A48,"")</f>
        <v/>
      </c>
      <c r="C52" s="178" t="str">
        <f>IF(IF(ISERROR(HLOOKUP(B52,Matrice!$A$2:$DP$100,20,FALSE)),"",HLOOKUP(B52,Matrice!$A$2:$DP$100,20,FALSE))="","",IF(ISERROR(HLOOKUP(B52,Matrice!$A$2:$DP$100,20,FALSE)),"-",HLOOKUP(B52,Matrice!$A$2:$DP$100,20,FALSE)))</f>
        <v/>
      </c>
      <c r="D52" s="179" t="str">
        <f>IF(IF(ISERROR(HLOOKUP(B52,Matrice!$A$2:$DP$100,3,FALSE)),"",HLOOKUP(B52,Matrice!$A$2:$DP$100,3,FALSE))="","",IF(ISERROR(HLOOKUP(B52,Matrice!$A$2:$DP$100,3,FALSE)),"-",HLOOKUP(B52,Matrice!$A$2:$DP$100,3,FALSE)))</f>
        <v/>
      </c>
      <c r="E52" s="305"/>
      <c r="F52" s="179" t="str">
        <f>IF(ISERROR(HLOOKUP($B52,Matrice!$A$2:$DP$100,4,FALSE)),"",IF(HLOOKUP($B52,Matrice!$A$2:$DP$100,4,FALSE)="","",HLOOKUP($B52,Matrice!$A$2:$DP$100,4,FALSE)))</f>
        <v/>
      </c>
      <c r="G52" s="179" t="str">
        <f>IF(ISERROR(HLOOKUP($B52,Matrice!$A$2:$DP$100,5,FALSE)),"",IF(HLOOKUP($B52,Matrice!$A$2:$DP$100,5,FALSE)="","",HLOOKUP($B52,Matrice!$A$2:$DP$100,5,FALSE)))</f>
        <v/>
      </c>
      <c r="H52" s="179" t="str">
        <f>IF(ISERROR(HLOOKUP($B52,Matrice!$A$2:$DP$100,6,FALSE)),"",IF(HLOOKUP($B52,Matrice!$A$2:$DP$100,6,FALSE)="","",HLOOKUP($B52,Matrice!$A$2:$DP$100,6,FALSE)))</f>
        <v/>
      </c>
      <c r="I52" s="179" t="str">
        <f>IF(ISERROR(HLOOKUP($B53,Matrice!$A$2:$DP$100,7,FALSE)),"",IF(HLOOKUP($B53,Matrice!$A$2:$DP$100,7,FALSE)="","",HLOOKUP($B53,Matrice!$A$2:$DP$100,7,FALSE)))</f>
        <v/>
      </c>
      <c r="J52" s="277" t="str">
        <f>IF(ISERROR(HLOOKUP($B52,Matrice!$A$2:$DP$100,12,FALSE)),"",IF(HLOOKUP($B52,Matrice!$A$2:$DP$100,12,FALSE)="","",HLOOKUP($B52,Matrice!$A$2:$DP$100,12,FALSE)))</f>
        <v/>
      </c>
      <c r="K52" s="277" t="str">
        <f>IF(ISERROR(HLOOKUP($B52,Matrice!$A$2:$DP$100,13,FALSE)),"",IF(HLOOKUP($B52,Matrice!$A$2:$DP$100,13,FALSE)="","",HLOOKUP($B52,Matrice!$A$2:$DP$100,13,FALSE)))</f>
        <v/>
      </c>
      <c r="L52" s="333" t="str">
        <f>IF(ISERROR(HLOOKUP($B52,Matrice!$A$2:$DP$100,9,FALSE)),"",IF(HLOOKUP($B52,Matrice!$A$2:$DP$100,9,FALSE)="","",HLOOKUP($B52,Matrice!$A$2:$DP$100,9,FALSE)))</f>
        <v/>
      </c>
      <c r="M52" s="333" t="str">
        <f>IF(ISERROR(HLOOKUP($B52,Matrice!$A$2:$DP$100,10,FALSE)),"",IF(HLOOKUP($B52,Matrice!$A$2:$DP$100,10,FALSE)="","",HLOOKUP($B52,Matrice!$A$2:$DP$100,10,FALSE)))</f>
        <v/>
      </c>
      <c r="N52" s="333" t="str">
        <f>IF(ISERROR(HLOOKUP($B52,Matrice!$A$2:$DP$100,11,FALSE)),"",IF(HLOOKUP($B52,Matrice!$A$2:$DP$100,11,FALSE)="","",HLOOKUP($B52,Matrice!$A$2:$DP$100,11,FALSE)))</f>
        <v/>
      </c>
      <c r="P52" s="276" t="str">
        <f>IF(SUMPRODUCT((Matrice!$D$23:$D$100='Actions de maîtrise'!P$5)*(Matrice!$T$21:$DP$21='Actions de maîtrise'!$C52)*(Matrice!$T$23:$DP$100="X"))=0,"",IF(SUMPRODUCT((Matrice!$D$23:$D$100='Actions de maîtrise'!P$5)*(Matrice!$T$21:$DP$21='Actions de maîtrise'!$C52)*(Matrice!$T$23:$DP$100="X"))=1,"X","erreur"))</f>
        <v/>
      </c>
      <c r="Q52" s="276" t="str">
        <f>IF(SUMPRODUCT((Matrice!$D$23:$D$100='Actions de maîtrise'!Q$5)*(Matrice!$T$21:$DP$21='Actions de maîtrise'!$C52)*(Matrice!$T$23:$DP$100="X"))=0,"",IF(SUMPRODUCT((Matrice!$D$23:$D$100='Actions de maîtrise'!Q$5)*(Matrice!$T$21:$DP$21='Actions de maîtrise'!$C52)*(Matrice!$T$23:$DP$100="X"))=1,"X","erreur"))</f>
        <v/>
      </c>
      <c r="R52" s="276" t="str">
        <f>IF(SUMPRODUCT((Matrice!$D$23:$D$100='Actions de maîtrise'!R$5)*(Matrice!$T$21:$DP$21='Actions de maîtrise'!$C52)*(Matrice!$T$23:$DP$100="X"))=0,"",IF(SUMPRODUCT((Matrice!$D$23:$D$100='Actions de maîtrise'!R$5)*(Matrice!$T$21:$DP$21='Actions de maîtrise'!$C52)*(Matrice!$T$23:$DP$100="X"))=1,"X","erreur"))</f>
        <v/>
      </c>
      <c r="S52" s="276" t="str">
        <f>IF(SUMPRODUCT((Matrice!$D$23:$D$100='Actions de maîtrise'!S$5)*(Matrice!$T$21:$DP$21='Actions de maîtrise'!$C52)*(Matrice!$T$23:$DP$100="X"))=0,"",IF(SUMPRODUCT((Matrice!$D$23:$D$100='Actions de maîtrise'!S$5)*(Matrice!$T$21:$DP$21='Actions de maîtrise'!$C52)*(Matrice!$T$23:$DP$100="X"))=1,"X","erreur"))</f>
        <v/>
      </c>
      <c r="T52" s="276" t="str">
        <f>IF(SUMPRODUCT((Matrice!$D$23:$D$100='Actions de maîtrise'!T$5)*(Matrice!$T$21:$DP$21='Actions de maîtrise'!$C52)*(Matrice!$T$23:$DP$100="X"))=0,"",IF(SUMPRODUCT((Matrice!$D$23:$D$100='Actions de maîtrise'!T$5)*(Matrice!$T$21:$DP$21='Actions de maîtrise'!$C52)*(Matrice!$T$23:$DP$100="X"))=1,"X","erreur"))</f>
        <v/>
      </c>
      <c r="U52" s="276" t="str">
        <f>IF(SUMPRODUCT((Matrice!$D$23:$D$100='Actions de maîtrise'!U$5)*(Matrice!$T$21:$DP$21='Actions de maîtrise'!$C52)*(Matrice!$T$23:$DP$100="X"))=0,"",IF(SUMPRODUCT((Matrice!$D$23:$D$100='Actions de maîtrise'!U$5)*(Matrice!$T$21:$DP$21='Actions de maîtrise'!$C52)*(Matrice!$T$23:$DP$100="X"))=1,"X","erreur"))</f>
        <v/>
      </c>
      <c r="V52" s="276" t="str">
        <f>IF(SUMPRODUCT((Matrice!$D$23:$D$100='Actions de maîtrise'!V$5)*(Matrice!$T$21:$DP$21='Actions de maîtrise'!$C52)*(Matrice!$T$23:$DP$100="X"))=0,"",IF(SUMPRODUCT((Matrice!$D$23:$D$100='Actions de maîtrise'!V$5)*(Matrice!$T$21:$DP$21='Actions de maîtrise'!$C52)*(Matrice!$T$23:$DP$100="X"))=1,"X","erreur"))</f>
        <v/>
      </c>
      <c r="W52" s="276" t="str">
        <f>IF(SUMPRODUCT((Matrice!$D$23:$D$100='Actions de maîtrise'!W$5)*(Matrice!$T$21:$DP$21='Actions de maîtrise'!$C52)*(Matrice!$T$23:$DP$100="X"))=0,"",IF(SUMPRODUCT((Matrice!$D$23:$D$100='Actions de maîtrise'!W$5)*(Matrice!$T$21:$DP$21='Actions de maîtrise'!$C52)*(Matrice!$T$23:$DP$100="X"))=1,"X","erreur"))</f>
        <v/>
      </c>
      <c r="X52" s="276" t="str">
        <f>IF(SUMPRODUCT((Matrice!$D$23:$D$100='Actions de maîtrise'!X$5)*(Matrice!$T$21:$DP$21='Actions de maîtrise'!$C52)*(Matrice!$T$23:$DP$100="X"))=0,"",IF(SUMPRODUCT((Matrice!$D$23:$D$100='Actions de maîtrise'!X$5)*(Matrice!$T$21:$DP$21='Actions de maîtrise'!$C52)*(Matrice!$T$23:$DP$100="X"))=1,"X","erreur"))</f>
        <v/>
      </c>
      <c r="Y52" s="276" t="str">
        <f>IF(SUMPRODUCT((Matrice!$D$23:$D$100='Actions de maîtrise'!Y$5)*(Matrice!$T$21:$DP$21='Actions de maîtrise'!$C52)*(Matrice!$T$23:$DP$100="X"))=0,"",IF(SUMPRODUCT((Matrice!$D$23:$D$100='Actions de maîtrise'!Y$5)*(Matrice!$T$21:$DP$21='Actions de maîtrise'!$C52)*(Matrice!$T$23:$DP$100="X"))=1,"X","erreur"))</f>
        <v/>
      </c>
      <c r="Z52" s="276" t="str">
        <f>IF(SUMPRODUCT((Matrice!$D$23:$D$100='Actions de maîtrise'!Z$5)*(Matrice!$T$21:$DP$21='Actions de maîtrise'!$C52)*(Matrice!$T$23:$DP$100="X"))=0,"",IF(SUMPRODUCT((Matrice!$D$23:$D$100='Actions de maîtrise'!Z$5)*(Matrice!$T$21:$DP$21='Actions de maîtrise'!$C52)*(Matrice!$T$23:$DP$100="X"))=1,"X","erreur"))</f>
        <v/>
      </c>
      <c r="AA52" s="276" t="str">
        <f>IF(SUMPRODUCT((Matrice!$D$23:$D$100='Actions de maîtrise'!AA$5)*(Matrice!$T$21:$DP$21='Actions de maîtrise'!$C52)*(Matrice!$T$23:$DP$100="X"))=0,"",IF(SUMPRODUCT((Matrice!$D$23:$D$100='Actions de maîtrise'!AA$5)*(Matrice!$T$21:$DP$21='Actions de maîtrise'!$C52)*(Matrice!$T$23:$DP$100="X"))=1,"X","erreur"))</f>
        <v/>
      </c>
      <c r="AB52" s="276" t="str">
        <f>IF(SUMPRODUCT((Matrice!$D$23:$D$100='Actions de maîtrise'!AB$5)*(Matrice!$T$21:$DP$21='Actions de maîtrise'!$C52)*(Matrice!$T$23:$DP$100="X"))=0,"",IF(SUMPRODUCT((Matrice!$D$23:$D$100='Actions de maîtrise'!AB$5)*(Matrice!$T$21:$DP$21='Actions de maîtrise'!$C52)*(Matrice!$T$23:$DP$100="X"))=1,"X","erreur"))</f>
        <v/>
      </c>
      <c r="AC52" s="276" t="str">
        <f>IF(SUMPRODUCT((Matrice!$D$23:$D$100='Actions de maîtrise'!AC$5)*(Matrice!$T$21:$DP$21='Actions de maîtrise'!$C52)*(Matrice!$T$23:$DP$100="X"))=0,"",IF(SUMPRODUCT((Matrice!$D$23:$D$100='Actions de maîtrise'!AC$5)*(Matrice!$T$21:$DP$21='Actions de maîtrise'!$C52)*(Matrice!$T$23:$DP$100="X"))=1,"X","erreur"))</f>
        <v/>
      </c>
      <c r="AD52" s="276" t="str">
        <f>IF(SUMPRODUCT((Matrice!$D$23:$D$100='Actions de maîtrise'!AD$5)*(Matrice!$T$21:$DP$21='Actions de maîtrise'!$C52)*(Matrice!$T$23:$DP$100="X"))=0,"",IF(SUMPRODUCT((Matrice!$D$23:$D$100='Actions de maîtrise'!AD$5)*(Matrice!$T$21:$DP$21='Actions de maîtrise'!$C52)*(Matrice!$T$23:$DP$100="X"))=1,"X","erreur"))</f>
        <v/>
      </c>
      <c r="AE52" s="276" t="str">
        <f>IF(SUMPRODUCT((Matrice!$D$23:$D$100='Actions de maîtrise'!AE$5)*(Matrice!$T$21:$DP$21='Actions de maîtrise'!$C52)*(Matrice!$T$23:$DP$100="X"))=0,"",IF(SUMPRODUCT((Matrice!$D$23:$D$100='Actions de maîtrise'!AE$5)*(Matrice!$T$21:$DP$21='Actions de maîtrise'!$C52)*(Matrice!$T$23:$DP$100="X"))=1,"X","erreur"))</f>
        <v/>
      </c>
      <c r="AF52" s="276" t="str">
        <f>IF(SUMPRODUCT((Matrice!$D$23:$D$100='Actions de maîtrise'!AF$5)*(Matrice!$T$21:$DP$21='Actions de maîtrise'!$C52)*(Matrice!$T$23:$DP$100="X"))=0,"",IF(SUMPRODUCT((Matrice!$D$23:$D$100='Actions de maîtrise'!AF$5)*(Matrice!$T$21:$DP$21='Actions de maîtrise'!$C52)*(Matrice!$T$23:$DP$100="X"))=1,"X","erreur"))</f>
        <v/>
      </c>
      <c r="AG52" s="276" t="str">
        <f>IF(SUMPRODUCT((Matrice!$D$23:$D$100='Actions de maîtrise'!AG$5)*(Matrice!$T$21:$DP$21='Actions de maîtrise'!$C52)*(Matrice!$T$23:$DP$100="X"))=0,"",IF(SUMPRODUCT((Matrice!$D$23:$D$100='Actions de maîtrise'!AG$5)*(Matrice!$T$21:$DP$21='Actions de maîtrise'!$C52)*(Matrice!$T$23:$DP$100="X"))=1,"X","erreur"))</f>
        <v/>
      </c>
    </row>
    <row r="53" spans="2:33" ht="18.75" x14ac:dyDescent="0.2">
      <c r="B53" s="309" t="str">
        <f>IF((COUNTIF(Matrice!$2:$2,Matrice!$G$1&amp;"-AM"&amp;Listes!A49)=1)=TRUE,Matrice!$G$1&amp;"-AM"&amp;Listes!A49,"")</f>
        <v/>
      </c>
      <c r="C53" s="178" t="str">
        <f>IF(IF(ISERROR(HLOOKUP(B53,Matrice!$A$2:$DP$100,20,FALSE)),"",HLOOKUP(B53,Matrice!$A$2:$DP$100,20,FALSE))="","",IF(ISERROR(HLOOKUP(B53,Matrice!$A$2:$DP$100,20,FALSE)),"-",HLOOKUP(B53,Matrice!$A$2:$DP$100,20,FALSE)))</f>
        <v/>
      </c>
      <c r="D53" s="179" t="str">
        <f>IF(IF(ISERROR(HLOOKUP(B53,Matrice!$A$2:$DP$100,3,FALSE)),"",HLOOKUP(B53,Matrice!$A$2:$DP$100,3,FALSE))="","",IF(ISERROR(HLOOKUP(B53,Matrice!$A$2:$DP$100,3,FALSE)),"-",HLOOKUP(B53,Matrice!$A$2:$DP$100,3,FALSE)))</f>
        <v/>
      </c>
      <c r="E53" s="305"/>
      <c r="F53" s="179" t="str">
        <f>IF(ISERROR(HLOOKUP($B53,Matrice!$A$2:$DP$100,4,FALSE)),"",IF(HLOOKUP($B53,Matrice!$A$2:$DP$100,4,FALSE)="","",HLOOKUP($B53,Matrice!$A$2:$DP$100,4,FALSE)))</f>
        <v/>
      </c>
      <c r="G53" s="179" t="str">
        <f>IF(ISERROR(HLOOKUP($B53,Matrice!$A$2:$DP$100,5,FALSE)),"",IF(HLOOKUP($B53,Matrice!$A$2:$DP$100,5,FALSE)="","",HLOOKUP($B53,Matrice!$A$2:$DP$100,5,FALSE)))</f>
        <v/>
      </c>
      <c r="H53" s="179" t="str">
        <f>IF(ISERROR(HLOOKUP($B53,Matrice!$A$2:$DP$100,6,FALSE)),"",IF(HLOOKUP($B53,Matrice!$A$2:$DP$100,6,FALSE)="","",HLOOKUP($B53,Matrice!$A$2:$DP$100,6,FALSE)))</f>
        <v/>
      </c>
      <c r="I53" s="179" t="str">
        <f>IF(ISERROR(HLOOKUP($B54,Matrice!$A$2:$DP$100,7,FALSE)),"",IF(HLOOKUP($B54,Matrice!$A$2:$DP$100,7,FALSE)="","",HLOOKUP($B54,Matrice!$A$2:$DP$100,7,FALSE)))</f>
        <v/>
      </c>
      <c r="J53" s="277" t="str">
        <f>IF(ISERROR(HLOOKUP($B53,Matrice!$A$2:$DP$100,12,FALSE)),"",IF(HLOOKUP($B53,Matrice!$A$2:$DP$100,12,FALSE)="","",HLOOKUP($B53,Matrice!$A$2:$DP$100,12,FALSE)))</f>
        <v/>
      </c>
      <c r="K53" s="277" t="str">
        <f>IF(ISERROR(HLOOKUP($B53,Matrice!$A$2:$DP$100,13,FALSE)),"",IF(HLOOKUP($B53,Matrice!$A$2:$DP$100,13,FALSE)="","",HLOOKUP($B53,Matrice!$A$2:$DP$100,13,FALSE)))</f>
        <v/>
      </c>
      <c r="L53" s="333" t="str">
        <f>IF(ISERROR(HLOOKUP($B53,Matrice!$A$2:$DP$100,9,FALSE)),"",IF(HLOOKUP($B53,Matrice!$A$2:$DP$100,9,FALSE)="","",HLOOKUP($B53,Matrice!$A$2:$DP$100,9,FALSE)))</f>
        <v/>
      </c>
      <c r="M53" s="333" t="str">
        <f>IF(ISERROR(HLOOKUP($B53,Matrice!$A$2:$DP$100,10,FALSE)),"",IF(HLOOKUP($B53,Matrice!$A$2:$DP$100,10,FALSE)="","",HLOOKUP($B53,Matrice!$A$2:$DP$100,10,FALSE)))</f>
        <v/>
      </c>
      <c r="N53" s="333" t="str">
        <f>IF(ISERROR(HLOOKUP($B53,Matrice!$A$2:$DP$100,11,FALSE)),"",IF(HLOOKUP($B53,Matrice!$A$2:$DP$100,11,FALSE)="","",HLOOKUP($B53,Matrice!$A$2:$DP$100,11,FALSE)))</f>
        <v/>
      </c>
      <c r="P53" s="276" t="str">
        <f>IF(SUMPRODUCT((Matrice!$D$23:$D$100='Actions de maîtrise'!P$5)*(Matrice!$T$21:$DP$21='Actions de maîtrise'!$C53)*(Matrice!$T$23:$DP$100="X"))=0,"",IF(SUMPRODUCT((Matrice!$D$23:$D$100='Actions de maîtrise'!P$5)*(Matrice!$T$21:$DP$21='Actions de maîtrise'!$C53)*(Matrice!$T$23:$DP$100="X"))=1,"X","erreur"))</f>
        <v/>
      </c>
      <c r="Q53" s="276" t="str">
        <f>IF(SUMPRODUCT((Matrice!$D$23:$D$100='Actions de maîtrise'!Q$5)*(Matrice!$T$21:$DP$21='Actions de maîtrise'!$C53)*(Matrice!$T$23:$DP$100="X"))=0,"",IF(SUMPRODUCT((Matrice!$D$23:$D$100='Actions de maîtrise'!Q$5)*(Matrice!$T$21:$DP$21='Actions de maîtrise'!$C53)*(Matrice!$T$23:$DP$100="X"))=1,"X","erreur"))</f>
        <v/>
      </c>
      <c r="R53" s="276" t="str">
        <f>IF(SUMPRODUCT((Matrice!$D$23:$D$100='Actions de maîtrise'!R$5)*(Matrice!$T$21:$DP$21='Actions de maîtrise'!$C53)*(Matrice!$T$23:$DP$100="X"))=0,"",IF(SUMPRODUCT((Matrice!$D$23:$D$100='Actions de maîtrise'!R$5)*(Matrice!$T$21:$DP$21='Actions de maîtrise'!$C53)*(Matrice!$T$23:$DP$100="X"))=1,"X","erreur"))</f>
        <v/>
      </c>
      <c r="S53" s="276" t="str">
        <f>IF(SUMPRODUCT((Matrice!$D$23:$D$100='Actions de maîtrise'!S$5)*(Matrice!$T$21:$DP$21='Actions de maîtrise'!$C53)*(Matrice!$T$23:$DP$100="X"))=0,"",IF(SUMPRODUCT((Matrice!$D$23:$D$100='Actions de maîtrise'!S$5)*(Matrice!$T$21:$DP$21='Actions de maîtrise'!$C53)*(Matrice!$T$23:$DP$100="X"))=1,"X","erreur"))</f>
        <v/>
      </c>
      <c r="T53" s="276" t="str">
        <f>IF(SUMPRODUCT((Matrice!$D$23:$D$100='Actions de maîtrise'!T$5)*(Matrice!$T$21:$DP$21='Actions de maîtrise'!$C53)*(Matrice!$T$23:$DP$100="X"))=0,"",IF(SUMPRODUCT((Matrice!$D$23:$D$100='Actions de maîtrise'!T$5)*(Matrice!$T$21:$DP$21='Actions de maîtrise'!$C53)*(Matrice!$T$23:$DP$100="X"))=1,"X","erreur"))</f>
        <v/>
      </c>
      <c r="U53" s="276" t="str">
        <f>IF(SUMPRODUCT((Matrice!$D$23:$D$100='Actions de maîtrise'!U$5)*(Matrice!$T$21:$DP$21='Actions de maîtrise'!$C53)*(Matrice!$T$23:$DP$100="X"))=0,"",IF(SUMPRODUCT((Matrice!$D$23:$D$100='Actions de maîtrise'!U$5)*(Matrice!$T$21:$DP$21='Actions de maîtrise'!$C53)*(Matrice!$T$23:$DP$100="X"))=1,"X","erreur"))</f>
        <v/>
      </c>
      <c r="V53" s="276" t="str">
        <f>IF(SUMPRODUCT((Matrice!$D$23:$D$100='Actions de maîtrise'!V$5)*(Matrice!$T$21:$DP$21='Actions de maîtrise'!$C53)*(Matrice!$T$23:$DP$100="X"))=0,"",IF(SUMPRODUCT((Matrice!$D$23:$D$100='Actions de maîtrise'!V$5)*(Matrice!$T$21:$DP$21='Actions de maîtrise'!$C53)*(Matrice!$T$23:$DP$100="X"))=1,"X","erreur"))</f>
        <v/>
      </c>
      <c r="W53" s="276" t="str">
        <f>IF(SUMPRODUCT((Matrice!$D$23:$D$100='Actions de maîtrise'!W$5)*(Matrice!$T$21:$DP$21='Actions de maîtrise'!$C53)*(Matrice!$T$23:$DP$100="X"))=0,"",IF(SUMPRODUCT((Matrice!$D$23:$D$100='Actions de maîtrise'!W$5)*(Matrice!$T$21:$DP$21='Actions de maîtrise'!$C53)*(Matrice!$T$23:$DP$100="X"))=1,"X","erreur"))</f>
        <v/>
      </c>
      <c r="X53" s="276" t="str">
        <f>IF(SUMPRODUCT((Matrice!$D$23:$D$100='Actions de maîtrise'!X$5)*(Matrice!$T$21:$DP$21='Actions de maîtrise'!$C53)*(Matrice!$T$23:$DP$100="X"))=0,"",IF(SUMPRODUCT((Matrice!$D$23:$D$100='Actions de maîtrise'!X$5)*(Matrice!$T$21:$DP$21='Actions de maîtrise'!$C53)*(Matrice!$T$23:$DP$100="X"))=1,"X","erreur"))</f>
        <v/>
      </c>
      <c r="Y53" s="276" t="str">
        <f>IF(SUMPRODUCT((Matrice!$D$23:$D$100='Actions de maîtrise'!Y$5)*(Matrice!$T$21:$DP$21='Actions de maîtrise'!$C53)*(Matrice!$T$23:$DP$100="X"))=0,"",IF(SUMPRODUCT((Matrice!$D$23:$D$100='Actions de maîtrise'!Y$5)*(Matrice!$T$21:$DP$21='Actions de maîtrise'!$C53)*(Matrice!$T$23:$DP$100="X"))=1,"X","erreur"))</f>
        <v/>
      </c>
      <c r="Z53" s="276" t="str">
        <f>IF(SUMPRODUCT((Matrice!$D$23:$D$100='Actions de maîtrise'!Z$5)*(Matrice!$T$21:$DP$21='Actions de maîtrise'!$C53)*(Matrice!$T$23:$DP$100="X"))=0,"",IF(SUMPRODUCT((Matrice!$D$23:$D$100='Actions de maîtrise'!Z$5)*(Matrice!$T$21:$DP$21='Actions de maîtrise'!$C53)*(Matrice!$T$23:$DP$100="X"))=1,"X","erreur"))</f>
        <v/>
      </c>
      <c r="AA53" s="276" t="str">
        <f>IF(SUMPRODUCT((Matrice!$D$23:$D$100='Actions de maîtrise'!AA$5)*(Matrice!$T$21:$DP$21='Actions de maîtrise'!$C53)*(Matrice!$T$23:$DP$100="X"))=0,"",IF(SUMPRODUCT((Matrice!$D$23:$D$100='Actions de maîtrise'!AA$5)*(Matrice!$T$21:$DP$21='Actions de maîtrise'!$C53)*(Matrice!$T$23:$DP$100="X"))=1,"X","erreur"))</f>
        <v/>
      </c>
      <c r="AB53" s="276" t="str">
        <f>IF(SUMPRODUCT((Matrice!$D$23:$D$100='Actions de maîtrise'!AB$5)*(Matrice!$T$21:$DP$21='Actions de maîtrise'!$C53)*(Matrice!$T$23:$DP$100="X"))=0,"",IF(SUMPRODUCT((Matrice!$D$23:$D$100='Actions de maîtrise'!AB$5)*(Matrice!$T$21:$DP$21='Actions de maîtrise'!$C53)*(Matrice!$T$23:$DP$100="X"))=1,"X","erreur"))</f>
        <v/>
      </c>
      <c r="AC53" s="276" t="str">
        <f>IF(SUMPRODUCT((Matrice!$D$23:$D$100='Actions de maîtrise'!AC$5)*(Matrice!$T$21:$DP$21='Actions de maîtrise'!$C53)*(Matrice!$T$23:$DP$100="X"))=0,"",IF(SUMPRODUCT((Matrice!$D$23:$D$100='Actions de maîtrise'!AC$5)*(Matrice!$T$21:$DP$21='Actions de maîtrise'!$C53)*(Matrice!$T$23:$DP$100="X"))=1,"X","erreur"))</f>
        <v/>
      </c>
      <c r="AD53" s="276" t="str">
        <f>IF(SUMPRODUCT((Matrice!$D$23:$D$100='Actions de maîtrise'!AD$5)*(Matrice!$T$21:$DP$21='Actions de maîtrise'!$C53)*(Matrice!$T$23:$DP$100="X"))=0,"",IF(SUMPRODUCT((Matrice!$D$23:$D$100='Actions de maîtrise'!AD$5)*(Matrice!$T$21:$DP$21='Actions de maîtrise'!$C53)*(Matrice!$T$23:$DP$100="X"))=1,"X","erreur"))</f>
        <v/>
      </c>
      <c r="AE53" s="276" t="str">
        <f>IF(SUMPRODUCT((Matrice!$D$23:$D$100='Actions de maîtrise'!AE$5)*(Matrice!$T$21:$DP$21='Actions de maîtrise'!$C53)*(Matrice!$T$23:$DP$100="X"))=0,"",IF(SUMPRODUCT((Matrice!$D$23:$D$100='Actions de maîtrise'!AE$5)*(Matrice!$T$21:$DP$21='Actions de maîtrise'!$C53)*(Matrice!$T$23:$DP$100="X"))=1,"X","erreur"))</f>
        <v/>
      </c>
      <c r="AF53" s="276" t="str">
        <f>IF(SUMPRODUCT((Matrice!$D$23:$D$100='Actions de maîtrise'!AF$5)*(Matrice!$T$21:$DP$21='Actions de maîtrise'!$C53)*(Matrice!$T$23:$DP$100="X"))=0,"",IF(SUMPRODUCT((Matrice!$D$23:$D$100='Actions de maîtrise'!AF$5)*(Matrice!$T$21:$DP$21='Actions de maîtrise'!$C53)*(Matrice!$T$23:$DP$100="X"))=1,"X","erreur"))</f>
        <v/>
      </c>
      <c r="AG53" s="276" t="str">
        <f>IF(SUMPRODUCT((Matrice!$D$23:$D$100='Actions de maîtrise'!AG$5)*(Matrice!$T$21:$DP$21='Actions de maîtrise'!$C53)*(Matrice!$T$23:$DP$100="X"))=0,"",IF(SUMPRODUCT((Matrice!$D$23:$D$100='Actions de maîtrise'!AG$5)*(Matrice!$T$21:$DP$21='Actions de maîtrise'!$C53)*(Matrice!$T$23:$DP$100="X"))=1,"X","erreur"))</f>
        <v/>
      </c>
    </row>
    <row r="54" spans="2:33" ht="18.75" x14ac:dyDescent="0.2">
      <c r="B54" s="309" t="str">
        <f>IF((COUNTIF(Matrice!$2:$2,Matrice!$G$1&amp;"-AM"&amp;Listes!A50)=1)=TRUE,Matrice!$G$1&amp;"-AM"&amp;Listes!A50,"")</f>
        <v/>
      </c>
      <c r="C54" s="178" t="str">
        <f>IF(IF(ISERROR(HLOOKUP(B54,Matrice!$A$2:$DP$100,20,FALSE)),"",HLOOKUP(B54,Matrice!$A$2:$DP$100,20,FALSE))="","",IF(ISERROR(HLOOKUP(B54,Matrice!$A$2:$DP$100,20,FALSE)),"-",HLOOKUP(B54,Matrice!$A$2:$DP$100,20,FALSE)))</f>
        <v/>
      </c>
      <c r="D54" s="179" t="str">
        <f>IF(IF(ISERROR(HLOOKUP(B54,Matrice!$A$2:$DP$100,3,FALSE)),"",HLOOKUP(B54,Matrice!$A$2:$DP$100,3,FALSE))="","",IF(ISERROR(HLOOKUP(B54,Matrice!$A$2:$DP$100,3,FALSE)),"-",HLOOKUP(B54,Matrice!$A$2:$DP$100,3,FALSE)))</f>
        <v/>
      </c>
      <c r="E54" s="305"/>
      <c r="F54" s="179" t="str">
        <f>IF(ISERROR(HLOOKUP($B54,Matrice!$A$2:$DP$100,4,FALSE)),"",IF(HLOOKUP($B54,Matrice!$A$2:$DP$100,4,FALSE)="","",HLOOKUP($B54,Matrice!$A$2:$DP$100,4,FALSE)))</f>
        <v/>
      </c>
      <c r="G54" s="179" t="str">
        <f>IF(ISERROR(HLOOKUP($B54,Matrice!$A$2:$DP$100,5,FALSE)),"",IF(HLOOKUP($B54,Matrice!$A$2:$DP$100,5,FALSE)="","",HLOOKUP($B54,Matrice!$A$2:$DP$100,5,FALSE)))</f>
        <v/>
      </c>
      <c r="H54" s="179" t="str">
        <f>IF(ISERROR(HLOOKUP($B54,Matrice!$A$2:$DP$100,6,FALSE)),"",IF(HLOOKUP($B54,Matrice!$A$2:$DP$100,6,FALSE)="","",HLOOKUP($B54,Matrice!$A$2:$DP$100,6,FALSE)))</f>
        <v/>
      </c>
      <c r="I54" s="179" t="str">
        <f>IF(ISERROR(HLOOKUP($B55,Matrice!$A$2:$DP$100,7,FALSE)),"",IF(HLOOKUP($B55,Matrice!$A$2:$DP$100,7,FALSE)="","",HLOOKUP($B55,Matrice!$A$2:$DP$100,7,FALSE)))</f>
        <v/>
      </c>
      <c r="J54" s="277" t="str">
        <f>IF(ISERROR(HLOOKUP($B54,Matrice!$A$2:$DP$100,12,FALSE)),"",IF(HLOOKUP($B54,Matrice!$A$2:$DP$100,12,FALSE)="","",HLOOKUP($B54,Matrice!$A$2:$DP$100,12,FALSE)))</f>
        <v/>
      </c>
      <c r="K54" s="277" t="str">
        <f>IF(ISERROR(HLOOKUP($B54,Matrice!$A$2:$DP$100,13,FALSE)),"",IF(HLOOKUP($B54,Matrice!$A$2:$DP$100,13,FALSE)="","",HLOOKUP($B54,Matrice!$A$2:$DP$100,13,FALSE)))</f>
        <v/>
      </c>
      <c r="L54" s="333" t="str">
        <f>IF(ISERROR(HLOOKUP($B54,Matrice!$A$2:$DP$100,9,FALSE)),"",IF(HLOOKUP($B54,Matrice!$A$2:$DP$100,9,FALSE)="","",HLOOKUP($B54,Matrice!$A$2:$DP$100,9,FALSE)))</f>
        <v/>
      </c>
      <c r="M54" s="333" t="str">
        <f>IF(ISERROR(HLOOKUP($B54,Matrice!$A$2:$DP$100,10,FALSE)),"",IF(HLOOKUP($B54,Matrice!$A$2:$DP$100,10,FALSE)="","",HLOOKUP($B54,Matrice!$A$2:$DP$100,10,FALSE)))</f>
        <v/>
      </c>
      <c r="N54" s="333" t="str">
        <f>IF(ISERROR(HLOOKUP($B54,Matrice!$A$2:$DP$100,11,FALSE)),"",IF(HLOOKUP($B54,Matrice!$A$2:$DP$100,11,FALSE)="","",HLOOKUP($B54,Matrice!$A$2:$DP$100,11,FALSE)))</f>
        <v/>
      </c>
      <c r="P54" s="276" t="str">
        <f>IF(SUMPRODUCT((Matrice!$D$23:$D$100='Actions de maîtrise'!P$5)*(Matrice!$T$21:$DP$21='Actions de maîtrise'!$C54)*(Matrice!$T$23:$DP$100="X"))=0,"",IF(SUMPRODUCT((Matrice!$D$23:$D$100='Actions de maîtrise'!P$5)*(Matrice!$T$21:$DP$21='Actions de maîtrise'!$C54)*(Matrice!$T$23:$DP$100="X"))=1,"X","erreur"))</f>
        <v/>
      </c>
      <c r="Q54" s="276" t="str">
        <f>IF(SUMPRODUCT((Matrice!$D$23:$D$100='Actions de maîtrise'!Q$5)*(Matrice!$T$21:$DP$21='Actions de maîtrise'!$C54)*(Matrice!$T$23:$DP$100="X"))=0,"",IF(SUMPRODUCT((Matrice!$D$23:$D$100='Actions de maîtrise'!Q$5)*(Matrice!$T$21:$DP$21='Actions de maîtrise'!$C54)*(Matrice!$T$23:$DP$100="X"))=1,"X","erreur"))</f>
        <v/>
      </c>
      <c r="R54" s="276" t="str">
        <f>IF(SUMPRODUCT((Matrice!$D$23:$D$100='Actions de maîtrise'!R$5)*(Matrice!$T$21:$DP$21='Actions de maîtrise'!$C54)*(Matrice!$T$23:$DP$100="X"))=0,"",IF(SUMPRODUCT((Matrice!$D$23:$D$100='Actions de maîtrise'!R$5)*(Matrice!$T$21:$DP$21='Actions de maîtrise'!$C54)*(Matrice!$T$23:$DP$100="X"))=1,"X","erreur"))</f>
        <v/>
      </c>
      <c r="S54" s="276" t="str">
        <f>IF(SUMPRODUCT((Matrice!$D$23:$D$100='Actions de maîtrise'!S$5)*(Matrice!$T$21:$DP$21='Actions de maîtrise'!$C54)*(Matrice!$T$23:$DP$100="X"))=0,"",IF(SUMPRODUCT((Matrice!$D$23:$D$100='Actions de maîtrise'!S$5)*(Matrice!$T$21:$DP$21='Actions de maîtrise'!$C54)*(Matrice!$T$23:$DP$100="X"))=1,"X","erreur"))</f>
        <v/>
      </c>
      <c r="T54" s="276" t="str">
        <f>IF(SUMPRODUCT((Matrice!$D$23:$D$100='Actions de maîtrise'!T$5)*(Matrice!$T$21:$DP$21='Actions de maîtrise'!$C54)*(Matrice!$T$23:$DP$100="X"))=0,"",IF(SUMPRODUCT((Matrice!$D$23:$D$100='Actions de maîtrise'!T$5)*(Matrice!$T$21:$DP$21='Actions de maîtrise'!$C54)*(Matrice!$T$23:$DP$100="X"))=1,"X","erreur"))</f>
        <v/>
      </c>
      <c r="U54" s="276" t="str">
        <f>IF(SUMPRODUCT((Matrice!$D$23:$D$100='Actions de maîtrise'!U$5)*(Matrice!$T$21:$DP$21='Actions de maîtrise'!$C54)*(Matrice!$T$23:$DP$100="X"))=0,"",IF(SUMPRODUCT((Matrice!$D$23:$D$100='Actions de maîtrise'!U$5)*(Matrice!$T$21:$DP$21='Actions de maîtrise'!$C54)*(Matrice!$T$23:$DP$100="X"))=1,"X","erreur"))</f>
        <v/>
      </c>
      <c r="V54" s="276" t="str">
        <f>IF(SUMPRODUCT((Matrice!$D$23:$D$100='Actions de maîtrise'!V$5)*(Matrice!$T$21:$DP$21='Actions de maîtrise'!$C54)*(Matrice!$T$23:$DP$100="X"))=0,"",IF(SUMPRODUCT((Matrice!$D$23:$D$100='Actions de maîtrise'!V$5)*(Matrice!$T$21:$DP$21='Actions de maîtrise'!$C54)*(Matrice!$T$23:$DP$100="X"))=1,"X","erreur"))</f>
        <v/>
      </c>
      <c r="W54" s="276" t="str">
        <f>IF(SUMPRODUCT((Matrice!$D$23:$D$100='Actions de maîtrise'!W$5)*(Matrice!$T$21:$DP$21='Actions de maîtrise'!$C54)*(Matrice!$T$23:$DP$100="X"))=0,"",IF(SUMPRODUCT((Matrice!$D$23:$D$100='Actions de maîtrise'!W$5)*(Matrice!$T$21:$DP$21='Actions de maîtrise'!$C54)*(Matrice!$T$23:$DP$100="X"))=1,"X","erreur"))</f>
        <v/>
      </c>
      <c r="X54" s="276" t="str">
        <f>IF(SUMPRODUCT((Matrice!$D$23:$D$100='Actions de maîtrise'!X$5)*(Matrice!$T$21:$DP$21='Actions de maîtrise'!$C54)*(Matrice!$T$23:$DP$100="X"))=0,"",IF(SUMPRODUCT((Matrice!$D$23:$D$100='Actions de maîtrise'!X$5)*(Matrice!$T$21:$DP$21='Actions de maîtrise'!$C54)*(Matrice!$T$23:$DP$100="X"))=1,"X","erreur"))</f>
        <v/>
      </c>
      <c r="Y54" s="276" t="str">
        <f>IF(SUMPRODUCT((Matrice!$D$23:$D$100='Actions de maîtrise'!Y$5)*(Matrice!$T$21:$DP$21='Actions de maîtrise'!$C54)*(Matrice!$T$23:$DP$100="X"))=0,"",IF(SUMPRODUCT((Matrice!$D$23:$D$100='Actions de maîtrise'!Y$5)*(Matrice!$T$21:$DP$21='Actions de maîtrise'!$C54)*(Matrice!$T$23:$DP$100="X"))=1,"X","erreur"))</f>
        <v/>
      </c>
      <c r="Z54" s="276" t="str">
        <f>IF(SUMPRODUCT((Matrice!$D$23:$D$100='Actions de maîtrise'!Z$5)*(Matrice!$T$21:$DP$21='Actions de maîtrise'!$C54)*(Matrice!$T$23:$DP$100="X"))=0,"",IF(SUMPRODUCT((Matrice!$D$23:$D$100='Actions de maîtrise'!Z$5)*(Matrice!$T$21:$DP$21='Actions de maîtrise'!$C54)*(Matrice!$T$23:$DP$100="X"))=1,"X","erreur"))</f>
        <v/>
      </c>
      <c r="AA54" s="276" t="str">
        <f>IF(SUMPRODUCT((Matrice!$D$23:$D$100='Actions de maîtrise'!AA$5)*(Matrice!$T$21:$DP$21='Actions de maîtrise'!$C54)*(Matrice!$T$23:$DP$100="X"))=0,"",IF(SUMPRODUCT((Matrice!$D$23:$D$100='Actions de maîtrise'!AA$5)*(Matrice!$T$21:$DP$21='Actions de maîtrise'!$C54)*(Matrice!$T$23:$DP$100="X"))=1,"X","erreur"))</f>
        <v/>
      </c>
      <c r="AB54" s="276" t="str">
        <f>IF(SUMPRODUCT((Matrice!$D$23:$D$100='Actions de maîtrise'!AB$5)*(Matrice!$T$21:$DP$21='Actions de maîtrise'!$C54)*(Matrice!$T$23:$DP$100="X"))=0,"",IF(SUMPRODUCT((Matrice!$D$23:$D$100='Actions de maîtrise'!AB$5)*(Matrice!$T$21:$DP$21='Actions de maîtrise'!$C54)*(Matrice!$T$23:$DP$100="X"))=1,"X","erreur"))</f>
        <v/>
      </c>
      <c r="AC54" s="276" t="str">
        <f>IF(SUMPRODUCT((Matrice!$D$23:$D$100='Actions de maîtrise'!AC$5)*(Matrice!$T$21:$DP$21='Actions de maîtrise'!$C54)*(Matrice!$T$23:$DP$100="X"))=0,"",IF(SUMPRODUCT((Matrice!$D$23:$D$100='Actions de maîtrise'!AC$5)*(Matrice!$T$21:$DP$21='Actions de maîtrise'!$C54)*(Matrice!$T$23:$DP$100="X"))=1,"X","erreur"))</f>
        <v/>
      </c>
      <c r="AD54" s="276" t="str">
        <f>IF(SUMPRODUCT((Matrice!$D$23:$D$100='Actions de maîtrise'!AD$5)*(Matrice!$T$21:$DP$21='Actions de maîtrise'!$C54)*(Matrice!$T$23:$DP$100="X"))=0,"",IF(SUMPRODUCT((Matrice!$D$23:$D$100='Actions de maîtrise'!AD$5)*(Matrice!$T$21:$DP$21='Actions de maîtrise'!$C54)*(Matrice!$T$23:$DP$100="X"))=1,"X","erreur"))</f>
        <v/>
      </c>
      <c r="AE54" s="276" t="str">
        <f>IF(SUMPRODUCT((Matrice!$D$23:$D$100='Actions de maîtrise'!AE$5)*(Matrice!$T$21:$DP$21='Actions de maîtrise'!$C54)*(Matrice!$T$23:$DP$100="X"))=0,"",IF(SUMPRODUCT((Matrice!$D$23:$D$100='Actions de maîtrise'!AE$5)*(Matrice!$T$21:$DP$21='Actions de maîtrise'!$C54)*(Matrice!$T$23:$DP$100="X"))=1,"X","erreur"))</f>
        <v/>
      </c>
      <c r="AF54" s="276" t="str">
        <f>IF(SUMPRODUCT((Matrice!$D$23:$D$100='Actions de maîtrise'!AF$5)*(Matrice!$T$21:$DP$21='Actions de maîtrise'!$C54)*(Matrice!$T$23:$DP$100="X"))=0,"",IF(SUMPRODUCT((Matrice!$D$23:$D$100='Actions de maîtrise'!AF$5)*(Matrice!$T$21:$DP$21='Actions de maîtrise'!$C54)*(Matrice!$T$23:$DP$100="X"))=1,"X","erreur"))</f>
        <v/>
      </c>
      <c r="AG54" s="276" t="str">
        <f>IF(SUMPRODUCT((Matrice!$D$23:$D$100='Actions de maîtrise'!AG$5)*(Matrice!$T$21:$DP$21='Actions de maîtrise'!$C54)*(Matrice!$T$23:$DP$100="X"))=0,"",IF(SUMPRODUCT((Matrice!$D$23:$D$100='Actions de maîtrise'!AG$5)*(Matrice!$T$21:$DP$21='Actions de maîtrise'!$C54)*(Matrice!$T$23:$DP$100="X"))=1,"X","erreur"))</f>
        <v/>
      </c>
    </row>
    <row r="55" spans="2:33" ht="18.75" x14ac:dyDescent="0.2">
      <c r="B55" s="309" t="str">
        <f>IF((COUNTIF(Matrice!$2:$2,Matrice!$G$1&amp;"-AM"&amp;Listes!A51)=1)=TRUE,Matrice!$G$1&amp;"-AM"&amp;Listes!A51,"")</f>
        <v/>
      </c>
      <c r="C55" s="178" t="str">
        <f>IF(IF(ISERROR(HLOOKUP(B55,Matrice!$A$2:$DP$100,20,FALSE)),"",HLOOKUP(B55,Matrice!$A$2:$DP$100,20,FALSE))="","",IF(ISERROR(HLOOKUP(B55,Matrice!$A$2:$DP$100,20,FALSE)),"-",HLOOKUP(B55,Matrice!$A$2:$DP$100,20,FALSE)))</f>
        <v/>
      </c>
      <c r="D55" s="179" t="str">
        <f>IF(IF(ISERROR(HLOOKUP(B55,Matrice!$A$2:$DP$100,3,FALSE)),"",HLOOKUP(B55,Matrice!$A$2:$DP$100,3,FALSE))="","",IF(ISERROR(HLOOKUP(B55,Matrice!$A$2:$DP$100,3,FALSE)),"-",HLOOKUP(B55,Matrice!$A$2:$DP$100,3,FALSE)))</f>
        <v/>
      </c>
      <c r="E55" s="305"/>
      <c r="F55" s="179" t="str">
        <f>IF(ISERROR(HLOOKUP($B55,Matrice!$A$2:$DP$100,4,FALSE)),"",IF(HLOOKUP($B55,Matrice!$A$2:$DP$100,4,FALSE)="","",HLOOKUP($B55,Matrice!$A$2:$DP$100,4,FALSE)))</f>
        <v/>
      </c>
      <c r="G55" s="179" t="str">
        <f>IF(ISERROR(HLOOKUP($B55,Matrice!$A$2:$DP$100,5,FALSE)),"",IF(HLOOKUP($B55,Matrice!$A$2:$DP$100,5,FALSE)="","",HLOOKUP($B55,Matrice!$A$2:$DP$100,5,FALSE)))</f>
        <v/>
      </c>
      <c r="H55" s="179" t="str">
        <f>IF(ISERROR(HLOOKUP($B55,Matrice!$A$2:$DP$100,6,FALSE)),"",IF(HLOOKUP($B55,Matrice!$A$2:$DP$100,6,FALSE)="","",HLOOKUP($B55,Matrice!$A$2:$DP$100,6,FALSE)))</f>
        <v/>
      </c>
      <c r="I55" s="179" t="str">
        <f>IF(ISERROR(HLOOKUP($B56,Matrice!$A$2:$DP$100,7,FALSE)),"",IF(HLOOKUP($B56,Matrice!$A$2:$DP$100,7,FALSE)="","",HLOOKUP($B56,Matrice!$A$2:$DP$100,7,FALSE)))</f>
        <v/>
      </c>
      <c r="J55" s="277" t="str">
        <f>IF(ISERROR(HLOOKUP($B55,Matrice!$A$2:$DP$100,12,FALSE)),"",IF(HLOOKUP($B55,Matrice!$A$2:$DP$100,12,FALSE)="","",HLOOKUP($B55,Matrice!$A$2:$DP$100,12,FALSE)))</f>
        <v/>
      </c>
      <c r="K55" s="277" t="str">
        <f>IF(ISERROR(HLOOKUP($B55,Matrice!$A$2:$DP$100,13,FALSE)),"",IF(HLOOKUP($B55,Matrice!$A$2:$DP$100,13,FALSE)="","",HLOOKUP($B55,Matrice!$A$2:$DP$100,13,FALSE)))</f>
        <v/>
      </c>
      <c r="L55" s="333" t="str">
        <f>IF(ISERROR(HLOOKUP($B55,Matrice!$A$2:$DP$100,9,FALSE)),"",IF(HLOOKUP($B55,Matrice!$A$2:$DP$100,9,FALSE)="","",HLOOKUP($B55,Matrice!$A$2:$DP$100,9,FALSE)))</f>
        <v/>
      </c>
      <c r="M55" s="333" t="str">
        <f>IF(ISERROR(HLOOKUP($B55,Matrice!$A$2:$DP$100,10,FALSE)),"",IF(HLOOKUP($B55,Matrice!$A$2:$DP$100,10,FALSE)="","",HLOOKUP($B55,Matrice!$A$2:$DP$100,10,FALSE)))</f>
        <v/>
      </c>
      <c r="N55" s="333" t="str">
        <f>IF(ISERROR(HLOOKUP($B55,Matrice!$A$2:$DP$100,11,FALSE)),"",IF(HLOOKUP($B55,Matrice!$A$2:$DP$100,11,FALSE)="","",HLOOKUP($B55,Matrice!$A$2:$DP$100,11,FALSE)))</f>
        <v/>
      </c>
      <c r="P55" s="276" t="str">
        <f>IF(SUMPRODUCT((Matrice!$D$23:$D$100='Actions de maîtrise'!P$5)*(Matrice!$T$21:$DP$21='Actions de maîtrise'!$C55)*(Matrice!$T$23:$DP$100="X"))=0,"",IF(SUMPRODUCT((Matrice!$D$23:$D$100='Actions de maîtrise'!P$5)*(Matrice!$T$21:$DP$21='Actions de maîtrise'!$C55)*(Matrice!$T$23:$DP$100="X"))=1,"X","erreur"))</f>
        <v/>
      </c>
      <c r="Q55" s="276" t="str">
        <f>IF(SUMPRODUCT((Matrice!$D$23:$D$100='Actions de maîtrise'!Q$5)*(Matrice!$T$21:$DP$21='Actions de maîtrise'!$C55)*(Matrice!$T$23:$DP$100="X"))=0,"",IF(SUMPRODUCT((Matrice!$D$23:$D$100='Actions de maîtrise'!Q$5)*(Matrice!$T$21:$DP$21='Actions de maîtrise'!$C55)*(Matrice!$T$23:$DP$100="X"))=1,"X","erreur"))</f>
        <v/>
      </c>
      <c r="R55" s="276" t="str">
        <f>IF(SUMPRODUCT((Matrice!$D$23:$D$100='Actions de maîtrise'!R$5)*(Matrice!$T$21:$DP$21='Actions de maîtrise'!$C55)*(Matrice!$T$23:$DP$100="X"))=0,"",IF(SUMPRODUCT((Matrice!$D$23:$D$100='Actions de maîtrise'!R$5)*(Matrice!$T$21:$DP$21='Actions de maîtrise'!$C55)*(Matrice!$T$23:$DP$100="X"))=1,"X","erreur"))</f>
        <v/>
      </c>
      <c r="S55" s="276" t="str">
        <f>IF(SUMPRODUCT((Matrice!$D$23:$D$100='Actions de maîtrise'!S$5)*(Matrice!$T$21:$DP$21='Actions de maîtrise'!$C55)*(Matrice!$T$23:$DP$100="X"))=0,"",IF(SUMPRODUCT((Matrice!$D$23:$D$100='Actions de maîtrise'!S$5)*(Matrice!$T$21:$DP$21='Actions de maîtrise'!$C55)*(Matrice!$T$23:$DP$100="X"))=1,"X","erreur"))</f>
        <v/>
      </c>
      <c r="T55" s="276" t="str">
        <f>IF(SUMPRODUCT((Matrice!$D$23:$D$100='Actions de maîtrise'!T$5)*(Matrice!$T$21:$DP$21='Actions de maîtrise'!$C55)*(Matrice!$T$23:$DP$100="X"))=0,"",IF(SUMPRODUCT((Matrice!$D$23:$D$100='Actions de maîtrise'!T$5)*(Matrice!$T$21:$DP$21='Actions de maîtrise'!$C55)*(Matrice!$T$23:$DP$100="X"))=1,"X","erreur"))</f>
        <v/>
      </c>
      <c r="U55" s="276" t="str">
        <f>IF(SUMPRODUCT((Matrice!$D$23:$D$100='Actions de maîtrise'!U$5)*(Matrice!$T$21:$DP$21='Actions de maîtrise'!$C55)*(Matrice!$T$23:$DP$100="X"))=0,"",IF(SUMPRODUCT((Matrice!$D$23:$D$100='Actions de maîtrise'!U$5)*(Matrice!$T$21:$DP$21='Actions de maîtrise'!$C55)*(Matrice!$T$23:$DP$100="X"))=1,"X","erreur"))</f>
        <v/>
      </c>
      <c r="V55" s="276" t="str">
        <f>IF(SUMPRODUCT((Matrice!$D$23:$D$100='Actions de maîtrise'!V$5)*(Matrice!$T$21:$DP$21='Actions de maîtrise'!$C55)*(Matrice!$T$23:$DP$100="X"))=0,"",IF(SUMPRODUCT((Matrice!$D$23:$D$100='Actions de maîtrise'!V$5)*(Matrice!$T$21:$DP$21='Actions de maîtrise'!$C55)*(Matrice!$T$23:$DP$100="X"))=1,"X","erreur"))</f>
        <v/>
      </c>
      <c r="W55" s="276" t="str">
        <f>IF(SUMPRODUCT((Matrice!$D$23:$D$100='Actions de maîtrise'!W$5)*(Matrice!$T$21:$DP$21='Actions de maîtrise'!$C55)*(Matrice!$T$23:$DP$100="X"))=0,"",IF(SUMPRODUCT((Matrice!$D$23:$D$100='Actions de maîtrise'!W$5)*(Matrice!$T$21:$DP$21='Actions de maîtrise'!$C55)*(Matrice!$T$23:$DP$100="X"))=1,"X","erreur"))</f>
        <v/>
      </c>
      <c r="X55" s="276" t="str">
        <f>IF(SUMPRODUCT((Matrice!$D$23:$D$100='Actions de maîtrise'!X$5)*(Matrice!$T$21:$DP$21='Actions de maîtrise'!$C55)*(Matrice!$T$23:$DP$100="X"))=0,"",IF(SUMPRODUCT((Matrice!$D$23:$D$100='Actions de maîtrise'!X$5)*(Matrice!$T$21:$DP$21='Actions de maîtrise'!$C55)*(Matrice!$T$23:$DP$100="X"))=1,"X","erreur"))</f>
        <v/>
      </c>
      <c r="Y55" s="276" t="str">
        <f>IF(SUMPRODUCT((Matrice!$D$23:$D$100='Actions de maîtrise'!Y$5)*(Matrice!$T$21:$DP$21='Actions de maîtrise'!$C55)*(Matrice!$T$23:$DP$100="X"))=0,"",IF(SUMPRODUCT((Matrice!$D$23:$D$100='Actions de maîtrise'!Y$5)*(Matrice!$T$21:$DP$21='Actions de maîtrise'!$C55)*(Matrice!$T$23:$DP$100="X"))=1,"X","erreur"))</f>
        <v/>
      </c>
      <c r="Z55" s="276" t="str">
        <f>IF(SUMPRODUCT((Matrice!$D$23:$D$100='Actions de maîtrise'!Z$5)*(Matrice!$T$21:$DP$21='Actions de maîtrise'!$C55)*(Matrice!$T$23:$DP$100="X"))=0,"",IF(SUMPRODUCT((Matrice!$D$23:$D$100='Actions de maîtrise'!Z$5)*(Matrice!$T$21:$DP$21='Actions de maîtrise'!$C55)*(Matrice!$T$23:$DP$100="X"))=1,"X","erreur"))</f>
        <v/>
      </c>
      <c r="AA55" s="276" t="str">
        <f>IF(SUMPRODUCT((Matrice!$D$23:$D$100='Actions de maîtrise'!AA$5)*(Matrice!$T$21:$DP$21='Actions de maîtrise'!$C55)*(Matrice!$T$23:$DP$100="X"))=0,"",IF(SUMPRODUCT((Matrice!$D$23:$D$100='Actions de maîtrise'!AA$5)*(Matrice!$T$21:$DP$21='Actions de maîtrise'!$C55)*(Matrice!$T$23:$DP$100="X"))=1,"X","erreur"))</f>
        <v/>
      </c>
      <c r="AB55" s="276" t="str">
        <f>IF(SUMPRODUCT((Matrice!$D$23:$D$100='Actions de maîtrise'!AB$5)*(Matrice!$T$21:$DP$21='Actions de maîtrise'!$C55)*(Matrice!$T$23:$DP$100="X"))=0,"",IF(SUMPRODUCT((Matrice!$D$23:$D$100='Actions de maîtrise'!AB$5)*(Matrice!$T$21:$DP$21='Actions de maîtrise'!$C55)*(Matrice!$T$23:$DP$100="X"))=1,"X","erreur"))</f>
        <v/>
      </c>
      <c r="AC55" s="276" t="str">
        <f>IF(SUMPRODUCT((Matrice!$D$23:$D$100='Actions de maîtrise'!AC$5)*(Matrice!$T$21:$DP$21='Actions de maîtrise'!$C55)*(Matrice!$T$23:$DP$100="X"))=0,"",IF(SUMPRODUCT((Matrice!$D$23:$D$100='Actions de maîtrise'!AC$5)*(Matrice!$T$21:$DP$21='Actions de maîtrise'!$C55)*(Matrice!$T$23:$DP$100="X"))=1,"X","erreur"))</f>
        <v/>
      </c>
      <c r="AD55" s="276" t="str">
        <f>IF(SUMPRODUCT((Matrice!$D$23:$D$100='Actions de maîtrise'!AD$5)*(Matrice!$T$21:$DP$21='Actions de maîtrise'!$C55)*(Matrice!$T$23:$DP$100="X"))=0,"",IF(SUMPRODUCT((Matrice!$D$23:$D$100='Actions de maîtrise'!AD$5)*(Matrice!$T$21:$DP$21='Actions de maîtrise'!$C55)*(Matrice!$T$23:$DP$100="X"))=1,"X","erreur"))</f>
        <v/>
      </c>
      <c r="AE55" s="276" t="str">
        <f>IF(SUMPRODUCT((Matrice!$D$23:$D$100='Actions de maîtrise'!AE$5)*(Matrice!$T$21:$DP$21='Actions de maîtrise'!$C55)*(Matrice!$T$23:$DP$100="X"))=0,"",IF(SUMPRODUCT((Matrice!$D$23:$D$100='Actions de maîtrise'!AE$5)*(Matrice!$T$21:$DP$21='Actions de maîtrise'!$C55)*(Matrice!$T$23:$DP$100="X"))=1,"X","erreur"))</f>
        <v/>
      </c>
      <c r="AF55" s="276" t="str">
        <f>IF(SUMPRODUCT((Matrice!$D$23:$D$100='Actions de maîtrise'!AF$5)*(Matrice!$T$21:$DP$21='Actions de maîtrise'!$C55)*(Matrice!$T$23:$DP$100="X"))=0,"",IF(SUMPRODUCT((Matrice!$D$23:$D$100='Actions de maîtrise'!AF$5)*(Matrice!$T$21:$DP$21='Actions de maîtrise'!$C55)*(Matrice!$T$23:$DP$100="X"))=1,"X","erreur"))</f>
        <v/>
      </c>
      <c r="AG55" s="276" t="str">
        <f>IF(SUMPRODUCT((Matrice!$D$23:$D$100='Actions de maîtrise'!AG$5)*(Matrice!$T$21:$DP$21='Actions de maîtrise'!$C55)*(Matrice!$T$23:$DP$100="X"))=0,"",IF(SUMPRODUCT((Matrice!$D$23:$D$100='Actions de maîtrise'!AG$5)*(Matrice!$T$21:$DP$21='Actions de maîtrise'!$C55)*(Matrice!$T$23:$DP$100="X"))=1,"X","erreur"))</f>
        <v/>
      </c>
    </row>
    <row r="56" spans="2:33" ht="18.75" x14ac:dyDescent="0.2">
      <c r="B56" s="309" t="str">
        <f>IF((COUNTIF(Matrice!$2:$2,Matrice!$G$1&amp;"-AM"&amp;Listes!A52)=1)=TRUE,Matrice!$G$1&amp;"-AM"&amp;Listes!A52,"")</f>
        <v/>
      </c>
      <c r="C56" s="178" t="str">
        <f>IF(IF(ISERROR(HLOOKUP(B56,Matrice!$A$2:$DP$100,20,FALSE)),"",HLOOKUP(B56,Matrice!$A$2:$DP$100,20,FALSE))="","",IF(ISERROR(HLOOKUP(B56,Matrice!$A$2:$DP$100,20,FALSE)),"-",HLOOKUP(B56,Matrice!$A$2:$DP$100,20,FALSE)))</f>
        <v/>
      </c>
      <c r="D56" s="179" t="str">
        <f>IF(IF(ISERROR(HLOOKUP(B56,Matrice!$A$2:$DP$100,3,FALSE)),"",HLOOKUP(B56,Matrice!$A$2:$DP$100,3,FALSE))="","",IF(ISERROR(HLOOKUP(B56,Matrice!$A$2:$DP$100,3,FALSE)),"-",HLOOKUP(B56,Matrice!$A$2:$DP$100,3,FALSE)))</f>
        <v/>
      </c>
      <c r="E56" s="305"/>
      <c r="F56" s="179" t="str">
        <f>IF(ISERROR(HLOOKUP($B56,Matrice!$A$2:$DP$100,4,FALSE)),"",IF(HLOOKUP($B56,Matrice!$A$2:$DP$100,4,FALSE)="","",HLOOKUP($B56,Matrice!$A$2:$DP$100,4,FALSE)))</f>
        <v/>
      </c>
      <c r="G56" s="179" t="str">
        <f>IF(ISERROR(HLOOKUP($B56,Matrice!$A$2:$DP$100,5,FALSE)),"",IF(HLOOKUP($B56,Matrice!$A$2:$DP$100,5,FALSE)="","",HLOOKUP($B56,Matrice!$A$2:$DP$100,5,FALSE)))</f>
        <v/>
      </c>
      <c r="H56" s="179" t="str">
        <f>IF(ISERROR(HLOOKUP($B56,Matrice!$A$2:$DP$100,6,FALSE)),"",IF(HLOOKUP($B56,Matrice!$A$2:$DP$100,6,FALSE)="","",HLOOKUP($B56,Matrice!$A$2:$DP$100,6,FALSE)))</f>
        <v/>
      </c>
      <c r="I56" s="179" t="str">
        <f>IF(ISERROR(HLOOKUP($B57,Matrice!$A$2:$DP$100,7,FALSE)),"",IF(HLOOKUP($B57,Matrice!$A$2:$DP$100,7,FALSE)="","",HLOOKUP($B57,Matrice!$A$2:$DP$100,7,FALSE)))</f>
        <v/>
      </c>
      <c r="J56" s="277" t="str">
        <f>IF(ISERROR(HLOOKUP($B56,Matrice!$A$2:$DP$100,12,FALSE)),"",IF(HLOOKUP($B56,Matrice!$A$2:$DP$100,12,FALSE)="","",HLOOKUP($B56,Matrice!$A$2:$DP$100,12,FALSE)))</f>
        <v/>
      </c>
      <c r="K56" s="277" t="str">
        <f>IF(ISERROR(HLOOKUP($B56,Matrice!$A$2:$DP$100,13,FALSE)),"",IF(HLOOKUP($B56,Matrice!$A$2:$DP$100,13,FALSE)="","",HLOOKUP($B56,Matrice!$A$2:$DP$100,13,FALSE)))</f>
        <v/>
      </c>
      <c r="L56" s="333" t="str">
        <f>IF(ISERROR(HLOOKUP($B56,Matrice!$A$2:$DP$100,9,FALSE)),"",IF(HLOOKUP($B56,Matrice!$A$2:$DP$100,9,FALSE)="","",HLOOKUP($B56,Matrice!$A$2:$DP$100,9,FALSE)))</f>
        <v/>
      </c>
      <c r="M56" s="333" t="str">
        <f>IF(ISERROR(HLOOKUP($B56,Matrice!$A$2:$DP$100,10,FALSE)),"",IF(HLOOKUP($B56,Matrice!$A$2:$DP$100,10,FALSE)="","",HLOOKUP($B56,Matrice!$A$2:$DP$100,10,FALSE)))</f>
        <v/>
      </c>
      <c r="N56" s="333" t="str">
        <f>IF(ISERROR(HLOOKUP($B56,Matrice!$A$2:$DP$100,11,FALSE)),"",IF(HLOOKUP($B56,Matrice!$A$2:$DP$100,11,FALSE)="","",HLOOKUP($B56,Matrice!$A$2:$DP$100,11,FALSE)))</f>
        <v/>
      </c>
      <c r="P56" s="276" t="str">
        <f>IF(SUMPRODUCT((Matrice!$D$23:$D$100='Actions de maîtrise'!P$5)*(Matrice!$T$21:$DP$21='Actions de maîtrise'!$C56)*(Matrice!$T$23:$DP$100="X"))=0,"",IF(SUMPRODUCT((Matrice!$D$23:$D$100='Actions de maîtrise'!P$5)*(Matrice!$T$21:$DP$21='Actions de maîtrise'!$C56)*(Matrice!$T$23:$DP$100="X"))=1,"X","erreur"))</f>
        <v/>
      </c>
      <c r="Q56" s="276" t="str">
        <f>IF(SUMPRODUCT((Matrice!$D$23:$D$100='Actions de maîtrise'!Q$5)*(Matrice!$T$21:$DP$21='Actions de maîtrise'!$C56)*(Matrice!$T$23:$DP$100="X"))=0,"",IF(SUMPRODUCT((Matrice!$D$23:$D$100='Actions de maîtrise'!Q$5)*(Matrice!$T$21:$DP$21='Actions de maîtrise'!$C56)*(Matrice!$T$23:$DP$100="X"))=1,"X","erreur"))</f>
        <v/>
      </c>
      <c r="R56" s="276" t="str">
        <f>IF(SUMPRODUCT((Matrice!$D$23:$D$100='Actions de maîtrise'!R$5)*(Matrice!$T$21:$DP$21='Actions de maîtrise'!$C56)*(Matrice!$T$23:$DP$100="X"))=0,"",IF(SUMPRODUCT((Matrice!$D$23:$D$100='Actions de maîtrise'!R$5)*(Matrice!$T$21:$DP$21='Actions de maîtrise'!$C56)*(Matrice!$T$23:$DP$100="X"))=1,"X","erreur"))</f>
        <v/>
      </c>
      <c r="S56" s="276" t="str">
        <f>IF(SUMPRODUCT((Matrice!$D$23:$D$100='Actions de maîtrise'!S$5)*(Matrice!$T$21:$DP$21='Actions de maîtrise'!$C56)*(Matrice!$T$23:$DP$100="X"))=0,"",IF(SUMPRODUCT((Matrice!$D$23:$D$100='Actions de maîtrise'!S$5)*(Matrice!$T$21:$DP$21='Actions de maîtrise'!$C56)*(Matrice!$T$23:$DP$100="X"))=1,"X","erreur"))</f>
        <v/>
      </c>
      <c r="T56" s="276" t="str">
        <f>IF(SUMPRODUCT((Matrice!$D$23:$D$100='Actions de maîtrise'!T$5)*(Matrice!$T$21:$DP$21='Actions de maîtrise'!$C56)*(Matrice!$T$23:$DP$100="X"))=0,"",IF(SUMPRODUCT((Matrice!$D$23:$D$100='Actions de maîtrise'!T$5)*(Matrice!$T$21:$DP$21='Actions de maîtrise'!$C56)*(Matrice!$T$23:$DP$100="X"))=1,"X","erreur"))</f>
        <v/>
      </c>
      <c r="U56" s="276" t="str">
        <f>IF(SUMPRODUCT((Matrice!$D$23:$D$100='Actions de maîtrise'!U$5)*(Matrice!$T$21:$DP$21='Actions de maîtrise'!$C56)*(Matrice!$T$23:$DP$100="X"))=0,"",IF(SUMPRODUCT((Matrice!$D$23:$D$100='Actions de maîtrise'!U$5)*(Matrice!$T$21:$DP$21='Actions de maîtrise'!$C56)*(Matrice!$T$23:$DP$100="X"))=1,"X","erreur"))</f>
        <v/>
      </c>
      <c r="V56" s="276" t="str">
        <f>IF(SUMPRODUCT((Matrice!$D$23:$D$100='Actions de maîtrise'!V$5)*(Matrice!$T$21:$DP$21='Actions de maîtrise'!$C56)*(Matrice!$T$23:$DP$100="X"))=0,"",IF(SUMPRODUCT((Matrice!$D$23:$D$100='Actions de maîtrise'!V$5)*(Matrice!$T$21:$DP$21='Actions de maîtrise'!$C56)*(Matrice!$T$23:$DP$100="X"))=1,"X","erreur"))</f>
        <v/>
      </c>
      <c r="W56" s="276" t="str">
        <f>IF(SUMPRODUCT((Matrice!$D$23:$D$100='Actions de maîtrise'!W$5)*(Matrice!$T$21:$DP$21='Actions de maîtrise'!$C56)*(Matrice!$T$23:$DP$100="X"))=0,"",IF(SUMPRODUCT((Matrice!$D$23:$D$100='Actions de maîtrise'!W$5)*(Matrice!$T$21:$DP$21='Actions de maîtrise'!$C56)*(Matrice!$T$23:$DP$100="X"))=1,"X","erreur"))</f>
        <v/>
      </c>
      <c r="X56" s="276" t="str">
        <f>IF(SUMPRODUCT((Matrice!$D$23:$D$100='Actions de maîtrise'!X$5)*(Matrice!$T$21:$DP$21='Actions de maîtrise'!$C56)*(Matrice!$T$23:$DP$100="X"))=0,"",IF(SUMPRODUCT((Matrice!$D$23:$D$100='Actions de maîtrise'!X$5)*(Matrice!$T$21:$DP$21='Actions de maîtrise'!$C56)*(Matrice!$T$23:$DP$100="X"))=1,"X","erreur"))</f>
        <v/>
      </c>
      <c r="Y56" s="276" t="str">
        <f>IF(SUMPRODUCT((Matrice!$D$23:$D$100='Actions de maîtrise'!Y$5)*(Matrice!$T$21:$DP$21='Actions de maîtrise'!$C56)*(Matrice!$T$23:$DP$100="X"))=0,"",IF(SUMPRODUCT((Matrice!$D$23:$D$100='Actions de maîtrise'!Y$5)*(Matrice!$T$21:$DP$21='Actions de maîtrise'!$C56)*(Matrice!$T$23:$DP$100="X"))=1,"X","erreur"))</f>
        <v/>
      </c>
      <c r="Z56" s="276" t="str">
        <f>IF(SUMPRODUCT((Matrice!$D$23:$D$100='Actions de maîtrise'!Z$5)*(Matrice!$T$21:$DP$21='Actions de maîtrise'!$C56)*(Matrice!$T$23:$DP$100="X"))=0,"",IF(SUMPRODUCT((Matrice!$D$23:$D$100='Actions de maîtrise'!Z$5)*(Matrice!$T$21:$DP$21='Actions de maîtrise'!$C56)*(Matrice!$T$23:$DP$100="X"))=1,"X","erreur"))</f>
        <v/>
      </c>
      <c r="AA56" s="276" t="str">
        <f>IF(SUMPRODUCT((Matrice!$D$23:$D$100='Actions de maîtrise'!AA$5)*(Matrice!$T$21:$DP$21='Actions de maîtrise'!$C56)*(Matrice!$T$23:$DP$100="X"))=0,"",IF(SUMPRODUCT((Matrice!$D$23:$D$100='Actions de maîtrise'!AA$5)*(Matrice!$T$21:$DP$21='Actions de maîtrise'!$C56)*(Matrice!$T$23:$DP$100="X"))=1,"X","erreur"))</f>
        <v/>
      </c>
      <c r="AB56" s="276" t="str">
        <f>IF(SUMPRODUCT((Matrice!$D$23:$D$100='Actions de maîtrise'!AB$5)*(Matrice!$T$21:$DP$21='Actions de maîtrise'!$C56)*(Matrice!$T$23:$DP$100="X"))=0,"",IF(SUMPRODUCT((Matrice!$D$23:$D$100='Actions de maîtrise'!AB$5)*(Matrice!$T$21:$DP$21='Actions de maîtrise'!$C56)*(Matrice!$T$23:$DP$100="X"))=1,"X","erreur"))</f>
        <v/>
      </c>
      <c r="AC56" s="276" t="str">
        <f>IF(SUMPRODUCT((Matrice!$D$23:$D$100='Actions de maîtrise'!AC$5)*(Matrice!$T$21:$DP$21='Actions de maîtrise'!$C56)*(Matrice!$T$23:$DP$100="X"))=0,"",IF(SUMPRODUCT((Matrice!$D$23:$D$100='Actions de maîtrise'!AC$5)*(Matrice!$T$21:$DP$21='Actions de maîtrise'!$C56)*(Matrice!$T$23:$DP$100="X"))=1,"X","erreur"))</f>
        <v/>
      </c>
      <c r="AD56" s="276" t="str">
        <f>IF(SUMPRODUCT((Matrice!$D$23:$D$100='Actions de maîtrise'!AD$5)*(Matrice!$T$21:$DP$21='Actions de maîtrise'!$C56)*(Matrice!$T$23:$DP$100="X"))=0,"",IF(SUMPRODUCT((Matrice!$D$23:$D$100='Actions de maîtrise'!AD$5)*(Matrice!$T$21:$DP$21='Actions de maîtrise'!$C56)*(Matrice!$T$23:$DP$100="X"))=1,"X","erreur"))</f>
        <v/>
      </c>
      <c r="AE56" s="276" t="str">
        <f>IF(SUMPRODUCT((Matrice!$D$23:$D$100='Actions de maîtrise'!AE$5)*(Matrice!$T$21:$DP$21='Actions de maîtrise'!$C56)*(Matrice!$T$23:$DP$100="X"))=0,"",IF(SUMPRODUCT((Matrice!$D$23:$D$100='Actions de maîtrise'!AE$5)*(Matrice!$T$21:$DP$21='Actions de maîtrise'!$C56)*(Matrice!$T$23:$DP$100="X"))=1,"X","erreur"))</f>
        <v/>
      </c>
      <c r="AF56" s="276" t="str">
        <f>IF(SUMPRODUCT((Matrice!$D$23:$D$100='Actions de maîtrise'!AF$5)*(Matrice!$T$21:$DP$21='Actions de maîtrise'!$C56)*(Matrice!$T$23:$DP$100="X"))=0,"",IF(SUMPRODUCT((Matrice!$D$23:$D$100='Actions de maîtrise'!AF$5)*(Matrice!$T$21:$DP$21='Actions de maîtrise'!$C56)*(Matrice!$T$23:$DP$100="X"))=1,"X","erreur"))</f>
        <v/>
      </c>
      <c r="AG56" s="276" t="str">
        <f>IF(SUMPRODUCT((Matrice!$D$23:$D$100='Actions de maîtrise'!AG$5)*(Matrice!$T$21:$DP$21='Actions de maîtrise'!$C56)*(Matrice!$T$23:$DP$100="X"))=0,"",IF(SUMPRODUCT((Matrice!$D$23:$D$100='Actions de maîtrise'!AG$5)*(Matrice!$T$21:$DP$21='Actions de maîtrise'!$C56)*(Matrice!$T$23:$DP$100="X"))=1,"X","erreur"))</f>
        <v/>
      </c>
    </row>
    <row r="57" spans="2:33" ht="18.75" x14ac:dyDescent="0.2">
      <c r="B57" s="309" t="str">
        <f>IF((COUNTIF(Matrice!$2:$2,Matrice!$G$1&amp;"-AM"&amp;Listes!A53)=1)=TRUE,Matrice!$G$1&amp;"-AM"&amp;Listes!A53,"")</f>
        <v/>
      </c>
      <c r="C57" s="178" t="str">
        <f>IF(IF(ISERROR(HLOOKUP(B57,Matrice!$A$2:$DP$100,20,FALSE)),"",HLOOKUP(B57,Matrice!$A$2:$DP$100,20,FALSE))="","",IF(ISERROR(HLOOKUP(B57,Matrice!$A$2:$DP$100,20,FALSE)),"-",HLOOKUP(B57,Matrice!$A$2:$DP$100,20,FALSE)))</f>
        <v/>
      </c>
      <c r="D57" s="179" t="str">
        <f>IF(IF(ISERROR(HLOOKUP(B57,Matrice!$A$2:$DP$100,3,FALSE)),"",HLOOKUP(B57,Matrice!$A$2:$DP$100,3,FALSE))="","",IF(ISERROR(HLOOKUP(B57,Matrice!$A$2:$DP$100,3,FALSE)),"-",HLOOKUP(B57,Matrice!$A$2:$DP$100,3,FALSE)))</f>
        <v/>
      </c>
      <c r="E57" s="305"/>
      <c r="F57" s="179" t="str">
        <f>IF(ISERROR(HLOOKUP($B57,Matrice!$A$2:$DP$100,4,FALSE)),"",IF(HLOOKUP($B57,Matrice!$A$2:$DP$100,4,FALSE)="","",HLOOKUP($B57,Matrice!$A$2:$DP$100,4,FALSE)))</f>
        <v/>
      </c>
      <c r="G57" s="179" t="str">
        <f>IF(ISERROR(HLOOKUP($B57,Matrice!$A$2:$DP$100,5,FALSE)),"",IF(HLOOKUP($B57,Matrice!$A$2:$DP$100,5,FALSE)="","",HLOOKUP($B57,Matrice!$A$2:$DP$100,5,FALSE)))</f>
        <v/>
      </c>
      <c r="H57" s="179" t="str">
        <f>IF(ISERROR(HLOOKUP($B57,Matrice!$A$2:$DP$100,6,FALSE)),"",IF(HLOOKUP($B57,Matrice!$A$2:$DP$100,6,FALSE)="","",HLOOKUP($B57,Matrice!$A$2:$DP$100,6,FALSE)))</f>
        <v/>
      </c>
      <c r="I57" s="179" t="str">
        <f>IF(ISERROR(HLOOKUP($B58,Matrice!$A$2:$DP$100,7,FALSE)),"",IF(HLOOKUP($B58,Matrice!$A$2:$DP$100,7,FALSE)="","",HLOOKUP($B58,Matrice!$A$2:$DP$100,7,FALSE)))</f>
        <v/>
      </c>
      <c r="J57" s="277" t="str">
        <f>IF(ISERROR(HLOOKUP($B57,Matrice!$A$2:$DP$100,12,FALSE)),"",IF(HLOOKUP($B57,Matrice!$A$2:$DP$100,12,FALSE)="","",HLOOKUP($B57,Matrice!$A$2:$DP$100,12,FALSE)))</f>
        <v/>
      </c>
      <c r="K57" s="277" t="str">
        <f>IF(ISERROR(HLOOKUP($B57,Matrice!$A$2:$DP$100,13,FALSE)),"",IF(HLOOKUP($B57,Matrice!$A$2:$DP$100,13,FALSE)="","",HLOOKUP($B57,Matrice!$A$2:$DP$100,13,FALSE)))</f>
        <v/>
      </c>
      <c r="L57" s="333" t="str">
        <f>IF(ISERROR(HLOOKUP($B57,Matrice!$A$2:$DP$100,9,FALSE)),"",IF(HLOOKUP($B57,Matrice!$A$2:$DP$100,9,FALSE)="","",HLOOKUP($B57,Matrice!$A$2:$DP$100,9,FALSE)))</f>
        <v/>
      </c>
      <c r="M57" s="333" t="str">
        <f>IF(ISERROR(HLOOKUP($B57,Matrice!$A$2:$DP$100,10,FALSE)),"",IF(HLOOKUP($B57,Matrice!$A$2:$DP$100,10,FALSE)="","",HLOOKUP($B57,Matrice!$A$2:$DP$100,10,FALSE)))</f>
        <v/>
      </c>
      <c r="N57" s="333" t="str">
        <f>IF(ISERROR(HLOOKUP($B57,Matrice!$A$2:$DP$100,11,FALSE)),"",IF(HLOOKUP($B57,Matrice!$A$2:$DP$100,11,FALSE)="","",HLOOKUP($B57,Matrice!$A$2:$DP$100,11,FALSE)))</f>
        <v/>
      </c>
      <c r="P57" s="276" t="str">
        <f>IF(SUMPRODUCT((Matrice!$D$23:$D$100='Actions de maîtrise'!P$5)*(Matrice!$T$21:$DP$21='Actions de maîtrise'!$C57)*(Matrice!$T$23:$DP$100="X"))=0,"",IF(SUMPRODUCT((Matrice!$D$23:$D$100='Actions de maîtrise'!P$5)*(Matrice!$T$21:$DP$21='Actions de maîtrise'!$C57)*(Matrice!$T$23:$DP$100="X"))=1,"X","erreur"))</f>
        <v/>
      </c>
      <c r="Q57" s="276" t="str">
        <f>IF(SUMPRODUCT((Matrice!$D$23:$D$100='Actions de maîtrise'!Q$5)*(Matrice!$T$21:$DP$21='Actions de maîtrise'!$C57)*(Matrice!$T$23:$DP$100="X"))=0,"",IF(SUMPRODUCT((Matrice!$D$23:$D$100='Actions de maîtrise'!Q$5)*(Matrice!$T$21:$DP$21='Actions de maîtrise'!$C57)*(Matrice!$T$23:$DP$100="X"))=1,"X","erreur"))</f>
        <v/>
      </c>
      <c r="R57" s="276" t="str">
        <f>IF(SUMPRODUCT((Matrice!$D$23:$D$100='Actions de maîtrise'!R$5)*(Matrice!$T$21:$DP$21='Actions de maîtrise'!$C57)*(Matrice!$T$23:$DP$100="X"))=0,"",IF(SUMPRODUCT((Matrice!$D$23:$D$100='Actions de maîtrise'!R$5)*(Matrice!$T$21:$DP$21='Actions de maîtrise'!$C57)*(Matrice!$T$23:$DP$100="X"))=1,"X","erreur"))</f>
        <v/>
      </c>
      <c r="S57" s="276" t="str">
        <f>IF(SUMPRODUCT((Matrice!$D$23:$D$100='Actions de maîtrise'!S$5)*(Matrice!$T$21:$DP$21='Actions de maîtrise'!$C57)*(Matrice!$T$23:$DP$100="X"))=0,"",IF(SUMPRODUCT((Matrice!$D$23:$D$100='Actions de maîtrise'!S$5)*(Matrice!$T$21:$DP$21='Actions de maîtrise'!$C57)*(Matrice!$T$23:$DP$100="X"))=1,"X","erreur"))</f>
        <v/>
      </c>
      <c r="T57" s="276" t="str">
        <f>IF(SUMPRODUCT((Matrice!$D$23:$D$100='Actions de maîtrise'!T$5)*(Matrice!$T$21:$DP$21='Actions de maîtrise'!$C57)*(Matrice!$T$23:$DP$100="X"))=0,"",IF(SUMPRODUCT((Matrice!$D$23:$D$100='Actions de maîtrise'!T$5)*(Matrice!$T$21:$DP$21='Actions de maîtrise'!$C57)*(Matrice!$T$23:$DP$100="X"))=1,"X","erreur"))</f>
        <v/>
      </c>
      <c r="U57" s="276" t="str">
        <f>IF(SUMPRODUCT((Matrice!$D$23:$D$100='Actions de maîtrise'!U$5)*(Matrice!$T$21:$DP$21='Actions de maîtrise'!$C57)*(Matrice!$T$23:$DP$100="X"))=0,"",IF(SUMPRODUCT((Matrice!$D$23:$D$100='Actions de maîtrise'!U$5)*(Matrice!$T$21:$DP$21='Actions de maîtrise'!$C57)*(Matrice!$T$23:$DP$100="X"))=1,"X","erreur"))</f>
        <v/>
      </c>
      <c r="V57" s="276" t="str">
        <f>IF(SUMPRODUCT((Matrice!$D$23:$D$100='Actions de maîtrise'!V$5)*(Matrice!$T$21:$DP$21='Actions de maîtrise'!$C57)*(Matrice!$T$23:$DP$100="X"))=0,"",IF(SUMPRODUCT((Matrice!$D$23:$D$100='Actions de maîtrise'!V$5)*(Matrice!$T$21:$DP$21='Actions de maîtrise'!$C57)*(Matrice!$T$23:$DP$100="X"))=1,"X","erreur"))</f>
        <v/>
      </c>
      <c r="W57" s="276" t="str">
        <f>IF(SUMPRODUCT((Matrice!$D$23:$D$100='Actions de maîtrise'!W$5)*(Matrice!$T$21:$DP$21='Actions de maîtrise'!$C57)*(Matrice!$T$23:$DP$100="X"))=0,"",IF(SUMPRODUCT((Matrice!$D$23:$D$100='Actions de maîtrise'!W$5)*(Matrice!$T$21:$DP$21='Actions de maîtrise'!$C57)*(Matrice!$T$23:$DP$100="X"))=1,"X","erreur"))</f>
        <v/>
      </c>
      <c r="X57" s="276" t="str">
        <f>IF(SUMPRODUCT((Matrice!$D$23:$D$100='Actions de maîtrise'!X$5)*(Matrice!$T$21:$DP$21='Actions de maîtrise'!$C57)*(Matrice!$T$23:$DP$100="X"))=0,"",IF(SUMPRODUCT((Matrice!$D$23:$D$100='Actions de maîtrise'!X$5)*(Matrice!$T$21:$DP$21='Actions de maîtrise'!$C57)*(Matrice!$T$23:$DP$100="X"))=1,"X","erreur"))</f>
        <v/>
      </c>
      <c r="Y57" s="276" t="str">
        <f>IF(SUMPRODUCT((Matrice!$D$23:$D$100='Actions de maîtrise'!Y$5)*(Matrice!$T$21:$DP$21='Actions de maîtrise'!$C57)*(Matrice!$T$23:$DP$100="X"))=0,"",IF(SUMPRODUCT((Matrice!$D$23:$D$100='Actions de maîtrise'!Y$5)*(Matrice!$T$21:$DP$21='Actions de maîtrise'!$C57)*(Matrice!$T$23:$DP$100="X"))=1,"X","erreur"))</f>
        <v/>
      </c>
      <c r="Z57" s="276" t="str">
        <f>IF(SUMPRODUCT((Matrice!$D$23:$D$100='Actions de maîtrise'!Z$5)*(Matrice!$T$21:$DP$21='Actions de maîtrise'!$C57)*(Matrice!$T$23:$DP$100="X"))=0,"",IF(SUMPRODUCT((Matrice!$D$23:$D$100='Actions de maîtrise'!Z$5)*(Matrice!$T$21:$DP$21='Actions de maîtrise'!$C57)*(Matrice!$T$23:$DP$100="X"))=1,"X","erreur"))</f>
        <v/>
      </c>
      <c r="AA57" s="276" t="str">
        <f>IF(SUMPRODUCT((Matrice!$D$23:$D$100='Actions de maîtrise'!AA$5)*(Matrice!$T$21:$DP$21='Actions de maîtrise'!$C57)*(Matrice!$T$23:$DP$100="X"))=0,"",IF(SUMPRODUCT((Matrice!$D$23:$D$100='Actions de maîtrise'!AA$5)*(Matrice!$T$21:$DP$21='Actions de maîtrise'!$C57)*(Matrice!$T$23:$DP$100="X"))=1,"X","erreur"))</f>
        <v/>
      </c>
      <c r="AB57" s="276" t="str">
        <f>IF(SUMPRODUCT((Matrice!$D$23:$D$100='Actions de maîtrise'!AB$5)*(Matrice!$T$21:$DP$21='Actions de maîtrise'!$C57)*(Matrice!$T$23:$DP$100="X"))=0,"",IF(SUMPRODUCT((Matrice!$D$23:$D$100='Actions de maîtrise'!AB$5)*(Matrice!$T$21:$DP$21='Actions de maîtrise'!$C57)*(Matrice!$T$23:$DP$100="X"))=1,"X","erreur"))</f>
        <v/>
      </c>
      <c r="AC57" s="276" t="str">
        <f>IF(SUMPRODUCT((Matrice!$D$23:$D$100='Actions de maîtrise'!AC$5)*(Matrice!$T$21:$DP$21='Actions de maîtrise'!$C57)*(Matrice!$T$23:$DP$100="X"))=0,"",IF(SUMPRODUCT((Matrice!$D$23:$D$100='Actions de maîtrise'!AC$5)*(Matrice!$T$21:$DP$21='Actions de maîtrise'!$C57)*(Matrice!$T$23:$DP$100="X"))=1,"X","erreur"))</f>
        <v/>
      </c>
      <c r="AD57" s="276" t="str">
        <f>IF(SUMPRODUCT((Matrice!$D$23:$D$100='Actions de maîtrise'!AD$5)*(Matrice!$T$21:$DP$21='Actions de maîtrise'!$C57)*(Matrice!$T$23:$DP$100="X"))=0,"",IF(SUMPRODUCT((Matrice!$D$23:$D$100='Actions de maîtrise'!AD$5)*(Matrice!$T$21:$DP$21='Actions de maîtrise'!$C57)*(Matrice!$T$23:$DP$100="X"))=1,"X","erreur"))</f>
        <v/>
      </c>
      <c r="AE57" s="276" t="str">
        <f>IF(SUMPRODUCT((Matrice!$D$23:$D$100='Actions de maîtrise'!AE$5)*(Matrice!$T$21:$DP$21='Actions de maîtrise'!$C57)*(Matrice!$T$23:$DP$100="X"))=0,"",IF(SUMPRODUCT((Matrice!$D$23:$D$100='Actions de maîtrise'!AE$5)*(Matrice!$T$21:$DP$21='Actions de maîtrise'!$C57)*(Matrice!$T$23:$DP$100="X"))=1,"X","erreur"))</f>
        <v/>
      </c>
      <c r="AF57" s="276" t="str">
        <f>IF(SUMPRODUCT((Matrice!$D$23:$D$100='Actions de maîtrise'!AF$5)*(Matrice!$T$21:$DP$21='Actions de maîtrise'!$C57)*(Matrice!$T$23:$DP$100="X"))=0,"",IF(SUMPRODUCT((Matrice!$D$23:$D$100='Actions de maîtrise'!AF$5)*(Matrice!$T$21:$DP$21='Actions de maîtrise'!$C57)*(Matrice!$T$23:$DP$100="X"))=1,"X","erreur"))</f>
        <v/>
      </c>
      <c r="AG57" s="276" t="str">
        <f>IF(SUMPRODUCT((Matrice!$D$23:$D$100='Actions de maîtrise'!AG$5)*(Matrice!$T$21:$DP$21='Actions de maîtrise'!$C57)*(Matrice!$T$23:$DP$100="X"))=0,"",IF(SUMPRODUCT((Matrice!$D$23:$D$100='Actions de maîtrise'!AG$5)*(Matrice!$T$21:$DP$21='Actions de maîtrise'!$C57)*(Matrice!$T$23:$DP$100="X"))=1,"X","erreur"))</f>
        <v/>
      </c>
    </row>
    <row r="58" spans="2:33" ht="18.75" x14ac:dyDescent="0.2">
      <c r="B58" s="309" t="str">
        <f>IF((COUNTIF(Matrice!$2:$2,Matrice!$G$1&amp;"-AM"&amp;Listes!A54)=1)=TRUE,Matrice!$G$1&amp;"-AM"&amp;Listes!A54,"")</f>
        <v/>
      </c>
      <c r="C58" s="178" t="str">
        <f>IF(IF(ISERROR(HLOOKUP(B58,Matrice!$A$2:$DP$100,20,FALSE)),"",HLOOKUP(B58,Matrice!$A$2:$DP$100,20,FALSE))="","",IF(ISERROR(HLOOKUP(B58,Matrice!$A$2:$DP$100,20,FALSE)),"-",HLOOKUP(B58,Matrice!$A$2:$DP$100,20,FALSE)))</f>
        <v/>
      </c>
      <c r="D58" s="179" t="str">
        <f>IF(IF(ISERROR(HLOOKUP(B58,Matrice!$A$2:$DP$100,3,FALSE)),"",HLOOKUP(B58,Matrice!$A$2:$DP$100,3,FALSE))="","",IF(ISERROR(HLOOKUP(B58,Matrice!$A$2:$DP$100,3,FALSE)),"-",HLOOKUP(B58,Matrice!$A$2:$DP$100,3,FALSE)))</f>
        <v/>
      </c>
      <c r="E58" s="305"/>
      <c r="F58" s="179" t="str">
        <f>IF(ISERROR(HLOOKUP($B58,Matrice!$A$2:$DP$100,4,FALSE)),"",IF(HLOOKUP($B58,Matrice!$A$2:$DP$100,4,FALSE)="","",HLOOKUP($B58,Matrice!$A$2:$DP$100,4,FALSE)))</f>
        <v/>
      </c>
      <c r="G58" s="179" t="str">
        <f>IF(ISERROR(HLOOKUP($B58,Matrice!$A$2:$DP$100,5,FALSE)),"",IF(HLOOKUP($B58,Matrice!$A$2:$DP$100,5,FALSE)="","",HLOOKUP($B58,Matrice!$A$2:$DP$100,5,FALSE)))</f>
        <v/>
      </c>
      <c r="H58" s="179" t="str">
        <f>IF(ISERROR(HLOOKUP($B58,Matrice!$A$2:$DP$100,6,FALSE)),"",IF(HLOOKUP($B58,Matrice!$A$2:$DP$100,6,FALSE)="","",HLOOKUP($B58,Matrice!$A$2:$DP$100,6,FALSE)))</f>
        <v/>
      </c>
      <c r="I58" s="179" t="str">
        <f>IF(ISERROR(HLOOKUP($B59,Matrice!$A$2:$DP$100,7,FALSE)),"",IF(HLOOKUP($B59,Matrice!$A$2:$DP$100,7,FALSE)="","",HLOOKUP($B59,Matrice!$A$2:$DP$100,7,FALSE)))</f>
        <v/>
      </c>
      <c r="J58" s="277" t="str">
        <f>IF(ISERROR(HLOOKUP($B58,Matrice!$A$2:$DP$100,12,FALSE)),"",IF(HLOOKUP($B58,Matrice!$A$2:$DP$100,12,FALSE)="","",HLOOKUP($B58,Matrice!$A$2:$DP$100,12,FALSE)))</f>
        <v/>
      </c>
      <c r="K58" s="277" t="str">
        <f>IF(ISERROR(HLOOKUP($B58,Matrice!$A$2:$DP$100,13,FALSE)),"",IF(HLOOKUP($B58,Matrice!$A$2:$DP$100,13,FALSE)="","",HLOOKUP($B58,Matrice!$A$2:$DP$100,13,FALSE)))</f>
        <v/>
      </c>
      <c r="L58" s="333" t="str">
        <f>IF(ISERROR(HLOOKUP($B58,Matrice!$A$2:$DP$100,9,FALSE)),"",IF(HLOOKUP($B58,Matrice!$A$2:$DP$100,9,FALSE)="","",HLOOKUP($B58,Matrice!$A$2:$DP$100,9,FALSE)))</f>
        <v/>
      </c>
      <c r="M58" s="333" t="str">
        <f>IF(ISERROR(HLOOKUP($B58,Matrice!$A$2:$DP$100,10,FALSE)),"",IF(HLOOKUP($B58,Matrice!$A$2:$DP$100,10,FALSE)="","",HLOOKUP($B58,Matrice!$A$2:$DP$100,10,FALSE)))</f>
        <v/>
      </c>
      <c r="N58" s="333" t="str">
        <f>IF(ISERROR(HLOOKUP($B58,Matrice!$A$2:$DP$100,11,FALSE)),"",IF(HLOOKUP($B58,Matrice!$A$2:$DP$100,11,FALSE)="","",HLOOKUP($B58,Matrice!$A$2:$DP$100,11,FALSE)))</f>
        <v/>
      </c>
      <c r="P58" s="276" t="str">
        <f>IF(SUMPRODUCT((Matrice!$D$23:$D$100='Actions de maîtrise'!P$5)*(Matrice!$T$21:$DP$21='Actions de maîtrise'!$C58)*(Matrice!$T$23:$DP$100="X"))=0,"",IF(SUMPRODUCT((Matrice!$D$23:$D$100='Actions de maîtrise'!P$5)*(Matrice!$T$21:$DP$21='Actions de maîtrise'!$C58)*(Matrice!$T$23:$DP$100="X"))=1,"X","erreur"))</f>
        <v/>
      </c>
      <c r="Q58" s="276" t="str">
        <f>IF(SUMPRODUCT((Matrice!$D$23:$D$100='Actions de maîtrise'!Q$5)*(Matrice!$T$21:$DP$21='Actions de maîtrise'!$C58)*(Matrice!$T$23:$DP$100="X"))=0,"",IF(SUMPRODUCT((Matrice!$D$23:$D$100='Actions de maîtrise'!Q$5)*(Matrice!$T$21:$DP$21='Actions de maîtrise'!$C58)*(Matrice!$T$23:$DP$100="X"))=1,"X","erreur"))</f>
        <v/>
      </c>
      <c r="R58" s="276" t="str">
        <f>IF(SUMPRODUCT((Matrice!$D$23:$D$100='Actions de maîtrise'!R$5)*(Matrice!$T$21:$DP$21='Actions de maîtrise'!$C58)*(Matrice!$T$23:$DP$100="X"))=0,"",IF(SUMPRODUCT((Matrice!$D$23:$D$100='Actions de maîtrise'!R$5)*(Matrice!$T$21:$DP$21='Actions de maîtrise'!$C58)*(Matrice!$T$23:$DP$100="X"))=1,"X","erreur"))</f>
        <v/>
      </c>
      <c r="S58" s="276" t="str">
        <f>IF(SUMPRODUCT((Matrice!$D$23:$D$100='Actions de maîtrise'!S$5)*(Matrice!$T$21:$DP$21='Actions de maîtrise'!$C58)*(Matrice!$T$23:$DP$100="X"))=0,"",IF(SUMPRODUCT((Matrice!$D$23:$D$100='Actions de maîtrise'!S$5)*(Matrice!$T$21:$DP$21='Actions de maîtrise'!$C58)*(Matrice!$T$23:$DP$100="X"))=1,"X","erreur"))</f>
        <v/>
      </c>
      <c r="T58" s="276" t="str">
        <f>IF(SUMPRODUCT((Matrice!$D$23:$D$100='Actions de maîtrise'!T$5)*(Matrice!$T$21:$DP$21='Actions de maîtrise'!$C58)*(Matrice!$T$23:$DP$100="X"))=0,"",IF(SUMPRODUCT((Matrice!$D$23:$D$100='Actions de maîtrise'!T$5)*(Matrice!$T$21:$DP$21='Actions de maîtrise'!$C58)*(Matrice!$T$23:$DP$100="X"))=1,"X","erreur"))</f>
        <v/>
      </c>
      <c r="U58" s="276" t="str">
        <f>IF(SUMPRODUCT((Matrice!$D$23:$D$100='Actions de maîtrise'!U$5)*(Matrice!$T$21:$DP$21='Actions de maîtrise'!$C58)*(Matrice!$T$23:$DP$100="X"))=0,"",IF(SUMPRODUCT((Matrice!$D$23:$D$100='Actions de maîtrise'!U$5)*(Matrice!$T$21:$DP$21='Actions de maîtrise'!$C58)*(Matrice!$T$23:$DP$100="X"))=1,"X","erreur"))</f>
        <v/>
      </c>
      <c r="V58" s="276" t="str">
        <f>IF(SUMPRODUCT((Matrice!$D$23:$D$100='Actions de maîtrise'!V$5)*(Matrice!$T$21:$DP$21='Actions de maîtrise'!$C58)*(Matrice!$T$23:$DP$100="X"))=0,"",IF(SUMPRODUCT((Matrice!$D$23:$D$100='Actions de maîtrise'!V$5)*(Matrice!$T$21:$DP$21='Actions de maîtrise'!$C58)*(Matrice!$T$23:$DP$100="X"))=1,"X","erreur"))</f>
        <v/>
      </c>
      <c r="W58" s="276" t="str">
        <f>IF(SUMPRODUCT((Matrice!$D$23:$D$100='Actions de maîtrise'!W$5)*(Matrice!$T$21:$DP$21='Actions de maîtrise'!$C58)*(Matrice!$T$23:$DP$100="X"))=0,"",IF(SUMPRODUCT((Matrice!$D$23:$D$100='Actions de maîtrise'!W$5)*(Matrice!$T$21:$DP$21='Actions de maîtrise'!$C58)*(Matrice!$T$23:$DP$100="X"))=1,"X","erreur"))</f>
        <v/>
      </c>
      <c r="X58" s="276" t="str">
        <f>IF(SUMPRODUCT((Matrice!$D$23:$D$100='Actions de maîtrise'!X$5)*(Matrice!$T$21:$DP$21='Actions de maîtrise'!$C58)*(Matrice!$T$23:$DP$100="X"))=0,"",IF(SUMPRODUCT((Matrice!$D$23:$D$100='Actions de maîtrise'!X$5)*(Matrice!$T$21:$DP$21='Actions de maîtrise'!$C58)*(Matrice!$T$23:$DP$100="X"))=1,"X","erreur"))</f>
        <v/>
      </c>
      <c r="Y58" s="276" t="str">
        <f>IF(SUMPRODUCT((Matrice!$D$23:$D$100='Actions de maîtrise'!Y$5)*(Matrice!$T$21:$DP$21='Actions de maîtrise'!$C58)*(Matrice!$T$23:$DP$100="X"))=0,"",IF(SUMPRODUCT((Matrice!$D$23:$D$100='Actions de maîtrise'!Y$5)*(Matrice!$T$21:$DP$21='Actions de maîtrise'!$C58)*(Matrice!$T$23:$DP$100="X"))=1,"X","erreur"))</f>
        <v/>
      </c>
      <c r="Z58" s="276" t="str">
        <f>IF(SUMPRODUCT((Matrice!$D$23:$D$100='Actions de maîtrise'!Z$5)*(Matrice!$T$21:$DP$21='Actions de maîtrise'!$C58)*(Matrice!$T$23:$DP$100="X"))=0,"",IF(SUMPRODUCT((Matrice!$D$23:$D$100='Actions de maîtrise'!Z$5)*(Matrice!$T$21:$DP$21='Actions de maîtrise'!$C58)*(Matrice!$T$23:$DP$100="X"))=1,"X","erreur"))</f>
        <v/>
      </c>
      <c r="AA58" s="276" t="str">
        <f>IF(SUMPRODUCT((Matrice!$D$23:$D$100='Actions de maîtrise'!AA$5)*(Matrice!$T$21:$DP$21='Actions de maîtrise'!$C58)*(Matrice!$T$23:$DP$100="X"))=0,"",IF(SUMPRODUCT((Matrice!$D$23:$D$100='Actions de maîtrise'!AA$5)*(Matrice!$T$21:$DP$21='Actions de maîtrise'!$C58)*(Matrice!$T$23:$DP$100="X"))=1,"X","erreur"))</f>
        <v/>
      </c>
      <c r="AB58" s="276" t="str">
        <f>IF(SUMPRODUCT((Matrice!$D$23:$D$100='Actions de maîtrise'!AB$5)*(Matrice!$T$21:$DP$21='Actions de maîtrise'!$C58)*(Matrice!$T$23:$DP$100="X"))=0,"",IF(SUMPRODUCT((Matrice!$D$23:$D$100='Actions de maîtrise'!AB$5)*(Matrice!$T$21:$DP$21='Actions de maîtrise'!$C58)*(Matrice!$T$23:$DP$100="X"))=1,"X","erreur"))</f>
        <v/>
      </c>
      <c r="AC58" s="276" t="str">
        <f>IF(SUMPRODUCT((Matrice!$D$23:$D$100='Actions de maîtrise'!AC$5)*(Matrice!$T$21:$DP$21='Actions de maîtrise'!$C58)*(Matrice!$T$23:$DP$100="X"))=0,"",IF(SUMPRODUCT((Matrice!$D$23:$D$100='Actions de maîtrise'!AC$5)*(Matrice!$T$21:$DP$21='Actions de maîtrise'!$C58)*(Matrice!$T$23:$DP$100="X"))=1,"X","erreur"))</f>
        <v/>
      </c>
      <c r="AD58" s="276" t="str">
        <f>IF(SUMPRODUCT((Matrice!$D$23:$D$100='Actions de maîtrise'!AD$5)*(Matrice!$T$21:$DP$21='Actions de maîtrise'!$C58)*(Matrice!$T$23:$DP$100="X"))=0,"",IF(SUMPRODUCT((Matrice!$D$23:$D$100='Actions de maîtrise'!AD$5)*(Matrice!$T$21:$DP$21='Actions de maîtrise'!$C58)*(Matrice!$T$23:$DP$100="X"))=1,"X","erreur"))</f>
        <v/>
      </c>
      <c r="AE58" s="276" t="str">
        <f>IF(SUMPRODUCT((Matrice!$D$23:$D$100='Actions de maîtrise'!AE$5)*(Matrice!$T$21:$DP$21='Actions de maîtrise'!$C58)*(Matrice!$T$23:$DP$100="X"))=0,"",IF(SUMPRODUCT((Matrice!$D$23:$D$100='Actions de maîtrise'!AE$5)*(Matrice!$T$21:$DP$21='Actions de maîtrise'!$C58)*(Matrice!$T$23:$DP$100="X"))=1,"X","erreur"))</f>
        <v/>
      </c>
      <c r="AF58" s="276" t="str">
        <f>IF(SUMPRODUCT((Matrice!$D$23:$D$100='Actions de maîtrise'!AF$5)*(Matrice!$T$21:$DP$21='Actions de maîtrise'!$C58)*(Matrice!$T$23:$DP$100="X"))=0,"",IF(SUMPRODUCT((Matrice!$D$23:$D$100='Actions de maîtrise'!AF$5)*(Matrice!$T$21:$DP$21='Actions de maîtrise'!$C58)*(Matrice!$T$23:$DP$100="X"))=1,"X","erreur"))</f>
        <v/>
      </c>
      <c r="AG58" s="276" t="str">
        <f>IF(SUMPRODUCT((Matrice!$D$23:$D$100='Actions de maîtrise'!AG$5)*(Matrice!$T$21:$DP$21='Actions de maîtrise'!$C58)*(Matrice!$T$23:$DP$100="X"))=0,"",IF(SUMPRODUCT((Matrice!$D$23:$D$100='Actions de maîtrise'!AG$5)*(Matrice!$T$21:$DP$21='Actions de maîtrise'!$C58)*(Matrice!$T$23:$DP$100="X"))=1,"X","erreur"))</f>
        <v/>
      </c>
    </row>
    <row r="59" spans="2:33" ht="18.75" x14ac:dyDescent="0.2">
      <c r="B59" s="309" t="str">
        <f>IF((COUNTIF(Matrice!$2:$2,Matrice!$G$1&amp;"-AM"&amp;Listes!A55)=1)=TRUE,Matrice!$G$1&amp;"-AM"&amp;Listes!A55,"")</f>
        <v/>
      </c>
      <c r="C59" s="178" t="str">
        <f>IF(IF(ISERROR(HLOOKUP(B59,Matrice!$A$2:$DP$100,20,FALSE)),"",HLOOKUP(B59,Matrice!$A$2:$DP$100,20,FALSE))="","",IF(ISERROR(HLOOKUP(B59,Matrice!$A$2:$DP$100,20,FALSE)),"-",HLOOKUP(B59,Matrice!$A$2:$DP$100,20,FALSE)))</f>
        <v/>
      </c>
      <c r="D59" s="179" t="str">
        <f>IF(IF(ISERROR(HLOOKUP(B59,Matrice!$A$2:$DP$100,3,FALSE)),"",HLOOKUP(B59,Matrice!$A$2:$DP$100,3,FALSE))="","",IF(ISERROR(HLOOKUP(B59,Matrice!$A$2:$DP$100,3,FALSE)),"-",HLOOKUP(B59,Matrice!$A$2:$DP$100,3,FALSE)))</f>
        <v/>
      </c>
      <c r="E59" s="305"/>
      <c r="F59" s="179" t="str">
        <f>IF(ISERROR(HLOOKUP($B59,Matrice!$A$2:$DP$100,4,FALSE)),"",IF(HLOOKUP($B59,Matrice!$A$2:$DP$100,4,FALSE)="","",HLOOKUP($B59,Matrice!$A$2:$DP$100,4,FALSE)))</f>
        <v/>
      </c>
      <c r="G59" s="179" t="str">
        <f>IF(ISERROR(HLOOKUP($B59,Matrice!$A$2:$DP$100,5,FALSE)),"",IF(HLOOKUP($B59,Matrice!$A$2:$DP$100,5,FALSE)="","",HLOOKUP($B59,Matrice!$A$2:$DP$100,5,FALSE)))</f>
        <v/>
      </c>
      <c r="H59" s="179" t="str">
        <f>IF(ISERROR(HLOOKUP($B59,Matrice!$A$2:$DP$100,6,FALSE)),"",IF(HLOOKUP($B59,Matrice!$A$2:$DP$100,6,FALSE)="","",HLOOKUP($B59,Matrice!$A$2:$DP$100,6,FALSE)))</f>
        <v/>
      </c>
      <c r="I59" s="179" t="str">
        <f>IF(ISERROR(HLOOKUP($B60,Matrice!$A$2:$DP$100,7,FALSE)),"",IF(HLOOKUP($B60,Matrice!$A$2:$DP$100,7,FALSE)="","",HLOOKUP($B60,Matrice!$A$2:$DP$100,7,FALSE)))</f>
        <v/>
      </c>
      <c r="J59" s="277" t="str">
        <f>IF(ISERROR(HLOOKUP($B59,Matrice!$A$2:$DP$100,12,FALSE)),"",IF(HLOOKUP($B59,Matrice!$A$2:$DP$100,12,FALSE)="","",HLOOKUP($B59,Matrice!$A$2:$DP$100,12,FALSE)))</f>
        <v/>
      </c>
      <c r="K59" s="277" t="str">
        <f>IF(ISERROR(HLOOKUP($B59,Matrice!$A$2:$DP$100,13,FALSE)),"",IF(HLOOKUP($B59,Matrice!$A$2:$DP$100,13,FALSE)="","",HLOOKUP($B59,Matrice!$A$2:$DP$100,13,FALSE)))</f>
        <v/>
      </c>
      <c r="L59" s="333" t="str">
        <f>IF(ISERROR(HLOOKUP($B59,Matrice!$A$2:$DP$100,9,FALSE)),"",IF(HLOOKUP($B59,Matrice!$A$2:$DP$100,9,FALSE)="","",HLOOKUP($B59,Matrice!$A$2:$DP$100,9,FALSE)))</f>
        <v/>
      </c>
      <c r="M59" s="333" t="str">
        <f>IF(ISERROR(HLOOKUP($B59,Matrice!$A$2:$DP$100,10,FALSE)),"",IF(HLOOKUP($B59,Matrice!$A$2:$DP$100,10,FALSE)="","",HLOOKUP($B59,Matrice!$A$2:$DP$100,10,FALSE)))</f>
        <v/>
      </c>
      <c r="N59" s="333" t="str">
        <f>IF(ISERROR(HLOOKUP($B59,Matrice!$A$2:$DP$100,11,FALSE)),"",IF(HLOOKUP($B59,Matrice!$A$2:$DP$100,11,FALSE)="","",HLOOKUP($B59,Matrice!$A$2:$DP$100,11,FALSE)))</f>
        <v/>
      </c>
      <c r="P59" s="276" t="str">
        <f>IF(SUMPRODUCT((Matrice!$D$23:$D$100='Actions de maîtrise'!P$5)*(Matrice!$T$21:$DP$21='Actions de maîtrise'!$C59)*(Matrice!$T$23:$DP$100="X"))=0,"",IF(SUMPRODUCT((Matrice!$D$23:$D$100='Actions de maîtrise'!P$5)*(Matrice!$T$21:$DP$21='Actions de maîtrise'!$C59)*(Matrice!$T$23:$DP$100="X"))=1,"X","erreur"))</f>
        <v/>
      </c>
      <c r="Q59" s="276" t="str">
        <f>IF(SUMPRODUCT((Matrice!$D$23:$D$100='Actions de maîtrise'!Q$5)*(Matrice!$T$21:$DP$21='Actions de maîtrise'!$C59)*(Matrice!$T$23:$DP$100="X"))=0,"",IF(SUMPRODUCT((Matrice!$D$23:$D$100='Actions de maîtrise'!Q$5)*(Matrice!$T$21:$DP$21='Actions de maîtrise'!$C59)*(Matrice!$T$23:$DP$100="X"))=1,"X","erreur"))</f>
        <v/>
      </c>
      <c r="R59" s="276" t="str">
        <f>IF(SUMPRODUCT((Matrice!$D$23:$D$100='Actions de maîtrise'!R$5)*(Matrice!$T$21:$DP$21='Actions de maîtrise'!$C59)*(Matrice!$T$23:$DP$100="X"))=0,"",IF(SUMPRODUCT((Matrice!$D$23:$D$100='Actions de maîtrise'!R$5)*(Matrice!$T$21:$DP$21='Actions de maîtrise'!$C59)*(Matrice!$T$23:$DP$100="X"))=1,"X","erreur"))</f>
        <v/>
      </c>
      <c r="S59" s="276" t="str">
        <f>IF(SUMPRODUCT((Matrice!$D$23:$D$100='Actions de maîtrise'!S$5)*(Matrice!$T$21:$DP$21='Actions de maîtrise'!$C59)*(Matrice!$T$23:$DP$100="X"))=0,"",IF(SUMPRODUCT((Matrice!$D$23:$D$100='Actions de maîtrise'!S$5)*(Matrice!$T$21:$DP$21='Actions de maîtrise'!$C59)*(Matrice!$T$23:$DP$100="X"))=1,"X","erreur"))</f>
        <v/>
      </c>
      <c r="T59" s="276" t="str">
        <f>IF(SUMPRODUCT((Matrice!$D$23:$D$100='Actions de maîtrise'!T$5)*(Matrice!$T$21:$DP$21='Actions de maîtrise'!$C59)*(Matrice!$T$23:$DP$100="X"))=0,"",IF(SUMPRODUCT((Matrice!$D$23:$D$100='Actions de maîtrise'!T$5)*(Matrice!$T$21:$DP$21='Actions de maîtrise'!$C59)*(Matrice!$T$23:$DP$100="X"))=1,"X","erreur"))</f>
        <v/>
      </c>
      <c r="U59" s="276" t="str">
        <f>IF(SUMPRODUCT((Matrice!$D$23:$D$100='Actions de maîtrise'!U$5)*(Matrice!$T$21:$DP$21='Actions de maîtrise'!$C59)*(Matrice!$T$23:$DP$100="X"))=0,"",IF(SUMPRODUCT((Matrice!$D$23:$D$100='Actions de maîtrise'!U$5)*(Matrice!$T$21:$DP$21='Actions de maîtrise'!$C59)*(Matrice!$T$23:$DP$100="X"))=1,"X","erreur"))</f>
        <v/>
      </c>
      <c r="V59" s="276" t="str">
        <f>IF(SUMPRODUCT((Matrice!$D$23:$D$100='Actions de maîtrise'!V$5)*(Matrice!$T$21:$DP$21='Actions de maîtrise'!$C59)*(Matrice!$T$23:$DP$100="X"))=0,"",IF(SUMPRODUCT((Matrice!$D$23:$D$100='Actions de maîtrise'!V$5)*(Matrice!$T$21:$DP$21='Actions de maîtrise'!$C59)*(Matrice!$T$23:$DP$100="X"))=1,"X","erreur"))</f>
        <v/>
      </c>
      <c r="W59" s="276" t="str">
        <f>IF(SUMPRODUCT((Matrice!$D$23:$D$100='Actions de maîtrise'!W$5)*(Matrice!$T$21:$DP$21='Actions de maîtrise'!$C59)*(Matrice!$T$23:$DP$100="X"))=0,"",IF(SUMPRODUCT((Matrice!$D$23:$D$100='Actions de maîtrise'!W$5)*(Matrice!$T$21:$DP$21='Actions de maîtrise'!$C59)*(Matrice!$T$23:$DP$100="X"))=1,"X","erreur"))</f>
        <v/>
      </c>
      <c r="X59" s="276" t="str">
        <f>IF(SUMPRODUCT((Matrice!$D$23:$D$100='Actions de maîtrise'!X$5)*(Matrice!$T$21:$DP$21='Actions de maîtrise'!$C59)*(Matrice!$T$23:$DP$100="X"))=0,"",IF(SUMPRODUCT((Matrice!$D$23:$D$100='Actions de maîtrise'!X$5)*(Matrice!$T$21:$DP$21='Actions de maîtrise'!$C59)*(Matrice!$T$23:$DP$100="X"))=1,"X","erreur"))</f>
        <v/>
      </c>
      <c r="Y59" s="276" t="str">
        <f>IF(SUMPRODUCT((Matrice!$D$23:$D$100='Actions de maîtrise'!Y$5)*(Matrice!$T$21:$DP$21='Actions de maîtrise'!$C59)*(Matrice!$T$23:$DP$100="X"))=0,"",IF(SUMPRODUCT((Matrice!$D$23:$D$100='Actions de maîtrise'!Y$5)*(Matrice!$T$21:$DP$21='Actions de maîtrise'!$C59)*(Matrice!$T$23:$DP$100="X"))=1,"X","erreur"))</f>
        <v/>
      </c>
      <c r="Z59" s="276" t="str">
        <f>IF(SUMPRODUCT((Matrice!$D$23:$D$100='Actions de maîtrise'!Z$5)*(Matrice!$T$21:$DP$21='Actions de maîtrise'!$C59)*(Matrice!$T$23:$DP$100="X"))=0,"",IF(SUMPRODUCT((Matrice!$D$23:$D$100='Actions de maîtrise'!Z$5)*(Matrice!$T$21:$DP$21='Actions de maîtrise'!$C59)*(Matrice!$T$23:$DP$100="X"))=1,"X","erreur"))</f>
        <v/>
      </c>
      <c r="AA59" s="276" t="str">
        <f>IF(SUMPRODUCT((Matrice!$D$23:$D$100='Actions de maîtrise'!AA$5)*(Matrice!$T$21:$DP$21='Actions de maîtrise'!$C59)*(Matrice!$T$23:$DP$100="X"))=0,"",IF(SUMPRODUCT((Matrice!$D$23:$D$100='Actions de maîtrise'!AA$5)*(Matrice!$T$21:$DP$21='Actions de maîtrise'!$C59)*(Matrice!$T$23:$DP$100="X"))=1,"X","erreur"))</f>
        <v/>
      </c>
      <c r="AB59" s="276" t="str">
        <f>IF(SUMPRODUCT((Matrice!$D$23:$D$100='Actions de maîtrise'!AB$5)*(Matrice!$T$21:$DP$21='Actions de maîtrise'!$C59)*(Matrice!$T$23:$DP$100="X"))=0,"",IF(SUMPRODUCT((Matrice!$D$23:$D$100='Actions de maîtrise'!AB$5)*(Matrice!$T$21:$DP$21='Actions de maîtrise'!$C59)*(Matrice!$T$23:$DP$100="X"))=1,"X","erreur"))</f>
        <v/>
      </c>
      <c r="AC59" s="276" t="str">
        <f>IF(SUMPRODUCT((Matrice!$D$23:$D$100='Actions de maîtrise'!AC$5)*(Matrice!$T$21:$DP$21='Actions de maîtrise'!$C59)*(Matrice!$T$23:$DP$100="X"))=0,"",IF(SUMPRODUCT((Matrice!$D$23:$D$100='Actions de maîtrise'!AC$5)*(Matrice!$T$21:$DP$21='Actions de maîtrise'!$C59)*(Matrice!$T$23:$DP$100="X"))=1,"X","erreur"))</f>
        <v/>
      </c>
      <c r="AD59" s="276" t="str">
        <f>IF(SUMPRODUCT((Matrice!$D$23:$D$100='Actions de maîtrise'!AD$5)*(Matrice!$T$21:$DP$21='Actions de maîtrise'!$C59)*(Matrice!$T$23:$DP$100="X"))=0,"",IF(SUMPRODUCT((Matrice!$D$23:$D$100='Actions de maîtrise'!AD$5)*(Matrice!$T$21:$DP$21='Actions de maîtrise'!$C59)*(Matrice!$T$23:$DP$100="X"))=1,"X","erreur"))</f>
        <v/>
      </c>
      <c r="AE59" s="276" t="str">
        <f>IF(SUMPRODUCT((Matrice!$D$23:$D$100='Actions de maîtrise'!AE$5)*(Matrice!$T$21:$DP$21='Actions de maîtrise'!$C59)*(Matrice!$T$23:$DP$100="X"))=0,"",IF(SUMPRODUCT((Matrice!$D$23:$D$100='Actions de maîtrise'!AE$5)*(Matrice!$T$21:$DP$21='Actions de maîtrise'!$C59)*(Matrice!$T$23:$DP$100="X"))=1,"X","erreur"))</f>
        <v/>
      </c>
      <c r="AF59" s="276" t="str">
        <f>IF(SUMPRODUCT((Matrice!$D$23:$D$100='Actions de maîtrise'!AF$5)*(Matrice!$T$21:$DP$21='Actions de maîtrise'!$C59)*(Matrice!$T$23:$DP$100="X"))=0,"",IF(SUMPRODUCT((Matrice!$D$23:$D$100='Actions de maîtrise'!AF$5)*(Matrice!$T$21:$DP$21='Actions de maîtrise'!$C59)*(Matrice!$T$23:$DP$100="X"))=1,"X","erreur"))</f>
        <v/>
      </c>
      <c r="AG59" s="276" t="str">
        <f>IF(SUMPRODUCT((Matrice!$D$23:$D$100='Actions de maîtrise'!AG$5)*(Matrice!$T$21:$DP$21='Actions de maîtrise'!$C59)*(Matrice!$T$23:$DP$100="X"))=0,"",IF(SUMPRODUCT((Matrice!$D$23:$D$100='Actions de maîtrise'!AG$5)*(Matrice!$T$21:$DP$21='Actions de maîtrise'!$C59)*(Matrice!$T$23:$DP$100="X"))=1,"X","erreur"))</f>
        <v/>
      </c>
    </row>
    <row r="60" spans="2:33" ht="18.75" x14ac:dyDescent="0.2">
      <c r="B60" s="328" t="str">
        <f>IF((COUNTIF(Matrice!$2:$2,Matrice!$G$1&amp;"-AM"&amp;Listes!A56)=1)=TRUE,Matrice!$G$1&amp;"-AM"&amp;Listes!A56,"")</f>
        <v/>
      </c>
      <c r="C60" s="329" t="str">
        <f>IF(IF(ISERROR(HLOOKUP(B60,Matrice!$A$2:$DP$100,20,FALSE)),"",HLOOKUP(B60,Matrice!$A$2:$DP$100,20,FALSE))="","",IF(ISERROR(HLOOKUP(B60,Matrice!$A$2:$DP$100,20,FALSE)),"-",HLOOKUP(B60,Matrice!$A$2:$DP$100,20,FALSE)))</f>
        <v/>
      </c>
      <c r="D60" s="330" t="str">
        <f>IF(IF(ISERROR(HLOOKUP(B60,Matrice!$A$2:$DP$100,3,FALSE)),"",HLOOKUP(B60,Matrice!$A$2:$DP$100,3,FALSE))="","",IF(ISERROR(HLOOKUP(B60,Matrice!$A$2:$DP$100,3,FALSE)),"-",HLOOKUP(B60,Matrice!$A$2:$DP$100,3,FALSE)))</f>
        <v/>
      </c>
      <c r="E60" s="331"/>
      <c r="F60" s="330" t="str">
        <f>IF(ISERROR(HLOOKUP($B60,Matrice!$A$2:$DP$100,4,FALSE)),"",IF(HLOOKUP($B60,Matrice!$A$2:$DP$100,4,FALSE)="","",HLOOKUP($B60,Matrice!$A$2:$DP$100,4,FALSE)))</f>
        <v/>
      </c>
      <c r="G60" s="330" t="str">
        <f>IF(ISERROR(HLOOKUP($B60,Matrice!$A$2:$DP$100,5,FALSE)),"",IF(HLOOKUP($B60,Matrice!$A$2:$DP$100,5,FALSE)="","",HLOOKUP($B60,Matrice!$A$2:$DP$100,5,FALSE)))</f>
        <v/>
      </c>
      <c r="H60" s="330" t="str">
        <f>IF(ISERROR(HLOOKUP($B60,Matrice!$A$2:$DP$100,6,FALSE)),"",IF(HLOOKUP($B60,Matrice!$A$2:$DP$100,6,FALSE)="","",HLOOKUP($B60,Matrice!$A$2:$DP$100,6,FALSE)))</f>
        <v/>
      </c>
      <c r="I60" s="330" t="str">
        <f>IF(ISERROR(HLOOKUP($B61,Matrice!$A$2:$DP$100,7,FALSE)),"",IF(HLOOKUP($B61,Matrice!$A$2:$DP$100,7,FALSE)="","",HLOOKUP($B61,Matrice!$A$2:$DP$100,7,FALSE)))</f>
        <v/>
      </c>
      <c r="J60" s="332" t="str">
        <f>IF(ISERROR(HLOOKUP($B60,Matrice!$A$2:$DP$100,12,FALSE)),"",IF(HLOOKUP($B60,Matrice!$A$2:$DP$100,12,FALSE)="","",HLOOKUP($B60,Matrice!$A$2:$DP$100,12,FALSE)))</f>
        <v/>
      </c>
      <c r="K60" s="332" t="str">
        <f>IF(ISERROR(HLOOKUP($B60,Matrice!$A$2:$DP$100,13,FALSE)),"",IF(HLOOKUP($B60,Matrice!$A$2:$DP$100,13,FALSE)="","",HLOOKUP($B60,Matrice!$A$2:$DP$100,13,FALSE)))</f>
        <v/>
      </c>
      <c r="L60" s="334" t="str">
        <f>IF(ISERROR(HLOOKUP($B60,Matrice!$A$2:$DP$100,9,FALSE)),"",IF(HLOOKUP($B60,Matrice!$A$2:$DP$100,9,FALSE)="","",HLOOKUP($B60,Matrice!$A$2:$DP$100,9,FALSE)))</f>
        <v/>
      </c>
      <c r="M60" s="334" t="str">
        <f>IF(ISERROR(HLOOKUP($B60,Matrice!$A$2:$DP$100,10,FALSE)),"",IF(HLOOKUP($B60,Matrice!$A$2:$DP$100,10,FALSE)="","",HLOOKUP($B60,Matrice!$A$2:$DP$100,10,FALSE)))</f>
        <v/>
      </c>
      <c r="N60" s="334" t="str">
        <f>IF(ISERROR(HLOOKUP($B60,Matrice!$A$2:$DP$100,11,FALSE)),"",IF(HLOOKUP($B60,Matrice!$A$2:$DP$100,11,FALSE)="","",HLOOKUP($B60,Matrice!$A$2:$DP$100,11,FALSE)))</f>
        <v/>
      </c>
      <c r="P60" s="276" t="str">
        <f>IF(SUMPRODUCT((Matrice!$D$23:$D$100='Actions de maîtrise'!P$5)*(Matrice!$T$21:$DP$21='Actions de maîtrise'!$C60)*(Matrice!$T$23:$DP$100="X"))=0,"",IF(SUMPRODUCT((Matrice!$D$23:$D$100='Actions de maîtrise'!P$5)*(Matrice!$T$21:$DP$21='Actions de maîtrise'!$C60)*(Matrice!$T$23:$DP$100="X"))=1,"X","erreur"))</f>
        <v/>
      </c>
      <c r="Q60" s="276" t="str">
        <f>IF(SUMPRODUCT((Matrice!$D$23:$D$100='Actions de maîtrise'!Q$5)*(Matrice!$T$21:$DP$21='Actions de maîtrise'!$C60)*(Matrice!$T$23:$DP$100="X"))=0,"",IF(SUMPRODUCT((Matrice!$D$23:$D$100='Actions de maîtrise'!Q$5)*(Matrice!$T$21:$DP$21='Actions de maîtrise'!$C60)*(Matrice!$T$23:$DP$100="X"))=1,"X","erreur"))</f>
        <v/>
      </c>
      <c r="R60" s="276" t="str">
        <f>IF(SUMPRODUCT((Matrice!$D$23:$D$100='Actions de maîtrise'!R$5)*(Matrice!$T$21:$DP$21='Actions de maîtrise'!$C60)*(Matrice!$T$23:$DP$100="X"))=0,"",IF(SUMPRODUCT((Matrice!$D$23:$D$100='Actions de maîtrise'!R$5)*(Matrice!$T$21:$DP$21='Actions de maîtrise'!$C60)*(Matrice!$T$23:$DP$100="X"))=1,"X","erreur"))</f>
        <v/>
      </c>
      <c r="S60" s="276" t="str">
        <f>IF(SUMPRODUCT((Matrice!$D$23:$D$100='Actions de maîtrise'!S$5)*(Matrice!$T$21:$DP$21='Actions de maîtrise'!$C60)*(Matrice!$T$23:$DP$100="X"))=0,"",IF(SUMPRODUCT((Matrice!$D$23:$D$100='Actions de maîtrise'!S$5)*(Matrice!$T$21:$DP$21='Actions de maîtrise'!$C60)*(Matrice!$T$23:$DP$100="X"))=1,"X","erreur"))</f>
        <v/>
      </c>
      <c r="T60" s="276" t="str">
        <f>IF(SUMPRODUCT((Matrice!$D$23:$D$100='Actions de maîtrise'!T$5)*(Matrice!$T$21:$DP$21='Actions de maîtrise'!$C60)*(Matrice!$T$23:$DP$100="X"))=0,"",IF(SUMPRODUCT((Matrice!$D$23:$D$100='Actions de maîtrise'!T$5)*(Matrice!$T$21:$DP$21='Actions de maîtrise'!$C60)*(Matrice!$T$23:$DP$100="X"))=1,"X","erreur"))</f>
        <v/>
      </c>
      <c r="U60" s="276" t="str">
        <f>IF(SUMPRODUCT((Matrice!$D$23:$D$100='Actions de maîtrise'!U$5)*(Matrice!$T$21:$DP$21='Actions de maîtrise'!$C60)*(Matrice!$T$23:$DP$100="X"))=0,"",IF(SUMPRODUCT((Matrice!$D$23:$D$100='Actions de maîtrise'!U$5)*(Matrice!$T$21:$DP$21='Actions de maîtrise'!$C60)*(Matrice!$T$23:$DP$100="X"))=1,"X","erreur"))</f>
        <v/>
      </c>
      <c r="V60" s="276" t="str">
        <f>IF(SUMPRODUCT((Matrice!$D$23:$D$100='Actions de maîtrise'!V$5)*(Matrice!$T$21:$DP$21='Actions de maîtrise'!$C60)*(Matrice!$T$23:$DP$100="X"))=0,"",IF(SUMPRODUCT((Matrice!$D$23:$D$100='Actions de maîtrise'!V$5)*(Matrice!$T$21:$DP$21='Actions de maîtrise'!$C60)*(Matrice!$T$23:$DP$100="X"))=1,"X","erreur"))</f>
        <v/>
      </c>
      <c r="W60" s="276" t="str">
        <f>IF(SUMPRODUCT((Matrice!$D$23:$D$100='Actions de maîtrise'!W$5)*(Matrice!$T$21:$DP$21='Actions de maîtrise'!$C60)*(Matrice!$T$23:$DP$100="X"))=0,"",IF(SUMPRODUCT((Matrice!$D$23:$D$100='Actions de maîtrise'!W$5)*(Matrice!$T$21:$DP$21='Actions de maîtrise'!$C60)*(Matrice!$T$23:$DP$100="X"))=1,"X","erreur"))</f>
        <v/>
      </c>
      <c r="X60" s="276" t="str">
        <f>IF(SUMPRODUCT((Matrice!$D$23:$D$100='Actions de maîtrise'!X$5)*(Matrice!$T$21:$DP$21='Actions de maîtrise'!$C60)*(Matrice!$T$23:$DP$100="X"))=0,"",IF(SUMPRODUCT((Matrice!$D$23:$D$100='Actions de maîtrise'!X$5)*(Matrice!$T$21:$DP$21='Actions de maîtrise'!$C60)*(Matrice!$T$23:$DP$100="X"))=1,"X","erreur"))</f>
        <v/>
      </c>
      <c r="Y60" s="276" t="str">
        <f>IF(SUMPRODUCT((Matrice!$D$23:$D$100='Actions de maîtrise'!Y$5)*(Matrice!$T$21:$DP$21='Actions de maîtrise'!$C60)*(Matrice!$T$23:$DP$100="X"))=0,"",IF(SUMPRODUCT((Matrice!$D$23:$D$100='Actions de maîtrise'!Y$5)*(Matrice!$T$21:$DP$21='Actions de maîtrise'!$C60)*(Matrice!$T$23:$DP$100="X"))=1,"X","erreur"))</f>
        <v/>
      </c>
      <c r="Z60" s="276" t="str">
        <f>IF(SUMPRODUCT((Matrice!$D$23:$D$100='Actions de maîtrise'!Z$5)*(Matrice!$T$21:$DP$21='Actions de maîtrise'!$C60)*(Matrice!$T$23:$DP$100="X"))=0,"",IF(SUMPRODUCT((Matrice!$D$23:$D$100='Actions de maîtrise'!Z$5)*(Matrice!$T$21:$DP$21='Actions de maîtrise'!$C60)*(Matrice!$T$23:$DP$100="X"))=1,"X","erreur"))</f>
        <v/>
      </c>
      <c r="AA60" s="276" t="str">
        <f>IF(SUMPRODUCT((Matrice!$D$23:$D$100='Actions de maîtrise'!AA$5)*(Matrice!$T$21:$DP$21='Actions de maîtrise'!$C60)*(Matrice!$T$23:$DP$100="X"))=0,"",IF(SUMPRODUCT((Matrice!$D$23:$D$100='Actions de maîtrise'!AA$5)*(Matrice!$T$21:$DP$21='Actions de maîtrise'!$C60)*(Matrice!$T$23:$DP$100="X"))=1,"X","erreur"))</f>
        <v/>
      </c>
      <c r="AB60" s="276" t="str">
        <f>IF(SUMPRODUCT((Matrice!$D$23:$D$100='Actions de maîtrise'!AB$5)*(Matrice!$T$21:$DP$21='Actions de maîtrise'!$C60)*(Matrice!$T$23:$DP$100="X"))=0,"",IF(SUMPRODUCT((Matrice!$D$23:$D$100='Actions de maîtrise'!AB$5)*(Matrice!$T$21:$DP$21='Actions de maîtrise'!$C60)*(Matrice!$T$23:$DP$100="X"))=1,"X","erreur"))</f>
        <v/>
      </c>
      <c r="AC60" s="276" t="str">
        <f>IF(SUMPRODUCT((Matrice!$D$23:$D$100='Actions de maîtrise'!AC$5)*(Matrice!$T$21:$DP$21='Actions de maîtrise'!$C60)*(Matrice!$T$23:$DP$100="X"))=0,"",IF(SUMPRODUCT((Matrice!$D$23:$D$100='Actions de maîtrise'!AC$5)*(Matrice!$T$21:$DP$21='Actions de maîtrise'!$C60)*(Matrice!$T$23:$DP$100="X"))=1,"X","erreur"))</f>
        <v/>
      </c>
      <c r="AD60" s="276" t="str">
        <f>IF(SUMPRODUCT((Matrice!$D$23:$D$100='Actions de maîtrise'!AD$5)*(Matrice!$T$21:$DP$21='Actions de maîtrise'!$C60)*(Matrice!$T$23:$DP$100="X"))=0,"",IF(SUMPRODUCT((Matrice!$D$23:$D$100='Actions de maîtrise'!AD$5)*(Matrice!$T$21:$DP$21='Actions de maîtrise'!$C60)*(Matrice!$T$23:$DP$100="X"))=1,"X","erreur"))</f>
        <v/>
      </c>
      <c r="AE60" s="276" t="str">
        <f>IF(SUMPRODUCT((Matrice!$D$23:$D$100='Actions de maîtrise'!AE$5)*(Matrice!$T$21:$DP$21='Actions de maîtrise'!$C60)*(Matrice!$T$23:$DP$100="X"))=0,"",IF(SUMPRODUCT((Matrice!$D$23:$D$100='Actions de maîtrise'!AE$5)*(Matrice!$T$21:$DP$21='Actions de maîtrise'!$C60)*(Matrice!$T$23:$DP$100="X"))=1,"X","erreur"))</f>
        <v/>
      </c>
      <c r="AF60" s="276" t="str">
        <f>IF(SUMPRODUCT((Matrice!$D$23:$D$100='Actions de maîtrise'!AF$5)*(Matrice!$T$21:$DP$21='Actions de maîtrise'!$C60)*(Matrice!$T$23:$DP$100="X"))=0,"",IF(SUMPRODUCT((Matrice!$D$23:$D$100='Actions de maîtrise'!AF$5)*(Matrice!$T$21:$DP$21='Actions de maîtrise'!$C60)*(Matrice!$T$23:$DP$100="X"))=1,"X","erreur"))</f>
        <v/>
      </c>
      <c r="AG60" s="276" t="str">
        <f>IF(SUMPRODUCT((Matrice!$D$23:$D$100='Actions de maîtrise'!AG$5)*(Matrice!$T$21:$DP$21='Actions de maîtrise'!$C60)*(Matrice!$T$23:$DP$100="X"))=0,"",IF(SUMPRODUCT((Matrice!$D$23:$D$100='Actions de maîtrise'!AG$5)*(Matrice!$T$21:$DP$21='Actions de maîtrise'!$C60)*(Matrice!$T$23:$DP$100="X"))=1,"X","erreur"))</f>
        <v/>
      </c>
    </row>
    <row r="61" spans="2:33" ht="18.75" x14ac:dyDescent="0.2">
      <c r="P61" s="253"/>
      <c r="Q61" s="253"/>
      <c r="R61" s="253"/>
      <c r="S61" s="253"/>
      <c r="T61" s="253"/>
      <c r="U61" s="253"/>
      <c r="V61" s="253"/>
      <c r="W61" s="253"/>
      <c r="X61" s="253"/>
      <c r="Y61" s="253"/>
      <c r="Z61" s="253"/>
      <c r="AA61" s="253"/>
      <c r="AB61" s="253"/>
      <c r="AC61" s="253"/>
      <c r="AD61" s="253"/>
      <c r="AE61" s="253"/>
      <c r="AF61" s="253"/>
      <c r="AG61" s="253"/>
    </row>
  </sheetData>
  <sheetProtection sheet="1" objects="1" scenarios="1" formatColumns="0" formatRows="0" selectLockedCells="1" sort="0" autoFilter="0"/>
  <conditionalFormatting sqref="J6:N60">
    <cfRule type="expression" dxfId="363" priority="1430">
      <formula>#REF!="En attente"</formula>
    </cfRule>
  </conditionalFormatting>
  <conditionalFormatting sqref="P6:AG60">
    <cfRule type="cellIs" dxfId="362" priority="16" operator="equal">
      <formula>"X"</formula>
    </cfRule>
  </conditionalFormatting>
  <conditionalFormatting sqref="E6:E60">
    <cfRule type="cellIs" dxfId="361" priority="6" operator="equal">
      <formula>"NON"</formula>
    </cfRule>
    <cfRule type="expression" dxfId="360" priority="10">
      <formula>D6="D"</formula>
    </cfRule>
  </conditionalFormatting>
  <conditionalFormatting sqref="F6:I60">
    <cfRule type="expression" dxfId="359" priority="9">
      <formula>$D6="C"</formula>
    </cfRule>
  </conditionalFormatting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headerFooter>
    <oddHeader>&amp;L Document imprimé le &amp;D à &amp;T&amp;CProjet SMI&amp;RVIASANTE Mutuelle</oddHeader>
    <oddFooter>&amp;L&amp;F&amp;C&amp;A&amp;R&amp;P /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1BE32F8-CFCF-4F93-9400-DB772C7711ED}">
            <xm:f>VLOOKUP(P$5,Matrice!$D$23:$P$205,13,FALSE)="Très faible"</xm:f>
            <x14:dxf>
              <font>
                <b/>
                <i val="0"/>
                <color rgb="FF00B050"/>
              </font>
            </x14:dxf>
          </x14:cfRule>
          <x14:cfRule type="expression" priority="2" id="{5080585E-9469-4EC3-BD7F-2FB16CFD1CFE}">
            <xm:f>VLOOKUP(P$5,Matrice!$D$23:$P$205,13,FALSE)="Faible"</xm:f>
            <x14:dxf>
              <font>
                <b/>
                <i val="0"/>
                <color rgb="FF92D050"/>
              </font>
            </x14:dxf>
          </x14:cfRule>
          <x14:cfRule type="expression" priority="3" id="{674B552F-060A-4476-A47F-44AFBF9A733D}">
            <xm:f>VLOOKUP(P$5,Matrice!$D$23:$P$205,13,FALSE)="Moyenne"</xm:f>
            <x14:dxf>
              <font>
                <b/>
                <i val="0"/>
                <color rgb="FFFFC000"/>
              </font>
            </x14:dxf>
          </x14:cfRule>
          <x14:cfRule type="expression" priority="4" id="{57DE03DC-A500-4355-981C-49E3481D8469}">
            <xm:f>VLOOKUP(P$5,Matrice!$D$23:$P$205,13,FALSE)="Forte"</xm:f>
            <x14:dxf>
              <font>
                <b/>
                <i val="0"/>
                <color rgb="FFFF0000"/>
              </font>
            </x14:dxf>
          </x14:cfRule>
          <x14:cfRule type="expression" priority="5" id="{3CF8A26C-0772-4A7B-8843-67F1C1DA97A5}">
            <xm:f>VLOOKUP(P$5,Matrice!$D$23:$P$205,13,FALSE)="Majeure"</xm:f>
            <x14:dxf>
              <font>
                <b/>
                <i val="0"/>
                <color theme="9" tint="-0.24994659260841701"/>
              </font>
            </x14:dxf>
          </x14:cfRule>
          <xm:sqref>P5:AG5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Listes!$AC$4:$AC$5</xm:f>
          </x14:formula1>
          <xm:sqref>E6:E60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39997558519241921"/>
    <pageSetUpPr fitToPage="1"/>
  </sheetPr>
  <dimension ref="A1:BB35"/>
  <sheetViews>
    <sheetView showGridLines="0" view="pageBreakPreview" zoomScale="55" zoomScaleNormal="25" zoomScaleSheetLayoutView="55" zoomScalePageLayoutView="70" workbookViewId="0">
      <selection activeCell="H6" sqref="H6"/>
    </sheetView>
  </sheetViews>
  <sheetFormatPr baseColWidth="10" defaultRowHeight="12.75" outlineLevelCol="1" x14ac:dyDescent="0.2"/>
  <cols>
    <col min="1" max="1" width="21.6640625" style="119" customWidth="1"/>
    <col min="2" max="2" width="11.5" customWidth="1"/>
    <col min="3" max="3" width="15.6640625" style="119" customWidth="1"/>
    <col min="4" max="4" width="41" customWidth="1"/>
    <col min="5" max="5" width="11.5" style="119" customWidth="1"/>
    <col min="6" max="6" width="14" style="119" customWidth="1"/>
    <col min="7" max="7" width="14.5" style="151" customWidth="1"/>
    <col min="8" max="8" width="22.1640625" style="119" customWidth="1"/>
    <col min="9" max="9" width="53.1640625" style="119" customWidth="1"/>
    <col min="10" max="10" width="21" style="119" customWidth="1"/>
    <col min="11" max="11" width="20" style="119" customWidth="1"/>
    <col min="12" max="12" width="32.33203125" style="119" customWidth="1"/>
    <col min="13" max="13" width="12.5" style="119" customWidth="1"/>
    <col min="14" max="14" width="15.5" style="119" customWidth="1"/>
    <col min="15" max="15" width="17" style="119" customWidth="1"/>
    <col min="16" max="16" width="16" style="119" customWidth="1"/>
    <col min="17" max="17" width="11.5" style="119" customWidth="1"/>
    <col min="18" max="18" width="16.6640625" style="119" customWidth="1"/>
    <col min="19" max="19" width="11.5" customWidth="1"/>
    <col min="20" max="20" width="3.5" style="119" customWidth="1"/>
    <col min="21" max="21" width="16.5" style="119" customWidth="1"/>
    <col min="22" max="22" width="22" style="119" customWidth="1"/>
    <col min="23" max="23" width="17.1640625" style="119" customWidth="1"/>
    <col min="24" max="31" width="22" style="119" customWidth="1" outlineLevel="1"/>
    <col min="32" max="32" width="22.5" style="119" customWidth="1" outlineLevel="1"/>
    <col min="33" max="33" width="21.33203125" style="119" customWidth="1" outlineLevel="1"/>
    <col min="34" max="41" width="22" style="119" customWidth="1" outlineLevel="1"/>
    <col min="42" max="42" width="3.1640625" style="119" customWidth="1"/>
    <col min="43" max="52" width="12" style="119"/>
    <col min="53" max="53" width="27.5" style="119" bestFit="1" customWidth="1"/>
    <col min="54" max="16384" width="12" style="119"/>
  </cols>
  <sheetData>
    <row r="1" spans="1:54" ht="12.75" customHeight="1" x14ac:dyDescent="0.2">
      <c r="B1" s="119"/>
      <c r="D1" s="119"/>
      <c r="E1" s="151"/>
      <c r="G1" s="119"/>
      <c r="S1" s="119"/>
    </row>
    <row r="2" spans="1:54" s="152" customFormat="1" ht="39" customHeight="1" x14ac:dyDescent="0.2">
      <c r="A2" s="202" t="str">
        <f>"PLAN D'ACTIONS DETAILLE - PROCESSUS "&amp;Matrice!G1</f>
        <v>PLAN D'ACTIONS DETAILLE - PROCESSUS DI2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</row>
    <row r="3" spans="1:54" s="121" customFormat="1" ht="3.75" customHeight="1" x14ac:dyDescent="0.2">
      <c r="E3" s="153"/>
    </row>
    <row r="4" spans="1:54" ht="20.25" customHeight="1" x14ac:dyDescent="0.2">
      <c r="B4" s="119"/>
      <c r="D4" s="119"/>
      <c r="E4" s="151"/>
      <c r="G4" s="119"/>
      <c r="S4" s="119"/>
    </row>
    <row r="5" spans="1:54" ht="198" customHeight="1" x14ac:dyDescent="0.2">
      <c r="A5" s="335" t="s">
        <v>68</v>
      </c>
      <c r="B5" s="335" t="s">
        <v>80</v>
      </c>
      <c r="C5" s="335" t="s">
        <v>78</v>
      </c>
      <c r="D5" s="335" t="s">
        <v>29</v>
      </c>
      <c r="E5" s="335" t="s">
        <v>49</v>
      </c>
      <c r="F5" s="335" t="s">
        <v>31</v>
      </c>
      <c r="G5" s="335" t="s">
        <v>70</v>
      </c>
      <c r="H5" s="335" t="s">
        <v>69</v>
      </c>
      <c r="I5" s="335" t="s">
        <v>71</v>
      </c>
      <c r="J5" s="336" t="s">
        <v>72</v>
      </c>
      <c r="K5" s="335" t="s">
        <v>33</v>
      </c>
      <c r="L5" s="335" t="s">
        <v>73</v>
      </c>
      <c r="M5" s="335" t="s">
        <v>221</v>
      </c>
      <c r="N5" s="335" t="s">
        <v>74</v>
      </c>
      <c r="O5" s="335" t="s">
        <v>30</v>
      </c>
      <c r="P5" s="335" t="s">
        <v>50</v>
      </c>
      <c r="Q5" s="335" t="s">
        <v>75</v>
      </c>
      <c r="R5" s="335" t="s">
        <v>76</v>
      </c>
      <c r="S5" s="335" t="s">
        <v>77</v>
      </c>
      <c r="T5" s="275"/>
      <c r="U5" s="337" t="str">
        <f>'Actions de maîtrise'!P5</f>
        <v>AAA</v>
      </c>
      <c r="V5" s="337" t="str">
        <f>'Actions de maîtrise'!Q5</f>
        <v>BBB</v>
      </c>
      <c r="W5" s="337" t="str">
        <f>'Actions de maîtrise'!R5</f>
        <v>CCC</v>
      </c>
      <c r="X5" s="337">
        <f>'Actions de maîtrise'!S5</f>
        <v>0</v>
      </c>
      <c r="Y5" s="337">
        <f>'Actions de maîtrise'!T5</f>
        <v>0</v>
      </c>
      <c r="Z5" s="337">
        <f>'Actions de maîtrise'!U5</f>
        <v>0</v>
      </c>
      <c r="AA5" s="337">
        <f>'Actions de maîtrise'!V5</f>
        <v>0</v>
      </c>
      <c r="AB5" s="337">
        <f>'Actions de maîtrise'!W5</f>
        <v>0</v>
      </c>
      <c r="AC5" s="337">
        <f>'Actions de maîtrise'!X5</f>
        <v>0</v>
      </c>
      <c r="AD5" s="337">
        <f>'Actions de maîtrise'!Y5</f>
        <v>0</v>
      </c>
      <c r="AE5" s="337">
        <f>'Actions de maîtrise'!Z5</f>
        <v>0</v>
      </c>
      <c r="AF5" s="337">
        <f>'Actions de maîtrise'!AA5</f>
        <v>0</v>
      </c>
      <c r="AG5" s="337">
        <f>'Actions de maîtrise'!AB5</f>
        <v>0</v>
      </c>
      <c r="AH5" s="337">
        <f>'Actions de maîtrise'!AC5</f>
        <v>0</v>
      </c>
      <c r="AI5" s="337">
        <f>'Actions de maîtrise'!AD5</f>
        <v>0</v>
      </c>
      <c r="AJ5" s="337">
        <f>'Actions de maîtrise'!AE5</f>
        <v>0</v>
      </c>
      <c r="AK5" s="337">
        <f>'Actions de maîtrise'!AF5</f>
        <v>0</v>
      </c>
      <c r="AL5" s="337">
        <f>'Actions de maîtrise'!AG5</f>
        <v>0</v>
      </c>
      <c r="AZ5" s="119" t="str">
        <f>'Fiches risques'!D11</f>
        <v/>
      </c>
      <c r="BA5" s="119" t="str">
        <f>'Fiches risques'!D12</f>
        <v/>
      </c>
      <c r="BB5" s="119" t="str">
        <f>'Fiches risques'!D13</f>
        <v/>
      </c>
    </row>
    <row r="6" spans="1:54" s="424" customFormat="1" ht="106.5" customHeight="1" x14ac:dyDescent="0.2">
      <c r="A6" s="308" t="str">
        <f>IF((COUNTIF(Matrice!$2:$2,Matrice!$G$1&amp;"-PA"&amp;Listes!A2)=1)=TRUE,Matrice!$G$1&amp;"-PA"&amp;Listes!A2,"")</f>
        <v/>
      </c>
      <c r="B6" s="154" t="str">
        <f t="shared" ref="B6:B30" si="0">MID(A6,1,3)</f>
        <v/>
      </c>
      <c r="C6" s="154" t="str">
        <f>IF(ISERROR(HLOOKUP($A6,Matrice!$A$2:$DP$100,21,FALSE)),"",(IF(HLOOKUP($A6,Matrice!$A$2:$DP$100,21,FALSE)=0,"",HLOOKUP($A6,Matrice!$A$2:$DP$100,21,FALSE))))</f>
        <v/>
      </c>
      <c r="D6" s="154" t="str">
        <f>IF(ISERROR(HLOOKUP($A6,Matrice!$A$2:$DP$100,20,FALSE)),"",(IF(HLOOKUP($A6,Matrice!$A$2:$DP$100,20,FALSE)=0,"",HLOOKUP($A6,Matrice!$A$2:$DP$100,20,FALSE))))</f>
        <v/>
      </c>
      <c r="E6" s="154" t="str">
        <f>IF(ISERROR(HLOOKUP($A6,Matrice!$A$2:$DP$100,3,FALSE)),"",(IF(HLOOKUP($A6,Matrice!$A$2:$DP$100,3,FALSE)=0,"",HLOOKUP($A6,Matrice!$A$2:$DP$100,3,FALSE))))</f>
        <v/>
      </c>
      <c r="F6" s="426" t="str">
        <f>IF(ISERROR(HLOOKUP($A6,Matrice!$A$2:$DP$100,2,FALSE)),"",(IF(HLOOKUP($A6,Matrice!$A$2:$DP$100,3,FALSE)=0,"",HLOOKUP($A6,Matrice!$A$2:$DP$100,2,FALSE))))</f>
        <v/>
      </c>
      <c r="G6" s="264"/>
      <c r="H6" s="263"/>
      <c r="I6" s="259"/>
      <c r="J6" s="260"/>
      <c r="K6" s="261"/>
      <c r="L6" s="261"/>
      <c r="M6" s="262"/>
      <c r="N6" s="262"/>
      <c r="O6" s="421"/>
      <c r="P6" s="262"/>
      <c r="Q6" s="422"/>
      <c r="R6" s="423"/>
      <c r="S6" s="262"/>
      <c r="U6" s="425" t="str">
        <f>IF(SUMPRODUCT((Matrice!$D$23:$D$50='Plan d''actions détaillé'!U$5)*(Matrice!$CC$21:$DA$21='Plan d''actions détaillé'!$D6)*(Matrice!$CC$23:$DA$50="X"))=0,"",IF(SUMPRODUCT((Matrice!$D$23:$D$50='Plan d''actions détaillé'!U$5)*(Matrice!$CC$21:$DA$21='Plan d''actions détaillé'!$D6)*(Matrice!$CC$23:$DA$50="X"))=1,"X","erreur"))</f>
        <v/>
      </c>
      <c r="V6" s="425" t="str">
        <f>IF(SUMPRODUCT((Matrice!$D$23:$D$50='Plan d''actions détaillé'!V$5)*(Matrice!$CC$21:$DA$21='Plan d''actions détaillé'!$D6)*(Matrice!$CC$23:$DA$50="X"))=0,"",IF(SUMPRODUCT((Matrice!$D$23:$D$50='Plan d''actions détaillé'!V$5)*(Matrice!$CC$21:$DA$21='Plan d''actions détaillé'!$D6)*(Matrice!$CC$23:$DA$50="X"))=1,"X","erreur"))</f>
        <v/>
      </c>
      <c r="W6" s="425" t="str">
        <f>IF(SUMPRODUCT((Matrice!$D$23:$D$50='Plan d''actions détaillé'!W$5)*(Matrice!$CC$21:$DA$21='Plan d''actions détaillé'!$D6)*(Matrice!$CC$23:$DA$50="X"))=0,"",IF(SUMPRODUCT((Matrice!$D$23:$D$50='Plan d''actions détaillé'!W$5)*(Matrice!$CC$21:$DA$21='Plan d''actions détaillé'!$D6)*(Matrice!$CC$23:$DA$50="X"))=1,"X","erreur"))</f>
        <v/>
      </c>
      <c r="X6" s="425" t="str">
        <f>IF(SUMPRODUCT((Matrice!$D$23:$D$50='Plan d''actions détaillé'!X$5)*(Matrice!$CC$21:$DA$21='Plan d''actions détaillé'!$D6)*(Matrice!$CC$23:$DA$50="X"))=0,"",IF(SUMPRODUCT((Matrice!$D$23:$D$50='Plan d''actions détaillé'!X$5)*(Matrice!$CC$21:$DA$21='Plan d''actions détaillé'!$D6)*(Matrice!$CC$23:$DA$50="X"))=1,"X","erreur"))</f>
        <v/>
      </c>
      <c r="Y6" s="425" t="str">
        <f>IF(SUMPRODUCT((Matrice!$D$23:$D$50='Plan d''actions détaillé'!Y$5)*(Matrice!$CC$21:$DA$21='Plan d''actions détaillé'!$D6)*(Matrice!$CC$23:$DA$50="X"))=0,"",IF(SUMPRODUCT((Matrice!$D$23:$D$50='Plan d''actions détaillé'!Y$5)*(Matrice!$CC$21:$DA$21='Plan d''actions détaillé'!$D6)*(Matrice!$CC$23:$DA$50="X"))=1,"X","erreur"))</f>
        <v/>
      </c>
      <c r="Z6" s="425" t="str">
        <f>IF(SUMPRODUCT((Matrice!$D$23:$D$50='Plan d''actions détaillé'!Z$5)*(Matrice!$CC$21:$DA$21='Plan d''actions détaillé'!$D6)*(Matrice!$CC$23:$DA$50="X"))=0,"",IF(SUMPRODUCT((Matrice!$D$23:$D$50='Plan d''actions détaillé'!Z$5)*(Matrice!$CC$21:$DA$21='Plan d''actions détaillé'!$D6)*(Matrice!$CC$23:$DA$50="X"))=1,"X","erreur"))</f>
        <v/>
      </c>
      <c r="AA6" s="425" t="str">
        <f>IF(SUMPRODUCT((Matrice!$D$23:$D$50='Plan d''actions détaillé'!AA$5)*(Matrice!$CC$21:$DA$21='Plan d''actions détaillé'!$D6)*(Matrice!$CC$23:$DA$50="X"))=0,"",IF(SUMPRODUCT((Matrice!$D$23:$D$50='Plan d''actions détaillé'!AA$5)*(Matrice!$CC$21:$DA$21='Plan d''actions détaillé'!$D6)*(Matrice!$CC$23:$DA$50="X"))=1,"X","erreur"))</f>
        <v/>
      </c>
      <c r="AB6" s="425" t="str">
        <f>IF(SUMPRODUCT((Matrice!$D$23:$D$50='Plan d''actions détaillé'!AB$5)*(Matrice!$CC$21:$DA$21='Plan d''actions détaillé'!$D6)*(Matrice!$CC$23:$DA$50="X"))=0,"",IF(SUMPRODUCT((Matrice!$D$23:$D$50='Plan d''actions détaillé'!AB$5)*(Matrice!$CC$21:$DA$21='Plan d''actions détaillé'!$D6)*(Matrice!$CC$23:$DA$50="X"))=1,"X","erreur"))</f>
        <v/>
      </c>
      <c r="AC6" s="425" t="str">
        <f>IF(SUMPRODUCT((Matrice!$D$23:$D$50='Plan d''actions détaillé'!AC$5)*(Matrice!$CC$21:$DA$21='Plan d''actions détaillé'!$D6)*(Matrice!$CC$23:$DA$50="X"))=0,"",IF(SUMPRODUCT((Matrice!$D$23:$D$50='Plan d''actions détaillé'!AC$5)*(Matrice!$CC$21:$DA$21='Plan d''actions détaillé'!$D6)*(Matrice!$CC$23:$DA$50="X"))=1,"X","erreur"))</f>
        <v/>
      </c>
      <c r="AD6" s="425" t="str">
        <f>IF(SUMPRODUCT((Matrice!$D$23:$D$50='Plan d''actions détaillé'!AD$5)*(Matrice!$CC$21:$DA$21='Plan d''actions détaillé'!$D6)*(Matrice!$CC$23:$DA$50="X"))=0,"",IF(SUMPRODUCT((Matrice!$D$23:$D$50='Plan d''actions détaillé'!AD$5)*(Matrice!$CC$21:$DA$21='Plan d''actions détaillé'!$D6)*(Matrice!$CC$23:$DA$50="X"))=1,"X","erreur"))</f>
        <v/>
      </c>
      <c r="AE6" s="425" t="str">
        <f>IF(SUMPRODUCT((Matrice!$D$23:$D$50='Plan d''actions détaillé'!AE$5)*(Matrice!$CC$21:$DA$21='Plan d''actions détaillé'!$D6)*(Matrice!$CC$23:$DA$50="X"))=0,"",IF(SUMPRODUCT((Matrice!$D$23:$D$50='Plan d''actions détaillé'!AE$5)*(Matrice!$CC$21:$DA$21='Plan d''actions détaillé'!$D6)*(Matrice!$CC$23:$DA$50="X"))=1,"X","erreur"))</f>
        <v/>
      </c>
      <c r="AF6" s="425" t="str">
        <f>IF(SUMPRODUCT((Matrice!$D$23:$D$50='Plan d''actions détaillé'!AF$5)*(Matrice!$CC$21:$DA$21='Plan d''actions détaillé'!$D6)*(Matrice!$CC$23:$DA$50="X"))=0,"",IF(SUMPRODUCT((Matrice!$D$23:$D$50='Plan d''actions détaillé'!AF$5)*(Matrice!$CC$21:$DA$21='Plan d''actions détaillé'!$D6)*(Matrice!$CC$23:$DA$50="X"))=1,"X","erreur"))</f>
        <v/>
      </c>
      <c r="AG6" s="425" t="str">
        <f>IF(SUMPRODUCT((Matrice!$D$23:$D$50='Plan d''actions détaillé'!AG$5)*(Matrice!$CC$21:$DA$21='Plan d''actions détaillé'!$D6)*(Matrice!$CC$23:$DA$50="X"))=0,"",IF(SUMPRODUCT((Matrice!$D$23:$D$50='Plan d''actions détaillé'!AG$5)*(Matrice!$CC$21:$DA$21='Plan d''actions détaillé'!$D6)*(Matrice!$CC$23:$DA$50="X"))=1,"X","erreur"))</f>
        <v/>
      </c>
      <c r="AH6" s="425" t="str">
        <f>IF(SUMPRODUCT((Matrice!$D$23:$D$50='Plan d''actions détaillé'!AH$5)*(Matrice!$CC$21:$DA$21='Plan d''actions détaillé'!$D6)*(Matrice!$CC$23:$DA$50="X"))=0,"",IF(SUMPRODUCT((Matrice!$D$23:$D$50='Plan d''actions détaillé'!AH$5)*(Matrice!$CC$21:$DA$21='Plan d''actions détaillé'!$D6)*(Matrice!$CC$23:$DA$50="X"))=1,"X","erreur"))</f>
        <v/>
      </c>
      <c r="AI6" s="425" t="str">
        <f>IF(SUMPRODUCT((Matrice!$D$23:$D$50='Plan d''actions détaillé'!AI$5)*(Matrice!$CC$21:$DA$21='Plan d''actions détaillé'!$D6)*(Matrice!$CC$23:$DA$50="X"))=0,"",IF(SUMPRODUCT((Matrice!$D$23:$D$50='Plan d''actions détaillé'!AI$5)*(Matrice!$CC$21:$DA$21='Plan d''actions détaillé'!$D6)*(Matrice!$CC$23:$DA$50="X"))=1,"X","erreur"))</f>
        <v/>
      </c>
      <c r="AJ6" s="425" t="str">
        <f>IF(SUMPRODUCT((Matrice!$D$23:$D$50='Plan d''actions détaillé'!AJ$5)*(Matrice!$CC$21:$DA$21='Plan d''actions détaillé'!$D6)*(Matrice!$CC$23:$DA$50="X"))=0,"",IF(SUMPRODUCT((Matrice!$D$23:$D$50='Plan d''actions détaillé'!AJ$5)*(Matrice!$CC$21:$DA$21='Plan d''actions détaillé'!$D6)*(Matrice!$CC$23:$DA$50="X"))=1,"X","erreur"))</f>
        <v/>
      </c>
      <c r="AK6" s="425" t="str">
        <f>IF(SUMPRODUCT((Matrice!$D$23:$D$50='Plan d''actions détaillé'!AK$5)*(Matrice!$CC$21:$DA$21='Plan d''actions détaillé'!$D6)*(Matrice!$CC$23:$DA$50="X"))=0,"",IF(SUMPRODUCT((Matrice!$D$23:$D$50='Plan d''actions détaillé'!AK$5)*(Matrice!$CC$21:$DA$21='Plan d''actions détaillé'!$D6)*(Matrice!$CC$23:$DA$50="X"))=1,"X","erreur"))</f>
        <v/>
      </c>
      <c r="AL6" s="425" t="str">
        <f>IF(SUMPRODUCT((Matrice!$D$23:$D$50='Plan d''actions détaillé'!AL$5)*(Matrice!$CC$21:$DA$21='Plan d''actions détaillé'!$D6)*(Matrice!$CC$23:$DA$50="X"))=0,"",IF(SUMPRODUCT((Matrice!$D$23:$D$50='Plan d''actions détaillé'!AL$5)*(Matrice!$CC$21:$DA$21='Plan d''actions détaillé'!$D6)*(Matrice!$CC$23:$DA$50="X"))=1,"X","erreur"))</f>
        <v/>
      </c>
      <c r="BA6" s="355"/>
    </row>
    <row r="7" spans="1:54" s="424" customFormat="1" ht="103.5" customHeight="1" x14ac:dyDescent="0.2">
      <c r="A7" s="308" t="str">
        <f>IF((COUNTIF(Matrice!$2:$2,Matrice!$G$1&amp;"-PA"&amp;Listes!A3)=1)=TRUE,Matrice!$G$1&amp;"-PA"&amp;Listes!A3,"")</f>
        <v/>
      </c>
      <c r="B7" s="154" t="str">
        <f t="shared" si="0"/>
        <v/>
      </c>
      <c r="C7" s="154" t="str">
        <f>IF(ISERROR(HLOOKUP($A7,Matrice!$A$2:$DP$100,21,FALSE)),"",(IF(HLOOKUP($A7,Matrice!$A$2:$DP$100,21,FALSE)=0,"",HLOOKUP($A7,Matrice!$A$2:$DP$100,21,FALSE))))</f>
        <v/>
      </c>
      <c r="D7" s="154" t="str">
        <f>IF(ISERROR(HLOOKUP($A7,Matrice!$A$2:$DP$100,20,FALSE)),"",(IF(HLOOKUP($A7,Matrice!$A$2:$DP$100,20,FALSE)=0,"",HLOOKUP($A7,Matrice!$A$2:$DP$100,20,FALSE))))</f>
        <v/>
      </c>
      <c r="E7" s="154" t="str">
        <f>IF(ISERROR(HLOOKUP($A7,Matrice!$A$2:$DP$100,3,FALSE)),"",(IF(HLOOKUP($A7,Matrice!$A$2:$DP$100,3,FALSE)=0,"",HLOOKUP($A7,Matrice!$A$2:$DP$100,3,FALSE))))</f>
        <v/>
      </c>
      <c r="F7" s="426" t="str">
        <f>IF(ISERROR(HLOOKUP($A7,Matrice!$A$2:$DP$100,2,FALSE)),"",(IF(HLOOKUP($A7,Matrice!$A$2:$DP$100,3,FALSE)=0,"",HLOOKUP($A7,Matrice!$A$2:$DP$100,2,FALSE))))</f>
        <v/>
      </c>
      <c r="G7" s="264"/>
      <c r="H7" s="263"/>
      <c r="I7" s="259"/>
      <c r="J7" s="260"/>
      <c r="K7" s="261"/>
      <c r="L7" s="261"/>
      <c r="M7" s="262"/>
      <c r="N7" s="262"/>
      <c r="O7" s="421"/>
      <c r="P7" s="262"/>
      <c r="Q7" s="422"/>
      <c r="R7" s="423"/>
      <c r="S7" s="262"/>
      <c r="U7" s="425" t="str">
        <f>IF(SUMPRODUCT((Matrice!$D$23:$D$50='Plan d''actions détaillé'!U$5)*(Matrice!$CC$21:$DA$21='Plan d''actions détaillé'!$D7)*(Matrice!$CC$23:$DA$50="X"))=0,"",IF(SUMPRODUCT((Matrice!$D$23:$D$50='Plan d''actions détaillé'!U$5)*(Matrice!$CC$21:$DA$21='Plan d''actions détaillé'!$D7)*(Matrice!$CC$23:$DA$50="X"))=1,"X","erreur"))</f>
        <v/>
      </c>
      <c r="V7" s="425" t="str">
        <f>IF(SUMPRODUCT((Matrice!$D$23:$D$50='Plan d''actions détaillé'!V$5)*(Matrice!$CC$21:$DA$21='Plan d''actions détaillé'!$D7)*(Matrice!$CC$23:$DA$50="X"))=0,"",IF(SUMPRODUCT((Matrice!$D$23:$D$50='Plan d''actions détaillé'!V$5)*(Matrice!$CC$21:$DA$21='Plan d''actions détaillé'!$D7)*(Matrice!$CC$23:$DA$50="X"))=1,"X","erreur"))</f>
        <v/>
      </c>
      <c r="W7" s="425" t="str">
        <f>IF(SUMPRODUCT((Matrice!$D$23:$D$50='Plan d''actions détaillé'!W$5)*(Matrice!$CC$21:$DA$21='Plan d''actions détaillé'!$D7)*(Matrice!$CC$23:$DA$50="X"))=0,"",IF(SUMPRODUCT((Matrice!$D$23:$D$50='Plan d''actions détaillé'!W$5)*(Matrice!$CC$21:$DA$21='Plan d''actions détaillé'!$D7)*(Matrice!$CC$23:$DA$50="X"))=1,"X","erreur"))</f>
        <v/>
      </c>
      <c r="X7" s="425" t="str">
        <f>IF(SUMPRODUCT((Matrice!$D$23:$D$50='Plan d''actions détaillé'!X$5)*(Matrice!$CC$21:$DA$21='Plan d''actions détaillé'!$D7)*(Matrice!$CC$23:$DA$50="X"))=0,"",IF(SUMPRODUCT((Matrice!$D$23:$D$50='Plan d''actions détaillé'!X$5)*(Matrice!$CC$21:$DA$21='Plan d''actions détaillé'!$D7)*(Matrice!$CC$23:$DA$50="X"))=1,"X","erreur"))</f>
        <v/>
      </c>
      <c r="Y7" s="425" t="str">
        <f>IF(SUMPRODUCT((Matrice!$D$23:$D$50='Plan d''actions détaillé'!Y$5)*(Matrice!$CC$21:$DA$21='Plan d''actions détaillé'!$D7)*(Matrice!$CC$23:$DA$50="X"))=0,"",IF(SUMPRODUCT((Matrice!$D$23:$D$50='Plan d''actions détaillé'!Y$5)*(Matrice!$CC$21:$DA$21='Plan d''actions détaillé'!$D7)*(Matrice!$CC$23:$DA$50="X"))=1,"X","erreur"))</f>
        <v/>
      </c>
      <c r="Z7" s="425" t="str">
        <f>IF(SUMPRODUCT((Matrice!$D$23:$D$50='Plan d''actions détaillé'!Z$5)*(Matrice!$CC$21:$DA$21='Plan d''actions détaillé'!$D7)*(Matrice!$CC$23:$DA$50="X"))=0,"",IF(SUMPRODUCT((Matrice!$D$23:$D$50='Plan d''actions détaillé'!Z$5)*(Matrice!$CC$21:$DA$21='Plan d''actions détaillé'!$D7)*(Matrice!$CC$23:$DA$50="X"))=1,"X","erreur"))</f>
        <v/>
      </c>
      <c r="AA7" s="425" t="str">
        <f>IF(SUMPRODUCT((Matrice!$D$23:$D$50='Plan d''actions détaillé'!AA$5)*(Matrice!$CC$21:$DA$21='Plan d''actions détaillé'!$D7)*(Matrice!$CC$23:$DA$50="X"))=0,"",IF(SUMPRODUCT((Matrice!$D$23:$D$50='Plan d''actions détaillé'!AA$5)*(Matrice!$CC$21:$DA$21='Plan d''actions détaillé'!$D7)*(Matrice!$CC$23:$DA$50="X"))=1,"X","erreur"))</f>
        <v/>
      </c>
      <c r="AB7" s="425" t="str">
        <f>IF(SUMPRODUCT((Matrice!$D$23:$D$50='Plan d''actions détaillé'!AB$5)*(Matrice!$CC$21:$DA$21='Plan d''actions détaillé'!$D7)*(Matrice!$CC$23:$DA$50="X"))=0,"",IF(SUMPRODUCT((Matrice!$D$23:$D$50='Plan d''actions détaillé'!AB$5)*(Matrice!$CC$21:$DA$21='Plan d''actions détaillé'!$D7)*(Matrice!$CC$23:$DA$50="X"))=1,"X","erreur"))</f>
        <v/>
      </c>
      <c r="AC7" s="425" t="str">
        <f>IF(SUMPRODUCT((Matrice!$D$23:$D$50='Plan d''actions détaillé'!AC$5)*(Matrice!$CC$21:$DA$21='Plan d''actions détaillé'!$D7)*(Matrice!$CC$23:$DA$50="X"))=0,"",IF(SUMPRODUCT((Matrice!$D$23:$D$50='Plan d''actions détaillé'!AC$5)*(Matrice!$CC$21:$DA$21='Plan d''actions détaillé'!$D7)*(Matrice!$CC$23:$DA$50="X"))=1,"X","erreur"))</f>
        <v/>
      </c>
      <c r="AD7" s="425" t="str">
        <f>IF(SUMPRODUCT((Matrice!$D$23:$D$50='Plan d''actions détaillé'!AD$5)*(Matrice!$CC$21:$DA$21='Plan d''actions détaillé'!$D7)*(Matrice!$CC$23:$DA$50="X"))=0,"",IF(SUMPRODUCT((Matrice!$D$23:$D$50='Plan d''actions détaillé'!AD$5)*(Matrice!$CC$21:$DA$21='Plan d''actions détaillé'!$D7)*(Matrice!$CC$23:$DA$50="X"))=1,"X","erreur"))</f>
        <v/>
      </c>
      <c r="AE7" s="425" t="str">
        <f>IF(SUMPRODUCT((Matrice!$D$23:$D$50='Plan d''actions détaillé'!AE$5)*(Matrice!$CC$21:$DA$21='Plan d''actions détaillé'!$D7)*(Matrice!$CC$23:$DA$50="X"))=0,"",IF(SUMPRODUCT((Matrice!$D$23:$D$50='Plan d''actions détaillé'!AE$5)*(Matrice!$CC$21:$DA$21='Plan d''actions détaillé'!$D7)*(Matrice!$CC$23:$DA$50="X"))=1,"X","erreur"))</f>
        <v/>
      </c>
      <c r="AF7" s="425" t="str">
        <f>IF(SUMPRODUCT((Matrice!$D$23:$D$50='Plan d''actions détaillé'!AF$5)*(Matrice!$CC$21:$DA$21='Plan d''actions détaillé'!$D7)*(Matrice!$CC$23:$DA$50="X"))=0,"",IF(SUMPRODUCT((Matrice!$D$23:$D$50='Plan d''actions détaillé'!AF$5)*(Matrice!$CC$21:$DA$21='Plan d''actions détaillé'!$D7)*(Matrice!$CC$23:$DA$50="X"))=1,"X","erreur"))</f>
        <v/>
      </c>
      <c r="AG7" s="425" t="str">
        <f>IF(SUMPRODUCT((Matrice!$D$23:$D$50='Plan d''actions détaillé'!AG$5)*(Matrice!$CC$21:$DA$21='Plan d''actions détaillé'!$D7)*(Matrice!$CC$23:$DA$50="X"))=0,"",IF(SUMPRODUCT((Matrice!$D$23:$D$50='Plan d''actions détaillé'!AG$5)*(Matrice!$CC$21:$DA$21='Plan d''actions détaillé'!$D7)*(Matrice!$CC$23:$DA$50="X"))=1,"X","erreur"))</f>
        <v/>
      </c>
      <c r="AH7" s="425" t="str">
        <f>IF(SUMPRODUCT((Matrice!$D$23:$D$50='Plan d''actions détaillé'!AH$5)*(Matrice!$CC$21:$DA$21='Plan d''actions détaillé'!$D7)*(Matrice!$CC$23:$DA$50="X"))=0,"",IF(SUMPRODUCT((Matrice!$D$23:$D$50='Plan d''actions détaillé'!AH$5)*(Matrice!$CC$21:$DA$21='Plan d''actions détaillé'!$D7)*(Matrice!$CC$23:$DA$50="X"))=1,"X","erreur"))</f>
        <v/>
      </c>
      <c r="AI7" s="425" t="str">
        <f>IF(SUMPRODUCT((Matrice!$D$23:$D$50='Plan d''actions détaillé'!AI$5)*(Matrice!$CC$21:$DA$21='Plan d''actions détaillé'!$D7)*(Matrice!$CC$23:$DA$50="X"))=0,"",IF(SUMPRODUCT((Matrice!$D$23:$D$50='Plan d''actions détaillé'!AI$5)*(Matrice!$CC$21:$DA$21='Plan d''actions détaillé'!$D7)*(Matrice!$CC$23:$DA$50="X"))=1,"X","erreur"))</f>
        <v/>
      </c>
      <c r="AJ7" s="425" t="str">
        <f>IF(SUMPRODUCT((Matrice!$D$23:$D$50='Plan d''actions détaillé'!AJ$5)*(Matrice!$CC$21:$DA$21='Plan d''actions détaillé'!$D7)*(Matrice!$CC$23:$DA$50="X"))=0,"",IF(SUMPRODUCT((Matrice!$D$23:$D$50='Plan d''actions détaillé'!AJ$5)*(Matrice!$CC$21:$DA$21='Plan d''actions détaillé'!$D7)*(Matrice!$CC$23:$DA$50="X"))=1,"X","erreur"))</f>
        <v/>
      </c>
      <c r="AK7" s="425" t="str">
        <f>IF(SUMPRODUCT((Matrice!$D$23:$D$50='Plan d''actions détaillé'!AK$5)*(Matrice!$CC$21:$DA$21='Plan d''actions détaillé'!$D7)*(Matrice!$CC$23:$DA$50="X"))=0,"",IF(SUMPRODUCT((Matrice!$D$23:$D$50='Plan d''actions détaillé'!AK$5)*(Matrice!$CC$21:$DA$21='Plan d''actions détaillé'!$D7)*(Matrice!$CC$23:$DA$50="X"))=1,"X","erreur"))</f>
        <v/>
      </c>
      <c r="AL7" s="425" t="str">
        <f>IF(SUMPRODUCT((Matrice!$D$23:$D$50='Plan d''actions détaillé'!AL$5)*(Matrice!$CC$21:$DA$21='Plan d''actions détaillé'!$D7)*(Matrice!$CC$23:$DA$50="X"))=0,"",IF(SUMPRODUCT((Matrice!$D$23:$D$50='Plan d''actions détaillé'!AL$5)*(Matrice!$CC$21:$DA$21='Plan d''actions détaillé'!$D7)*(Matrice!$CC$23:$DA$50="X"))=1,"X","erreur"))</f>
        <v/>
      </c>
      <c r="BA7" s="427"/>
    </row>
    <row r="8" spans="1:54" s="424" customFormat="1" ht="108" customHeight="1" x14ac:dyDescent="0.2">
      <c r="A8" s="308" t="str">
        <f>IF((COUNTIF(Matrice!$2:$2,Matrice!$G$1&amp;"-PA"&amp;Listes!A4)=1)=TRUE,Matrice!$G$1&amp;"-PA"&amp;Listes!A4,"")</f>
        <v/>
      </c>
      <c r="B8" s="154" t="str">
        <f t="shared" si="0"/>
        <v/>
      </c>
      <c r="C8" s="154" t="str">
        <f>IF(ISERROR(HLOOKUP($A8,Matrice!$A$2:$DP$100,21,FALSE)),"",(IF(HLOOKUP($A8,Matrice!$A$2:$DP$100,21,FALSE)=0,"",HLOOKUP($A8,Matrice!$A$2:$DP$100,21,FALSE))))</f>
        <v/>
      </c>
      <c r="D8" s="154" t="str">
        <f>IF(ISERROR(HLOOKUP($A8,Matrice!$A$2:$DP$100,20,FALSE)),"",(IF(HLOOKUP($A8,Matrice!$A$2:$DP$100,20,FALSE)=0,"",HLOOKUP($A8,Matrice!$A$2:$DP$100,20,FALSE))))</f>
        <v/>
      </c>
      <c r="E8" s="154" t="str">
        <f>IF(ISERROR(HLOOKUP($A8,Matrice!$A$2:$DP$100,3,FALSE)),"",(IF(HLOOKUP($A8,Matrice!$A$2:$DP$100,3,FALSE)=0,"",HLOOKUP($A8,Matrice!$A$2:$DP$100,3,FALSE))))</f>
        <v/>
      </c>
      <c r="F8" s="426" t="str">
        <f>IF(ISERROR(HLOOKUP($A8,Matrice!$A$2:$DP$100,2,FALSE)),"",(IF(HLOOKUP($A8,Matrice!$A$2:$DP$100,3,FALSE)=0,"",HLOOKUP($A8,Matrice!$A$2:$DP$100,2,FALSE))))</f>
        <v/>
      </c>
      <c r="G8" s="264"/>
      <c r="H8" s="263"/>
      <c r="I8" s="259"/>
      <c r="J8" s="260"/>
      <c r="K8" s="261"/>
      <c r="L8" s="261"/>
      <c r="M8" s="262"/>
      <c r="N8" s="262"/>
      <c r="O8" s="421"/>
      <c r="P8" s="262"/>
      <c r="Q8" s="422"/>
      <c r="R8" s="423"/>
      <c r="S8" s="262"/>
      <c r="U8" s="425" t="str">
        <f>IF(SUMPRODUCT((Matrice!$D$23:$D$50='Plan d''actions détaillé'!U$5)*(Matrice!$CC$21:$DA$21='Plan d''actions détaillé'!$D8)*(Matrice!$CC$23:$DA$50="X"))=0,"",IF(SUMPRODUCT((Matrice!$D$23:$D$50='Plan d''actions détaillé'!U$5)*(Matrice!$CC$21:$DA$21='Plan d''actions détaillé'!$D8)*(Matrice!$CC$23:$DA$50="X"))=1,"X","erreur"))</f>
        <v/>
      </c>
      <c r="V8" s="425" t="str">
        <f>IF(SUMPRODUCT((Matrice!$D$23:$D$50='Plan d''actions détaillé'!V$5)*(Matrice!$CC$21:$DA$21='Plan d''actions détaillé'!$D8)*(Matrice!$CC$23:$DA$50="X"))=0,"",IF(SUMPRODUCT((Matrice!$D$23:$D$50='Plan d''actions détaillé'!V$5)*(Matrice!$CC$21:$DA$21='Plan d''actions détaillé'!$D8)*(Matrice!$CC$23:$DA$50="X"))=1,"X","erreur"))</f>
        <v/>
      </c>
      <c r="W8" s="425" t="str">
        <f>IF(SUMPRODUCT((Matrice!$D$23:$D$50='Plan d''actions détaillé'!W$5)*(Matrice!$CC$21:$DA$21='Plan d''actions détaillé'!$D8)*(Matrice!$CC$23:$DA$50="X"))=0,"",IF(SUMPRODUCT((Matrice!$D$23:$D$50='Plan d''actions détaillé'!W$5)*(Matrice!$CC$21:$DA$21='Plan d''actions détaillé'!$D8)*(Matrice!$CC$23:$DA$50="X"))=1,"X","erreur"))</f>
        <v/>
      </c>
      <c r="X8" s="425" t="str">
        <f>IF(SUMPRODUCT((Matrice!$D$23:$D$50='Plan d''actions détaillé'!X$5)*(Matrice!$CC$21:$DA$21='Plan d''actions détaillé'!$D8)*(Matrice!$CC$23:$DA$50="X"))=0,"",IF(SUMPRODUCT((Matrice!$D$23:$D$50='Plan d''actions détaillé'!X$5)*(Matrice!$CC$21:$DA$21='Plan d''actions détaillé'!$D8)*(Matrice!$CC$23:$DA$50="X"))=1,"X","erreur"))</f>
        <v/>
      </c>
      <c r="Y8" s="425" t="str">
        <f>IF(SUMPRODUCT((Matrice!$D$23:$D$50='Plan d''actions détaillé'!Y$5)*(Matrice!$CC$21:$DA$21='Plan d''actions détaillé'!$D8)*(Matrice!$CC$23:$DA$50="X"))=0,"",IF(SUMPRODUCT((Matrice!$D$23:$D$50='Plan d''actions détaillé'!Y$5)*(Matrice!$CC$21:$DA$21='Plan d''actions détaillé'!$D8)*(Matrice!$CC$23:$DA$50="X"))=1,"X","erreur"))</f>
        <v/>
      </c>
      <c r="Z8" s="425" t="str">
        <f>IF(SUMPRODUCT((Matrice!$D$23:$D$50='Plan d''actions détaillé'!Z$5)*(Matrice!$CC$21:$DA$21='Plan d''actions détaillé'!$D8)*(Matrice!$CC$23:$DA$50="X"))=0,"",IF(SUMPRODUCT((Matrice!$D$23:$D$50='Plan d''actions détaillé'!Z$5)*(Matrice!$CC$21:$DA$21='Plan d''actions détaillé'!$D8)*(Matrice!$CC$23:$DA$50="X"))=1,"X","erreur"))</f>
        <v/>
      </c>
      <c r="AA8" s="425" t="str">
        <f>IF(SUMPRODUCT((Matrice!$D$23:$D$50='Plan d''actions détaillé'!AA$5)*(Matrice!$CC$21:$DA$21='Plan d''actions détaillé'!$D8)*(Matrice!$CC$23:$DA$50="X"))=0,"",IF(SUMPRODUCT((Matrice!$D$23:$D$50='Plan d''actions détaillé'!AA$5)*(Matrice!$CC$21:$DA$21='Plan d''actions détaillé'!$D8)*(Matrice!$CC$23:$DA$50="X"))=1,"X","erreur"))</f>
        <v/>
      </c>
      <c r="AB8" s="425" t="str">
        <f>IF(SUMPRODUCT((Matrice!$D$23:$D$50='Plan d''actions détaillé'!AB$5)*(Matrice!$CC$21:$DA$21='Plan d''actions détaillé'!$D8)*(Matrice!$CC$23:$DA$50="X"))=0,"",IF(SUMPRODUCT((Matrice!$D$23:$D$50='Plan d''actions détaillé'!AB$5)*(Matrice!$CC$21:$DA$21='Plan d''actions détaillé'!$D8)*(Matrice!$CC$23:$DA$50="X"))=1,"X","erreur"))</f>
        <v/>
      </c>
      <c r="AC8" s="425" t="str">
        <f>IF(SUMPRODUCT((Matrice!$D$23:$D$50='Plan d''actions détaillé'!AC$5)*(Matrice!$CC$21:$DA$21='Plan d''actions détaillé'!$D8)*(Matrice!$CC$23:$DA$50="X"))=0,"",IF(SUMPRODUCT((Matrice!$D$23:$D$50='Plan d''actions détaillé'!AC$5)*(Matrice!$CC$21:$DA$21='Plan d''actions détaillé'!$D8)*(Matrice!$CC$23:$DA$50="X"))=1,"X","erreur"))</f>
        <v/>
      </c>
      <c r="AD8" s="425" t="str">
        <f>IF(SUMPRODUCT((Matrice!$D$23:$D$50='Plan d''actions détaillé'!AD$5)*(Matrice!$CC$21:$DA$21='Plan d''actions détaillé'!$D8)*(Matrice!$CC$23:$DA$50="X"))=0,"",IF(SUMPRODUCT((Matrice!$D$23:$D$50='Plan d''actions détaillé'!AD$5)*(Matrice!$CC$21:$DA$21='Plan d''actions détaillé'!$D8)*(Matrice!$CC$23:$DA$50="X"))=1,"X","erreur"))</f>
        <v/>
      </c>
      <c r="AE8" s="425" t="str">
        <f>IF(SUMPRODUCT((Matrice!$D$23:$D$50='Plan d''actions détaillé'!AE$5)*(Matrice!$CC$21:$DA$21='Plan d''actions détaillé'!$D8)*(Matrice!$CC$23:$DA$50="X"))=0,"",IF(SUMPRODUCT((Matrice!$D$23:$D$50='Plan d''actions détaillé'!AE$5)*(Matrice!$CC$21:$DA$21='Plan d''actions détaillé'!$D8)*(Matrice!$CC$23:$DA$50="X"))=1,"X","erreur"))</f>
        <v/>
      </c>
      <c r="AF8" s="425" t="str">
        <f>IF(SUMPRODUCT((Matrice!$D$23:$D$50='Plan d''actions détaillé'!AF$5)*(Matrice!$CC$21:$DA$21='Plan d''actions détaillé'!$D8)*(Matrice!$CC$23:$DA$50="X"))=0,"",IF(SUMPRODUCT((Matrice!$D$23:$D$50='Plan d''actions détaillé'!AF$5)*(Matrice!$CC$21:$DA$21='Plan d''actions détaillé'!$D8)*(Matrice!$CC$23:$DA$50="X"))=1,"X","erreur"))</f>
        <v/>
      </c>
      <c r="AG8" s="425" t="str">
        <f>IF(SUMPRODUCT((Matrice!$D$23:$D$50='Plan d''actions détaillé'!AG$5)*(Matrice!$CC$21:$DA$21='Plan d''actions détaillé'!$D8)*(Matrice!$CC$23:$DA$50="X"))=0,"",IF(SUMPRODUCT((Matrice!$D$23:$D$50='Plan d''actions détaillé'!AG$5)*(Matrice!$CC$21:$DA$21='Plan d''actions détaillé'!$D8)*(Matrice!$CC$23:$DA$50="X"))=1,"X","erreur"))</f>
        <v/>
      </c>
      <c r="AH8" s="425" t="str">
        <f>IF(SUMPRODUCT((Matrice!$D$23:$D$50='Plan d''actions détaillé'!AH$5)*(Matrice!$CC$21:$DA$21='Plan d''actions détaillé'!$D8)*(Matrice!$CC$23:$DA$50="X"))=0,"",IF(SUMPRODUCT((Matrice!$D$23:$D$50='Plan d''actions détaillé'!AH$5)*(Matrice!$CC$21:$DA$21='Plan d''actions détaillé'!$D8)*(Matrice!$CC$23:$DA$50="X"))=1,"X","erreur"))</f>
        <v/>
      </c>
      <c r="AI8" s="425" t="str">
        <f>IF(SUMPRODUCT((Matrice!$D$23:$D$50='Plan d''actions détaillé'!AI$5)*(Matrice!$CC$21:$DA$21='Plan d''actions détaillé'!$D8)*(Matrice!$CC$23:$DA$50="X"))=0,"",IF(SUMPRODUCT((Matrice!$D$23:$D$50='Plan d''actions détaillé'!AI$5)*(Matrice!$CC$21:$DA$21='Plan d''actions détaillé'!$D8)*(Matrice!$CC$23:$DA$50="X"))=1,"X","erreur"))</f>
        <v/>
      </c>
      <c r="AJ8" s="425" t="str">
        <f>IF(SUMPRODUCT((Matrice!$D$23:$D$50='Plan d''actions détaillé'!AJ$5)*(Matrice!$CC$21:$DA$21='Plan d''actions détaillé'!$D8)*(Matrice!$CC$23:$DA$50="X"))=0,"",IF(SUMPRODUCT((Matrice!$D$23:$D$50='Plan d''actions détaillé'!AJ$5)*(Matrice!$CC$21:$DA$21='Plan d''actions détaillé'!$D8)*(Matrice!$CC$23:$DA$50="X"))=1,"X","erreur"))</f>
        <v/>
      </c>
      <c r="AK8" s="425" t="str">
        <f>IF(SUMPRODUCT((Matrice!$D$23:$D$50='Plan d''actions détaillé'!AK$5)*(Matrice!$CC$21:$DA$21='Plan d''actions détaillé'!$D8)*(Matrice!$CC$23:$DA$50="X"))=0,"",IF(SUMPRODUCT((Matrice!$D$23:$D$50='Plan d''actions détaillé'!AK$5)*(Matrice!$CC$21:$DA$21='Plan d''actions détaillé'!$D8)*(Matrice!$CC$23:$DA$50="X"))=1,"X","erreur"))</f>
        <v/>
      </c>
      <c r="AL8" s="425" t="str">
        <f>IF(SUMPRODUCT((Matrice!$D$23:$D$50='Plan d''actions détaillé'!AL$5)*(Matrice!$CC$21:$DA$21='Plan d''actions détaillé'!$D8)*(Matrice!$CC$23:$DA$50="X"))=0,"",IF(SUMPRODUCT((Matrice!$D$23:$D$50='Plan d''actions détaillé'!AL$5)*(Matrice!$CC$21:$DA$21='Plan d''actions détaillé'!$D8)*(Matrice!$CC$23:$DA$50="X"))=1,"X","erreur"))</f>
        <v/>
      </c>
      <c r="AV8" s="428"/>
      <c r="AW8" s="428"/>
      <c r="AX8" s="428"/>
      <c r="AY8" s="428"/>
      <c r="AZ8" s="428"/>
      <c r="BA8" s="428"/>
      <c r="BB8" s="428"/>
    </row>
    <row r="9" spans="1:54" s="424" customFormat="1" ht="118.5" customHeight="1" x14ac:dyDescent="0.15">
      <c r="A9" s="308" t="str">
        <f>IF((COUNTIF(Matrice!$2:$2,Matrice!$G$1&amp;"-PA"&amp;Listes!A5)=1)=TRUE,Matrice!$G$1&amp;"-PA"&amp;Listes!A5,"")</f>
        <v/>
      </c>
      <c r="B9" s="154" t="str">
        <f t="shared" si="0"/>
        <v/>
      </c>
      <c r="C9" s="154" t="str">
        <f>IF(ISERROR(HLOOKUP($A9,Matrice!$A$2:$DP$100,21,FALSE)),"",(IF(HLOOKUP($A9,Matrice!$A$2:$DP$100,21,FALSE)=0,"",HLOOKUP($A9,Matrice!$A$2:$DP$100,21,FALSE))))</f>
        <v/>
      </c>
      <c r="D9" s="154" t="str">
        <f>IF(ISERROR(HLOOKUP($A9,Matrice!$A$2:$DP$100,20,FALSE)),"",(IF(HLOOKUP($A9,Matrice!$A$2:$DP$100,20,FALSE)=0,"",HLOOKUP($A9,Matrice!$A$2:$DP$100,20,FALSE))))</f>
        <v/>
      </c>
      <c r="E9" s="154" t="str">
        <f>IF(ISERROR(HLOOKUP($A9,Matrice!$A$2:$DP$100,3,FALSE)),"",(IF(HLOOKUP($A9,Matrice!$A$2:$DP$100,3,FALSE)=0,"",HLOOKUP($A9,Matrice!$A$2:$DP$100,3,FALSE))))</f>
        <v/>
      </c>
      <c r="F9" s="426" t="str">
        <f>IF(ISERROR(HLOOKUP($A9,Matrice!$A$2:$DP$100,2,FALSE)),"",(IF(HLOOKUP($A9,Matrice!$A$2:$DP$100,3,FALSE)=0,"",HLOOKUP($A9,Matrice!$A$2:$DP$100,2,FALSE))))</f>
        <v/>
      </c>
      <c r="G9" s="264"/>
      <c r="H9" s="263"/>
      <c r="I9" s="259"/>
      <c r="J9" s="260"/>
      <c r="K9" s="261"/>
      <c r="L9" s="261"/>
      <c r="M9" s="262"/>
      <c r="N9" s="262"/>
      <c r="O9" s="421"/>
      <c r="P9" s="262"/>
      <c r="Q9" s="422"/>
      <c r="R9" s="423"/>
      <c r="S9" s="262"/>
      <c r="U9" s="425" t="str">
        <f>IF(SUMPRODUCT((Matrice!$D$23:$D$50='Plan d''actions détaillé'!U$5)*(Matrice!$CC$21:$DA$21='Plan d''actions détaillé'!$D9)*(Matrice!$CC$23:$DA$50="X"))=0,"",IF(SUMPRODUCT((Matrice!$D$23:$D$50='Plan d''actions détaillé'!U$5)*(Matrice!$CC$21:$DA$21='Plan d''actions détaillé'!$D9)*(Matrice!$CC$23:$DA$50="X"))=1,"X","erreur"))</f>
        <v/>
      </c>
      <c r="V9" s="425" t="str">
        <f>IF(SUMPRODUCT((Matrice!$D$23:$D$50='Plan d''actions détaillé'!V$5)*(Matrice!$CC$21:$DA$21='Plan d''actions détaillé'!$D9)*(Matrice!$CC$23:$DA$50="X"))=0,"",IF(SUMPRODUCT((Matrice!$D$23:$D$50='Plan d''actions détaillé'!V$5)*(Matrice!$CC$21:$DA$21='Plan d''actions détaillé'!$D9)*(Matrice!$CC$23:$DA$50="X"))=1,"X","erreur"))</f>
        <v/>
      </c>
      <c r="W9" s="425" t="str">
        <f>IF(SUMPRODUCT((Matrice!$D$23:$D$50='Plan d''actions détaillé'!W$5)*(Matrice!$CC$21:$DA$21='Plan d''actions détaillé'!$D9)*(Matrice!$CC$23:$DA$50="X"))=0,"",IF(SUMPRODUCT((Matrice!$D$23:$D$50='Plan d''actions détaillé'!W$5)*(Matrice!$CC$21:$DA$21='Plan d''actions détaillé'!$D9)*(Matrice!$CC$23:$DA$50="X"))=1,"X","erreur"))</f>
        <v/>
      </c>
      <c r="X9" s="425" t="str">
        <f>IF(SUMPRODUCT((Matrice!$D$23:$D$50='Plan d''actions détaillé'!X$5)*(Matrice!$CC$21:$DA$21='Plan d''actions détaillé'!$D9)*(Matrice!$CC$23:$DA$50="X"))=0,"",IF(SUMPRODUCT((Matrice!$D$23:$D$50='Plan d''actions détaillé'!X$5)*(Matrice!$CC$21:$DA$21='Plan d''actions détaillé'!$D9)*(Matrice!$CC$23:$DA$50="X"))=1,"X","erreur"))</f>
        <v/>
      </c>
      <c r="Y9" s="425" t="str">
        <f>IF(SUMPRODUCT((Matrice!$D$23:$D$50='Plan d''actions détaillé'!Y$5)*(Matrice!$CC$21:$DA$21='Plan d''actions détaillé'!$D9)*(Matrice!$CC$23:$DA$50="X"))=0,"",IF(SUMPRODUCT((Matrice!$D$23:$D$50='Plan d''actions détaillé'!Y$5)*(Matrice!$CC$21:$DA$21='Plan d''actions détaillé'!$D9)*(Matrice!$CC$23:$DA$50="X"))=1,"X","erreur"))</f>
        <v/>
      </c>
      <c r="Z9" s="425" t="str">
        <f>IF(SUMPRODUCT((Matrice!$D$23:$D$50='Plan d''actions détaillé'!Z$5)*(Matrice!$CC$21:$DA$21='Plan d''actions détaillé'!$D9)*(Matrice!$CC$23:$DA$50="X"))=0,"",IF(SUMPRODUCT((Matrice!$D$23:$D$50='Plan d''actions détaillé'!Z$5)*(Matrice!$CC$21:$DA$21='Plan d''actions détaillé'!$D9)*(Matrice!$CC$23:$DA$50="X"))=1,"X","erreur"))</f>
        <v/>
      </c>
      <c r="AA9" s="425" t="str">
        <f>IF(SUMPRODUCT((Matrice!$D$23:$D$50='Plan d''actions détaillé'!AA$5)*(Matrice!$CC$21:$DA$21='Plan d''actions détaillé'!$D9)*(Matrice!$CC$23:$DA$50="X"))=0,"",IF(SUMPRODUCT((Matrice!$D$23:$D$50='Plan d''actions détaillé'!AA$5)*(Matrice!$CC$21:$DA$21='Plan d''actions détaillé'!$D9)*(Matrice!$CC$23:$DA$50="X"))=1,"X","erreur"))</f>
        <v/>
      </c>
      <c r="AB9" s="425" t="str">
        <f>IF(SUMPRODUCT((Matrice!$D$23:$D$50='Plan d''actions détaillé'!AB$5)*(Matrice!$CC$21:$DA$21='Plan d''actions détaillé'!$D9)*(Matrice!$CC$23:$DA$50="X"))=0,"",IF(SUMPRODUCT((Matrice!$D$23:$D$50='Plan d''actions détaillé'!AB$5)*(Matrice!$CC$21:$DA$21='Plan d''actions détaillé'!$D9)*(Matrice!$CC$23:$DA$50="X"))=1,"X","erreur"))</f>
        <v/>
      </c>
      <c r="AC9" s="425" t="str">
        <f>IF(SUMPRODUCT((Matrice!$D$23:$D$50='Plan d''actions détaillé'!AC$5)*(Matrice!$CC$21:$DA$21='Plan d''actions détaillé'!$D9)*(Matrice!$CC$23:$DA$50="X"))=0,"",IF(SUMPRODUCT((Matrice!$D$23:$D$50='Plan d''actions détaillé'!AC$5)*(Matrice!$CC$21:$DA$21='Plan d''actions détaillé'!$D9)*(Matrice!$CC$23:$DA$50="X"))=1,"X","erreur"))</f>
        <v/>
      </c>
      <c r="AD9" s="425" t="str">
        <f>IF(SUMPRODUCT((Matrice!$D$23:$D$50='Plan d''actions détaillé'!AD$5)*(Matrice!$CC$21:$DA$21='Plan d''actions détaillé'!$D9)*(Matrice!$CC$23:$DA$50="X"))=0,"",IF(SUMPRODUCT((Matrice!$D$23:$D$50='Plan d''actions détaillé'!AD$5)*(Matrice!$CC$21:$DA$21='Plan d''actions détaillé'!$D9)*(Matrice!$CC$23:$DA$50="X"))=1,"X","erreur"))</f>
        <v/>
      </c>
      <c r="AE9" s="425" t="str">
        <f>IF(SUMPRODUCT((Matrice!$D$23:$D$50='Plan d''actions détaillé'!AE$5)*(Matrice!$CC$21:$DA$21='Plan d''actions détaillé'!$D9)*(Matrice!$CC$23:$DA$50="X"))=0,"",IF(SUMPRODUCT((Matrice!$D$23:$D$50='Plan d''actions détaillé'!AE$5)*(Matrice!$CC$21:$DA$21='Plan d''actions détaillé'!$D9)*(Matrice!$CC$23:$DA$50="X"))=1,"X","erreur"))</f>
        <v/>
      </c>
      <c r="AF9" s="425" t="str">
        <f>IF(SUMPRODUCT((Matrice!$D$23:$D$50='Plan d''actions détaillé'!AF$5)*(Matrice!$CC$21:$DA$21='Plan d''actions détaillé'!$D9)*(Matrice!$CC$23:$DA$50="X"))=0,"",IF(SUMPRODUCT((Matrice!$D$23:$D$50='Plan d''actions détaillé'!AF$5)*(Matrice!$CC$21:$DA$21='Plan d''actions détaillé'!$D9)*(Matrice!$CC$23:$DA$50="X"))=1,"X","erreur"))</f>
        <v/>
      </c>
      <c r="AG9" s="425" t="str">
        <f>IF(SUMPRODUCT((Matrice!$D$23:$D$50='Plan d''actions détaillé'!AG$5)*(Matrice!$CC$21:$DA$21='Plan d''actions détaillé'!$D9)*(Matrice!$CC$23:$DA$50="X"))=0,"",IF(SUMPRODUCT((Matrice!$D$23:$D$50='Plan d''actions détaillé'!AG$5)*(Matrice!$CC$21:$DA$21='Plan d''actions détaillé'!$D9)*(Matrice!$CC$23:$DA$50="X"))=1,"X","erreur"))</f>
        <v/>
      </c>
      <c r="AH9" s="425" t="str">
        <f>IF(SUMPRODUCT((Matrice!$D$23:$D$50='Plan d''actions détaillé'!AH$5)*(Matrice!$CC$21:$DA$21='Plan d''actions détaillé'!$D9)*(Matrice!$CC$23:$DA$50="X"))=0,"",IF(SUMPRODUCT((Matrice!$D$23:$D$50='Plan d''actions détaillé'!AH$5)*(Matrice!$CC$21:$DA$21='Plan d''actions détaillé'!$D9)*(Matrice!$CC$23:$DA$50="X"))=1,"X","erreur"))</f>
        <v/>
      </c>
      <c r="AI9" s="425" t="str">
        <f>IF(SUMPRODUCT((Matrice!$D$23:$D$50='Plan d''actions détaillé'!AI$5)*(Matrice!$CC$21:$DA$21='Plan d''actions détaillé'!$D9)*(Matrice!$CC$23:$DA$50="X"))=0,"",IF(SUMPRODUCT((Matrice!$D$23:$D$50='Plan d''actions détaillé'!AI$5)*(Matrice!$CC$21:$DA$21='Plan d''actions détaillé'!$D9)*(Matrice!$CC$23:$DA$50="X"))=1,"X","erreur"))</f>
        <v/>
      </c>
      <c r="AJ9" s="425" t="str">
        <f>IF(SUMPRODUCT((Matrice!$D$23:$D$50='Plan d''actions détaillé'!AJ$5)*(Matrice!$CC$21:$DA$21='Plan d''actions détaillé'!$D9)*(Matrice!$CC$23:$DA$50="X"))=0,"",IF(SUMPRODUCT((Matrice!$D$23:$D$50='Plan d''actions détaillé'!AJ$5)*(Matrice!$CC$21:$DA$21='Plan d''actions détaillé'!$D9)*(Matrice!$CC$23:$DA$50="X"))=1,"X","erreur"))</f>
        <v/>
      </c>
      <c r="AK9" s="425" t="str">
        <f>IF(SUMPRODUCT((Matrice!$D$23:$D$50='Plan d''actions détaillé'!AK$5)*(Matrice!$CC$21:$DA$21='Plan d''actions détaillé'!$D9)*(Matrice!$CC$23:$DA$50="X"))=0,"",IF(SUMPRODUCT((Matrice!$D$23:$D$50='Plan d''actions détaillé'!AK$5)*(Matrice!$CC$21:$DA$21='Plan d''actions détaillé'!$D9)*(Matrice!$CC$23:$DA$50="X"))=1,"X","erreur"))</f>
        <v/>
      </c>
      <c r="AL9" s="425" t="str">
        <f>IF(SUMPRODUCT((Matrice!$D$23:$D$50='Plan d''actions détaillé'!AL$5)*(Matrice!$CC$21:$DA$21='Plan d''actions détaillé'!$D9)*(Matrice!$CC$23:$DA$50="X"))=0,"",IF(SUMPRODUCT((Matrice!$D$23:$D$50='Plan d''actions détaillé'!AL$5)*(Matrice!$CC$21:$DA$21='Plan d''actions détaillé'!$D9)*(Matrice!$CC$23:$DA$50="X"))=1,"X","erreur"))</f>
        <v/>
      </c>
      <c r="AV9" s="428"/>
      <c r="AW9" s="429"/>
      <c r="AX9" s="429"/>
      <c r="AY9" s="429"/>
      <c r="AZ9" s="429"/>
      <c r="BA9" s="428"/>
      <c r="BB9" s="428"/>
    </row>
    <row r="10" spans="1:54" s="424" customFormat="1" ht="117.75" customHeight="1" x14ac:dyDescent="0.15">
      <c r="A10" s="308" t="str">
        <f>IF((COUNTIF(Matrice!$2:$2,Matrice!$G$1&amp;"-PA"&amp;Listes!A6)=1)=TRUE,Matrice!$G$1&amp;"-PA"&amp;Listes!A6,"")</f>
        <v/>
      </c>
      <c r="B10" s="154" t="str">
        <f t="shared" si="0"/>
        <v/>
      </c>
      <c r="C10" s="154" t="str">
        <f>IF(ISERROR(HLOOKUP($A10,Matrice!$A$2:$DP$100,21,FALSE)),"",(IF(HLOOKUP($A10,Matrice!$A$2:$DP$100,21,FALSE)=0,"",HLOOKUP($A10,Matrice!$A$2:$DP$100,21,FALSE))))</f>
        <v/>
      </c>
      <c r="D10" s="154" t="str">
        <f>IF(ISERROR(HLOOKUP($A10,Matrice!$A$2:$DP$100,20,FALSE)),"",(IF(HLOOKUP($A10,Matrice!$A$2:$DP$100,20,FALSE)=0,"",HLOOKUP($A10,Matrice!$A$2:$DP$100,20,FALSE))))</f>
        <v/>
      </c>
      <c r="E10" s="154" t="str">
        <f>IF(ISERROR(HLOOKUP($A10,Matrice!$A$2:$DP$100,3,FALSE)),"",(IF(HLOOKUP($A10,Matrice!$A$2:$DP$100,3,FALSE)=0,"",HLOOKUP($A10,Matrice!$A$2:$DP$100,3,FALSE))))</f>
        <v/>
      </c>
      <c r="F10" s="426" t="str">
        <f>IF(ISERROR(HLOOKUP($A10,Matrice!$A$2:$DP$100,2,FALSE)),"",(IF(HLOOKUP($A10,Matrice!$A$2:$DP$100,3,FALSE)=0,"",HLOOKUP($A10,Matrice!$A$2:$DP$100,2,FALSE))))</f>
        <v/>
      </c>
      <c r="G10" s="264"/>
      <c r="H10" s="263"/>
      <c r="I10" s="259"/>
      <c r="J10" s="260"/>
      <c r="K10" s="261"/>
      <c r="L10" s="261"/>
      <c r="M10" s="262"/>
      <c r="N10" s="262"/>
      <c r="O10" s="421"/>
      <c r="P10" s="262"/>
      <c r="Q10" s="422"/>
      <c r="R10" s="423"/>
      <c r="S10" s="262"/>
      <c r="U10" s="425" t="str">
        <f>IF(SUMPRODUCT((Matrice!$D$23:$D$50='Plan d''actions détaillé'!U$5)*(Matrice!$CC$21:$DA$21='Plan d''actions détaillé'!$D10)*(Matrice!$CC$23:$DA$50="X"))=0,"",IF(SUMPRODUCT((Matrice!$D$23:$D$50='Plan d''actions détaillé'!U$5)*(Matrice!$CC$21:$DA$21='Plan d''actions détaillé'!$D10)*(Matrice!$CC$23:$DA$50="X"))=1,"X","erreur"))</f>
        <v/>
      </c>
      <c r="V10" s="425" t="str">
        <f>IF(SUMPRODUCT((Matrice!$D$23:$D$50='Plan d''actions détaillé'!V$5)*(Matrice!$CC$21:$DA$21='Plan d''actions détaillé'!$D10)*(Matrice!$CC$23:$DA$50="X"))=0,"",IF(SUMPRODUCT((Matrice!$D$23:$D$50='Plan d''actions détaillé'!V$5)*(Matrice!$CC$21:$DA$21='Plan d''actions détaillé'!$D10)*(Matrice!$CC$23:$DA$50="X"))=1,"X","erreur"))</f>
        <v/>
      </c>
      <c r="W10" s="425" t="str">
        <f>IF(SUMPRODUCT((Matrice!$D$23:$D$50='Plan d''actions détaillé'!W$5)*(Matrice!$CC$21:$DA$21='Plan d''actions détaillé'!$D10)*(Matrice!$CC$23:$DA$50="X"))=0,"",IF(SUMPRODUCT((Matrice!$D$23:$D$50='Plan d''actions détaillé'!W$5)*(Matrice!$CC$21:$DA$21='Plan d''actions détaillé'!$D10)*(Matrice!$CC$23:$DA$50="X"))=1,"X","erreur"))</f>
        <v/>
      </c>
      <c r="X10" s="425" t="str">
        <f>IF(SUMPRODUCT((Matrice!$D$23:$D$50='Plan d''actions détaillé'!X$5)*(Matrice!$CC$21:$DA$21='Plan d''actions détaillé'!$D10)*(Matrice!$CC$23:$DA$50="X"))=0,"",IF(SUMPRODUCT((Matrice!$D$23:$D$50='Plan d''actions détaillé'!X$5)*(Matrice!$CC$21:$DA$21='Plan d''actions détaillé'!$D10)*(Matrice!$CC$23:$DA$50="X"))=1,"X","erreur"))</f>
        <v/>
      </c>
      <c r="Y10" s="425" t="str">
        <f>IF(SUMPRODUCT((Matrice!$D$23:$D$50='Plan d''actions détaillé'!Y$5)*(Matrice!$CC$21:$DA$21='Plan d''actions détaillé'!$D10)*(Matrice!$CC$23:$DA$50="X"))=0,"",IF(SUMPRODUCT((Matrice!$D$23:$D$50='Plan d''actions détaillé'!Y$5)*(Matrice!$CC$21:$DA$21='Plan d''actions détaillé'!$D10)*(Matrice!$CC$23:$DA$50="X"))=1,"X","erreur"))</f>
        <v/>
      </c>
      <c r="Z10" s="425" t="str">
        <f>IF(SUMPRODUCT((Matrice!$D$23:$D$50='Plan d''actions détaillé'!Z$5)*(Matrice!$CC$21:$DA$21='Plan d''actions détaillé'!$D10)*(Matrice!$CC$23:$DA$50="X"))=0,"",IF(SUMPRODUCT((Matrice!$D$23:$D$50='Plan d''actions détaillé'!Z$5)*(Matrice!$CC$21:$DA$21='Plan d''actions détaillé'!$D10)*(Matrice!$CC$23:$DA$50="X"))=1,"X","erreur"))</f>
        <v/>
      </c>
      <c r="AA10" s="425" t="str">
        <f>IF(SUMPRODUCT((Matrice!$D$23:$D$50='Plan d''actions détaillé'!AA$5)*(Matrice!$CC$21:$DA$21='Plan d''actions détaillé'!$D10)*(Matrice!$CC$23:$DA$50="X"))=0,"",IF(SUMPRODUCT((Matrice!$D$23:$D$50='Plan d''actions détaillé'!AA$5)*(Matrice!$CC$21:$DA$21='Plan d''actions détaillé'!$D10)*(Matrice!$CC$23:$DA$50="X"))=1,"X","erreur"))</f>
        <v/>
      </c>
      <c r="AB10" s="425" t="str">
        <f>IF(SUMPRODUCT((Matrice!$D$23:$D$50='Plan d''actions détaillé'!AB$5)*(Matrice!$CC$21:$DA$21='Plan d''actions détaillé'!$D10)*(Matrice!$CC$23:$DA$50="X"))=0,"",IF(SUMPRODUCT((Matrice!$D$23:$D$50='Plan d''actions détaillé'!AB$5)*(Matrice!$CC$21:$DA$21='Plan d''actions détaillé'!$D10)*(Matrice!$CC$23:$DA$50="X"))=1,"X","erreur"))</f>
        <v/>
      </c>
      <c r="AC10" s="425" t="str">
        <f>IF(SUMPRODUCT((Matrice!$D$23:$D$50='Plan d''actions détaillé'!AC$5)*(Matrice!$CC$21:$DA$21='Plan d''actions détaillé'!$D10)*(Matrice!$CC$23:$DA$50="X"))=0,"",IF(SUMPRODUCT((Matrice!$D$23:$D$50='Plan d''actions détaillé'!AC$5)*(Matrice!$CC$21:$DA$21='Plan d''actions détaillé'!$D10)*(Matrice!$CC$23:$DA$50="X"))=1,"X","erreur"))</f>
        <v/>
      </c>
      <c r="AD10" s="425" t="str">
        <f>IF(SUMPRODUCT((Matrice!$D$23:$D$50='Plan d''actions détaillé'!AD$5)*(Matrice!$CC$21:$DA$21='Plan d''actions détaillé'!$D10)*(Matrice!$CC$23:$DA$50="X"))=0,"",IF(SUMPRODUCT((Matrice!$D$23:$D$50='Plan d''actions détaillé'!AD$5)*(Matrice!$CC$21:$DA$21='Plan d''actions détaillé'!$D10)*(Matrice!$CC$23:$DA$50="X"))=1,"X","erreur"))</f>
        <v/>
      </c>
      <c r="AE10" s="425" t="str">
        <f>IF(SUMPRODUCT((Matrice!$D$23:$D$50='Plan d''actions détaillé'!AE$5)*(Matrice!$CC$21:$DA$21='Plan d''actions détaillé'!$D10)*(Matrice!$CC$23:$DA$50="X"))=0,"",IF(SUMPRODUCT((Matrice!$D$23:$D$50='Plan d''actions détaillé'!AE$5)*(Matrice!$CC$21:$DA$21='Plan d''actions détaillé'!$D10)*(Matrice!$CC$23:$DA$50="X"))=1,"X","erreur"))</f>
        <v/>
      </c>
      <c r="AF10" s="425" t="str">
        <f>IF(SUMPRODUCT((Matrice!$D$23:$D$50='Plan d''actions détaillé'!AF$5)*(Matrice!$CC$21:$DA$21='Plan d''actions détaillé'!$D10)*(Matrice!$CC$23:$DA$50="X"))=0,"",IF(SUMPRODUCT((Matrice!$D$23:$D$50='Plan d''actions détaillé'!AF$5)*(Matrice!$CC$21:$DA$21='Plan d''actions détaillé'!$D10)*(Matrice!$CC$23:$DA$50="X"))=1,"X","erreur"))</f>
        <v/>
      </c>
      <c r="AG10" s="425" t="str">
        <f>IF(SUMPRODUCT((Matrice!$D$23:$D$50='Plan d''actions détaillé'!AG$5)*(Matrice!$CC$21:$DA$21='Plan d''actions détaillé'!$D10)*(Matrice!$CC$23:$DA$50="X"))=0,"",IF(SUMPRODUCT((Matrice!$D$23:$D$50='Plan d''actions détaillé'!AG$5)*(Matrice!$CC$21:$DA$21='Plan d''actions détaillé'!$D10)*(Matrice!$CC$23:$DA$50="X"))=1,"X","erreur"))</f>
        <v/>
      </c>
      <c r="AH10" s="425" t="str">
        <f>IF(SUMPRODUCT((Matrice!$D$23:$D$50='Plan d''actions détaillé'!AH$5)*(Matrice!$CC$21:$DA$21='Plan d''actions détaillé'!$D10)*(Matrice!$CC$23:$DA$50="X"))=0,"",IF(SUMPRODUCT((Matrice!$D$23:$D$50='Plan d''actions détaillé'!AH$5)*(Matrice!$CC$21:$DA$21='Plan d''actions détaillé'!$D10)*(Matrice!$CC$23:$DA$50="X"))=1,"X","erreur"))</f>
        <v/>
      </c>
      <c r="AI10" s="425" t="str">
        <f>IF(SUMPRODUCT((Matrice!$D$23:$D$50='Plan d''actions détaillé'!AI$5)*(Matrice!$CC$21:$DA$21='Plan d''actions détaillé'!$D10)*(Matrice!$CC$23:$DA$50="X"))=0,"",IF(SUMPRODUCT((Matrice!$D$23:$D$50='Plan d''actions détaillé'!AI$5)*(Matrice!$CC$21:$DA$21='Plan d''actions détaillé'!$D10)*(Matrice!$CC$23:$DA$50="X"))=1,"X","erreur"))</f>
        <v/>
      </c>
      <c r="AJ10" s="425" t="str">
        <f>IF(SUMPRODUCT((Matrice!$D$23:$D$50='Plan d''actions détaillé'!AJ$5)*(Matrice!$CC$21:$DA$21='Plan d''actions détaillé'!$D10)*(Matrice!$CC$23:$DA$50="X"))=0,"",IF(SUMPRODUCT((Matrice!$D$23:$D$50='Plan d''actions détaillé'!AJ$5)*(Matrice!$CC$21:$DA$21='Plan d''actions détaillé'!$D10)*(Matrice!$CC$23:$DA$50="X"))=1,"X","erreur"))</f>
        <v/>
      </c>
      <c r="AK10" s="425" t="str">
        <f>IF(SUMPRODUCT((Matrice!$D$23:$D$50='Plan d''actions détaillé'!AK$5)*(Matrice!$CC$21:$DA$21='Plan d''actions détaillé'!$D10)*(Matrice!$CC$23:$DA$50="X"))=0,"",IF(SUMPRODUCT((Matrice!$D$23:$D$50='Plan d''actions détaillé'!AK$5)*(Matrice!$CC$21:$DA$21='Plan d''actions détaillé'!$D10)*(Matrice!$CC$23:$DA$50="X"))=1,"X","erreur"))</f>
        <v/>
      </c>
      <c r="AL10" s="425" t="str">
        <f>IF(SUMPRODUCT((Matrice!$D$23:$D$50='Plan d''actions détaillé'!AL$5)*(Matrice!$CC$21:$DA$21='Plan d''actions détaillé'!$D10)*(Matrice!$CC$23:$DA$50="X"))=0,"",IF(SUMPRODUCT((Matrice!$D$23:$D$50='Plan d''actions détaillé'!AL$5)*(Matrice!$CC$21:$DA$21='Plan d''actions détaillé'!$D10)*(Matrice!$CC$23:$DA$50="X"))=1,"X","erreur"))</f>
        <v/>
      </c>
      <c r="AV10" s="428"/>
      <c r="AW10" s="430"/>
      <c r="AX10" s="430"/>
      <c r="AY10" s="430"/>
      <c r="AZ10" s="430"/>
      <c r="BA10" s="428"/>
      <c r="BB10" s="428"/>
    </row>
    <row r="11" spans="1:54" s="424" customFormat="1" ht="102" customHeight="1" x14ac:dyDescent="0.15">
      <c r="A11" s="308" t="str">
        <f>IF((COUNTIF(Matrice!$2:$2,Matrice!$G$1&amp;"-PA"&amp;Listes!A7)=1)=TRUE,Matrice!$G$1&amp;"-PA"&amp;Listes!A7,"")</f>
        <v/>
      </c>
      <c r="B11" s="154" t="str">
        <f t="shared" si="0"/>
        <v/>
      </c>
      <c r="C11" s="154" t="str">
        <f>IF(ISERROR(HLOOKUP($A11,Matrice!$A$2:$DP$100,21,FALSE)),"",(IF(HLOOKUP($A11,Matrice!$A$2:$DP$100,21,FALSE)=0,"",HLOOKUP($A11,Matrice!$A$2:$DP$100,21,FALSE))))</f>
        <v/>
      </c>
      <c r="D11" s="154" t="str">
        <f>IF(ISERROR(HLOOKUP($A11,Matrice!$A$2:$DP$100,20,FALSE)),"",(IF(HLOOKUP($A11,Matrice!$A$2:$DP$100,20,FALSE)=0,"",HLOOKUP($A11,Matrice!$A$2:$DP$100,20,FALSE))))</f>
        <v/>
      </c>
      <c r="E11" s="154" t="str">
        <f>IF(ISERROR(HLOOKUP($A11,Matrice!$A$2:$DP$100,3,FALSE)),"",(IF(HLOOKUP($A11,Matrice!$A$2:$DP$100,3,FALSE)=0,"",HLOOKUP($A11,Matrice!$A$2:$DP$100,3,FALSE))))</f>
        <v/>
      </c>
      <c r="F11" s="426" t="str">
        <f>IF(ISERROR(HLOOKUP($A11,Matrice!$A$2:$DP$100,2,FALSE)),"",(IF(HLOOKUP($A11,Matrice!$A$2:$DP$100,3,FALSE)=0,"",HLOOKUP($A11,Matrice!$A$2:$DP$100,2,FALSE))))</f>
        <v/>
      </c>
      <c r="G11" s="264"/>
      <c r="H11" s="263"/>
      <c r="I11" s="259"/>
      <c r="J11" s="260"/>
      <c r="K11" s="261"/>
      <c r="L11" s="261"/>
      <c r="M11" s="262"/>
      <c r="N11" s="262"/>
      <c r="O11" s="421"/>
      <c r="P11" s="262"/>
      <c r="Q11" s="422"/>
      <c r="R11" s="423"/>
      <c r="S11" s="262"/>
      <c r="U11" s="425" t="str">
        <f>IF(SUMPRODUCT((Matrice!$D$23:$D$50='Plan d''actions détaillé'!U$5)*(Matrice!$CC$21:$DA$21='Plan d''actions détaillé'!$D11)*(Matrice!$CC$23:$DA$50="X"))=0,"",IF(SUMPRODUCT((Matrice!$D$23:$D$50='Plan d''actions détaillé'!U$5)*(Matrice!$CC$21:$DA$21='Plan d''actions détaillé'!$D11)*(Matrice!$CC$23:$DA$50="X"))=1,"X","erreur"))</f>
        <v/>
      </c>
      <c r="V11" s="425" t="str">
        <f>IF(SUMPRODUCT((Matrice!$D$23:$D$50='Plan d''actions détaillé'!V$5)*(Matrice!$CC$21:$DA$21='Plan d''actions détaillé'!$D11)*(Matrice!$CC$23:$DA$50="X"))=0,"",IF(SUMPRODUCT((Matrice!$D$23:$D$50='Plan d''actions détaillé'!V$5)*(Matrice!$CC$21:$DA$21='Plan d''actions détaillé'!$D11)*(Matrice!$CC$23:$DA$50="X"))=1,"X","erreur"))</f>
        <v/>
      </c>
      <c r="W11" s="425" t="str">
        <f>IF(SUMPRODUCT((Matrice!$D$23:$D$50='Plan d''actions détaillé'!W$5)*(Matrice!$CC$21:$DA$21='Plan d''actions détaillé'!$D11)*(Matrice!$CC$23:$DA$50="X"))=0,"",IF(SUMPRODUCT((Matrice!$D$23:$D$50='Plan d''actions détaillé'!W$5)*(Matrice!$CC$21:$DA$21='Plan d''actions détaillé'!$D11)*(Matrice!$CC$23:$DA$50="X"))=1,"X","erreur"))</f>
        <v/>
      </c>
      <c r="X11" s="425" t="str">
        <f>IF(SUMPRODUCT((Matrice!$D$23:$D$50='Plan d''actions détaillé'!X$5)*(Matrice!$CC$21:$DA$21='Plan d''actions détaillé'!$D11)*(Matrice!$CC$23:$DA$50="X"))=0,"",IF(SUMPRODUCT((Matrice!$D$23:$D$50='Plan d''actions détaillé'!X$5)*(Matrice!$CC$21:$DA$21='Plan d''actions détaillé'!$D11)*(Matrice!$CC$23:$DA$50="X"))=1,"X","erreur"))</f>
        <v/>
      </c>
      <c r="Y11" s="425" t="str">
        <f>IF(SUMPRODUCT((Matrice!$D$23:$D$50='Plan d''actions détaillé'!Y$5)*(Matrice!$CC$21:$DA$21='Plan d''actions détaillé'!$D11)*(Matrice!$CC$23:$DA$50="X"))=0,"",IF(SUMPRODUCT((Matrice!$D$23:$D$50='Plan d''actions détaillé'!Y$5)*(Matrice!$CC$21:$DA$21='Plan d''actions détaillé'!$D11)*(Matrice!$CC$23:$DA$50="X"))=1,"X","erreur"))</f>
        <v/>
      </c>
      <c r="Z11" s="425" t="str">
        <f>IF(SUMPRODUCT((Matrice!$D$23:$D$50='Plan d''actions détaillé'!Z$5)*(Matrice!$CC$21:$DA$21='Plan d''actions détaillé'!$D11)*(Matrice!$CC$23:$DA$50="X"))=0,"",IF(SUMPRODUCT((Matrice!$D$23:$D$50='Plan d''actions détaillé'!Z$5)*(Matrice!$CC$21:$DA$21='Plan d''actions détaillé'!$D11)*(Matrice!$CC$23:$DA$50="X"))=1,"X","erreur"))</f>
        <v/>
      </c>
      <c r="AA11" s="425" t="str">
        <f>IF(SUMPRODUCT((Matrice!$D$23:$D$50='Plan d''actions détaillé'!AA$5)*(Matrice!$CC$21:$DA$21='Plan d''actions détaillé'!$D11)*(Matrice!$CC$23:$DA$50="X"))=0,"",IF(SUMPRODUCT((Matrice!$D$23:$D$50='Plan d''actions détaillé'!AA$5)*(Matrice!$CC$21:$DA$21='Plan d''actions détaillé'!$D11)*(Matrice!$CC$23:$DA$50="X"))=1,"X","erreur"))</f>
        <v/>
      </c>
      <c r="AB11" s="425" t="str">
        <f>IF(SUMPRODUCT((Matrice!$D$23:$D$50='Plan d''actions détaillé'!AB$5)*(Matrice!$CC$21:$DA$21='Plan d''actions détaillé'!$D11)*(Matrice!$CC$23:$DA$50="X"))=0,"",IF(SUMPRODUCT((Matrice!$D$23:$D$50='Plan d''actions détaillé'!AB$5)*(Matrice!$CC$21:$DA$21='Plan d''actions détaillé'!$D11)*(Matrice!$CC$23:$DA$50="X"))=1,"X","erreur"))</f>
        <v/>
      </c>
      <c r="AC11" s="425" t="str">
        <f>IF(SUMPRODUCT((Matrice!$D$23:$D$50='Plan d''actions détaillé'!AC$5)*(Matrice!$CC$21:$DA$21='Plan d''actions détaillé'!$D11)*(Matrice!$CC$23:$DA$50="X"))=0,"",IF(SUMPRODUCT((Matrice!$D$23:$D$50='Plan d''actions détaillé'!AC$5)*(Matrice!$CC$21:$DA$21='Plan d''actions détaillé'!$D11)*(Matrice!$CC$23:$DA$50="X"))=1,"X","erreur"))</f>
        <v/>
      </c>
      <c r="AD11" s="425" t="str">
        <f>IF(SUMPRODUCT((Matrice!$D$23:$D$50='Plan d''actions détaillé'!AD$5)*(Matrice!$CC$21:$DA$21='Plan d''actions détaillé'!$D11)*(Matrice!$CC$23:$DA$50="X"))=0,"",IF(SUMPRODUCT((Matrice!$D$23:$D$50='Plan d''actions détaillé'!AD$5)*(Matrice!$CC$21:$DA$21='Plan d''actions détaillé'!$D11)*(Matrice!$CC$23:$DA$50="X"))=1,"X","erreur"))</f>
        <v/>
      </c>
      <c r="AE11" s="425" t="str">
        <f>IF(SUMPRODUCT((Matrice!$D$23:$D$50='Plan d''actions détaillé'!AE$5)*(Matrice!$CC$21:$DA$21='Plan d''actions détaillé'!$D11)*(Matrice!$CC$23:$DA$50="X"))=0,"",IF(SUMPRODUCT((Matrice!$D$23:$D$50='Plan d''actions détaillé'!AE$5)*(Matrice!$CC$21:$DA$21='Plan d''actions détaillé'!$D11)*(Matrice!$CC$23:$DA$50="X"))=1,"X","erreur"))</f>
        <v/>
      </c>
      <c r="AF11" s="425" t="str">
        <f>IF(SUMPRODUCT((Matrice!$D$23:$D$50='Plan d''actions détaillé'!AF$5)*(Matrice!$CC$21:$DA$21='Plan d''actions détaillé'!$D11)*(Matrice!$CC$23:$DA$50="X"))=0,"",IF(SUMPRODUCT((Matrice!$D$23:$D$50='Plan d''actions détaillé'!AF$5)*(Matrice!$CC$21:$DA$21='Plan d''actions détaillé'!$D11)*(Matrice!$CC$23:$DA$50="X"))=1,"X","erreur"))</f>
        <v/>
      </c>
      <c r="AG11" s="425" t="str">
        <f>IF(SUMPRODUCT((Matrice!$D$23:$D$50='Plan d''actions détaillé'!AG$5)*(Matrice!$CC$21:$DA$21='Plan d''actions détaillé'!$D11)*(Matrice!$CC$23:$DA$50="X"))=0,"",IF(SUMPRODUCT((Matrice!$D$23:$D$50='Plan d''actions détaillé'!AG$5)*(Matrice!$CC$21:$DA$21='Plan d''actions détaillé'!$D11)*(Matrice!$CC$23:$DA$50="X"))=1,"X","erreur"))</f>
        <v/>
      </c>
      <c r="AH11" s="425" t="str">
        <f>IF(SUMPRODUCT((Matrice!$D$23:$D$50='Plan d''actions détaillé'!AH$5)*(Matrice!$CC$21:$DA$21='Plan d''actions détaillé'!$D11)*(Matrice!$CC$23:$DA$50="X"))=0,"",IF(SUMPRODUCT((Matrice!$D$23:$D$50='Plan d''actions détaillé'!AH$5)*(Matrice!$CC$21:$DA$21='Plan d''actions détaillé'!$D11)*(Matrice!$CC$23:$DA$50="X"))=1,"X","erreur"))</f>
        <v/>
      </c>
      <c r="AI11" s="425" t="str">
        <f>IF(SUMPRODUCT((Matrice!$D$23:$D$50='Plan d''actions détaillé'!AI$5)*(Matrice!$CC$21:$DA$21='Plan d''actions détaillé'!$D11)*(Matrice!$CC$23:$DA$50="X"))=0,"",IF(SUMPRODUCT((Matrice!$D$23:$D$50='Plan d''actions détaillé'!AI$5)*(Matrice!$CC$21:$DA$21='Plan d''actions détaillé'!$D11)*(Matrice!$CC$23:$DA$50="X"))=1,"X","erreur"))</f>
        <v/>
      </c>
      <c r="AJ11" s="425" t="str">
        <f>IF(SUMPRODUCT((Matrice!$D$23:$D$50='Plan d''actions détaillé'!AJ$5)*(Matrice!$CC$21:$DA$21='Plan d''actions détaillé'!$D11)*(Matrice!$CC$23:$DA$50="X"))=0,"",IF(SUMPRODUCT((Matrice!$D$23:$D$50='Plan d''actions détaillé'!AJ$5)*(Matrice!$CC$21:$DA$21='Plan d''actions détaillé'!$D11)*(Matrice!$CC$23:$DA$50="X"))=1,"X","erreur"))</f>
        <v/>
      </c>
      <c r="AK11" s="425" t="str">
        <f>IF(SUMPRODUCT((Matrice!$D$23:$D$50='Plan d''actions détaillé'!AK$5)*(Matrice!$CC$21:$DA$21='Plan d''actions détaillé'!$D11)*(Matrice!$CC$23:$DA$50="X"))=0,"",IF(SUMPRODUCT((Matrice!$D$23:$D$50='Plan d''actions détaillé'!AK$5)*(Matrice!$CC$21:$DA$21='Plan d''actions détaillé'!$D11)*(Matrice!$CC$23:$DA$50="X"))=1,"X","erreur"))</f>
        <v/>
      </c>
      <c r="AL11" s="425" t="str">
        <f>IF(SUMPRODUCT((Matrice!$D$23:$D$50='Plan d''actions détaillé'!AL$5)*(Matrice!$CC$21:$DA$21='Plan d''actions détaillé'!$D11)*(Matrice!$CC$23:$DA$50="X"))=0,"",IF(SUMPRODUCT((Matrice!$D$23:$D$50='Plan d''actions détaillé'!AL$5)*(Matrice!$CC$21:$DA$21='Plan d''actions détaillé'!$D11)*(Matrice!$CC$23:$DA$50="X"))=1,"X","erreur"))</f>
        <v/>
      </c>
      <c r="AV11" s="428"/>
      <c r="AW11" s="430"/>
      <c r="AX11" s="430"/>
      <c r="AY11" s="430"/>
      <c r="AZ11" s="430"/>
      <c r="BA11" s="428"/>
      <c r="BB11" s="428"/>
    </row>
    <row r="12" spans="1:54" s="424" customFormat="1" ht="110.25" customHeight="1" x14ac:dyDescent="0.15">
      <c r="A12" s="308" t="str">
        <f>IF((COUNTIF(Matrice!$2:$2,Matrice!$G$1&amp;"-PA"&amp;Listes!A8)=1)=TRUE,Matrice!$G$1&amp;"-PA"&amp;Listes!A8,"")</f>
        <v/>
      </c>
      <c r="B12" s="154" t="str">
        <f t="shared" si="0"/>
        <v/>
      </c>
      <c r="C12" s="154" t="str">
        <f>IF(ISERROR(HLOOKUP($A12,Matrice!$A$2:$DP$100,21,FALSE)),"",(IF(HLOOKUP($A12,Matrice!$A$2:$DP$100,21,FALSE)=0,"",HLOOKUP($A12,Matrice!$A$2:$DP$100,21,FALSE))))</f>
        <v/>
      </c>
      <c r="D12" s="154" t="str">
        <f>IF(ISERROR(HLOOKUP($A12,Matrice!$A$2:$DP$100,20,FALSE)),"",(IF(HLOOKUP($A12,Matrice!$A$2:$DP$100,20,FALSE)=0,"",HLOOKUP($A12,Matrice!$A$2:$DP$100,20,FALSE))))</f>
        <v/>
      </c>
      <c r="E12" s="154" t="str">
        <f>IF(ISERROR(HLOOKUP($A12,Matrice!$A$2:$DP$100,3,FALSE)),"",(IF(HLOOKUP($A12,Matrice!$A$2:$DP$100,3,FALSE)=0,"",HLOOKUP($A12,Matrice!$A$2:$DP$100,3,FALSE))))</f>
        <v/>
      </c>
      <c r="F12" s="426" t="str">
        <f>IF(ISERROR(HLOOKUP($A12,Matrice!$A$2:$DP$100,2,FALSE)),"",(IF(HLOOKUP($A12,Matrice!$A$2:$DP$100,3,FALSE)=0,"",HLOOKUP($A12,Matrice!$A$2:$DP$100,2,FALSE))))</f>
        <v/>
      </c>
      <c r="G12" s="264"/>
      <c r="H12" s="263"/>
      <c r="I12" s="259"/>
      <c r="J12" s="260"/>
      <c r="K12" s="261"/>
      <c r="L12" s="261"/>
      <c r="M12" s="262"/>
      <c r="N12" s="262"/>
      <c r="O12" s="421"/>
      <c r="P12" s="262"/>
      <c r="Q12" s="422"/>
      <c r="R12" s="423"/>
      <c r="S12" s="262"/>
      <c r="U12" s="425" t="str">
        <f>IF(SUMPRODUCT((Matrice!$D$23:$D$50='Plan d''actions détaillé'!U$5)*(Matrice!$CC$21:$DA$21='Plan d''actions détaillé'!$D12)*(Matrice!$CC$23:$DA$50="X"))=0,"",IF(SUMPRODUCT((Matrice!$D$23:$D$50='Plan d''actions détaillé'!U$5)*(Matrice!$CC$21:$DA$21='Plan d''actions détaillé'!$D12)*(Matrice!$CC$23:$DA$50="X"))=1,"X","erreur"))</f>
        <v/>
      </c>
      <c r="V12" s="425" t="str">
        <f>IF(SUMPRODUCT((Matrice!$D$23:$D$50='Plan d''actions détaillé'!V$5)*(Matrice!$CC$21:$DA$21='Plan d''actions détaillé'!$D12)*(Matrice!$CC$23:$DA$50="X"))=0,"",IF(SUMPRODUCT((Matrice!$D$23:$D$50='Plan d''actions détaillé'!V$5)*(Matrice!$CC$21:$DA$21='Plan d''actions détaillé'!$D12)*(Matrice!$CC$23:$DA$50="X"))=1,"X","erreur"))</f>
        <v/>
      </c>
      <c r="W12" s="425" t="str">
        <f>IF(SUMPRODUCT((Matrice!$D$23:$D$50='Plan d''actions détaillé'!W$5)*(Matrice!$CC$21:$DA$21='Plan d''actions détaillé'!$D12)*(Matrice!$CC$23:$DA$50="X"))=0,"",IF(SUMPRODUCT((Matrice!$D$23:$D$50='Plan d''actions détaillé'!W$5)*(Matrice!$CC$21:$DA$21='Plan d''actions détaillé'!$D12)*(Matrice!$CC$23:$DA$50="X"))=1,"X","erreur"))</f>
        <v/>
      </c>
      <c r="X12" s="425" t="str">
        <f>IF(SUMPRODUCT((Matrice!$D$23:$D$50='Plan d''actions détaillé'!X$5)*(Matrice!$CC$21:$DA$21='Plan d''actions détaillé'!$D12)*(Matrice!$CC$23:$DA$50="X"))=0,"",IF(SUMPRODUCT((Matrice!$D$23:$D$50='Plan d''actions détaillé'!X$5)*(Matrice!$CC$21:$DA$21='Plan d''actions détaillé'!$D12)*(Matrice!$CC$23:$DA$50="X"))=1,"X","erreur"))</f>
        <v/>
      </c>
      <c r="Y12" s="425" t="str">
        <f>IF(SUMPRODUCT((Matrice!$D$23:$D$50='Plan d''actions détaillé'!Y$5)*(Matrice!$CC$21:$DA$21='Plan d''actions détaillé'!$D12)*(Matrice!$CC$23:$DA$50="X"))=0,"",IF(SUMPRODUCT((Matrice!$D$23:$D$50='Plan d''actions détaillé'!Y$5)*(Matrice!$CC$21:$DA$21='Plan d''actions détaillé'!$D12)*(Matrice!$CC$23:$DA$50="X"))=1,"X","erreur"))</f>
        <v/>
      </c>
      <c r="Z12" s="425" t="str">
        <f>IF(SUMPRODUCT((Matrice!$D$23:$D$50='Plan d''actions détaillé'!Z$5)*(Matrice!$CC$21:$DA$21='Plan d''actions détaillé'!$D12)*(Matrice!$CC$23:$DA$50="X"))=0,"",IF(SUMPRODUCT((Matrice!$D$23:$D$50='Plan d''actions détaillé'!Z$5)*(Matrice!$CC$21:$DA$21='Plan d''actions détaillé'!$D12)*(Matrice!$CC$23:$DA$50="X"))=1,"X","erreur"))</f>
        <v/>
      </c>
      <c r="AA12" s="425" t="str">
        <f>IF(SUMPRODUCT((Matrice!$D$23:$D$50='Plan d''actions détaillé'!AA$5)*(Matrice!$CC$21:$DA$21='Plan d''actions détaillé'!$D12)*(Matrice!$CC$23:$DA$50="X"))=0,"",IF(SUMPRODUCT((Matrice!$D$23:$D$50='Plan d''actions détaillé'!AA$5)*(Matrice!$CC$21:$DA$21='Plan d''actions détaillé'!$D12)*(Matrice!$CC$23:$DA$50="X"))=1,"X","erreur"))</f>
        <v/>
      </c>
      <c r="AB12" s="425" t="str">
        <f>IF(SUMPRODUCT((Matrice!$D$23:$D$50='Plan d''actions détaillé'!AB$5)*(Matrice!$CC$21:$DA$21='Plan d''actions détaillé'!$D12)*(Matrice!$CC$23:$DA$50="X"))=0,"",IF(SUMPRODUCT((Matrice!$D$23:$D$50='Plan d''actions détaillé'!AB$5)*(Matrice!$CC$21:$DA$21='Plan d''actions détaillé'!$D12)*(Matrice!$CC$23:$DA$50="X"))=1,"X","erreur"))</f>
        <v/>
      </c>
      <c r="AC12" s="425" t="str">
        <f>IF(SUMPRODUCT((Matrice!$D$23:$D$50='Plan d''actions détaillé'!AC$5)*(Matrice!$CC$21:$DA$21='Plan d''actions détaillé'!$D12)*(Matrice!$CC$23:$DA$50="X"))=0,"",IF(SUMPRODUCT((Matrice!$D$23:$D$50='Plan d''actions détaillé'!AC$5)*(Matrice!$CC$21:$DA$21='Plan d''actions détaillé'!$D12)*(Matrice!$CC$23:$DA$50="X"))=1,"X","erreur"))</f>
        <v/>
      </c>
      <c r="AD12" s="425" t="str">
        <f>IF(SUMPRODUCT((Matrice!$D$23:$D$50='Plan d''actions détaillé'!AD$5)*(Matrice!$CC$21:$DA$21='Plan d''actions détaillé'!$D12)*(Matrice!$CC$23:$DA$50="X"))=0,"",IF(SUMPRODUCT((Matrice!$D$23:$D$50='Plan d''actions détaillé'!AD$5)*(Matrice!$CC$21:$DA$21='Plan d''actions détaillé'!$D12)*(Matrice!$CC$23:$DA$50="X"))=1,"X","erreur"))</f>
        <v/>
      </c>
      <c r="AE12" s="425" t="str">
        <f>IF(SUMPRODUCT((Matrice!$D$23:$D$50='Plan d''actions détaillé'!AE$5)*(Matrice!$CC$21:$DA$21='Plan d''actions détaillé'!$D12)*(Matrice!$CC$23:$DA$50="X"))=0,"",IF(SUMPRODUCT((Matrice!$D$23:$D$50='Plan d''actions détaillé'!AE$5)*(Matrice!$CC$21:$DA$21='Plan d''actions détaillé'!$D12)*(Matrice!$CC$23:$DA$50="X"))=1,"X","erreur"))</f>
        <v/>
      </c>
      <c r="AF12" s="425" t="str">
        <f>IF(SUMPRODUCT((Matrice!$D$23:$D$50='Plan d''actions détaillé'!AF$5)*(Matrice!$CC$21:$DA$21='Plan d''actions détaillé'!$D12)*(Matrice!$CC$23:$DA$50="X"))=0,"",IF(SUMPRODUCT((Matrice!$D$23:$D$50='Plan d''actions détaillé'!AF$5)*(Matrice!$CC$21:$DA$21='Plan d''actions détaillé'!$D12)*(Matrice!$CC$23:$DA$50="X"))=1,"X","erreur"))</f>
        <v/>
      </c>
      <c r="AG12" s="425" t="str">
        <f>IF(SUMPRODUCT((Matrice!$D$23:$D$50='Plan d''actions détaillé'!AG$5)*(Matrice!$CC$21:$DA$21='Plan d''actions détaillé'!$D12)*(Matrice!$CC$23:$DA$50="X"))=0,"",IF(SUMPRODUCT((Matrice!$D$23:$D$50='Plan d''actions détaillé'!AG$5)*(Matrice!$CC$21:$DA$21='Plan d''actions détaillé'!$D12)*(Matrice!$CC$23:$DA$50="X"))=1,"X","erreur"))</f>
        <v/>
      </c>
      <c r="AH12" s="425" t="str">
        <f>IF(SUMPRODUCT((Matrice!$D$23:$D$50='Plan d''actions détaillé'!AH$5)*(Matrice!$CC$21:$DA$21='Plan d''actions détaillé'!$D12)*(Matrice!$CC$23:$DA$50="X"))=0,"",IF(SUMPRODUCT((Matrice!$D$23:$D$50='Plan d''actions détaillé'!AH$5)*(Matrice!$CC$21:$DA$21='Plan d''actions détaillé'!$D12)*(Matrice!$CC$23:$DA$50="X"))=1,"X","erreur"))</f>
        <v/>
      </c>
      <c r="AI12" s="425" t="str">
        <f>IF(SUMPRODUCT((Matrice!$D$23:$D$50='Plan d''actions détaillé'!AI$5)*(Matrice!$CC$21:$DA$21='Plan d''actions détaillé'!$D12)*(Matrice!$CC$23:$DA$50="X"))=0,"",IF(SUMPRODUCT((Matrice!$D$23:$D$50='Plan d''actions détaillé'!AI$5)*(Matrice!$CC$21:$DA$21='Plan d''actions détaillé'!$D12)*(Matrice!$CC$23:$DA$50="X"))=1,"X","erreur"))</f>
        <v/>
      </c>
      <c r="AJ12" s="425" t="str">
        <f>IF(SUMPRODUCT((Matrice!$D$23:$D$50='Plan d''actions détaillé'!AJ$5)*(Matrice!$CC$21:$DA$21='Plan d''actions détaillé'!$D12)*(Matrice!$CC$23:$DA$50="X"))=0,"",IF(SUMPRODUCT((Matrice!$D$23:$D$50='Plan d''actions détaillé'!AJ$5)*(Matrice!$CC$21:$DA$21='Plan d''actions détaillé'!$D12)*(Matrice!$CC$23:$DA$50="X"))=1,"X","erreur"))</f>
        <v/>
      </c>
      <c r="AK12" s="425" t="str">
        <f>IF(SUMPRODUCT((Matrice!$D$23:$D$50='Plan d''actions détaillé'!AK$5)*(Matrice!$CC$21:$DA$21='Plan d''actions détaillé'!$D12)*(Matrice!$CC$23:$DA$50="X"))=0,"",IF(SUMPRODUCT((Matrice!$D$23:$D$50='Plan d''actions détaillé'!AK$5)*(Matrice!$CC$21:$DA$21='Plan d''actions détaillé'!$D12)*(Matrice!$CC$23:$DA$50="X"))=1,"X","erreur"))</f>
        <v/>
      </c>
      <c r="AL12" s="425" t="str">
        <f>IF(SUMPRODUCT((Matrice!$D$23:$D$50='Plan d''actions détaillé'!AL$5)*(Matrice!$CC$21:$DA$21='Plan d''actions détaillé'!$D12)*(Matrice!$CC$23:$DA$50="X"))=0,"",IF(SUMPRODUCT((Matrice!$D$23:$D$50='Plan d''actions détaillé'!AL$5)*(Matrice!$CC$21:$DA$21='Plan d''actions détaillé'!$D12)*(Matrice!$CC$23:$DA$50="X"))=1,"X","erreur"))</f>
        <v/>
      </c>
      <c r="AV12" s="428"/>
      <c r="AW12" s="430"/>
      <c r="AX12" s="430"/>
      <c r="AY12" s="430"/>
      <c r="AZ12" s="430"/>
      <c r="BA12" s="428"/>
      <c r="BB12" s="428"/>
    </row>
    <row r="13" spans="1:54" s="424" customFormat="1" ht="117" customHeight="1" x14ac:dyDescent="0.15">
      <c r="A13" s="308" t="str">
        <f>IF((COUNTIF(Matrice!$2:$2,Matrice!$G$1&amp;"-PA"&amp;Listes!A9)=1)=TRUE,Matrice!$G$1&amp;"-PA"&amp;Listes!A9,"")</f>
        <v/>
      </c>
      <c r="B13" s="154" t="str">
        <f t="shared" si="0"/>
        <v/>
      </c>
      <c r="C13" s="154" t="str">
        <f>IF(ISERROR(HLOOKUP($A13,Matrice!$A$2:$DP$100,21,FALSE)),"",(IF(HLOOKUP($A13,Matrice!$A$2:$DP$100,21,FALSE)=0,"",HLOOKUP($A13,Matrice!$A$2:$DP$100,21,FALSE))))</f>
        <v/>
      </c>
      <c r="D13" s="154" t="str">
        <f>IF(ISERROR(HLOOKUP($A13,Matrice!$A$2:$DP$100,20,FALSE)),"",(IF(HLOOKUP($A13,Matrice!$A$2:$DP$100,20,FALSE)=0,"",HLOOKUP($A13,Matrice!$A$2:$DP$100,20,FALSE))))</f>
        <v/>
      </c>
      <c r="E13" s="154" t="str">
        <f>IF(ISERROR(HLOOKUP($A13,Matrice!$A$2:$DP$100,3,FALSE)),"",(IF(HLOOKUP($A13,Matrice!$A$2:$DP$100,3,FALSE)=0,"",HLOOKUP($A13,Matrice!$A$2:$DP$100,3,FALSE))))</f>
        <v/>
      </c>
      <c r="F13" s="426" t="str">
        <f>IF(ISERROR(HLOOKUP($A13,Matrice!$A$2:$DP$100,2,FALSE)),"",(IF(HLOOKUP($A13,Matrice!$A$2:$DP$100,3,FALSE)=0,"",HLOOKUP($A13,Matrice!$A$2:$DP$100,2,FALSE))))</f>
        <v/>
      </c>
      <c r="G13" s="264"/>
      <c r="H13" s="263"/>
      <c r="I13" s="259"/>
      <c r="J13" s="260"/>
      <c r="K13" s="261"/>
      <c r="L13" s="261"/>
      <c r="M13" s="262"/>
      <c r="N13" s="262"/>
      <c r="O13" s="421"/>
      <c r="P13" s="262"/>
      <c r="Q13" s="422"/>
      <c r="R13" s="423"/>
      <c r="S13" s="262"/>
      <c r="U13" s="425" t="str">
        <f>IF(SUMPRODUCT((Matrice!$D$23:$D$50='Plan d''actions détaillé'!U$5)*(Matrice!$CC$21:$DA$21='Plan d''actions détaillé'!$D13)*(Matrice!$CC$23:$DA$50="X"))=0,"",IF(SUMPRODUCT((Matrice!$D$23:$D$50='Plan d''actions détaillé'!U$5)*(Matrice!$CC$21:$DA$21='Plan d''actions détaillé'!$D13)*(Matrice!$CC$23:$DA$50="X"))=1,"X","erreur"))</f>
        <v/>
      </c>
      <c r="V13" s="425" t="str">
        <f>IF(SUMPRODUCT((Matrice!$D$23:$D$50='Plan d''actions détaillé'!V$5)*(Matrice!$CC$21:$DA$21='Plan d''actions détaillé'!$D13)*(Matrice!$CC$23:$DA$50="X"))=0,"",IF(SUMPRODUCT((Matrice!$D$23:$D$50='Plan d''actions détaillé'!V$5)*(Matrice!$CC$21:$DA$21='Plan d''actions détaillé'!$D13)*(Matrice!$CC$23:$DA$50="X"))=1,"X","erreur"))</f>
        <v/>
      </c>
      <c r="W13" s="425" t="str">
        <f>IF(SUMPRODUCT((Matrice!$D$23:$D$50='Plan d''actions détaillé'!W$5)*(Matrice!$CC$21:$DA$21='Plan d''actions détaillé'!$D13)*(Matrice!$CC$23:$DA$50="X"))=0,"",IF(SUMPRODUCT((Matrice!$D$23:$D$50='Plan d''actions détaillé'!W$5)*(Matrice!$CC$21:$DA$21='Plan d''actions détaillé'!$D13)*(Matrice!$CC$23:$DA$50="X"))=1,"X","erreur"))</f>
        <v/>
      </c>
      <c r="X13" s="425" t="str">
        <f>IF(SUMPRODUCT((Matrice!$D$23:$D$50='Plan d''actions détaillé'!X$5)*(Matrice!$CC$21:$DA$21='Plan d''actions détaillé'!$D13)*(Matrice!$CC$23:$DA$50="X"))=0,"",IF(SUMPRODUCT((Matrice!$D$23:$D$50='Plan d''actions détaillé'!X$5)*(Matrice!$CC$21:$DA$21='Plan d''actions détaillé'!$D13)*(Matrice!$CC$23:$DA$50="X"))=1,"X","erreur"))</f>
        <v/>
      </c>
      <c r="Y13" s="425" t="str">
        <f>IF(SUMPRODUCT((Matrice!$D$23:$D$50='Plan d''actions détaillé'!Y$5)*(Matrice!$CC$21:$DA$21='Plan d''actions détaillé'!$D13)*(Matrice!$CC$23:$DA$50="X"))=0,"",IF(SUMPRODUCT((Matrice!$D$23:$D$50='Plan d''actions détaillé'!Y$5)*(Matrice!$CC$21:$DA$21='Plan d''actions détaillé'!$D13)*(Matrice!$CC$23:$DA$50="X"))=1,"X","erreur"))</f>
        <v/>
      </c>
      <c r="Z13" s="425" t="str">
        <f>IF(SUMPRODUCT((Matrice!$D$23:$D$50='Plan d''actions détaillé'!Z$5)*(Matrice!$CC$21:$DA$21='Plan d''actions détaillé'!$D13)*(Matrice!$CC$23:$DA$50="X"))=0,"",IF(SUMPRODUCT((Matrice!$D$23:$D$50='Plan d''actions détaillé'!Z$5)*(Matrice!$CC$21:$DA$21='Plan d''actions détaillé'!$D13)*(Matrice!$CC$23:$DA$50="X"))=1,"X","erreur"))</f>
        <v/>
      </c>
      <c r="AA13" s="425" t="str">
        <f>IF(SUMPRODUCT((Matrice!$D$23:$D$50='Plan d''actions détaillé'!AA$5)*(Matrice!$CC$21:$DA$21='Plan d''actions détaillé'!$D13)*(Matrice!$CC$23:$DA$50="X"))=0,"",IF(SUMPRODUCT((Matrice!$D$23:$D$50='Plan d''actions détaillé'!AA$5)*(Matrice!$CC$21:$DA$21='Plan d''actions détaillé'!$D13)*(Matrice!$CC$23:$DA$50="X"))=1,"X","erreur"))</f>
        <v/>
      </c>
      <c r="AB13" s="425" t="str">
        <f>IF(SUMPRODUCT((Matrice!$D$23:$D$50='Plan d''actions détaillé'!AB$5)*(Matrice!$CC$21:$DA$21='Plan d''actions détaillé'!$D13)*(Matrice!$CC$23:$DA$50="X"))=0,"",IF(SUMPRODUCT((Matrice!$D$23:$D$50='Plan d''actions détaillé'!AB$5)*(Matrice!$CC$21:$DA$21='Plan d''actions détaillé'!$D13)*(Matrice!$CC$23:$DA$50="X"))=1,"X","erreur"))</f>
        <v/>
      </c>
      <c r="AC13" s="425" t="str">
        <f>IF(SUMPRODUCT((Matrice!$D$23:$D$50='Plan d''actions détaillé'!AC$5)*(Matrice!$CC$21:$DA$21='Plan d''actions détaillé'!$D13)*(Matrice!$CC$23:$DA$50="X"))=0,"",IF(SUMPRODUCT((Matrice!$D$23:$D$50='Plan d''actions détaillé'!AC$5)*(Matrice!$CC$21:$DA$21='Plan d''actions détaillé'!$D13)*(Matrice!$CC$23:$DA$50="X"))=1,"X","erreur"))</f>
        <v/>
      </c>
      <c r="AD13" s="425" t="str">
        <f>IF(SUMPRODUCT((Matrice!$D$23:$D$50='Plan d''actions détaillé'!AD$5)*(Matrice!$CC$21:$DA$21='Plan d''actions détaillé'!$D13)*(Matrice!$CC$23:$DA$50="X"))=0,"",IF(SUMPRODUCT((Matrice!$D$23:$D$50='Plan d''actions détaillé'!AD$5)*(Matrice!$CC$21:$DA$21='Plan d''actions détaillé'!$D13)*(Matrice!$CC$23:$DA$50="X"))=1,"X","erreur"))</f>
        <v/>
      </c>
      <c r="AE13" s="425" t="str">
        <f>IF(SUMPRODUCT((Matrice!$D$23:$D$50='Plan d''actions détaillé'!AE$5)*(Matrice!$CC$21:$DA$21='Plan d''actions détaillé'!$D13)*(Matrice!$CC$23:$DA$50="X"))=0,"",IF(SUMPRODUCT((Matrice!$D$23:$D$50='Plan d''actions détaillé'!AE$5)*(Matrice!$CC$21:$DA$21='Plan d''actions détaillé'!$D13)*(Matrice!$CC$23:$DA$50="X"))=1,"X","erreur"))</f>
        <v/>
      </c>
      <c r="AF13" s="425" t="str">
        <f>IF(SUMPRODUCT((Matrice!$D$23:$D$50='Plan d''actions détaillé'!AF$5)*(Matrice!$CC$21:$DA$21='Plan d''actions détaillé'!$D13)*(Matrice!$CC$23:$DA$50="X"))=0,"",IF(SUMPRODUCT((Matrice!$D$23:$D$50='Plan d''actions détaillé'!AF$5)*(Matrice!$CC$21:$DA$21='Plan d''actions détaillé'!$D13)*(Matrice!$CC$23:$DA$50="X"))=1,"X","erreur"))</f>
        <v/>
      </c>
      <c r="AG13" s="425" t="str">
        <f>IF(SUMPRODUCT((Matrice!$D$23:$D$50='Plan d''actions détaillé'!AG$5)*(Matrice!$CC$21:$DA$21='Plan d''actions détaillé'!$D13)*(Matrice!$CC$23:$DA$50="X"))=0,"",IF(SUMPRODUCT((Matrice!$D$23:$D$50='Plan d''actions détaillé'!AG$5)*(Matrice!$CC$21:$DA$21='Plan d''actions détaillé'!$D13)*(Matrice!$CC$23:$DA$50="X"))=1,"X","erreur"))</f>
        <v/>
      </c>
      <c r="AH13" s="425" t="str">
        <f>IF(SUMPRODUCT((Matrice!$D$23:$D$50='Plan d''actions détaillé'!AH$5)*(Matrice!$CC$21:$DA$21='Plan d''actions détaillé'!$D13)*(Matrice!$CC$23:$DA$50="X"))=0,"",IF(SUMPRODUCT((Matrice!$D$23:$D$50='Plan d''actions détaillé'!AH$5)*(Matrice!$CC$21:$DA$21='Plan d''actions détaillé'!$D13)*(Matrice!$CC$23:$DA$50="X"))=1,"X","erreur"))</f>
        <v/>
      </c>
      <c r="AI13" s="425" t="str">
        <f>IF(SUMPRODUCT((Matrice!$D$23:$D$50='Plan d''actions détaillé'!AI$5)*(Matrice!$CC$21:$DA$21='Plan d''actions détaillé'!$D13)*(Matrice!$CC$23:$DA$50="X"))=0,"",IF(SUMPRODUCT((Matrice!$D$23:$D$50='Plan d''actions détaillé'!AI$5)*(Matrice!$CC$21:$DA$21='Plan d''actions détaillé'!$D13)*(Matrice!$CC$23:$DA$50="X"))=1,"X","erreur"))</f>
        <v/>
      </c>
      <c r="AJ13" s="425" t="str">
        <f>IF(SUMPRODUCT((Matrice!$D$23:$D$50='Plan d''actions détaillé'!AJ$5)*(Matrice!$CC$21:$DA$21='Plan d''actions détaillé'!$D13)*(Matrice!$CC$23:$DA$50="X"))=0,"",IF(SUMPRODUCT((Matrice!$D$23:$D$50='Plan d''actions détaillé'!AJ$5)*(Matrice!$CC$21:$DA$21='Plan d''actions détaillé'!$D13)*(Matrice!$CC$23:$DA$50="X"))=1,"X","erreur"))</f>
        <v/>
      </c>
      <c r="AK13" s="425" t="str">
        <f>IF(SUMPRODUCT((Matrice!$D$23:$D$50='Plan d''actions détaillé'!AK$5)*(Matrice!$CC$21:$DA$21='Plan d''actions détaillé'!$D13)*(Matrice!$CC$23:$DA$50="X"))=0,"",IF(SUMPRODUCT((Matrice!$D$23:$D$50='Plan d''actions détaillé'!AK$5)*(Matrice!$CC$21:$DA$21='Plan d''actions détaillé'!$D13)*(Matrice!$CC$23:$DA$50="X"))=1,"X","erreur"))</f>
        <v/>
      </c>
      <c r="AL13" s="425" t="str">
        <f>IF(SUMPRODUCT((Matrice!$D$23:$D$50='Plan d''actions détaillé'!AL$5)*(Matrice!$CC$21:$DA$21='Plan d''actions détaillé'!$D13)*(Matrice!$CC$23:$DA$50="X"))=0,"",IF(SUMPRODUCT((Matrice!$D$23:$D$50='Plan d''actions détaillé'!AL$5)*(Matrice!$CC$21:$DA$21='Plan d''actions détaillé'!$D13)*(Matrice!$CC$23:$DA$50="X"))=1,"X","erreur"))</f>
        <v/>
      </c>
      <c r="AV13" s="428"/>
      <c r="AW13" s="430"/>
      <c r="AX13" s="430"/>
      <c r="AY13" s="430"/>
      <c r="AZ13" s="430"/>
      <c r="BA13" s="428"/>
      <c r="BB13" s="428"/>
    </row>
    <row r="14" spans="1:54" s="424" customFormat="1" ht="120" customHeight="1" x14ac:dyDescent="0.15">
      <c r="A14" s="308" t="str">
        <f>IF((COUNTIF(Matrice!$2:$2,Matrice!$G$1&amp;"-PA"&amp;Listes!A10)=1)=TRUE,Matrice!$G$1&amp;"-PA"&amp;Listes!A10,"")</f>
        <v/>
      </c>
      <c r="B14" s="154" t="str">
        <f t="shared" si="0"/>
        <v/>
      </c>
      <c r="C14" s="154" t="str">
        <f>IF(ISERROR(HLOOKUP($A14,Matrice!$A$2:$DP$100,21,FALSE)),"",(IF(HLOOKUP($A14,Matrice!$A$2:$DP$100,21,FALSE)=0,"",HLOOKUP($A14,Matrice!$A$2:$DP$100,21,FALSE))))</f>
        <v/>
      </c>
      <c r="D14" s="154" t="str">
        <f>IF(ISERROR(HLOOKUP($A14,Matrice!$A$2:$DP$100,20,FALSE)),"",(IF(HLOOKUP($A14,Matrice!$A$2:$DP$100,20,FALSE)=0,"",HLOOKUP($A14,Matrice!$A$2:$DP$100,20,FALSE))))</f>
        <v/>
      </c>
      <c r="E14" s="154" t="str">
        <f>IF(ISERROR(HLOOKUP($A14,Matrice!$A$2:$DP$100,3,FALSE)),"",(IF(HLOOKUP($A14,Matrice!$A$2:$DP$100,3,FALSE)=0,"",HLOOKUP($A14,Matrice!$A$2:$DP$100,3,FALSE))))</f>
        <v/>
      </c>
      <c r="F14" s="426" t="str">
        <f>IF(ISERROR(HLOOKUP($A14,Matrice!$A$2:$DP$100,2,FALSE)),"",(IF(HLOOKUP($A14,Matrice!$A$2:$DP$100,3,FALSE)=0,"",HLOOKUP($A14,Matrice!$A$2:$DP$100,2,FALSE))))</f>
        <v/>
      </c>
      <c r="G14" s="264"/>
      <c r="H14" s="263"/>
      <c r="I14" s="259"/>
      <c r="J14" s="260"/>
      <c r="K14" s="261"/>
      <c r="L14" s="261"/>
      <c r="M14" s="262"/>
      <c r="N14" s="262"/>
      <c r="O14" s="421"/>
      <c r="P14" s="262"/>
      <c r="Q14" s="422"/>
      <c r="R14" s="423"/>
      <c r="S14" s="262"/>
      <c r="U14" s="425" t="str">
        <f>IF(SUMPRODUCT((Matrice!$D$23:$D$50='Plan d''actions détaillé'!U$5)*(Matrice!$CC$21:$DA$21='Plan d''actions détaillé'!$D14)*(Matrice!$CC$23:$DA$50="X"))=0,"",IF(SUMPRODUCT((Matrice!$D$23:$D$50='Plan d''actions détaillé'!U$5)*(Matrice!$CC$21:$DA$21='Plan d''actions détaillé'!$D14)*(Matrice!$CC$23:$DA$50="X"))=1,"X","erreur"))</f>
        <v/>
      </c>
      <c r="V14" s="425" t="str">
        <f>IF(SUMPRODUCT((Matrice!$D$23:$D$50='Plan d''actions détaillé'!V$5)*(Matrice!$CC$21:$DA$21='Plan d''actions détaillé'!$D14)*(Matrice!$CC$23:$DA$50="X"))=0,"",IF(SUMPRODUCT((Matrice!$D$23:$D$50='Plan d''actions détaillé'!V$5)*(Matrice!$CC$21:$DA$21='Plan d''actions détaillé'!$D14)*(Matrice!$CC$23:$DA$50="X"))=1,"X","erreur"))</f>
        <v/>
      </c>
      <c r="W14" s="425" t="str">
        <f>IF(SUMPRODUCT((Matrice!$D$23:$D$50='Plan d''actions détaillé'!W$5)*(Matrice!$CC$21:$DA$21='Plan d''actions détaillé'!$D14)*(Matrice!$CC$23:$DA$50="X"))=0,"",IF(SUMPRODUCT((Matrice!$D$23:$D$50='Plan d''actions détaillé'!W$5)*(Matrice!$CC$21:$DA$21='Plan d''actions détaillé'!$D14)*(Matrice!$CC$23:$DA$50="X"))=1,"X","erreur"))</f>
        <v/>
      </c>
      <c r="X14" s="425" t="str">
        <f>IF(SUMPRODUCT((Matrice!$D$23:$D$50='Plan d''actions détaillé'!X$5)*(Matrice!$CC$21:$DA$21='Plan d''actions détaillé'!$D14)*(Matrice!$CC$23:$DA$50="X"))=0,"",IF(SUMPRODUCT((Matrice!$D$23:$D$50='Plan d''actions détaillé'!X$5)*(Matrice!$CC$21:$DA$21='Plan d''actions détaillé'!$D14)*(Matrice!$CC$23:$DA$50="X"))=1,"X","erreur"))</f>
        <v/>
      </c>
      <c r="Y14" s="425" t="str">
        <f>IF(SUMPRODUCT((Matrice!$D$23:$D$50='Plan d''actions détaillé'!Y$5)*(Matrice!$CC$21:$DA$21='Plan d''actions détaillé'!$D14)*(Matrice!$CC$23:$DA$50="X"))=0,"",IF(SUMPRODUCT((Matrice!$D$23:$D$50='Plan d''actions détaillé'!Y$5)*(Matrice!$CC$21:$DA$21='Plan d''actions détaillé'!$D14)*(Matrice!$CC$23:$DA$50="X"))=1,"X","erreur"))</f>
        <v/>
      </c>
      <c r="Z14" s="425" t="str">
        <f>IF(SUMPRODUCT((Matrice!$D$23:$D$50='Plan d''actions détaillé'!Z$5)*(Matrice!$CC$21:$DA$21='Plan d''actions détaillé'!$D14)*(Matrice!$CC$23:$DA$50="X"))=0,"",IF(SUMPRODUCT((Matrice!$D$23:$D$50='Plan d''actions détaillé'!Z$5)*(Matrice!$CC$21:$DA$21='Plan d''actions détaillé'!$D14)*(Matrice!$CC$23:$DA$50="X"))=1,"X","erreur"))</f>
        <v/>
      </c>
      <c r="AA14" s="425" t="str">
        <f>IF(SUMPRODUCT((Matrice!$D$23:$D$50='Plan d''actions détaillé'!AA$5)*(Matrice!$CC$21:$DA$21='Plan d''actions détaillé'!$D14)*(Matrice!$CC$23:$DA$50="X"))=0,"",IF(SUMPRODUCT((Matrice!$D$23:$D$50='Plan d''actions détaillé'!AA$5)*(Matrice!$CC$21:$DA$21='Plan d''actions détaillé'!$D14)*(Matrice!$CC$23:$DA$50="X"))=1,"X","erreur"))</f>
        <v/>
      </c>
      <c r="AB14" s="425" t="str">
        <f>IF(SUMPRODUCT((Matrice!$D$23:$D$50='Plan d''actions détaillé'!AB$5)*(Matrice!$CC$21:$DA$21='Plan d''actions détaillé'!$D14)*(Matrice!$CC$23:$DA$50="X"))=0,"",IF(SUMPRODUCT((Matrice!$D$23:$D$50='Plan d''actions détaillé'!AB$5)*(Matrice!$CC$21:$DA$21='Plan d''actions détaillé'!$D14)*(Matrice!$CC$23:$DA$50="X"))=1,"X","erreur"))</f>
        <v/>
      </c>
      <c r="AC14" s="425" t="str">
        <f>IF(SUMPRODUCT((Matrice!$D$23:$D$50='Plan d''actions détaillé'!AC$5)*(Matrice!$CC$21:$DA$21='Plan d''actions détaillé'!$D14)*(Matrice!$CC$23:$DA$50="X"))=0,"",IF(SUMPRODUCT((Matrice!$D$23:$D$50='Plan d''actions détaillé'!AC$5)*(Matrice!$CC$21:$DA$21='Plan d''actions détaillé'!$D14)*(Matrice!$CC$23:$DA$50="X"))=1,"X","erreur"))</f>
        <v/>
      </c>
      <c r="AD14" s="425" t="str">
        <f>IF(SUMPRODUCT((Matrice!$D$23:$D$50='Plan d''actions détaillé'!AD$5)*(Matrice!$CC$21:$DA$21='Plan d''actions détaillé'!$D14)*(Matrice!$CC$23:$DA$50="X"))=0,"",IF(SUMPRODUCT((Matrice!$D$23:$D$50='Plan d''actions détaillé'!AD$5)*(Matrice!$CC$21:$DA$21='Plan d''actions détaillé'!$D14)*(Matrice!$CC$23:$DA$50="X"))=1,"X","erreur"))</f>
        <v/>
      </c>
      <c r="AE14" s="425" t="str">
        <f>IF(SUMPRODUCT((Matrice!$D$23:$D$50='Plan d''actions détaillé'!AE$5)*(Matrice!$CC$21:$DA$21='Plan d''actions détaillé'!$D14)*(Matrice!$CC$23:$DA$50="X"))=0,"",IF(SUMPRODUCT((Matrice!$D$23:$D$50='Plan d''actions détaillé'!AE$5)*(Matrice!$CC$21:$DA$21='Plan d''actions détaillé'!$D14)*(Matrice!$CC$23:$DA$50="X"))=1,"X","erreur"))</f>
        <v/>
      </c>
      <c r="AF14" s="425" t="str">
        <f>IF(SUMPRODUCT((Matrice!$D$23:$D$50='Plan d''actions détaillé'!AF$5)*(Matrice!$CC$21:$DA$21='Plan d''actions détaillé'!$D14)*(Matrice!$CC$23:$DA$50="X"))=0,"",IF(SUMPRODUCT((Matrice!$D$23:$D$50='Plan d''actions détaillé'!AF$5)*(Matrice!$CC$21:$DA$21='Plan d''actions détaillé'!$D14)*(Matrice!$CC$23:$DA$50="X"))=1,"X","erreur"))</f>
        <v/>
      </c>
      <c r="AG14" s="425" t="str">
        <f>IF(SUMPRODUCT((Matrice!$D$23:$D$50='Plan d''actions détaillé'!AG$5)*(Matrice!$CC$21:$DA$21='Plan d''actions détaillé'!$D14)*(Matrice!$CC$23:$DA$50="X"))=0,"",IF(SUMPRODUCT((Matrice!$D$23:$D$50='Plan d''actions détaillé'!AG$5)*(Matrice!$CC$21:$DA$21='Plan d''actions détaillé'!$D14)*(Matrice!$CC$23:$DA$50="X"))=1,"X","erreur"))</f>
        <v/>
      </c>
      <c r="AH14" s="425" t="str">
        <f>IF(SUMPRODUCT((Matrice!$D$23:$D$50='Plan d''actions détaillé'!AH$5)*(Matrice!$CC$21:$DA$21='Plan d''actions détaillé'!$D14)*(Matrice!$CC$23:$DA$50="X"))=0,"",IF(SUMPRODUCT((Matrice!$D$23:$D$50='Plan d''actions détaillé'!AH$5)*(Matrice!$CC$21:$DA$21='Plan d''actions détaillé'!$D14)*(Matrice!$CC$23:$DA$50="X"))=1,"X","erreur"))</f>
        <v/>
      </c>
      <c r="AI14" s="425" t="str">
        <f>IF(SUMPRODUCT((Matrice!$D$23:$D$50='Plan d''actions détaillé'!AI$5)*(Matrice!$CC$21:$DA$21='Plan d''actions détaillé'!$D14)*(Matrice!$CC$23:$DA$50="X"))=0,"",IF(SUMPRODUCT((Matrice!$D$23:$D$50='Plan d''actions détaillé'!AI$5)*(Matrice!$CC$21:$DA$21='Plan d''actions détaillé'!$D14)*(Matrice!$CC$23:$DA$50="X"))=1,"X","erreur"))</f>
        <v/>
      </c>
      <c r="AJ14" s="425" t="str">
        <f>IF(SUMPRODUCT((Matrice!$D$23:$D$50='Plan d''actions détaillé'!AJ$5)*(Matrice!$CC$21:$DA$21='Plan d''actions détaillé'!$D14)*(Matrice!$CC$23:$DA$50="X"))=0,"",IF(SUMPRODUCT((Matrice!$D$23:$D$50='Plan d''actions détaillé'!AJ$5)*(Matrice!$CC$21:$DA$21='Plan d''actions détaillé'!$D14)*(Matrice!$CC$23:$DA$50="X"))=1,"X","erreur"))</f>
        <v/>
      </c>
      <c r="AK14" s="425" t="str">
        <f>IF(SUMPRODUCT((Matrice!$D$23:$D$50='Plan d''actions détaillé'!AK$5)*(Matrice!$CC$21:$DA$21='Plan d''actions détaillé'!$D14)*(Matrice!$CC$23:$DA$50="X"))=0,"",IF(SUMPRODUCT((Matrice!$D$23:$D$50='Plan d''actions détaillé'!AK$5)*(Matrice!$CC$21:$DA$21='Plan d''actions détaillé'!$D14)*(Matrice!$CC$23:$DA$50="X"))=1,"X","erreur"))</f>
        <v/>
      </c>
      <c r="AL14" s="425" t="str">
        <f>IF(SUMPRODUCT((Matrice!$D$23:$D$50='Plan d''actions détaillé'!AL$5)*(Matrice!$CC$21:$DA$21='Plan d''actions détaillé'!$D14)*(Matrice!$CC$23:$DA$50="X"))=0,"",IF(SUMPRODUCT((Matrice!$D$23:$D$50='Plan d''actions détaillé'!AL$5)*(Matrice!$CC$21:$DA$21='Plan d''actions détaillé'!$D14)*(Matrice!$CC$23:$DA$50="X"))=1,"X","erreur"))</f>
        <v/>
      </c>
      <c r="AV14" s="428"/>
      <c r="AW14" s="430"/>
      <c r="AX14" s="430"/>
      <c r="AY14" s="430"/>
      <c r="AZ14" s="430"/>
      <c r="BA14" s="428"/>
      <c r="BB14" s="428"/>
    </row>
    <row r="15" spans="1:54" s="424" customFormat="1" ht="23.25" customHeight="1" x14ac:dyDescent="0.15">
      <c r="A15" s="308" t="str">
        <f>IF((COUNTIF(Matrice!$2:$2,Matrice!$G$1&amp;"-PA"&amp;Listes!A11)=1)=TRUE,Matrice!$G$1&amp;"-PA"&amp;Listes!A11,"")</f>
        <v/>
      </c>
      <c r="B15" s="154" t="str">
        <f t="shared" si="0"/>
        <v/>
      </c>
      <c r="C15" s="154" t="str">
        <f>IF(ISERROR(HLOOKUP($A15,Matrice!$A$2:$DP$100,21,FALSE)),"",(IF(HLOOKUP($A15,Matrice!$A$2:$DP$100,21,FALSE)=0,"",HLOOKUP($A15,Matrice!$A$2:$DP$100,21,FALSE))))</f>
        <v/>
      </c>
      <c r="D15" s="154" t="str">
        <f>IF(ISERROR(HLOOKUP($A15,Matrice!$A$2:$DP$100,20,FALSE)),"",(IF(HLOOKUP($A15,Matrice!$A$2:$DP$100,20,FALSE)=0,"",HLOOKUP($A15,Matrice!$A$2:$DP$100,20,FALSE))))</f>
        <v/>
      </c>
      <c r="E15" s="154" t="str">
        <f>IF(ISERROR(HLOOKUP($A15,Matrice!$A$2:$DP$100,3,FALSE)),"",(IF(HLOOKUP($A15,Matrice!$A$2:$DP$100,3,FALSE)=0,"",HLOOKUP($A15,Matrice!$A$2:$DP$100,3,FALSE))))</f>
        <v/>
      </c>
      <c r="F15" s="426" t="str">
        <f>IF(ISERROR(HLOOKUP($A15,Matrice!$A$2:$DP$100,2,FALSE)),"",(IF(HLOOKUP($A15,Matrice!$A$2:$DP$100,3,FALSE)=0,"",HLOOKUP($A15,Matrice!$A$2:$DP$100,2,FALSE))))</f>
        <v/>
      </c>
      <c r="G15" s="264"/>
      <c r="H15" s="263"/>
      <c r="I15" s="259"/>
      <c r="J15" s="260"/>
      <c r="K15" s="261"/>
      <c r="L15" s="261"/>
      <c r="M15" s="262"/>
      <c r="N15" s="262"/>
      <c r="O15" s="421"/>
      <c r="P15" s="262"/>
      <c r="Q15" s="422"/>
      <c r="R15" s="423"/>
      <c r="S15" s="262"/>
      <c r="U15" s="425" t="str">
        <f>IF(SUMPRODUCT((Matrice!$D$23:$D$50='Plan d''actions détaillé'!U$5)*(Matrice!$CC$21:$DA$21='Plan d''actions détaillé'!$D15)*(Matrice!$CC$23:$DA$50="X"))=0,"",IF(SUMPRODUCT((Matrice!$D$23:$D$50='Plan d''actions détaillé'!U$5)*(Matrice!$CC$21:$DA$21='Plan d''actions détaillé'!$D15)*(Matrice!$CC$23:$DA$50="X"))=1,"X","erreur"))</f>
        <v/>
      </c>
      <c r="V15" s="425" t="str">
        <f>IF(SUMPRODUCT((Matrice!$D$23:$D$50='Plan d''actions détaillé'!V$5)*(Matrice!$CC$21:$DA$21='Plan d''actions détaillé'!$D15)*(Matrice!$CC$23:$DA$50="X"))=0,"",IF(SUMPRODUCT((Matrice!$D$23:$D$50='Plan d''actions détaillé'!V$5)*(Matrice!$CC$21:$DA$21='Plan d''actions détaillé'!$D15)*(Matrice!$CC$23:$DA$50="X"))=1,"X","erreur"))</f>
        <v/>
      </c>
      <c r="W15" s="425" t="str">
        <f>IF(SUMPRODUCT((Matrice!$D$23:$D$50='Plan d''actions détaillé'!W$5)*(Matrice!$CC$21:$DA$21='Plan d''actions détaillé'!$D15)*(Matrice!$CC$23:$DA$50="X"))=0,"",IF(SUMPRODUCT((Matrice!$D$23:$D$50='Plan d''actions détaillé'!W$5)*(Matrice!$CC$21:$DA$21='Plan d''actions détaillé'!$D15)*(Matrice!$CC$23:$DA$50="X"))=1,"X","erreur"))</f>
        <v/>
      </c>
      <c r="X15" s="425" t="str">
        <f>IF(SUMPRODUCT((Matrice!$D$23:$D$50='Plan d''actions détaillé'!X$5)*(Matrice!$CC$21:$DA$21='Plan d''actions détaillé'!$D15)*(Matrice!$CC$23:$DA$50="X"))=0,"",IF(SUMPRODUCT((Matrice!$D$23:$D$50='Plan d''actions détaillé'!X$5)*(Matrice!$CC$21:$DA$21='Plan d''actions détaillé'!$D15)*(Matrice!$CC$23:$DA$50="X"))=1,"X","erreur"))</f>
        <v/>
      </c>
      <c r="Y15" s="425" t="str">
        <f>IF(SUMPRODUCT((Matrice!$D$23:$D$50='Plan d''actions détaillé'!Y$5)*(Matrice!$CC$21:$DA$21='Plan d''actions détaillé'!$D15)*(Matrice!$CC$23:$DA$50="X"))=0,"",IF(SUMPRODUCT((Matrice!$D$23:$D$50='Plan d''actions détaillé'!Y$5)*(Matrice!$CC$21:$DA$21='Plan d''actions détaillé'!$D15)*(Matrice!$CC$23:$DA$50="X"))=1,"X","erreur"))</f>
        <v/>
      </c>
      <c r="Z15" s="425" t="str">
        <f>IF(SUMPRODUCT((Matrice!$D$23:$D$50='Plan d''actions détaillé'!Z$5)*(Matrice!$CC$21:$DA$21='Plan d''actions détaillé'!$D15)*(Matrice!$CC$23:$DA$50="X"))=0,"",IF(SUMPRODUCT((Matrice!$D$23:$D$50='Plan d''actions détaillé'!Z$5)*(Matrice!$CC$21:$DA$21='Plan d''actions détaillé'!$D15)*(Matrice!$CC$23:$DA$50="X"))=1,"X","erreur"))</f>
        <v/>
      </c>
      <c r="AA15" s="425" t="str">
        <f>IF(SUMPRODUCT((Matrice!$D$23:$D$50='Plan d''actions détaillé'!AA$5)*(Matrice!$CC$21:$DA$21='Plan d''actions détaillé'!$D15)*(Matrice!$CC$23:$DA$50="X"))=0,"",IF(SUMPRODUCT((Matrice!$D$23:$D$50='Plan d''actions détaillé'!AA$5)*(Matrice!$CC$21:$DA$21='Plan d''actions détaillé'!$D15)*(Matrice!$CC$23:$DA$50="X"))=1,"X","erreur"))</f>
        <v/>
      </c>
      <c r="AB15" s="425" t="str">
        <f>IF(SUMPRODUCT((Matrice!$D$23:$D$50='Plan d''actions détaillé'!AB$5)*(Matrice!$CC$21:$DA$21='Plan d''actions détaillé'!$D15)*(Matrice!$CC$23:$DA$50="X"))=0,"",IF(SUMPRODUCT((Matrice!$D$23:$D$50='Plan d''actions détaillé'!AB$5)*(Matrice!$CC$21:$DA$21='Plan d''actions détaillé'!$D15)*(Matrice!$CC$23:$DA$50="X"))=1,"X","erreur"))</f>
        <v/>
      </c>
      <c r="AC15" s="425" t="str">
        <f>IF(SUMPRODUCT((Matrice!$D$23:$D$50='Plan d''actions détaillé'!AC$5)*(Matrice!$CC$21:$DA$21='Plan d''actions détaillé'!$D15)*(Matrice!$CC$23:$DA$50="X"))=0,"",IF(SUMPRODUCT((Matrice!$D$23:$D$50='Plan d''actions détaillé'!AC$5)*(Matrice!$CC$21:$DA$21='Plan d''actions détaillé'!$D15)*(Matrice!$CC$23:$DA$50="X"))=1,"X","erreur"))</f>
        <v/>
      </c>
      <c r="AD15" s="425" t="str">
        <f>IF(SUMPRODUCT((Matrice!$D$23:$D$50='Plan d''actions détaillé'!AD$5)*(Matrice!$CC$21:$DA$21='Plan d''actions détaillé'!$D15)*(Matrice!$CC$23:$DA$50="X"))=0,"",IF(SUMPRODUCT((Matrice!$D$23:$D$50='Plan d''actions détaillé'!AD$5)*(Matrice!$CC$21:$DA$21='Plan d''actions détaillé'!$D15)*(Matrice!$CC$23:$DA$50="X"))=1,"X","erreur"))</f>
        <v/>
      </c>
      <c r="AE15" s="425" t="str">
        <f>IF(SUMPRODUCT((Matrice!$D$23:$D$50='Plan d''actions détaillé'!AE$5)*(Matrice!$CC$21:$DA$21='Plan d''actions détaillé'!$D15)*(Matrice!$CC$23:$DA$50="X"))=0,"",IF(SUMPRODUCT((Matrice!$D$23:$D$50='Plan d''actions détaillé'!AE$5)*(Matrice!$CC$21:$DA$21='Plan d''actions détaillé'!$D15)*(Matrice!$CC$23:$DA$50="X"))=1,"X","erreur"))</f>
        <v/>
      </c>
      <c r="AF15" s="425" t="str">
        <f>IF(SUMPRODUCT((Matrice!$D$23:$D$50='Plan d''actions détaillé'!AF$5)*(Matrice!$CC$21:$DA$21='Plan d''actions détaillé'!$D15)*(Matrice!$CC$23:$DA$50="X"))=0,"",IF(SUMPRODUCT((Matrice!$D$23:$D$50='Plan d''actions détaillé'!AF$5)*(Matrice!$CC$21:$DA$21='Plan d''actions détaillé'!$D15)*(Matrice!$CC$23:$DA$50="X"))=1,"X","erreur"))</f>
        <v/>
      </c>
      <c r="AG15" s="425" t="str">
        <f>IF(SUMPRODUCT((Matrice!$D$23:$D$50='Plan d''actions détaillé'!AG$5)*(Matrice!$CC$21:$DA$21='Plan d''actions détaillé'!$D15)*(Matrice!$CC$23:$DA$50="X"))=0,"",IF(SUMPRODUCT((Matrice!$D$23:$D$50='Plan d''actions détaillé'!AG$5)*(Matrice!$CC$21:$DA$21='Plan d''actions détaillé'!$D15)*(Matrice!$CC$23:$DA$50="X"))=1,"X","erreur"))</f>
        <v/>
      </c>
      <c r="AH15" s="425" t="str">
        <f>IF(SUMPRODUCT((Matrice!$D$23:$D$50='Plan d''actions détaillé'!AH$5)*(Matrice!$CC$21:$DA$21='Plan d''actions détaillé'!$D15)*(Matrice!$CC$23:$DA$50="X"))=0,"",IF(SUMPRODUCT((Matrice!$D$23:$D$50='Plan d''actions détaillé'!AH$5)*(Matrice!$CC$21:$DA$21='Plan d''actions détaillé'!$D15)*(Matrice!$CC$23:$DA$50="X"))=1,"X","erreur"))</f>
        <v/>
      </c>
      <c r="AI15" s="425" t="str">
        <f>IF(SUMPRODUCT((Matrice!$D$23:$D$50='Plan d''actions détaillé'!AI$5)*(Matrice!$CC$21:$DA$21='Plan d''actions détaillé'!$D15)*(Matrice!$CC$23:$DA$50="X"))=0,"",IF(SUMPRODUCT((Matrice!$D$23:$D$50='Plan d''actions détaillé'!AI$5)*(Matrice!$CC$21:$DA$21='Plan d''actions détaillé'!$D15)*(Matrice!$CC$23:$DA$50="X"))=1,"X","erreur"))</f>
        <v/>
      </c>
      <c r="AJ15" s="425" t="str">
        <f>IF(SUMPRODUCT((Matrice!$D$23:$D$50='Plan d''actions détaillé'!AJ$5)*(Matrice!$CC$21:$DA$21='Plan d''actions détaillé'!$D15)*(Matrice!$CC$23:$DA$50="X"))=0,"",IF(SUMPRODUCT((Matrice!$D$23:$D$50='Plan d''actions détaillé'!AJ$5)*(Matrice!$CC$21:$DA$21='Plan d''actions détaillé'!$D15)*(Matrice!$CC$23:$DA$50="X"))=1,"X","erreur"))</f>
        <v/>
      </c>
      <c r="AK15" s="425" t="str">
        <f>IF(SUMPRODUCT((Matrice!$D$23:$D$50='Plan d''actions détaillé'!AK$5)*(Matrice!$CC$21:$DA$21='Plan d''actions détaillé'!$D15)*(Matrice!$CC$23:$DA$50="X"))=0,"",IF(SUMPRODUCT((Matrice!$D$23:$D$50='Plan d''actions détaillé'!AK$5)*(Matrice!$CC$21:$DA$21='Plan d''actions détaillé'!$D15)*(Matrice!$CC$23:$DA$50="X"))=1,"X","erreur"))</f>
        <v/>
      </c>
      <c r="AL15" s="425" t="str">
        <f>IF(SUMPRODUCT((Matrice!$D$23:$D$50='Plan d''actions détaillé'!AL$5)*(Matrice!$CC$21:$DA$21='Plan d''actions détaillé'!$D15)*(Matrice!$CC$23:$DA$50="X"))=0,"",IF(SUMPRODUCT((Matrice!$D$23:$D$50='Plan d''actions détaillé'!AL$5)*(Matrice!$CC$21:$DA$21='Plan d''actions détaillé'!$D15)*(Matrice!$CC$23:$DA$50="X"))=1,"X","erreur"))</f>
        <v/>
      </c>
      <c r="AV15" s="428"/>
      <c r="AW15" s="430"/>
      <c r="AX15" s="430"/>
      <c r="AY15" s="430"/>
      <c r="AZ15" s="430"/>
      <c r="BA15" s="428"/>
      <c r="BB15" s="428"/>
    </row>
    <row r="16" spans="1:54" s="424" customFormat="1" ht="29.25" customHeight="1" x14ac:dyDescent="0.15">
      <c r="A16" s="308" t="str">
        <f>IF((COUNTIF(Matrice!$2:$2,Matrice!$G$1&amp;"-PA"&amp;Listes!A12)=1)=TRUE,Matrice!$G$1&amp;"-PA"&amp;Listes!A12,"")</f>
        <v/>
      </c>
      <c r="B16" s="154" t="str">
        <f t="shared" si="0"/>
        <v/>
      </c>
      <c r="C16" s="154" t="str">
        <f>IF(ISERROR(HLOOKUP($A16,Matrice!$A$2:$DP$100,21,FALSE)),"",(IF(HLOOKUP($A16,Matrice!$A$2:$DP$100,21,FALSE)=0,"",HLOOKUP($A16,Matrice!$A$2:$DP$100,21,FALSE))))</f>
        <v/>
      </c>
      <c r="D16" s="154" t="str">
        <f>IF(ISERROR(HLOOKUP($A16,Matrice!$A$2:$DP$100,20,FALSE)),"",(IF(HLOOKUP($A16,Matrice!$A$2:$DP$100,20,FALSE)=0,"",HLOOKUP($A16,Matrice!$A$2:$DP$100,20,FALSE))))</f>
        <v/>
      </c>
      <c r="E16" s="154" t="str">
        <f>IF(ISERROR(HLOOKUP($A16,Matrice!$A$2:$DP$100,3,FALSE)),"",(IF(HLOOKUP($A16,Matrice!$A$2:$DP$100,3,FALSE)=0,"",HLOOKUP($A16,Matrice!$A$2:$DP$100,3,FALSE))))</f>
        <v/>
      </c>
      <c r="F16" s="426" t="str">
        <f>IF(ISERROR(HLOOKUP($A16,Matrice!$A$2:$DP$100,2,FALSE)),"",(IF(HLOOKUP($A16,Matrice!$A$2:$DP$100,3,FALSE)=0,"",HLOOKUP($A16,Matrice!$A$2:$DP$100,2,FALSE))))</f>
        <v/>
      </c>
      <c r="G16" s="264"/>
      <c r="H16" s="263"/>
      <c r="I16" s="259"/>
      <c r="J16" s="260"/>
      <c r="K16" s="261"/>
      <c r="L16" s="261"/>
      <c r="M16" s="262"/>
      <c r="N16" s="262"/>
      <c r="O16" s="421"/>
      <c r="P16" s="262"/>
      <c r="Q16" s="422"/>
      <c r="R16" s="423"/>
      <c r="S16" s="262"/>
      <c r="U16" s="425" t="str">
        <f>IF(SUMPRODUCT((Matrice!$D$23:$D$50='Plan d''actions détaillé'!U$5)*(Matrice!$CC$21:$DA$21='Plan d''actions détaillé'!$D16)*(Matrice!$CC$23:$DA$50="X"))=0,"",IF(SUMPRODUCT((Matrice!$D$23:$D$50='Plan d''actions détaillé'!U$5)*(Matrice!$CC$21:$DA$21='Plan d''actions détaillé'!$D16)*(Matrice!$CC$23:$DA$50="X"))=1,"X","erreur"))</f>
        <v/>
      </c>
      <c r="V16" s="425" t="str">
        <f>IF(SUMPRODUCT((Matrice!$D$23:$D$50='Plan d''actions détaillé'!V$5)*(Matrice!$CC$21:$DA$21='Plan d''actions détaillé'!$D16)*(Matrice!$CC$23:$DA$50="X"))=0,"",IF(SUMPRODUCT((Matrice!$D$23:$D$50='Plan d''actions détaillé'!V$5)*(Matrice!$CC$21:$DA$21='Plan d''actions détaillé'!$D16)*(Matrice!$CC$23:$DA$50="X"))=1,"X","erreur"))</f>
        <v/>
      </c>
      <c r="W16" s="425" t="str">
        <f>IF(SUMPRODUCT((Matrice!$D$23:$D$50='Plan d''actions détaillé'!W$5)*(Matrice!$CC$21:$DA$21='Plan d''actions détaillé'!$D16)*(Matrice!$CC$23:$DA$50="X"))=0,"",IF(SUMPRODUCT((Matrice!$D$23:$D$50='Plan d''actions détaillé'!W$5)*(Matrice!$CC$21:$DA$21='Plan d''actions détaillé'!$D16)*(Matrice!$CC$23:$DA$50="X"))=1,"X","erreur"))</f>
        <v/>
      </c>
      <c r="X16" s="425" t="str">
        <f>IF(SUMPRODUCT((Matrice!$D$23:$D$50='Plan d''actions détaillé'!X$5)*(Matrice!$CC$21:$DA$21='Plan d''actions détaillé'!$D16)*(Matrice!$CC$23:$DA$50="X"))=0,"",IF(SUMPRODUCT((Matrice!$D$23:$D$50='Plan d''actions détaillé'!X$5)*(Matrice!$CC$21:$DA$21='Plan d''actions détaillé'!$D16)*(Matrice!$CC$23:$DA$50="X"))=1,"X","erreur"))</f>
        <v/>
      </c>
      <c r="Y16" s="425" t="str">
        <f>IF(SUMPRODUCT((Matrice!$D$23:$D$50='Plan d''actions détaillé'!Y$5)*(Matrice!$CC$21:$DA$21='Plan d''actions détaillé'!$D16)*(Matrice!$CC$23:$DA$50="X"))=0,"",IF(SUMPRODUCT((Matrice!$D$23:$D$50='Plan d''actions détaillé'!Y$5)*(Matrice!$CC$21:$DA$21='Plan d''actions détaillé'!$D16)*(Matrice!$CC$23:$DA$50="X"))=1,"X","erreur"))</f>
        <v/>
      </c>
      <c r="Z16" s="425" t="str">
        <f>IF(SUMPRODUCT((Matrice!$D$23:$D$50='Plan d''actions détaillé'!Z$5)*(Matrice!$CC$21:$DA$21='Plan d''actions détaillé'!$D16)*(Matrice!$CC$23:$DA$50="X"))=0,"",IF(SUMPRODUCT((Matrice!$D$23:$D$50='Plan d''actions détaillé'!Z$5)*(Matrice!$CC$21:$DA$21='Plan d''actions détaillé'!$D16)*(Matrice!$CC$23:$DA$50="X"))=1,"X","erreur"))</f>
        <v/>
      </c>
      <c r="AA16" s="425" t="str">
        <f>IF(SUMPRODUCT((Matrice!$D$23:$D$50='Plan d''actions détaillé'!AA$5)*(Matrice!$CC$21:$DA$21='Plan d''actions détaillé'!$D16)*(Matrice!$CC$23:$DA$50="X"))=0,"",IF(SUMPRODUCT((Matrice!$D$23:$D$50='Plan d''actions détaillé'!AA$5)*(Matrice!$CC$21:$DA$21='Plan d''actions détaillé'!$D16)*(Matrice!$CC$23:$DA$50="X"))=1,"X","erreur"))</f>
        <v/>
      </c>
      <c r="AB16" s="425" t="str">
        <f>IF(SUMPRODUCT((Matrice!$D$23:$D$50='Plan d''actions détaillé'!AB$5)*(Matrice!$CC$21:$DA$21='Plan d''actions détaillé'!$D16)*(Matrice!$CC$23:$DA$50="X"))=0,"",IF(SUMPRODUCT((Matrice!$D$23:$D$50='Plan d''actions détaillé'!AB$5)*(Matrice!$CC$21:$DA$21='Plan d''actions détaillé'!$D16)*(Matrice!$CC$23:$DA$50="X"))=1,"X","erreur"))</f>
        <v/>
      </c>
      <c r="AC16" s="425" t="str">
        <f>IF(SUMPRODUCT((Matrice!$D$23:$D$50='Plan d''actions détaillé'!AC$5)*(Matrice!$CC$21:$DA$21='Plan d''actions détaillé'!$D16)*(Matrice!$CC$23:$DA$50="X"))=0,"",IF(SUMPRODUCT((Matrice!$D$23:$D$50='Plan d''actions détaillé'!AC$5)*(Matrice!$CC$21:$DA$21='Plan d''actions détaillé'!$D16)*(Matrice!$CC$23:$DA$50="X"))=1,"X","erreur"))</f>
        <v/>
      </c>
      <c r="AD16" s="425" t="str">
        <f>IF(SUMPRODUCT((Matrice!$D$23:$D$50='Plan d''actions détaillé'!AD$5)*(Matrice!$CC$21:$DA$21='Plan d''actions détaillé'!$D16)*(Matrice!$CC$23:$DA$50="X"))=0,"",IF(SUMPRODUCT((Matrice!$D$23:$D$50='Plan d''actions détaillé'!AD$5)*(Matrice!$CC$21:$DA$21='Plan d''actions détaillé'!$D16)*(Matrice!$CC$23:$DA$50="X"))=1,"X","erreur"))</f>
        <v/>
      </c>
      <c r="AE16" s="425" t="str">
        <f>IF(SUMPRODUCT((Matrice!$D$23:$D$50='Plan d''actions détaillé'!AE$5)*(Matrice!$CC$21:$DA$21='Plan d''actions détaillé'!$D16)*(Matrice!$CC$23:$DA$50="X"))=0,"",IF(SUMPRODUCT((Matrice!$D$23:$D$50='Plan d''actions détaillé'!AE$5)*(Matrice!$CC$21:$DA$21='Plan d''actions détaillé'!$D16)*(Matrice!$CC$23:$DA$50="X"))=1,"X","erreur"))</f>
        <v/>
      </c>
      <c r="AF16" s="425" t="str">
        <f>IF(SUMPRODUCT((Matrice!$D$23:$D$50='Plan d''actions détaillé'!AF$5)*(Matrice!$CC$21:$DA$21='Plan d''actions détaillé'!$D16)*(Matrice!$CC$23:$DA$50="X"))=0,"",IF(SUMPRODUCT((Matrice!$D$23:$D$50='Plan d''actions détaillé'!AF$5)*(Matrice!$CC$21:$DA$21='Plan d''actions détaillé'!$D16)*(Matrice!$CC$23:$DA$50="X"))=1,"X","erreur"))</f>
        <v/>
      </c>
      <c r="AG16" s="425" t="str">
        <f>IF(SUMPRODUCT((Matrice!$D$23:$D$50='Plan d''actions détaillé'!AG$5)*(Matrice!$CC$21:$DA$21='Plan d''actions détaillé'!$D16)*(Matrice!$CC$23:$DA$50="X"))=0,"",IF(SUMPRODUCT((Matrice!$D$23:$D$50='Plan d''actions détaillé'!AG$5)*(Matrice!$CC$21:$DA$21='Plan d''actions détaillé'!$D16)*(Matrice!$CC$23:$DA$50="X"))=1,"X","erreur"))</f>
        <v/>
      </c>
      <c r="AH16" s="425" t="str">
        <f>IF(SUMPRODUCT((Matrice!$D$23:$D$50='Plan d''actions détaillé'!AH$5)*(Matrice!$CC$21:$DA$21='Plan d''actions détaillé'!$D16)*(Matrice!$CC$23:$DA$50="X"))=0,"",IF(SUMPRODUCT((Matrice!$D$23:$D$50='Plan d''actions détaillé'!AH$5)*(Matrice!$CC$21:$DA$21='Plan d''actions détaillé'!$D16)*(Matrice!$CC$23:$DA$50="X"))=1,"X","erreur"))</f>
        <v/>
      </c>
      <c r="AI16" s="425" t="str">
        <f>IF(SUMPRODUCT((Matrice!$D$23:$D$50='Plan d''actions détaillé'!AI$5)*(Matrice!$CC$21:$DA$21='Plan d''actions détaillé'!$D16)*(Matrice!$CC$23:$DA$50="X"))=0,"",IF(SUMPRODUCT((Matrice!$D$23:$D$50='Plan d''actions détaillé'!AI$5)*(Matrice!$CC$21:$DA$21='Plan d''actions détaillé'!$D16)*(Matrice!$CC$23:$DA$50="X"))=1,"X","erreur"))</f>
        <v/>
      </c>
      <c r="AJ16" s="425" t="str">
        <f>IF(SUMPRODUCT((Matrice!$D$23:$D$50='Plan d''actions détaillé'!AJ$5)*(Matrice!$CC$21:$DA$21='Plan d''actions détaillé'!$D16)*(Matrice!$CC$23:$DA$50="X"))=0,"",IF(SUMPRODUCT((Matrice!$D$23:$D$50='Plan d''actions détaillé'!AJ$5)*(Matrice!$CC$21:$DA$21='Plan d''actions détaillé'!$D16)*(Matrice!$CC$23:$DA$50="X"))=1,"X","erreur"))</f>
        <v/>
      </c>
      <c r="AK16" s="425" t="str">
        <f>IF(SUMPRODUCT((Matrice!$D$23:$D$50='Plan d''actions détaillé'!AK$5)*(Matrice!$CC$21:$DA$21='Plan d''actions détaillé'!$D16)*(Matrice!$CC$23:$DA$50="X"))=0,"",IF(SUMPRODUCT((Matrice!$D$23:$D$50='Plan d''actions détaillé'!AK$5)*(Matrice!$CC$21:$DA$21='Plan d''actions détaillé'!$D16)*(Matrice!$CC$23:$DA$50="X"))=1,"X","erreur"))</f>
        <v/>
      </c>
      <c r="AL16" s="425" t="str">
        <f>IF(SUMPRODUCT((Matrice!$D$23:$D$50='Plan d''actions détaillé'!AL$5)*(Matrice!$CC$21:$DA$21='Plan d''actions détaillé'!$D16)*(Matrice!$CC$23:$DA$50="X"))=0,"",IF(SUMPRODUCT((Matrice!$D$23:$D$50='Plan d''actions détaillé'!AL$5)*(Matrice!$CC$21:$DA$21='Plan d''actions détaillé'!$D16)*(Matrice!$CC$23:$DA$50="X"))=1,"X","erreur"))</f>
        <v/>
      </c>
      <c r="AV16" s="428"/>
      <c r="AW16" s="430"/>
      <c r="AX16" s="430"/>
      <c r="AY16" s="430"/>
      <c r="AZ16" s="430"/>
      <c r="BA16" s="428"/>
      <c r="BB16" s="428"/>
    </row>
    <row r="17" spans="1:54" s="424" customFormat="1" ht="21.75" customHeight="1" x14ac:dyDescent="0.15">
      <c r="A17" s="308" t="str">
        <f>IF((COUNTIF(Matrice!$2:$2,Matrice!$G$1&amp;"-PA"&amp;Listes!A13)=1)=TRUE,Matrice!$G$1&amp;"-PA"&amp;Listes!A13,"")</f>
        <v/>
      </c>
      <c r="B17" s="154" t="str">
        <f t="shared" si="0"/>
        <v/>
      </c>
      <c r="C17" s="154" t="str">
        <f>IF(ISERROR(HLOOKUP($A17,Matrice!$A$2:$DP$100,21,FALSE)),"",(IF(HLOOKUP($A17,Matrice!$A$2:$DP$100,21,FALSE)=0,"",HLOOKUP($A17,Matrice!$A$2:$DP$100,21,FALSE))))</f>
        <v/>
      </c>
      <c r="D17" s="154" t="str">
        <f>IF(ISERROR(HLOOKUP($A17,Matrice!$A$2:$DP$100,20,FALSE)),"",(IF(HLOOKUP($A17,Matrice!$A$2:$DP$100,20,FALSE)=0,"",HLOOKUP($A17,Matrice!$A$2:$DP$100,20,FALSE))))</f>
        <v/>
      </c>
      <c r="E17" s="154" t="str">
        <f>IF(ISERROR(HLOOKUP($A17,Matrice!$A$2:$DP$100,3,FALSE)),"",(IF(HLOOKUP($A17,Matrice!$A$2:$DP$100,3,FALSE)=0,"",HLOOKUP($A17,Matrice!$A$2:$DP$100,3,FALSE))))</f>
        <v/>
      </c>
      <c r="F17" s="426" t="str">
        <f>IF(ISERROR(HLOOKUP($A17,Matrice!$A$2:$DP$100,2,FALSE)),"",(IF(HLOOKUP($A17,Matrice!$A$2:$DP$100,3,FALSE)=0,"",HLOOKUP($A17,Matrice!$A$2:$DP$100,2,FALSE))))</f>
        <v/>
      </c>
      <c r="G17" s="264"/>
      <c r="H17" s="263"/>
      <c r="I17" s="259"/>
      <c r="J17" s="260"/>
      <c r="K17" s="261"/>
      <c r="L17" s="261"/>
      <c r="M17" s="262"/>
      <c r="N17" s="262"/>
      <c r="O17" s="421"/>
      <c r="P17" s="262"/>
      <c r="Q17" s="422"/>
      <c r="R17" s="423"/>
      <c r="S17" s="262"/>
      <c r="U17" s="425" t="str">
        <f>IF(SUMPRODUCT((Matrice!$D$23:$D$50='Plan d''actions détaillé'!U$5)*(Matrice!$CC$21:$DA$21='Plan d''actions détaillé'!$D17)*(Matrice!$CC$23:$DA$50="X"))=0,"",IF(SUMPRODUCT((Matrice!$D$23:$D$50='Plan d''actions détaillé'!U$5)*(Matrice!$CC$21:$DA$21='Plan d''actions détaillé'!$D17)*(Matrice!$CC$23:$DA$50="X"))=1,"X","erreur"))</f>
        <v/>
      </c>
      <c r="V17" s="425" t="str">
        <f>IF(SUMPRODUCT((Matrice!$D$23:$D$50='Plan d''actions détaillé'!V$5)*(Matrice!$CC$21:$DA$21='Plan d''actions détaillé'!$D17)*(Matrice!$CC$23:$DA$50="X"))=0,"",IF(SUMPRODUCT((Matrice!$D$23:$D$50='Plan d''actions détaillé'!V$5)*(Matrice!$CC$21:$DA$21='Plan d''actions détaillé'!$D17)*(Matrice!$CC$23:$DA$50="X"))=1,"X","erreur"))</f>
        <v/>
      </c>
      <c r="W17" s="425" t="str">
        <f>IF(SUMPRODUCT((Matrice!$D$23:$D$50='Plan d''actions détaillé'!W$5)*(Matrice!$CC$21:$DA$21='Plan d''actions détaillé'!$D17)*(Matrice!$CC$23:$DA$50="X"))=0,"",IF(SUMPRODUCT((Matrice!$D$23:$D$50='Plan d''actions détaillé'!W$5)*(Matrice!$CC$21:$DA$21='Plan d''actions détaillé'!$D17)*(Matrice!$CC$23:$DA$50="X"))=1,"X","erreur"))</f>
        <v/>
      </c>
      <c r="X17" s="425" t="str">
        <f>IF(SUMPRODUCT((Matrice!$D$23:$D$50='Plan d''actions détaillé'!X$5)*(Matrice!$CC$21:$DA$21='Plan d''actions détaillé'!$D17)*(Matrice!$CC$23:$DA$50="X"))=0,"",IF(SUMPRODUCT((Matrice!$D$23:$D$50='Plan d''actions détaillé'!X$5)*(Matrice!$CC$21:$DA$21='Plan d''actions détaillé'!$D17)*(Matrice!$CC$23:$DA$50="X"))=1,"X","erreur"))</f>
        <v/>
      </c>
      <c r="Y17" s="425" t="str">
        <f>IF(SUMPRODUCT((Matrice!$D$23:$D$50='Plan d''actions détaillé'!Y$5)*(Matrice!$CC$21:$DA$21='Plan d''actions détaillé'!$D17)*(Matrice!$CC$23:$DA$50="X"))=0,"",IF(SUMPRODUCT((Matrice!$D$23:$D$50='Plan d''actions détaillé'!Y$5)*(Matrice!$CC$21:$DA$21='Plan d''actions détaillé'!$D17)*(Matrice!$CC$23:$DA$50="X"))=1,"X","erreur"))</f>
        <v/>
      </c>
      <c r="Z17" s="425" t="str">
        <f>IF(SUMPRODUCT((Matrice!$D$23:$D$50='Plan d''actions détaillé'!Z$5)*(Matrice!$CC$21:$DA$21='Plan d''actions détaillé'!$D17)*(Matrice!$CC$23:$DA$50="X"))=0,"",IF(SUMPRODUCT((Matrice!$D$23:$D$50='Plan d''actions détaillé'!Z$5)*(Matrice!$CC$21:$DA$21='Plan d''actions détaillé'!$D17)*(Matrice!$CC$23:$DA$50="X"))=1,"X","erreur"))</f>
        <v/>
      </c>
      <c r="AA17" s="425" t="str">
        <f>IF(SUMPRODUCT((Matrice!$D$23:$D$50='Plan d''actions détaillé'!AA$5)*(Matrice!$CC$21:$DA$21='Plan d''actions détaillé'!$D17)*(Matrice!$CC$23:$DA$50="X"))=0,"",IF(SUMPRODUCT((Matrice!$D$23:$D$50='Plan d''actions détaillé'!AA$5)*(Matrice!$CC$21:$DA$21='Plan d''actions détaillé'!$D17)*(Matrice!$CC$23:$DA$50="X"))=1,"X","erreur"))</f>
        <v/>
      </c>
      <c r="AB17" s="425" t="str">
        <f>IF(SUMPRODUCT((Matrice!$D$23:$D$50='Plan d''actions détaillé'!AB$5)*(Matrice!$CC$21:$DA$21='Plan d''actions détaillé'!$D17)*(Matrice!$CC$23:$DA$50="X"))=0,"",IF(SUMPRODUCT((Matrice!$D$23:$D$50='Plan d''actions détaillé'!AB$5)*(Matrice!$CC$21:$DA$21='Plan d''actions détaillé'!$D17)*(Matrice!$CC$23:$DA$50="X"))=1,"X","erreur"))</f>
        <v/>
      </c>
      <c r="AC17" s="425" t="str">
        <f>IF(SUMPRODUCT((Matrice!$D$23:$D$50='Plan d''actions détaillé'!AC$5)*(Matrice!$CC$21:$DA$21='Plan d''actions détaillé'!$D17)*(Matrice!$CC$23:$DA$50="X"))=0,"",IF(SUMPRODUCT((Matrice!$D$23:$D$50='Plan d''actions détaillé'!AC$5)*(Matrice!$CC$21:$DA$21='Plan d''actions détaillé'!$D17)*(Matrice!$CC$23:$DA$50="X"))=1,"X","erreur"))</f>
        <v/>
      </c>
      <c r="AD17" s="425" t="str">
        <f>IF(SUMPRODUCT((Matrice!$D$23:$D$50='Plan d''actions détaillé'!AD$5)*(Matrice!$CC$21:$DA$21='Plan d''actions détaillé'!$D17)*(Matrice!$CC$23:$DA$50="X"))=0,"",IF(SUMPRODUCT((Matrice!$D$23:$D$50='Plan d''actions détaillé'!AD$5)*(Matrice!$CC$21:$DA$21='Plan d''actions détaillé'!$D17)*(Matrice!$CC$23:$DA$50="X"))=1,"X","erreur"))</f>
        <v/>
      </c>
      <c r="AE17" s="425" t="str">
        <f>IF(SUMPRODUCT((Matrice!$D$23:$D$50='Plan d''actions détaillé'!AE$5)*(Matrice!$CC$21:$DA$21='Plan d''actions détaillé'!$D17)*(Matrice!$CC$23:$DA$50="X"))=0,"",IF(SUMPRODUCT((Matrice!$D$23:$D$50='Plan d''actions détaillé'!AE$5)*(Matrice!$CC$21:$DA$21='Plan d''actions détaillé'!$D17)*(Matrice!$CC$23:$DA$50="X"))=1,"X","erreur"))</f>
        <v/>
      </c>
      <c r="AF17" s="425" t="str">
        <f>IF(SUMPRODUCT((Matrice!$D$23:$D$50='Plan d''actions détaillé'!AF$5)*(Matrice!$CC$21:$DA$21='Plan d''actions détaillé'!$D17)*(Matrice!$CC$23:$DA$50="X"))=0,"",IF(SUMPRODUCT((Matrice!$D$23:$D$50='Plan d''actions détaillé'!AF$5)*(Matrice!$CC$21:$DA$21='Plan d''actions détaillé'!$D17)*(Matrice!$CC$23:$DA$50="X"))=1,"X","erreur"))</f>
        <v/>
      </c>
      <c r="AG17" s="425" t="str">
        <f>IF(SUMPRODUCT((Matrice!$D$23:$D$50='Plan d''actions détaillé'!AG$5)*(Matrice!$CC$21:$DA$21='Plan d''actions détaillé'!$D17)*(Matrice!$CC$23:$DA$50="X"))=0,"",IF(SUMPRODUCT((Matrice!$D$23:$D$50='Plan d''actions détaillé'!AG$5)*(Matrice!$CC$21:$DA$21='Plan d''actions détaillé'!$D17)*(Matrice!$CC$23:$DA$50="X"))=1,"X","erreur"))</f>
        <v/>
      </c>
      <c r="AH17" s="425" t="str">
        <f>IF(SUMPRODUCT((Matrice!$D$23:$D$50='Plan d''actions détaillé'!AH$5)*(Matrice!$CC$21:$DA$21='Plan d''actions détaillé'!$D17)*(Matrice!$CC$23:$DA$50="X"))=0,"",IF(SUMPRODUCT((Matrice!$D$23:$D$50='Plan d''actions détaillé'!AH$5)*(Matrice!$CC$21:$DA$21='Plan d''actions détaillé'!$D17)*(Matrice!$CC$23:$DA$50="X"))=1,"X","erreur"))</f>
        <v/>
      </c>
      <c r="AI17" s="425" t="str">
        <f>IF(SUMPRODUCT((Matrice!$D$23:$D$50='Plan d''actions détaillé'!AI$5)*(Matrice!$CC$21:$DA$21='Plan d''actions détaillé'!$D17)*(Matrice!$CC$23:$DA$50="X"))=0,"",IF(SUMPRODUCT((Matrice!$D$23:$D$50='Plan d''actions détaillé'!AI$5)*(Matrice!$CC$21:$DA$21='Plan d''actions détaillé'!$D17)*(Matrice!$CC$23:$DA$50="X"))=1,"X","erreur"))</f>
        <v/>
      </c>
      <c r="AJ17" s="425" t="str">
        <f>IF(SUMPRODUCT((Matrice!$D$23:$D$50='Plan d''actions détaillé'!AJ$5)*(Matrice!$CC$21:$DA$21='Plan d''actions détaillé'!$D17)*(Matrice!$CC$23:$DA$50="X"))=0,"",IF(SUMPRODUCT((Matrice!$D$23:$D$50='Plan d''actions détaillé'!AJ$5)*(Matrice!$CC$21:$DA$21='Plan d''actions détaillé'!$D17)*(Matrice!$CC$23:$DA$50="X"))=1,"X","erreur"))</f>
        <v/>
      </c>
      <c r="AK17" s="425" t="str">
        <f>IF(SUMPRODUCT((Matrice!$D$23:$D$50='Plan d''actions détaillé'!AK$5)*(Matrice!$CC$21:$DA$21='Plan d''actions détaillé'!$D17)*(Matrice!$CC$23:$DA$50="X"))=0,"",IF(SUMPRODUCT((Matrice!$D$23:$D$50='Plan d''actions détaillé'!AK$5)*(Matrice!$CC$21:$DA$21='Plan d''actions détaillé'!$D17)*(Matrice!$CC$23:$DA$50="X"))=1,"X","erreur"))</f>
        <v/>
      </c>
      <c r="AL17" s="425" t="str">
        <f>IF(SUMPRODUCT((Matrice!$D$23:$D$50='Plan d''actions détaillé'!AL$5)*(Matrice!$CC$21:$DA$21='Plan d''actions détaillé'!$D17)*(Matrice!$CC$23:$DA$50="X"))=0,"",IF(SUMPRODUCT((Matrice!$D$23:$D$50='Plan d''actions détaillé'!AL$5)*(Matrice!$CC$21:$DA$21='Plan d''actions détaillé'!$D17)*(Matrice!$CC$23:$DA$50="X"))=1,"X","erreur"))</f>
        <v/>
      </c>
      <c r="AV17" s="428"/>
      <c r="AW17" s="430"/>
      <c r="AX17" s="430"/>
      <c r="AY17" s="430"/>
      <c r="AZ17" s="430"/>
      <c r="BA17" s="428"/>
      <c r="BB17" s="428"/>
    </row>
    <row r="18" spans="1:54" s="424" customFormat="1" ht="21.75" customHeight="1" x14ac:dyDescent="0.2">
      <c r="A18" s="308" t="str">
        <f>IF((COUNTIF(Matrice!$2:$2,Matrice!$G$1&amp;"-PA"&amp;Listes!A14)=1)=TRUE,Matrice!$G$1&amp;"-PA"&amp;Listes!A14,"")</f>
        <v/>
      </c>
      <c r="B18" s="154" t="str">
        <f t="shared" si="0"/>
        <v/>
      </c>
      <c r="C18" s="154" t="str">
        <f>IF(ISERROR(HLOOKUP($A18,Matrice!$A$2:$DP$100,21,FALSE)),"",(IF(HLOOKUP($A18,Matrice!$A$2:$DP$100,21,FALSE)=0,"",HLOOKUP($A18,Matrice!$A$2:$DP$100,21,FALSE))))</f>
        <v/>
      </c>
      <c r="D18" s="154" t="str">
        <f>IF(ISERROR(HLOOKUP($A18,Matrice!$A$2:$DP$100,20,FALSE)),"",(IF(HLOOKUP($A18,Matrice!$A$2:$DP$100,20,FALSE)=0,"",HLOOKUP($A18,Matrice!$A$2:$DP$100,20,FALSE))))</f>
        <v/>
      </c>
      <c r="E18" s="154" t="str">
        <f>IF(ISERROR(HLOOKUP($A18,Matrice!$A$2:$DP$100,3,FALSE)),"",(IF(HLOOKUP($A18,Matrice!$A$2:$DP$100,3,FALSE)=0,"",HLOOKUP($A18,Matrice!$A$2:$DP$100,3,FALSE))))</f>
        <v/>
      </c>
      <c r="F18" s="426" t="str">
        <f>IF(ISERROR(HLOOKUP($A18,Matrice!$A$2:$DP$100,2,FALSE)),"",(IF(HLOOKUP($A18,Matrice!$A$2:$DP$100,3,FALSE)=0,"",HLOOKUP($A18,Matrice!$A$2:$DP$100,2,FALSE))))</f>
        <v/>
      </c>
      <c r="G18" s="264"/>
      <c r="H18" s="263"/>
      <c r="I18" s="259"/>
      <c r="J18" s="260"/>
      <c r="K18" s="261"/>
      <c r="L18" s="261"/>
      <c r="M18" s="262"/>
      <c r="N18" s="262"/>
      <c r="O18" s="421"/>
      <c r="P18" s="262"/>
      <c r="Q18" s="422"/>
      <c r="R18" s="423"/>
      <c r="S18" s="262"/>
      <c r="U18" s="425" t="str">
        <f>IF(SUMPRODUCT((Matrice!$D$23:$D$50='Plan d''actions détaillé'!U$5)*(Matrice!$CC$21:$DA$21='Plan d''actions détaillé'!$D18)*(Matrice!$CC$23:$DA$50="X"))=0,"",IF(SUMPRODUCT((Matrice!$D$23:$D$50='Plan d''actions détaillé'!U$5)*(Matrice!$CC$21:$DA$21='Plan d''actions détaillé'!$D18)*(Matrice!$CC$23:$DA$50="X"))=1,"X","erreur"))</f>
        <v/>
      </c>
      <c r="V18" s="425" t="str">
        <f>IF(SUMPRODUCT((Matrice!$D$23:$D$50='Plan d''actions détaillé'!V$5)*(Matrice!$CC$21:$DA$21='Plan d''actions détaillé'!$D18)*(Matrice!$CC$23:$DA$50="X"))=0,"",IF(SUMPRODUCT((Matrice!$D$23:$D$50='Plan d''actions détaillé'!V$5)*(Matrice!$CC$21:$DA$21='Plan d''actions détaillé'!$D18)*(Matrice!$CC$23:$DA$50="X"))=1,"X","erreur"))</f>
        <v/>
      </c>
      <c r="W18" s="425" t="str">
        <f>IF(SUMPRODUCT((Matrice!$D$23:$D$50='Plan d''actions détaillé'!W$5)*(Matrice!$CC$21:$DA$21='Plan d''actions détaillé'!$D18)*(Matrice!$CC$23:$DA$50="X"))=0,"",IF(SUMPRODUCT((Matrice!$D$23:$D$50='Plan d''actions détaillé'!W$5)*(Matrice!$CC$21:$DA$21='Plan d''actions détaillé'!$D18)*(Matrice!$CC$23:$DA$50="X"))=1,"X","erreur"))</f>
        <v/>
      </c>
      <c r="X18" s="425" t="str">
        <f>IF(SUMPRODUCT((Matrice!$D$23:$D$50='Plan d''actions détaillé'!X$5)*(Matrice!$CC$21:$DA$21='Plan d''actions détaillé'!$D18)*(Matrice!$CC$23:$DA$50="X"))=0,"",IF(SUMPRODUCT((Matrice!$D$23:$D$50='Plan d''actions détaillé'!X$5)*(Matrice!$CC$21:$DA$21='Plan d''actions détaillé'!$D18)*(Matrice!$CC$23:$DA$50="X"))=1,"X","erreur"))</f>
        <v/>
      </c>
      <c r="Y18" s="425" t="str">
        <f>IF(SUMPRODUCT((Matrice!$D$23:$D$50='Plan d''actions détaillé'!Y$5)*(Matrice!$CC$21:$DA$21='Plan d''actions détaillé'!$D18)*(Matrice!$CC$23:$DA$50="X"))=0,"",IF(SUMPRODUCT((Matrice!$D$23:$D$50='Plan d''actions détaillé'!Y$5)*(Matrice!$CC$21:$DA$21='Plan d''actions détaillé'!$D18)*(Matrice!$CC$23:$DA$50="X"))=1,"X","erreur"))</f>
        <v/>
      </c>
      <c r="Z18" s="425" t="str">
        <f>IF(SUMPRODUCT((Matrice!$D$23:$D$50='Plan d''actions détaillé'!Z$5)*(Matrice!$CC$21:$DA$21='Plan d''actions détaillé'!$D18)*(Matrice!$CC$23:$DA$50="X"))=0,"",IF(SUMPRODUCT((Matrice!$D$23:$D$50='Plan d''actions détaillé'!Z$5)*(Matrice!$CC$21:$DA$21='Plan d''actions détaillé'!$D18)*(Matrice!$CC$23:$DA$50="X"))=1,"X","erreur"))</f>
        <v/>
      </c>
      <c r="AA18" s="425" t="str">
        <f>IF(SUMPRODUCT((Matrice!$D$23:$D$50='Plan d''actions détaillé'!AA$5)*(Matrice!$CC$21:$DA$21='Plan d''actions détaillé'!$D18)*(Matrice!$CC$23:$DA$50="X"))=0,"",IF(SUMPRODUCT((Matrice!$D$23:$D$50='Plan d''actions détaillé'!AA$5)*(Matrice!$CC$21:$DA$21='Plan d''actions détaillé'!$D18)*(Matrice!$CC$23:$DA$50="X"))=1,"X","erreur"))</f>
        <v/>
      </c>
      <c r="AB18" s="425" t="str">
        <f>IF(SUMPRODUCT((Matrice!$D$23:$D$50='Plan d''actions détaillé'!AB$5)*(Matrice!$CC$21:$DA$21='Plan d''actions détaillé'!$D18)*(Matrice!$CC$23:$DA$50="X"))=0,"",IF(SUMPRODUCT((Matrice!$D$23:$D$50='Plan d''actions détaillé'!AB$5)*(Matrice!$CC$21:$DA$21='Plan d''actions détaillé'!$D18)*(Matrice!$CC$23:$DA$50="X"))=1,"X","erreur"))</f>
        <v/>
      </c>
      <c r="AC18" s="425" t="str">
        <f>IF(SUMPRODUCT((Matrice!$D$23:$D$50='Plan d''actions détaillé'!AC$5)*(Matrice!$CC$21:$DA$21='Plan d''actions détaillé'!$D18)*(Matrice!$CC$23:$DA$50="X"))=0,"",IF(SUMPRODUCT((Matrice!$D$23:$D$50='Plan d''actions détaillé'!AC$5)*(Matrice!$CC$21:$DA$21='Plan d''actions détaillé'!$D18)*(Matrice!$CC$23:$DA$50="X"))=1,"X","erreur"))</f>
        <v/>
      </c>
      <c r="AD18" s="425" t="str">
        <f>IF(SUMPRODUCT((Matrice!$D$23:$D$50='Plan d''actions détaillé'!AD$5)*(Matrice!$CC$21:$DA$21='Plan d''actions détaillé'!$D18)*(Matrice!$CC$23:$DA$50="X"))=0,"",IF(SUMPRODUCT((Matrice!$D$23:$D$50='Plan d''actions détaillé'!AD$5)*(Matrice!$CC$21:$DA$21='Plan d''actions détaillé'!$D18)*(Matrice!$CC$23:$DA$50="X"))=1,"X","erreur"))</f>
        <v/>
      </c>
      <c r="AE18" s="425" t="str">
        <f>IF(SUMPRODUCT((Matrice!$D$23:$D$50='Plan d''actions détaillé'!AE$5)*(Matrice!$CC$21:$DA$21='Plan d''actions détaillé'!$D18)*(Matrice!$CC$23:$DA$50="X"))=0,"",IF(SUMPRODUCT((Matrice!$D$23:$D$50='Plan d''actions détaillé'!AE$5)*(Matrice!$CC$21:$DA$21='Plan d''actions détaillé'!$D18)*(Matrice!$CC$23:$DA$50="X"))=1,"X","erreur"))</f>
        <v/>
      </c>
      <c r="AF18" s="425" t="str">
        <f>IF(SUMPRODUCT((Matrice!$D$23:$D$50='Plan d''actions détaillé'!AF$5)*(Matrice!$CC$21:$DA$21='Plan d''actions détaillé'!$D18)*(Matrice!$CC$23:$DA$50="X"))=0,"",IF(SUMPRODUCT((Matrice!$D$23:$D$50='Plan d''actions détaillé'!AF$5)*(Matrice!$CC$21:$DA$21='Plan d''actions détaillé'!$D18)*(Matrice!$CC$23:$DA$50="X"))=1,"X","erreur"))</f>
        <v/>
      </c>
      <c r="AG18" s="425" t="str">
        <f>IF(SUMPRODUCT((Matrice!$D$23:$D$50='Plan d''actions détaillé'!AG$5)*(Matrice!$CC$21:$DA$21='Plan d''actions détaillé'!$D18)*(Matrice!$CC$23:$DA$50="X"))=0,"",IF(SUMPRODUCT((Matrice!$D$23:$D$50='Plan d''actions détaillé'!AG$5)*(Matrice!$CC$21:$DA$21='Plan d''actions détaillé'!$D18)*(Matrice!$CC$23:$DA$50="X"))=1,"X","erreur"))</f>
        <v/>
      </c>
      <c r="AH18" s="425" t="str">
        <f>IF(SUMPRODUCT((Matrice!$D$23:$D$50='Plan d''actions détaillé'!AH$5)*(Matrice!$CC$21:$DA$21='Plan d''actions détaillé'!$D18)*(Matrice!$CC$23:$DA$50="X"))=0,"",IF(SUMPRODUCT((Matrice!$D$23:$D$50='Plan d''actions détaillé'!AH$5)*(Matrice!$CC$21:$DA$21='Plan d''actions détaillé'!$D18)*(Matrice!$CC$23:$DA$50="X"))=1,"X","erreur"))</f>
        <v/>
      </c>
      <c r="AI18" s="425" t="str">
        <f>IF(SUMPRODUCT((Matrice!$D$23:$D$50='Plan d''actions détaillé'!AI$5)*(Matrice!$CC$21:$DA$21='Plan d''actions détaillé'!$D18)*(Matrice!$CC$23:$DA$50="X"))=0,"",IF(SUMPRODUCT((Matrice!$D$23:$D$50='Plan d''actions détaillé'!AI$5)*(Matrice!$CC$21:$DA$21='Plan d''actions détaillé'!$D18)*(Matrice!$CC$23:$DA$50="X"))=1,"X","erreur"))</f>
        <v/>
      </c>
      <c r="AJ18" s="425" t="str">
        <f>IF(SUMPRODUCT((Matrice!$D$23:$D$50='Plan d''actions détaillé'!AJ$5)*(Matrice!$CC$21:$DA$21='Plan d''actions détaillé'!$D18)*(Matrice!$CC$23:$DA$50="X"))=0,"",IF(SUMPRODUCT((Matrice!$D$23:$D$50='Plan d''actions détaillé'!AJ$5)*(Matrice!$CC$21:$DA$21='Plan d''actions détaillé'!$D18)*(Matrice!$CC$23:$DA$50="X"))=1,"X","erreur"))</f>
        <v/>
      </c>
      <c r="AK18" s="425" t="str">
        <f>IF(SUMPRODUCT((Matrice!$D$23:$D$50='Plan d''actions détaillé'!AK$5)*(Matrice!$CC$21:$DA$21='Plan d''actions détaillé'!$D18)*(Matrice!$CC$23:$DA$50="X"))=0,"",IF(SUMPRODUCT((Matrice!$D$23:$D$50='Plan d''actions détaillé'!AK$5)*(Matrice!$CC$21:$DA$21='Plan d''actions détaillé'!$D18)*(Matrice!$CC$23:$DA$50="X"))=1,"X","erreur"))</f>
        <v/>
      </c>
      <c r="AL18" s="425" t="str">
        <f>IF(SUMPRODUCT((Matrice!$D$23:$D$50='Plan d''actions détaillé'!AL$5)*(Matrice!$CC$21:$DA$21='Plan d''actions détaillé'!$D18)*(Matrice!$CC$23:$DA$50="X"))=0,"",IF(SUMPRODUCT((Matrice!$D$23:$D$50='Plan d''actions détaillé'!AL$5)*(Matrice!$CC$21:$DA$21='Plan d''actions détaillé'!$D18)*(Matrice!$CC$23:$DA$50="X"))=1,"X","erreur"))</f>
        <v/>
      </c>
      <c r="AV18" s="428"/>
      <c r="AW18" s="428"/>
      <c r="AX18" s="428"/>
      <c r="AY18" s="428"/>
      <c r="AZ18" s="428"/>
      <c r="BA18" s="428"/>
      <c r="BB18" s="428"/>
    </row>
    <row r="19" spans="1:54" s="424" customFormat="1" ht="21.75" customHeight="1" x14ac:dyDescent="0.2">
      <c r="A19" s="308" t="str">
        <f>IF((COUNTIF(Matrice!$2:$2,Matrice!$G$1&amp;"-PA"&amp;Listes!A15)=1)=TRUE,Matrice!$G$1&amp;"-PA"&amp;Listes!A15,"")</f>
        <v/>
      </c>
      <c r="B19" s="154" t="str">
        <f t="shared" si="0"/>
        <v/>
      </c>
      <c r="C19" s="154" t="str">
        <f>IF(ISERROR(HLOOKUP($A19,Matrice!$A$2:$DP$100,21,FALSE)),"",(IF(HLOOKUP($A19,Matrice!$A$2:$DP$100,21,FALSE)=0,"",HLOOKUP($A19,Matrice!$A$2:$DP$100,21,FALSE))))</f>
        <v/>
      </c>
      <c r="D19" s="154" t="str">
        <f>IF(ISERROR(HLOOKUP($A19,Matrice!$A$2:$DP$100,20,FALSE)),"",(IF(HLOOKUP($A19,Matrice!$A$2:$DP$100,20,FALSE)=0,"",HLOOKUP($A19,Matrice!$A$2:$DP$100,20,FALSE))))</f>
        <v/>
      </c>
      <c r="E19" s="154" t="str">
        <f>IF(ISERROR(HLOOKUP($A19,Matrice!$A$2:$DP$100,3,FALSE)),"",(IF(HLOOKUP($A19,Matrice!$A$2:$DP$100,3,FALSE)=0,"",HLOOKUP($A19,Matrice!$A$2:$DP$100,3,FALSE))))</f>
        <v/>
      </c>
      <c r="F19" s="426" t="str">
        <f>IF(ISERROR(HLOOKUP($A19,Matrice!$A$2:$DP$100,2,FALSE)),"",(IF(HLOOKUP($A19,Matrice!$A$2:$DP$100,3,FALSE)=0,"",HLOOKUP($A19,Matrice!$A$2:$DP$100,2,FALSE))))</f>
        <v/>
      </c>
      <c r="G19" s="264"/>
      <c r="H19" s="263"/>
      <c r="I19" s="259"/>
      <c r="J19" s="260"/>
      <c r="K19" s="261"/>
      <c r="L19" s="261"/>
      <c r="M19" s="262"/>
      <c r="N19" s="262"/>
      <c r="O19" s="421"/>
      <c r="P19" s="262"/>
      <c r="Q19" s="422"/>
      <c r="R19" s="423"/>
      <c r="S19" s="262"/>
      <c r="U19" s="425" t="str">
        <f>IF(SUMPRODUCT((Matrice!$D$23:$D$50='Plan d''actions détaillé'!U$5)*(Matrice!$CC$21:$DA$21='Plan d''actions détaillé'!$D19)*(Matrice!$CC$23:$DA$50="X"))=0,"",IF(SUMPRODUCT((Matrice!$D$23:$D$50='Plan d''actions détaillé'!U$5)*(Matrice!$CC$21:$DA$21='Plan d''actions détaillé'!$D19)*(Matrice!$CC$23:$DA$50="X"))=1,"X","erreur"))</f>
        <v/>
      </c>
      <c r="V19" s="425" t="str">
        <f>IF(SUMPRODUCT((Matrice!$D$23:$D$50='Plan d''actions détaillé'!V$5)*(Matrice!$CC$21:$DA$21='Plan d''actions détaillé'!$D19)*(Matrice!$CC$23:$DA$50="X"))=0,"",IF(SUMPRODUCT((Matrice!$D$23:$D$50='Plan d''actions détaillé'!V$5)*(Matrice!$CC$21:$DA$21='Plan d''actions détaillé'!$D19)*(Matrice!$CC$23:$DA$50="X"))=1,"X","erreur"))</f>
        <v/>
      </c>
      <c r="W19" s="425" t="str">
        <f>IF(SUMPRODUCT((Matrice!$D$23:$D$50='Plan d''actions détaillé'!W$5)*(Matrice!$CC$21:$DA$21='Plan d''actions détaillé'!$D19)*(Matrice!$CC$23:$DA$50="X"))=0,"",IF(SUMPRODUCT((Matrice!$D$23:$D$50='Plan d''actions détaillé'!W$5)*(Matrice!$CC$21:$DA$21='Plan d''actions détaillé'!$D19)*(Matrice!$CC$23:$DA$50="X"))=1,"X","erreur"))</f>
        <v/>
      </c>
      <c r="X19" s="425" t="str">
        <f>IF(SUMPRODUCT((Matrice!$D$23:$D$50='Plan d''actions détaillé'!X$5)*(Matrice!$CC$21:$DA$21='Plan d''actions détaillé'!$D19)*(Matrice!$CC$23:$DA$50="X"))=0,"",IF(SUMPRODUCT((Matrice!$D$23:$D$50='Plan d''actions détaillé'!X$5)*(Matrice!$CC$21:$DA$21='Plan d''actions détaillé'!$D19)*(Matrice!$CC$23:$DA$50="X"))=1,"X","erreur"))</f>
        <v/>
      </c>
      <c r="Y19" s="425" t="str">
        <f>IF(SUMPRODUCT((Matrice!$D$23:$D$50='Plan d''actions détaillé'!Y$5)*(Matrice!$CC$21:$DA$21='Plan d''actions détaillé'!$D19)*(Matrice!$CC$23:$DA$50="X"))=0,"",IF(SUMPRODUCT((Matrice!$D$23:$D$50='Plan d''actions détaillé'!Y$5)*(Matrice!$CC$21:$DA$21='Plan d''actions détaillé'!$D19)*(Matrice!$CC$23:$DA$50="X"))=1,"X","erreur"))</f>
        <v/>
      </c>
      <c r="Z19" s="425" t="str">
        <f>IF(SUMPRODUCT((Matrice!$D$23:$D$50='Plan d''actions détaillé'!Z$5)*(Matrice!$CC$21:$DA$21='Plan d''actions détaillé'!$D19)*(Matrice!$CC$23:$DA$50="X"))=0,"",IF(SUMPRODUCT((Matrice!$D$23:$D$50='Plan d''actions détaillé'!Z$5)*(Matrice!$CC$21:$DA$21='Plan d''actions détaillé'!$D19)*(Matrice!$CC$23:$DA$50="X"))=1,"X","erreur"))</f>
        <v/>
      </c>
      <c r="AA19" s="425" t="str">
        <f>IF(SUMPRODUCT((Matrice!$D$23:$D$50='Plan d''actions détaillé'!AA$5)*(Matrice!$CC$21:$DA$21='Plan d''actions détaillé'!$D19)*(Matrice!$CC$23:$DA$50="X"))=0,"",IF(SUMPRODUCT((Matrice!$D$23:$D$50='Plan d''actions détaillé'!AA$5)*(Matrice!$CC$21:$DA$21='Plan d''actions détaillé'!$D19)*(Matrice!$CC$23:$DA$50="X"))=1,"X","erreur"))</f>
        <v/>
      </c>
      <c r="AB19" s="425" t="str">
        <f>IF(SUMPRODUCT((Matrice!$D$23:$D$50='Plan d''actions détaillé'!AB$5)*(Matrice!$CC$21:$DA$21='Plan d''actions détaillé'!$D19)*(Matrice!$CC$23:$DA$50="X"))=0,"",IF(SUMPRODUCT((Matrice!$D$23:$D$50='Plan d''actions détaillé'!AB$5)*(Matrice!$CC$21:$DA$21='Plan d''actions détaillé'!$D19)*(Matrice!$CC$23:$DA$50="X"))=1,"X","erreur"))</f>
        <v/>
      </c>
      <c r="AC19" s="425" t="str">
        <f>IF(SUMPRODUCT((Matrice!$D$23:$D$50='Plan d''actions détaillé'!AC$5)*(Matrice!$CC$21:$DA$21='Plan d''actions détaillé'!$D19)*(Matrice!$CC$23:$DA$50="X"))=0,"",IF(SUMPRODUCT((Matrice!$D$23:$D$50='Plan d''actions détaillé'!AC$5)*(Matrice!$CC$21:$DA$21='Plan d''actions détaillé'!$D19)*(Matrice!$CC$23:$DA$50="X"))=1,"X","erreur"))</f>
        <v/>
      </c>
      <c r="AD19" s="425" t="str">
        <f>IF(SUMPRODUCT((Matrice!$D$23:$D$50='Plan d''actions détaillé'!AD$5)*(Matrice!$CC$21:$DA$21='Plan d''actions détaillé'!$D19)*(Matrice!$CC$23:$DA$50="X"))=0,"",IF(SUMPRODUCT((Matrice!$D$23:$D$50='Plan d''actions détaillé'!AD$5)*(Matrice!$CC$21:$DA$21='Plan d''actions détaillé'!$D19)*(Matrice!$CC$23:$DA$50="X"))=1,"X","erreur"))</f>
        <v/>
      </c>
      <c r="AE19" s="425" t="str">
        <f>IF(SUMPRODUCT((Matrice!$D$23:$D$50='Plan d''actions détaillé'!AE$5)*(Matrice!$CC$21:$DA$21='Plan d''actions détaillé'!$D19)*(Matrice!$CC$23:$DA$50="X"))=0,"",IF(SUMPRODUCT((Matrice!$D$23:$D$50='Plan d''actions détaillé'!AE$5)*(Matrice!$CC$21:$DA$21='Plan d''actions détaillé'!$D19)*(Matrice!$CC$23:$DA$50="X"))=1,"X","erreur"))</f>
        <v/>
      </c>
      <c r="AF19" s="425" t="str">
        <f>IF(SUMPRODUCT((Matrice!$D$23:$D$50='Plan d''actions détaillé'!AF$5)*(Matrice!$CC$21:$DA$21='Plan d''actions détaillé'!$D19)*(Matrice!$CC$23:$DA$50="X"))=0,"",IF(SUMPRODUCT((Matrice!$D$23:$D$50='Plan d''actions détaillé'!AF$5)*(Matrice!$CC$21:$DA$21='Plan d''actions détaillé'!$D19)*(Matrice!$CC$23:$DA$50="X"))=1,"X","erreur"))</f>
        <v/>
      </c>
      <c r="AG19" s="425" t="str">
        <f>IF(SUMPRODUCT((Matrice!$D$23:$D$50='Plan d''actions détaillé'!AG$5)*(Matrice!$CC$21:$DA$21='Plan d''actions détaillé'!$D19)*(Matrice!$CC$23:$DA$50="X"))=0,"",IF(SUMPRODUCT((Matrice!$D$23:$D$50='Plan d''actions détaillé'!AG$5)*(Matrice!$CC$21:$DA$21='Plan d''actions détaillé'!$D19)*(Matrice!$CC$23:$DA$50="X"))=1,"X","erreur"))</f>
        <v/>
      </c>
      <c r="AH19" s="425" t="str">
        <f>IF(SUMPRODUCT((Matrice!$D$23:$D$50='Plan d''actions détaillé'!AH$5)*(Matrice!$CC$21:$DA$21='Plan d''actions détaillé'!$D19)*(Matrice!$CC$23:$DA$50="X"))=0,"",IF(SUMPRODUCT((Matrice!$D$23:$D$50='Plan d''actions détaillé'!AH$5)*(Matrice!$CC$21:$DA$21='Plan d''actions détaillé'!$D19)*(Matrice!$CC$23:$DA$50="X"))=1,"X","erreur"))</f>
        <v/>
      </c>
      <c r="AI19" s="425" t="str">
        <f>IF(SUMPRODUCT((Matrice!$D$23:$D$50='Plan d''actions détaillé'!AI$5)*(Matrice!$CC$21:$DA$21='Plan d''actions détaillé'!$D19)*(Matrice!$CC$23:$DA$50="X"))=0,"",IF(SUMPRODUCT((Matrice!$D$23:$D$50='Plan d''actions détaillé'!AI$5)*(Matrice!$CC$21:$DA$21='Plan d''actions détaillé'!$D19)*(Matrice!$CC$23:$DA$50="X"))=1,"X","erreur"))</f>
        <v/>
      </c>
      <c r="AJ19" s="425" t="str">
        <f>IF(SUMPRODUCT((Matrice!$D$23:$D$50='Plan d''actions détaillé'!AJ$5)*(Matrice!$CC$21:$DA$21='Plan d''actions détaillé'!$D19)*(Matrice!$CC$23:$DA$50="X"))=0,"",IF(SUMPRODUCT((Matrice!$D$23:$D$50='Plan d''actions détaillé'!AJ$5)*(Matrice!$CC$21:$DA$21='Plan d''actions détaillé'!$D19)*(Matrice!$CC$23:$DA$50="X"))=1,"X","erreur"))</f>
        <v/>
      </c>
      <c r="AK19" s="425" t="str">
        <f>IF(SUMPRODUCT((Matrice!$D$23:$D$50='Plan d''actions détaillé'!AK$5)*(Matrice!$CC$21:$DA$21='Plan d''actions détaillé'!$D19)*(Matrice!$CC$23:$DA$50="X"))=0,"",IF(SUMPRODUCT((Matrice!$D$23:$D$50='Plan d''actions détaillé'!AK$5)*(Matrice!$CC$21:$DA$21='Plan d''actions détaillé'!$D19)*(Matrice!$CC$23:$DA$50="X"))=1,"X","erreur"))</f>
        <v/>
      </c>
      <c r="AL19" s="425" t="str">
        <f>IF(SUMPRODUCT((Matrice!$D$23:$D$50='Plan d''actions détaillé'!AL$5)*(Matrice!$CC$21:$DA$21='Plan d''actions détaillé'!$D19)*(Matrice!$CC$23:$DA$50="X"))=0,"",IF(SUMPRODUCT((Matrice!$D$23:$D$50='Plan d''actions détaillé'!AL$5)*(Matrice!$CC$21:$DA$21='Plan d''actions détaillé'!$D19)*(Matrice!$CC$23:$DA$50="X"))=1,"X","erreur"))</f>
        <v/>
      </c>
      <c r="AV19" s="428"/>
      <c r="AW19" s="428"/>
      <c r="AX19" s="428"/>
      <c r="AY19" s="428"/>
      <c r="AZ19" s="428"/>
      <c r="BA19" s="428"/>
      <c r="BB19" s="428"/>
    </row>
    <row r="20" spans="1:54" s="424" customFormat="1" ht="21.75" customHeight="1" x14ac:dyDescent="0.2">
      <c r="A20" s="308" t="str">
        <f>IF((COUNTIF(Matrice!$2:$2,Matrice!$G$1&amp;"-PA"&amp;Listes!A16)=1)=TRUE,Matrice!$G$1&amp;"-PA"&amp;Listes!A16,"")</f>
        <v/>
      </c>
      <c r="B20" s="154" t="str">
        <f t="shared" si="0"/>
        <v/>
      </c>
      <c r="C20" s="154" t="str">
        <f>IF(ISERROR(HLOOKUP($A20,Matrice!$A$2:$DP$100,21,FALSE)),"",(IF(HLOOKUP($A20,Matrice!$A$2:$DP$100,21,FALSE)=0,"",HLOOKUP($A20,Matrice!$A$2:$DP$100,21,FALSE))))</f>
        <v/>
      </c>
      <c r="D20" s="154" t="str">
        <f>IF(ISERROR(HLOOKUP($A20,Matrice!$A$2:$DP$100,20,FALSE)),"",(IF(HLOOKUP($A20,Matrice!$A$2:$DP$100,20,FALSE)=0,"",HLOOKUP($A20,Matrice!$A$2:$DP$100,20,FALSE))))</f>
        <v/>
      </c>
      <c r="E20" s="154" t="str">
        <f>IF(ISERROR(HLOOKUP($A20,Matrice!$A$2:$DP$100,3,FALSE)),"",(IF(HLOOKUP($A20,Matrice!$A$2:$DP$100,3,FALSE)=0,"",HLOOKUP($A20,Matrice!$A$2:$DP$100,3,FALSE))))</f>
        <v/>
      </c>
      <c r="F20" s="426" t="str">
        <f>IF(ISERROR(HLOOKUP($A20,Matrice!$A$2:$DP$100,2,FALSE)),"",(IF(HLOOKUP($A20,Matrice!$A$2:$DP$100,3,FALSE)=0,"",HLOOKUP($A20,Matrice!$A$2:$DP$100,2,FALSE))))</f>
        <v/>
      </c>
      <c r="G20" s="264"/>
      <c r="H20" s="263"/>
      <c r="I20" s="259"/>
      <c r="J20" s="260"/>
      <c r="K20" s="261"/>
      <c r="L20" s="261"/>
      <c r="M20" s="262"/>
      <c r="N20" s="262"/>
      <c r="O20" s="421"/>
      <c r="P20" s="262"/>
      <c r="Q20" s="422"/>
      <c r="R20" s="423"/>
      <c r="S20" s="262"/>
      <c r="U20" s="425" t="str">
        <f>IF(SUMPRODUCT((Matrice!$D$23:$D$50='Plan d''actions détaillé'!U$5)*(Matrice!$CC$21:$DA$21='Plan d''actions détaillé'!$D20)*(Matrice!$CC$23:$DA$50="X"))=0,"",IF(SUMPRODUCT((Matrice!$D$23:$D$50='Plan d''actions détaillé'!U$5)*(Matrice!$CC$21:$DA$21='Plan d''actions détaillé'!$D20)*(Matrice!$CC$23:$DA$50="X"))=1,"X","erreur"))</f>
        <v/>
      </c>
      <c r="V20" s="425" t="str">
        <f>IF(SUMPRODUCT((Matrice!$D$23:$D$50='Plan d''actions détaillé'!V$5)*(Matrice!$CC$21:$DA$21='Plan d''actions détaillé'!$D20)*(Matrice!$CC$23:$DA$50="X"))=0,"",IF(SUMPRODUCT((Matrice!$D$23:$D$50='Plan d''actions détaillé'!V$5)*(Matrice!$CC$21:$DA$21='Plan d''actions détaillé'!$D20)*(Matrice!$CC$23:$DA$50="X"))=1,"X","erreur"))</f>
        <v/>
      </c>
      <c r="W20" s="425" t="str">
        <f>IF(SUMPRODUCT((Matrice!$D$23:$D$50='Plan d''actions détaillé'!W$5)*(Matrice!$CC$21:$DA$21='Plan d''actions détaillé'!$D20)*(Matrice!$CC$23:$DA$50="X"))=0,"",IF(SUMPRODUCT((Matrice!$D$23:$D$50='Plan d''actions détaillé'!W$5)*(Matrice!$CC$21:$DA$21='Plan d''actions détaillé'!$D20)*(Matrice!$CC$23:$DA$50="X"))=1,"X","erreur"))</f>
        <v/>
      </c>
      <c r="X20" s="425" t="str">
        <f>IF(SUMPRODUCT((Matrice!$D$23:$D$50='Plan d''actions détaillé'!X$5)*(Matrice!$CC$21:$DA$21='Plan d''actions détaillé'!$D20)*(Matrice!$CC$23:$DA$50="X"))=0,"",IF(SUMPRODUCT((Matrice!$D$23:$D$50='Plan d''actions détaillé'!X$5)*(Matrice!$CC$21:$DA$21='Plan d''actions détaillé'!$D20)*(Matrice!$CC$23:$DA$50="X"))=1,"X","erreur"))</f>
        <v/>
      </c>
      <c r="Y20" s="425" t="str">
        <f>IF(SUMPRODUCT((Matrice!$D$23:$D$50='Plan d''actions détaillé'!Y$5)*(Matrice!$CC$21:$DA$21='Plan d''actions détaillé'!$D20)*(Matrice!$CC$23:$DA$50="X"))=0,"",IF(SUMPRODUCT((Matrice!$D$23:$D$50='Plan d''actions détaillé'!Y$5)*(Matrice!$CC$21:$DA$21='Plan d''actions détaillé'!$D20)*(Matrice!$CC$23:$DA$50="X"))=1,"X","erreur"))</f>
        <v/>
      </c>
      <c r="Z20" s="425" t="str">
        <f>IF(SUMPRODUCT((Matrice!$D$23:$D$50='Plan d''actions détaillé'!Z$5)*(Matrice!$CC$21:$DA$21='Plan d''actions détaillé'!$D20)*(Matrice!$CC$23:$DA$50="X"))=0,"",IF(SUMPRODUCT((Matrice!$D$23:$D$50='Plan d''actions détaillé'!Z$5)*(Matrice!$CC$21:$DA$21='Plan d''actions détaillé'!$D20)*(Matrice!$CC$23:$DA$50="X"))=1,"X","erreur"))</f>
        <v/>
      </c>
      <c r="AA20" s="425" t="str">
        <f>IF(SUMPRODUCT((Matrice!$D$23:$D$50='Plan d''actions détaillé'!AA$5)*(Matrice!$CC$21:$DA$21='Plan d''actions détaillé'!$D20)*(Matrice!$CC$23:$DA$50="X"))=0,"",IF(SUMPRODUCT((Matrice!$D$23:$D$50='Plan d''actions détaillé'!AA$5)*(Matrice!$CC$21:$DA$21='Plan d''actions détaillé'!$D20)*(Matrice!$CC$23:$DA$50="X"))=1,"X","erreur"))</f>
        <v/>
      </c>
      <c r="AB20" s="425" t="str">
        <f>IF(SUMPRODUCT((Matrice!$D$23:$D$50='Plan d''actions détaillé'!AB$5)*(Matrice!$CC$21:$DA$21='Plan d''actions détaillé'!$D20)*(Matrice!$CC$23:$DA$50="X"))=0,"",IF(SUMPRODUCT((Matrice!$D$23:$D$50='Plan d''actions détaillé'!AB$5)*(Matrice!$CC$21:$DA$21='Plan d''actions détaillé'!$D20)*(Matrice!$CC$23:$DA$50="X"))=1,"X","erreur"))</f>
        <v/>
      </c>
      <c r="AC20" s="425" t="str">
        <f>IF(SUMPRODUCT((Matrice!$D$23:$D$50='Plan d''actions détaillé'!AC$5)*(Matrice!$CC$21:$DA$21='Plan d''actions détaillé'!$D20)*(Matrice!$CC$23:$DA$50="X"))=0,"",IF(SUMPRODUCT((Matrice!$D$23:$D$50='Plan d''actions détaillé'!AC$5)*(Matrice!$CC$21:$DA$21='Plan d''actions détaillé'!$D20)*(Matrice!$CC$23:$DA$50="X"))=1,"X","erreur"))</f>
        <v/>
      </c>
      <c r="AD20" s="425" t="str">
        <f>IF(SUMPRODUCT((Matrice!$D$23:$D$50='Plan d''actions détaillé'!AD$5)*(Matrice!$CC$21:$DA$21='Plan d''actions détaillé'!$D20)*(Matrice!$CC$23:$DA$50="X"))=0,"",IF(SUMPRODUCT((Matrice!$D$23:$D$50='Plan d''actions détaillé'!AD$5)*(Matrice!$CC$21:$DA$21='Plan d''actions détaillé'!$D20)*(Matrice!$CC$23:$DA$50="X"))=1,"X","erreur"))</f>
        <v/>
      </c>
      <c r="AE20" s="425" t="str">
        <f>IF(SUMPRODUCT((Matrice!$D$23:$D$50='Plan d''actions détaillé'!AE$5)*(Matrice!$CC$21:$DA$21='Plan d''actions détaillé'!$D20)*(Matrice!$CC$23:$DA$50="X"))=0,"",IF(SUMPRODUCT((Matrice!$D$23:$D$50='Plan d''actions détaillé'!AE$5)*(Matrice!$CC$21:$DA$21='Plan d''actions détaillé'!$D20)*(Matrice!$CC$23:$DA$50="X"))=1,"X","erreur"))</f>
        <v/>
      </c>
      <c r="AF20" s="425" t="str">
        <f>IF(SUMPRODUCT((Matrice!$D$23:$D$50='Plan d''actions détaillé'!AF$5)*(Matrice!$CC$21:$DA$21='Plan d''actions détaillé'!$D20)*(Matrice!$CC$23:$DA$50="X"))=0,"",IF(SUMPRODUCT((Matrice!$D$23:$D$50='Plan d''actions détaillé'!AF$5)*(Matrice!$CC$21:$DA$21='Plan d''actions détaillé'!$D20)*(Matrice!$CC$23:$DA$50="X"))=1,"X","erreur"))</f>
        <v/>
      </c>
      <c r="AG20" s="425" t="str">
        <f>IF(SUMPRODUCT((Matrice!$D$23:$D$50='Plan d''actions détaillé'!AG$5)*(Matrice!$CC$21:$DA$21='Plan d''actions détaillé'!$D20)*(Matrice!$CC$23:$DA$50="X"))=0,"",IF(SUMPRODUCT((Matrice!$D$23:$D$50='Plan d''actions détaillé'!AG$5)*(Matrice!$CC$21:$DA$21='Plan d''actions détaillé'!$D20)*(Matrice!$CC$23:$DA$50="X"))=1,"X","erreur"))</f>
        <v/>
      </c>
      <c r="AH20" s="425" t="str">
        <f>IF(SUMPRODUCT((Matrice!$D$23:$D$50='Plan d''actions détaillé'!AH$5)*(Matrice!$CC$21:$DA$21='Plan d''actions détaillé'!$D20)*(Matrice!$CC$23:$DA$50="X"))=0,"",IF(SUMPRODUCT((Matrice!$D$23:$D$50='Plan d''actions détaillé'!AH$5)*(Matrice!$CC$21:$DA$21='Plan d''actions détaillé'!$D20)*(Matrice!$CC$23:$DA$50="X"))=1,"X","erreur"))</f>
        <v/>
      </c>
      <c r="AI20" s="425" t="str">
        <f>IF(SUMPRODUCT((Matrice!$D$23:$D$50='Plan d''actions détaillé'!AI$5)*(Matrice!$CC$21:$DA$21='Plan d''actions détaillé'!$D20)*(Matrice!$CC$23:$DA$50="X"))=0,"",IF(SUMPRODUCT((Matrice!$D$23:$D$50='Plan d''actions détaillé'!AI$5)*(Matrice!$CC$21:$DA$21='Plan d''actions détaillé'!$D20)*(Matrice!$CC$23:$DA$50="X"))=1,"X","erreur"))</f>
        <v/>
      </c>
      <c r="AJ20" s="425" t="str">
        <f>IF(SUMPRODUCT((Matrice!$D$23:$D$50='Plan d''actions détaillé'!AJ$5)*(Matrice!$CC$21:$DA$21='Plan d''actions détaillé'!$D20)*(Matrice!$CC$23:$DA$50="X"))=0,"",IF(SUMPRODUCT((Matrice!$D$23:$D$50='Plan d''actions détaillé'!AJ$5)*(Matrice!$CC$21:$DA$21='Plan d''actions détaillé'!$D20)*(Matrice!$CC$23:$DA$50="X"))=1,"X","erreur"))</f>
        <v/>
      </c>
      <c r="AK20" s="425" t="str">
        <f>IF(SUMPRODUCT((Matrice!$D$23:$D$50='Plan d''actions détaillé'!AK$5)*(Matrice!$CC$21:$DA$21='Plan d''actions détaillé'!$D20)*(Matrice!$CC$23:$DA$50="X"))=0,"",IF(SUMPRODUCT((Matrice!$D$23:$D$50='Plan d''actions détaillé'!AK$5)*(Matrice!$CC$21:$DA$21='Plan d''actions détaillé'!$D20)*(Matrice!$CC$23:$DA$50="X"))=1,"X","erreur"))</f>
        <v/>
      </c>
      <c r="AL20" s="425" t="str">
        <f>IF(SUMPRODUCT((Matrice!$D$23:$D$50='Plan d''actions détaillé'!AL$5)*(Matrice!$CC$21:$DA$21='Plan d''actions détaillé'!$D20)*(Matrice!$CC$23:$DA$50="X"))=0,"",IF(SUMPRODUCT((Matrice!$D$23:$D$50='Plan d''actions détaillé'!AL$5)*(Matrice!$CC$21:$DA$21='Plan d''actions détaillé'!$D20)*(Matrice!$CC$23:$DA$50="X"))=1,"X","erreur"))</f>
        <v/>
      </c>
      <c r="AV20" s="428"/>
      <c r="AW20" s="428"/>
      <c r="AX20" s="428"/>
      <c r="AY20" s="428"/>
      <c r="AZ20" s="428"/>
      <c r="BA20" s="428"/>
      <c r="BB20" s="428"/>
    </row>
    <row r="21" spans="1:54" s="424" customFormat="1" ht="21.75" customHeight="1" x14ac:dyDescent="0.2">
      <c r="A21" s="308" t="str">
        <f>IF((COUNTIF(Matrice!$2:$2,Matrice!$G$1&amp;"-PA"&amp;Listes!A17)=1)=TRUE,Matrice!$G$1&amp;"-PA"&amp;Listes!A17,"")</f>
        <v/>
      </c>
      <c r="B21" s="154" t="str">
        <f t="shared" si="0"/>
        <v/>
      </c>
      <c r="C21" s="154" t="str">
        <f>IF(ISERROR(HLOOKUP($A21,Matrice!$A$2:$DP$100,21,FALSE)),"",(IF(HLOOKUP($A21,Matrice!$A$2:$DP$100,21,FALSE)=0,"",HLOOKUP($A21,Matrice!$A$2:$DP$100,21,FALSE))))</f>
        <v/>
      </c>
      <c r="D21" s="154" t="str">
        <f>IF(ISERROR(HLOOKUP($A21,Matrice!$A$2:$DP$100,20,FALSE)),"",(IF(HLOOKUP($A21,Matrice!$A$2:$DP$100,20,FALSE)=0,"",HLOOKUP($A21,Matrice!$A$2:$DP$100,20,FALSE))))</f>
        <v/>
      </c>
      <c r="E21" s="154" t="str">
        <f>IF(ISERROR(HLOOKUP($A21,Matrice!$A$2:$DP$100,3,FALSE)),"",(IF(HLOOKUP($A21,Matrice!$A$2:$DP$100,3,FALSE)=0,"",HLOOKUP($A21,Matrice!$A$2:$DP$100,3,FALSE))))</f>
        <v/>
      </c>
      <c r="F21" s="426" t="str">
        <f>IF(ISERROR(HLOOKUP($A21,Matrice!$A$2:$DP$100,2,FALSE)),"",(IF(HLOOKUP($A21,Matrice!$A$2:$DP$100,3,FALSE)=0,"",HLOOKUP($A21,Matrice!$A$2:$DP$100,2,FALSE))))</f>
        <v/>
      </c>
      <c r="G21" s="264"/>
      <c r="H21" s="263"/>
      <c r="I21" s="259"/>
      <c r="J21" s="260"/>
      <c r="K21" s="261"/>
      <c r="L21" s="261"/>
      <c r="M21" s="262"/>
      <c r="N21" s="262"/>
      <c r="O21" s="421"/>
      <c r="P21" s="262"/>
      <c r="Q21" s="422"/>
      <c r="R21" s="423"/>
      <c r="S21" s="262"/>
      <c r="U21" s="425" t="str">
        <f>IF(SUMPRODUCT((Matrice!$D$23:$D$50='Plan d''actions détaillé'!U$5)*(Matrice!$CC$21:$DA$21='Plan d''actions détaillé'!$D21)*(Matrice!$CC$23:$DA$50="X"))=0,"",IF(SUMPRODUCT((Matrice!$D$23:$D$50='Plan d''actions détaillé'!U$5)*(Matrice!$CC$21:$DA$21='Plan d''actions détaillé'!$D21)*(Matrice!$CC$23:$DA$50="X"))=1,"X","erreur"))</f>
        <v/>
      </c>
      <c r="V21" s="425" t="str">
        <f>IF(SUMPRODUCT((Matrice!$D$23:$D$50='Plan d''actions détaillé'!V$5)*(Matrice!$CC$21:$DA$21='Plan d''actions détaillé'!$D21)*(Matrice!$CC$23:$DA$50="X"))=0,"",IF(SUMPRODUCT((Matrice!$D$23:$D$50='Plan d''actions détaillé'!V$5)*(Matrice!$CC$21:$DA$21='Plan d''actions détaillé'!$D21)*(Matrice!$CC$23:$DA$50="X"))=1,"X","erreur"))</f>
        <v/>
      </c>
      <c r="W21" s="425" t="str">
        <f>IF(SUMPRODUCT((Matrice!$D$23:$D$50='Plan d''actions détaillé'!W$5)*(Matrice!$CC$21:$DA$21='Plan d''actions détaillé'!$D21)*(Matrice!$CC$23:$DA$50="X"))=0,"",IF(SUMPRODUCT((Matrice!$D$23:$D$50='Plan d''actions détaillé'!W$5)*(Matrice!$CC$21:$DA$21='Plan d''actions détaillé'!$D21)*(Matrice!$CC$23:$DA$50="X"))=1,"X","erreur"))</f>
        <v/>
      </c>
      <c r="X21" s="425" t="str">
        <f>IF(SUMPRODUCT((Matrice!$D$23:$D$50='Plan d''actions détaillé'!X$5)*(Matrice!$CC$21:$DA$21='Plan d''actions détaillé'!$D21)*(Matrice!$CC$23:$DA$50="X"))=0,"",IF(SUMPRODUCT((Matrice!$D$23:$D$50='Plan d''actions détaillé'!X$5)*(Matrice!$CC$21:$DA$21='Plan d''actions détaillé'!$D21)*(Matrice!$CC$23:$DA$50="X"))=1,"X","erreur"))</f>
        <v/>
      </c>
      <c r="Y21" s="425" t="str">
        <f>IF(SUMPRODUCT((Matrice!$D$23:$D$50='Plan d''actions détaillé'!Y$5)*(Matrice!$CC$21:$DA$21='Plan d''actions détaillé'!$D21)*(Matrice!$CC$23:$DA$50="X"))=0,"",IF(SUMPRODUCT((Matrice!$D$23:$D$50='Plan d''actions détaillé'!Y$5)*(Matrice!$CC$21:$DA$21='Plan d''actions détaillé'!$D21)*(Matrice!$CC$23:$DA$50="X"))=1,"X","erreur"))</f>
        <v/>
      </c>
      <c r="Z21" s="425" t="str">
        <f>IF(SUMPRODUCT((Matrice!$D$23:$D$50='Plan d''actions détaillé'!Z$5)*(Matrice!$CC$21:$DA$21='Plan d''actions détaillé'!$D21)*(Matrice!$CC$23:$DA$50="X"))=0,"",IF(SUMPRODUCT((Matrice!$D$23:$D$50='Plan d''actions détaillé'!Z$5)*(Matrice!$CC$21:$DA$21='Plan d''actions détaillé'!$D21)*(Matrice!$CC$23:$DA$50="X"))=1,"X","erreur"))</f>
        <v/>
      </c>
      <c r="AA21" s="425" t="str">
        <f>IF(SUMPRODUCT((Matrice!$D$23:$D$50='Plan d''actions détaillé'!AA$5)*(Matrice!$CC$21:$DA$21='Plan d''actions détaillé'!$D21)*(Matrice!$CC$23:$DA$50="X"))=0,"",IF(SUMPRODUCT((Matrice!$D$23:$D$50='Plan d''actions détaillé'!AA$5)*(Matrice!$CC$21:$DA$21='Plan d''actions détaillé'!$D21)*(Matrice!$CC$23:$DA$50="X"))=1,"X","erreur"))</f>
        <v/>
      </c>
      <c r="AB21" s="425" t="str">
        <f>IF(SUMPRODUCT((Matrice!$D$23:$D$50='Plan d''actions détaillé'!AB$5)*(Matrice!$CC$21:$DA$21='Plan d''actions détaillé'!$D21)*(Matrice!$CC$23:$DA$50="X"))=0,"",IF(SUMPRODUCT((Matrice!$D$23:$D$50='Plan d''actions détaillé'!AB$5)*(Matrice!$CC$21:$DA$21='Plan d''actions détaillé'!$D21)*(Matrice!$CC$23:$DA$50="X"))=1,"X","erreur"))</f>
        <v/>
      </c>
      <c r="AC21" s="425" t="str">
        <f>IF(SUMPRODUCT((Matrice!$D$23:$D$50='Plan d''actions détaillé'!AC$5)*(Matrice!$CC$21:$DA$21='Plan d''actions détaillé'!$D21)*(Matrice!$CC$23:$DA$50="X"))=0,"",IF(SUMPRODUCT((Matrice!$D$23:$D$50='Plan d''actions détaillé'!AC$5)*(Matrice!$CC$21:$DA$21='Plan d''actions détaillé'!$D21)*(Matrice!$CC$23:$DA$50="X"))=1,"X","erreur"))</f>
        <v/>
      </c>
      <c r="AD21" s="425" t="str">
        <f>IF(SUMPRODUCT((Matrice!$D$23:$D$50='Plan d''actions détaillé'!AD$5)*(Matrice!$CC$21:$DA$21='Plan d''actions détaillé'!$D21)*(Matrice!$CC$23:$DA$50="X"))=0,"",IF(SUMPRODUCT((Matrice!$D$23:$D$50='Plan d''actions détaillé'!AD$5)*(Matrice!$CC$21:$DA$21='Plan d''actions détaillé'!$D21)*(Matrice!$CC$23:$DA$50="X"))=1,"X","erreur"))</f>
        <v/>
      </c>
      <c r="AE21" s="425" t="str">
        <f>IF(SUMPRODUCT((Matrice!$D$23:$D$50='Plan d''actions détaillé'!AE$5)*(Matrice!$CC$21:$DA$21='Plan d''actions détaillé'!$D21)*(Matrice!$CC$23:$DA$50="X"))=0,"",IF(SUMPRODUCT((Matrice!$D$23:$D$50='Plan d''actions détaillé'!AE$5)*(Matrice!$CC$21:$DA$21='Plan d''actions détaillé'!$D21)*(Matrice!$CC$23:$DA$50="X"))=1,"X","erreur"))</f>
        <v/>
      </c>
      <c r="AF21" s="425" t="str">
        <f>IF(SUMPRODUCT((Matrice!$D$23:$D$50='Plan d''actions détaillé'!AF$5)*(Matrice!$CC$21:$DA$21='Plan d''actions détaillé'!$D21)*(Matrice!$CC$23:$DA$50="X"))=0,"",IF(SUMPRODUCT((Matrice!$D$23:$D$50='Plan d''actions détaillé'!AF$5)*(Matrice!$CC$21:$DA$21='Plan d''actions détaillé'!$D21)*(Matrice!$CC$23:$DA$50="X"))=1,"X","erreur"))</f>
        <v/>
      </c>
      <c r="AG21" s="425" t="str">
        <f>IF(SUMPRODUCT((Matrice!$D$23:$D$50='Plan d''actions détaillé'!AG$5)*(Matrice!$CC$21:$DA$21='Plan d''actions détaillé'!$D21)*(Matrice!$CC$23:$DA$50="X"))=0,"",IF(SUMPRODUCT((Matrice!$D$23:$D$50='Plan d''actions détaillé'!AG$5)*(Matrice!$CC$21:$DA$21='Plan d''actions détaillé'!$D21)*(Matrice!$CC$23:$DA$50="X"))=1,"X","erreur"))</f>
        <v/>
      </c>
      <c r="AH21" s="425" t="str">
        <f>IF(SUMPRODUCT((Matrice!$D$23:$D$50='Plan d''actions détaillé'!AH$5)*(Matrice!$CC$21:$DA$21='Plan d''actions détaillé'!$D21)*(Matrice!$CC$23:$DA$50="X"))=0,"",IF(SUMPRODUCT((Matrice!$D$23:$D$50='Plan d''actions détaillé'!AH$5)*(Matrice!$CC$21:$DA$21='Plan d''actions détaillé'!$D21)*(Matrice!$CC$23:$DA$50="X"))=1,"X","erreur"))</f>
        <v/>
      </c>
      <c r="AI21" s="425" t="str">
        <f>IF(SUMPRODUCT((Matrice!$D$23:$D$50='Plan d''actions détaillé'!AI$5)*(Matrice!$CC$21:$DA$21='Plan d''actions détaillé'!$D21)*(Matrice!$CC$23:$DA$50="X"))=0,"",IF(SUMPRODUCT((Matrice!$D$23:$D$50='Plan d''actions détaillé'!AI$5)*(Matrice!$CC$21:$DA$21='Plan d''actions détaillé'!$D21)*(Matrice!$CC$23:$DA$50="X"))=1,"X","erreur"))</f>
        <v/>
      </c>
      <c r="AJ21" s="425" t="str">
        <f>IF(SUMPRODUCT((Matrice!$D$23:$D$50='Plan d''actions détaillé'!AJ$5)*(Matrice!$CC$21:$DA$21='Plan d''actions détaillé'!$D21)*(Matrice!$CC$23:$DA$50="X"))=0,"",IF(SUMPRODUCT((Matrice!$D$23:$D$50='Plan d''actions détaillé'!AJ$5)*(Matrice!$CC$21:$DA$21='Plan d''actions détaillé'!$D21)*(Matrice!$CC$23:$DA$50="X"))=1,"X","erreur"))</f>
        <v/>
      </c>
      <c r="AK21" s="425" t="str">
        <f>IF(SUMPRODUCT((Matrice!$D$23:$D$50='Plan d''actions détaillé'!AK$5)*(Matrice!$CC$21:$DA$21='Plan d''actions détaillé'!$D21)*(Matrice!$CC$23:$DA$50="X"))=0,"",IF(SUMPRODUCT((Matrice!$D$23:$D$50='Plan d''actions détaillé'!AK$5)*(Matrice!$CC$21:$DA$21='Plan d''actions détaillé'!$D21)*(Matrice!$CC$23:$DA$50="X"))=1,"X","erreur"))</f>
        <v/>
      </c>
      <c r="AL21" s="425" t="str">
        <f>IF(SUMPRODUCT((Matrice!$D$23:$D$50='Plan d''actions détaillé'!AL$5)*(Matrice!$CC$21:$DA$21='Plan d''actions détaillé'!$D21)*(Matrice!$CC$23:$DA$50="X"))=0,"",IF(SUMPRODUCT((Matrice!$D$23:$D$50='Plan d''actions détaillé'!AL$5)*(Matrice!$CC$21:$DA$21='Plan d''actions détaillé'!$D21)*(Matrice!$CC$23:$DA$50="X"))=1,"X","erreur"))</f>
        <v/>
      </c>
      <c r="AV21" s="428"/>
      <c r="AW21" s="428"/>
      <c r="AX21" s="428"/>
      <c r="AY21" s="428"/>
      <c r="AZ21" s="428"/>
      <c r="BA21" s="428"/>
      <c r="BB21" s="428"/>
    </row>
    <row r="22" spans="1:54" s="424" customFormat="1" ht="21.75" customHeight="1" x14ac:dyDescent="0.2">
      <c r="A22" s="308" t="str">
        <f>IF((COUNTIF(Matrice!$2:$2,Matrice!$G$1&amp;"-PA"&amp;Listes!A18)=1)=TRUE,Matrice!$G$1&amp;"-PA"&amp;Listes!A18,"")</f>
        <v/>
      </c>
      <c r="B22" s="154" t="str">
        <f t="shared" si="0"/>
        <v/>
      </c>
      <c r="C22" s="154" t="str">
        <f>IF(ISERROR(HLOOKUP($A22,Matrice!$A$2:$DP$100,21,FALSE)),"",(IF(HLOOKUP($A22,Matrice!$A$2:$DP$100,21,FALSE)=0,"",HLOOKUP($A22,Matrice!$A$2:$DP$100,21,FALSE))))</f>
        <v/>
      </c>
      <c r="D22" s="154" t="str">
        <f>IF(ISERROR(HLOOKUP($A22,Matrice!$A$2:$DP$100,20,FALSE)),"",(IF(HLOOKUP($A22,Matrice!$A$2:$DP$100,20,FALSE)=0,"",HLOOKUP($A22,Matrice!$A$2:$DP$100,20,FALSE))))</f>
        <v/>
      </c>
      <c r="E22" s="154" t="str">
        <f>IF(ISERROR(HLOOKUP($A22,Matrice!$A$2:$DP$100,3,FALSE)),"",(IF(HLOOKUP($A22,Matrice!$A$2:$DP$100,3,FALSE)=0,"",HLOOKUP($A22,Matrice!$A$2:$DP$100,3,FALSE))))</f>
        <v/>
      </c>
      <c r="F22" s="426" t="str">
        <f>IF(ISERROR(HLOOKUP($A22,Matrice!$A$2:$DP$100,2,FALSE)),"",(IF(HLOOKUP($A22,Matrice!$A$2:$DP$100,3,FALSE)=0,"",HLOOKUP($A22,Matrice!$A$2:$DP$100,2,FALSE))))</f>
        <v/>
      </c>
      <c r="G22" s="264"/>
      <c r="H22" s="263"/>
      <c r="I22" s="259"/>
      <c r="J22" s="260"/>
      <c r="K22" s="261"/>
      <c r="L22" s="261"/>
      <c r="M22" s="262"/>
      <c r="N22" s="262"/>
      <c r="O22" s="421"/>
      <c r="P22" s="262"/>
      <c r="Q22" s="422"/>
      <c r="R22" s="423"/>
      <c r="S22" s="262"/>
      <c r="U22" s="425" t="str">
        <f>IF(SUMPRODUCT((Matrice!$D$23:$D$50='Plan d''actions détaillé'!U$5)*(Matrice!$CC$21:$DA$21='Plan d''actions détaillé'!$D22)*(Matrice!$CC$23:$DA$50="X"))=0,"",IF(SUMPRODUCT((Matrice!$D$23:$D$50='Plan d''actions détaillé'!U$5)*(Matrice!$CC$21:$DA$21='Plan d''actions détaillé'!$D22)*(Matrice!$CC$23:$DA$50="X"))=1,"X","erreur"))</f>
        <v/>
      </c>
      <c r="V22" s="425" t="str">
        <f>IF(SUMPRODUCT((Matrice!$D$23:$D$50='Plan d''actions détaillé'!V$5)*(Matrice!$CC$21:$DA$21='Plan d''actions détaillé'!$D22)*(Matrice!$CC$23:$DA$50="X"))=0,"",IF(SUMPRODUCT((Matrice!$D$23:$D$50='Plan d''actions détaillé'!V$5)*(Matrice!$CC$21:$DA$21='Plan d''actions détaillé'!$D22)*(Matrice!$CC$23:$DA$50="X"))=1,"X","erreur"))</f>
        <v/>
      </c>
      <c r="W22" s="425" t="str">
        <f>IF(SUMPRODUCT((Matrice!$D$23:$D$50='Plan d''actions détaillé'!W$5)*(Matrice!$CC$21:$DA$21='Plan d''actions détaillé'!$D22)*(Matrice!$CC$23:$DA$50="X"))=0,"",IF(SUMPRODUCT((Matrice!$D$23:$D$50='Plan d''actions détaillé'!W$5)*(Matrice!$CC$21:$DA$21='Plan d''actions détaillé'!$D22)*(Matrice!$CC$23:$DA$50="X"))=1,"X","erreur"))</f>
        <v/>
      </c>
      <c r="X22" s="425" t="str">
        <f>IF(SUMPRODUCT((Matrice!$D$23:$D$50='Plan d''actions détaillé'!X$5)*(Matrice!$CC$21:$DA$21='Plan d''actions détaillé'!$D22)*(Matrice!$CC$23:$DA$50="X"))=0,"",IF(SUMPRODUCT((Matrice!$D$23:$D$50='Plan d''actions détaillé'!X$5)*(Matrice!$CC$21:$DA$21='Plan d''actions détaillé'!$D22)*(Matrice!$CC$23:$DA$50="X"))=1,"X","erreur"))</f>
        <v/>
      </c>
      <c r="Y22" s="425" t="str">
        <f>IF(SUMPRODUCT((Matrice!$D$23:$D$50='Plan d''actions détaillé'!Y$5)*(Matrice!$CC$21:$DA$21='Plan d''actions détaillé'!$D22)*(Matrice!$CC$23:$DA$50="X"))=0,"",IF(SUMPRODUCT((Matrice!$D$23:$D$50='Plan d''actions détaillé'!Y$5)*(Matrice!$CC$21:$DA$21='Plan d''actions détaillé'!$D22)*(Matrice!$CC$23:$DA$50="X"))=1,"X","erreur"))</f>
        <v/>
      </c>
      <c r="Z22" s="425" t="str">
        <f>IF(SUMPRODUCT((Matrice!$D$23:$D$50='Plan d''actions détaillé'!Z$5)*(Matrice!$CC$21:$DA$21='Plan d''actions détaillé'!$D22)*(Matrice!$CC$23:$DA$50="X"))=0,"",IF(SUMPRODUCT((Matrice!$D$23:$D$50='Plan d''actions détaillé'!Z$5)*(Matrice!$CC$21:$DA$21='Plan d''actions détaillé'!$D22)*(Matrice!$CC$23:$DA$50="X"))=1,"X","erreur"))</f>
        <v/>
      </c>
      <c r="AA22" s="425" t="str">
        <f>IF(SUMPRODUCT((Matrice!$D$23:$D$50='Plan d''actions détaillé'!AA$5)*(Matrice!$CC$21:$DA$21='Plan d''actions détaillé'!$D22)*(Matrice!$CC$23:$DA$50="X"))=0,"",IF(SUMPRODUCT((Matrice!$D$23:$D$50='Plan d''actions détaillé'!AA$5)*(Matrice!$CC$21:$DA$21='Plan d''actions détaillé'!$D22)*(Matrice!$CC$23:$DA$50="X"))=1,"X","erreur"))</f>
        <v/>
      </c>
      <c r="AB22" s="425" t="str">
        <f>IF(SUMPRODUCT((Matrice!$D$23:$D$50='Plan d''actions détaillé'!AB$5)*(Matrice!$CC$21:$DA$21='Plan d''actions détaillé'!$D22)*(Matrice!$CC$23:$DA$50="X"))=0,"",IF(SUMPRODUCT((Matrice!$D$23:$D$50='Plan d''actions détaillé'!AB$5)*(Matrice!$CC$21:$DA$21='Plan d''actions détaillé'!$D22)*(Matrice!$CC$23:$DA$50="X"))=1,"X","erreur"))</f>
        <v/>
      </c>
      <c r="AC22" s="425" t="str">
        <f>IF(SUMPRODUCT((Matrice!$D$23:$D$50='Plan d''actions détaillé'!AC$5)*(Matrice!$CC$21:$DA$21='Plan d''actions détaillé'!$D22)*(Matrice!$CC$23:$DA$50="X"))=0,"",IF(SUMPRODUCT((Matrice!$D$23:$D$50='Plan d''actions détaillé'!AC$5)*(Matrice!$CC$21:$DA$21='Plan d''actions détaillé'!$D22)*(Matrice!$CC$23:$DA$50="X"))=1,"X","erreur"))</f>
        <v/>
      </c>
      <c r="AD22" s="425" t="str">
        <f>IF(SUMPRODUCT((Matrice!$D$23:$D$50='Plan d''actions détaillé'!AD$5)*(Matrice!$CC$21:$DA$21='Plan d''actions détaillé'!$D22)*(Matrice!$CC$23:$DA$50="X"))=0,"",IF(SUMPRODUCT((Matrice!$D$23:$D$50='Plan d''actions détaillé'!AD$5)*(Matrice!$CC$21:$DA$21='Plan d''actions détaillé'!$D22)*(Matrice!$CC$23:$DA$50="X"))=1,"X","erreur"))</f>
        <v/>
      </c>
      <c r="AE22" s="425" t="str">
        <f>IF(SUMPRODUCT((Matrice!$D$23:$D$50='Plan d''actions détaillé'!AE$5)*(Matrice!$CC$21:$DA$21='Plan d''actions détaillé'!$D22)*(Matrice!$CC$23:$DA$50="X"))=0,"",IF(SUMPRODUCT((Matrice!$D$23:$D$50='Plan d''actions détaillé'!AE$5)*(Matrice!$CC$21:$DA$21='Plan d''actions détaillé'!$D22)*(Matrice!$CC$23:$DA$50="X"))=1,"X","erreur"))</f>
        <v/>
      </c>
      <c r="AF22" s="425" t="str">
        <f>IF(SUMPRODUCT((Matrice!$D$23:$D$50='Plan d''actions détaillé'!AF$5)*(Matrice!$CC$21:$DA$21='Plan d''actions détaillé'!$D22)*(Matrice!$CC$23:$DA$50="X"))=0,"",IF(SUMPRODUCT((Matrice!$D$23:$D$50='Plan d''actions détaillé'!AF$5)*(Matrice!$CC$21:$DA$21='Plan d''actions détaillé'!$D22)*(Matrice!$CC$23:$DA$50="X"))=1,"X","erreur"))</f>
        <v/>
      </c>
      <c r="AG22" s="425" t="str">
        <f>IF(SUMPRODUCT((Matrice!$D$23:$D$50='Plan d''actions détaillé'!AG$5)*(Matrice!$CC$21:$DA$21='Plan d''actions détaillé'!$D22)*(Matrice!$CC$23:$DA$50="X"))=0,"",IF(SUMPRODUCT((Matrice!$D$23:$D$50='Plan d''actions détaillé'!AG$5)*(Matrice!$CC$21:$DA$21='Plan d''actions détaillé'!$D22)*(Matrice!$CC$23:$DA$50="X"))=1,"X","erreur"))</f>
        <v/>
      </c>
      <c r="AH22" s="425" t="str">
        <f>IF(SUMPRODUCT((Matrice!$D$23:$D$50='Plan d''actions détaillé'!AH$5)*(Matrice!$CC$21:$DA$21='Plan d''actions détaillé'!$D22)*(Matrice!$CC$23:$DA$50="X"))=0,"",IF(SUMPRODUCT((Matrice!$D$23:$D$50='Plan d''actions détaillé'!AH$5)*(Matrice!$CC$21:$DA$21='Plan d''actions détaillé'!$D22)*(Matrice!$CC$23:$DA$50="X"))=1,"X","erreur"))</f>
        <v/>
      </c>
      <c r="AI22" s="425" t="str">
        <f>IF(SUMPRODUCT((Matrice!$D$23:$D$50='Plan d''actions détaillé'!AI$5)*(Matrice!$CC$21:$DA$21='Plan d''actions détaillé'!$D22)*(Matrice!$CC$23:$DA$50="X"))=0,"",IF(SUMPRODUCT((Matrice!$D$23:$D$50='Plan d''actions détaillé'!AI$5)*(Matrice!$CC$21:$DA$21='Plan d''actions détaillé'!$D22)*(Matrice!$CC$23:$DA$50="X"))=1,"X","erreur"))</f>
        <v/>
      </c>
      <c r="AJ22" s="425" t="str">
        <f>IF(SUMPRODUCT((Matrice!$D$23:$D$50='Plan d''actions détaillé'!AJ$5)*(Matrice!$CC$21:$DA$21='Plan d''actions détaillé'!$D22)*(Matrice!$CC$23:$DA$50="X"))=0,"",IF(SUMPRODUCT((Matrice!$D$23:$D$50='Plan d''actions détaillé'!AJ$5)*(Matrice!$CC$21:$DA$21='Plan d''actions détaillé'!$D22)*(Matrice!$CC$23:$DA$50="X"))=1,"X","erreur"))</f>
        <v/>
      </c>
      <c r="AK22" s="425" t="str">
        <f>IF(SUMPRODUCT((Matrice!$D$23:$D$50='Plan d''actions détaillé'!AK$5)*(Matrice!$CC$21:$DA$21='Plan d''actions détaillé'!$D22)*(Matrice!$CC$23:$DA$50="X"))=0,"",IF(SUMPRODUCT((Matrice!$D$23:$D$50='Plan d''actions détaillé'!AK$5)*(Matrice!$CC$21:$DA$21='Plan d''actions détaillé'!$D22)*(Matrice!$CC$23:$DA$50="X"))=1,"X","erreur"))</f>
        <v/>
      </c>
      <c r="AL22" s="425" t="str">
        <f>IF(SUMPRODUCT((Matrice!$D$23:$D$50='Plan d''actions détaillé'!AL$5)*(Matrice!$CC$21:$DA$21='Plan d''actions détaillé'!$D22)*(Matrice!$CC$23:$DA$50="X"))=0,"",IF(SUMPRODUCT((Matrice!$D$23:$D$50='Plan d''actions détaillé'!AL$5)*(Matrice!$CC$21:$DA$21='Plan d''actions détaillé'!$D22)*(Matrice!$CC$23:$DA$50="X"))=1,"X","erreur"))</f>
        <v/>
      </c>
      <c r="AV22" s="428"/>
      <c r="AW22" s="428"/>
      <c r="AX22" s="428"/>
      <c r="AY22" s="428"/>
      <c r="AZ22" s="428"/>
      <c r="BA22" s="428"/>
      <c r="BB22" s="428"/>
    </row>
    <row r="23" spans="1:54" s="424" customFormat="1" ht="21.75" customHeight="1" x14ac:dyDescent="0.2">
      <c r="A23" s="308" t="str">
        <f>IF((COUNTIF(Matrice!$2:$2,Matrice!$G$1&amp;"-PA"&amp;Listes!A19)=1)=TRUE,Matrice!$G$1&amp;"-PA"&amp;Listes!A19,"")</f>
        <v/>
      </c>
      <c r="B23" s="154" t="str">
        <f t="shared" si="0"/>
        <v/>
      </c>
      <c r="C23" s="154" t="str">
        <f>IF(ISERROR(HLOOKUP($A23,Matrice!$A$2:$DP$100,21,FALSE)),"",(IF(HLOOKUP($A23,Matrice!$A$2:$DP$100,21,FALSE)=0,"",HLOOKUP($A23,Matrice!$A$2:$DP$100,21,FALSE))))</f>
        <v/>
      </c>
      <c r="D23" s="154" t="str">
        <f>IF(ISERROR(HLOOKUP($A23,Matrice!$A$2:$DP$100,20,FALSE)),"",(IF(HLOOKUP($A23,Matrice!$A$2:$DP$100,20,FALSE)=0,"",HLOOKUP($A23,Matrice!$A$2:$DP$100,20,FALSE))))</f>
        <v/>
      </c>
      <c r="E23" s="154" t="str">
        <f>IF(ISERROR(HLOOKUP($A23,Matrice!$A$2:$DP$100,3,FALSE)),"",(IF(HLOOKUP($A23,Matrice!$A$2:$DP$100,3,FALSE)=0,"",HLOOKUP($A23,Matrice!$A$2:$DP$100,3,FALSE))))</f>
        <v/>
      </c>
      <c r="F23" s="426" t="str">
        <f>IF(ISERROR(HLOOKUP($A23,Matrice!$A$2:$DP$100,2,FALSE)),"",(IF(HLOOKUP($A23,Matrice!$A$2:$DP$100,3,FALSE)=0,"",HLOOKUP($A23,Matrice!$A$2:$DP$100,2,FALSE))))</f>
        <v/>
      </c>
      <c r="G23" s="264"/>
      <c r="H23" s="263"/>
      <c r="I23" s="259"/>
      <c r="J23" s="260"/>
      <c r="K23" s="261"/>
      <c r="L23" s="261"/>
      <c r="M23" s="262"/>
      <c r="N23" s="262"/>
      <c r="O23" s="421"/>
      <c r="P23" s="262"/>
      <c r="Q23" s="422"/>
      <c r="R23" s="423"/>
      <c r="S23" s="262"/>
      <c r="U23" s="425" t="str">
        <f>IF(SUMPRODUCT((Matrice!$D$23:$D$50='Plan d''actions détaillé'!U$5)*(Matrice!$CC$21:$DA$21='Plan d''actions détaillé'!$D23)*(Matrice!$CC$23:$DA$50="X"))=0,"",IF(SUMPRODUCT((Matrice!$D$23:$D$50='Plan d''actions détaillé'!U$5)*(Matrice!$CC$21:$DA$21='Plan d''actions détaillé'!$D23)*(Matrice!$CC$23:$DA$50="X"))=1,"X","erreur"))</f>
        <v/>
      </c>
      <c r="V23" s="425" t="str">
        <f>IF(SUMPRODUCT((Matrice!$D$23:$D$50='Plan d''actions détaillé'!V$5)*(Matrice!$CC$21:$DA$21='Plan d''actions détaillé'!$D23)*(Matrice!$CC$23:$DA$50="X"))=0,"",IF(SUMPRODUCT((Matrice!$D$23:$D$50='Plan d''actions détaillé'!V$5)*(Matrice!$CC$21:$DA$21='Plan d''actions détaillé'!$D23)*(Matrice!$CC$23:$DA$50="X"))=1,"X","erreur"))</f>
        <v/>
      </c>
      <c r="W23" s="425" t="str">
        <f>IF(SUMPRODUCT((Matrice!$D$23:$D$50='Plan d''actions détaillé'!W$5)*(Matrice!$CC$21:$DA$21='Plan d''actions détaillé'!$D23)*(Matrice!$CC$23:$DA$50="X"))=0,"",IF(SUMPRODUCT((Matrice!$D$23:$D$50='Plan d''actions détaillé'!W$5)*(Matrice!$CC$21:$DA$21='Plan d''actions détaillé'!$D23)*(Matrice!$CC$23:$DA$50="X"))=1,"X","erreur"))</f>
        <v/>
      </c>
      <c r="X23" s="425" t="str">
        <f>IF(SUMPRODUCT((Matrice!$D$23:$D$50='Plan d''actions détaillé'!X$5)*(Matrice!$CC$21:$DA$21='Plan d''actions détaillé'!$D23)*(Matrice!$CC$23:$DA$50="X"))=0,"",IF(SUMPRODUCT((Matrice!$D$23:$D$50='Plan d''actions détaillé'!X$5)*(Matrice!$CC$21:$DA$21='Plan d''actions détaillé'!$D23)*(Matrice!$CC$23:$DA$50="X"))=1,"X","erreur"))</f>
        <v/>
      </c>
      <c r="Y23" s="425" t="str">
        <f>IF(SUMPRODUCT((Matrice!$D$23:$D$50='Plan d''actions détaillé'!Y$5)*(Matrice!$CC$21:$DA$21='Plan d''actions détaillé'!$D23)*(Matrice!$CC$23:$DA$50="X"))=0,"",IF(SUMPRODUCT((Matrice!$D$23:$D$50='Plan d''actions détaillé'!Y$5)*(Matrice!$CC$21:$DA$21='Plan d''actions détaillé'!$D23)*(Matrice!$CC$23:$DA$50="X"))=1,"X","erreur"))</f>
        <v/>
      </c>
      <c r="Z23" s="425" t="str">
        <f>IF(SUMPRODUCT((Matrice!$D$23:$D$50='Plan d''actions détaillé'!Z$5)*(Matrice!$CC$21:$DA$21='Plan d''actions détaillé'!$D23)*(Matrice!$CC$23:$DA$50="X"))=0,"",IF(SUMPRODUCT((Matrice!$D$23:$D$50='Plan d''actions détaillé'!Z$5)*(Matrice!$CC$21:$DA$21='Plan d''actions détaillé'!$D23)*(Matrice!$CC$23:$DA$50="X"))=1,"X","erreur"))</f>
        <v/>
      </c>
      <c r="AA23" s="425" t="str">
        <f>IF(SUMPRODUCT((Matrice!$D$23:$D$50='Plan d''actions détaillé'!AA$5)*(Matrice!$CC$21:$DA$21='Plan d''actions détaillé'!$D23)*(Matrice!$CC$23:$DA$50="X"))=0,"",IF(SUMPRODUCT((Matrice!$D$23:$D$50='Plan d''actions détaillé'!AA$5)*(Matrice!$CC$21:$DA$21='Plan d''actions détaillé'!$D23)*(Matrice!$CC$23:$DA$50="X"))=1,"X","erreur"))</f>
        <v/>
      </c>
      <c r="AB23" s="425" t="str">
        <f>IF(SUMPRODUCT((Matrice!$D$23:$D$50='Plan d''actions détaillé'!AB$5)*(Matrice!$CC$21:$DA$21='Plan d''actions détaillé'!$D23)*(Matrice!$CC$23:$DA$50="X"))=0,"",IF(SUMPRODUCT((Matrice!$D$23:$D$50='Plan d''actions détaillé'!AB$5)*(Matrice!$CC$21:$DA$21='Plan d''actions détaillé'!$D23)*(Matrice!$CC$23:$DA$50="X"))=1,"X","erreur"))</f>
        <v/>
      </c>
      <c r="AC23" s="425" t="str">
        <f>IF(SUMPRODUCT((Matrice!$D$23:$D$50='Plan d''actions détaillé'!AC$5)*(Matrice!$CC$21:$DA$21='Plan d''actions détaillé'!$D23)*(Matrice!$CC$23:$DA$50="X"))=0,"",IF(SUMPRODUCT((Matrice!$D$23:$D$50='Plan d''actions détaillé'!AC$5)*(Matrice!$CC$21:$DA$21='Plan d''actions détaillé'!$D23)*(Matrice!$CC$23:$DA$50="X"))=1,"X","erreur"))</f>
        <v/>
      </c>
      <c r="AD23" s="425" t="str">
        <f>IF(SUMPRODUCT((Matrice!$D$23:$D$50='Plan d''actions détaillé'!AD$5)*(Matrice!$CC$21:$DA$21='Plan d''actions détaillé'!$D23)*(Matrice!$CC$23:$DA$50="X"))=0,"",IF(SUMPRODUCT((Matrice!$D$23:$D$50='Plan d''actions détaillé'!AD$5)*(Matrice!$CC$21:$DA$21='Plan d''actions détaillé'!$D23)*(Matrice!$CC$23:$DA$50="X"))=1,"X","erreur"))</f>
        <v/>
      </c>
      <c r="AE23" s="425" t="str">
        <f>IF(SUMPRODUCT((Matrice!$D$23:$D$50='Plan d''actions détaillé'!AE$5)*(Matrice!$CC$21:$DA$21='Plan d''actions détaillé'!$D23)*(Matrice!$CC$23:$DA$50="X"))=0,"",IF(SUMPRODUCT((Matrice!$D$23:$D$50='Plan d''actions détaillé'!AE$5)*(Matrice!$CC$21:$DA$21='Plan d''actions détaillé'!$D23)*(Matrice!$CC$23:$DA$50="X"))=1,"X","erreur"))</f>
        <v/>
      </c>
      <c r="AF23" s="425" t="str">
        <f>IF(SUMPRODUCT((Matrice!$D$23:$D$50='Plan d''actions détaillé'!AF$5)*(Matrice!$CC$21:$DA$21='Plan d''actions détaillé'!$D23)*(Matrice!$CC$23:$DA$50="X"))=0,"",IF(SUMPRODUCT((Matrice!$D$23:$D$50='Plan d''actions détaillé'!AF$5)*(Matrice!$CC$21:$DA$21='Plan d''actions détaillé'!$D23)*(Matrice!$CC$23:$DA$50="X"))=1,"X","erreur"))</f>
        <v/>
      </c>
      <c r="AG23" s="425" t="str">
        <f>IF(SUMPRODUCT((Matrice!$D$23:$D$50='Plan d''actions détaillé'!AG$5)*(Matrice!$CC$21:$DA$21='Plan d''actions détaillé'!$D23)*(Matrice!$CC$23:$DA$50="X"))=0,"",IF(SUMPRODUCT((Matrice!$D$23:$D$50='Plan d''actions détaillé'!AG$5)*(Matrice!$CC$21:$DA$21='Plan d''actions détaillé'!$D23)*(Matrice!$CC$23:$DA$50="X"))=1,"X","erreur"))</f>
        <v/>
      </c>
      <c r="AH23" s="425" t="str">
        <f>IF(SUMPRODUCT((Matrice!$D$23:$D$50='Plan d''actions détaillé'!AH$5)*(Matrice!$CC$21:$DA$21='Plan d''actions détaillé'!$D23)*(Matrice!$CC$23:$DA$50="X"))=0,"",IF(SUMPRODUCT((Matrice!$D$23:$D$50='Plan d''actions détaillé'!AH$5)*(Matrice!$CC$21:$DA$21='Plan d''actions détaillé'!$D23)*(Matrice!$CC$23:$DA$50="X"))=1,"X","erreur"))</f>
        <v/>
      </c>
      <c r="AI23" s="425" t="str">
        <f>IF(SUMPRODUCT((Matrice!$D$23:$D$50='Plan d''actions détaillé'!AI$5)*(Matrice!$CC$21:$DA$21='Plan d''actions détaillé'!$D23)*(Matrice!$CC$23:$DA$50="X"))=0,"",IF(SUMPRODUCT((Matrice!$D$23:$D$50='Plan d''actions détaillé'!AI$5)*(Matrice!$CC$21:$DA$21='Plan d''actions détaillé'!$D23)*(Matrice!$CC$23:$DA$50="X"))=1,"X","erreur"))</f>
        <v/>
      </c>
      <c r="AJ23" s="425" t="str">
        <f>IF(SUMPRODUCT((Matrice!$D$23:$D$50='Plan d''actions détaillé'!AJ$5)*(Matrice!$CC$21:$DA$21='Plan d''actions détaillé'!$D23)*(Matrice!$CC$23:$DA$50="X"))=0,"",IF(SUMPRODUCT((Matrice!$D$23:$D$50='Plan d''actions détaillé'!AJ$5)*(Matrice!$CC$21:$DA$21='Plan d''actions détaillé'!$D23)*(Matrice!$CC$23:$DA$50="X"))=1,"X","erreur"))</f>
        <v/>
      </c>
      <c r="AK23" s="425" t="str">
        <f>IF(SUMPRODUCT((Matrice!$D$23:$D$50='Plan d''actions détaillé'!AK$5)*(Matrice!$CC$21:$DA$21='Plan d''actions détaillé'!$D23)*(Matrice!$CC$23:$DA$50="X"))=0,"",IF(SUMPRODUCT((Matrice!$D$23:$D$50='Plan d''actions détaillé'!AK$5)*(Matrice!$CC$21:$DA$21='Plan d''actions détaillé'!$D23)*(Matrice!$CC$23:$DA$50="X"))=1,"X","erreur"))</f>
        <v/>
      </c>
      <c r="AL23" s="425" t="str">
        <f>IF(SUMPRODUCT((Matrice!$D$23:$D$50='Plan d''actions détaillé'!AL$5)*(Matrice!$CC$21:$DA$21='Plan d''actions détaillé'!$D23)*(Matrice!$CC$23:$DA$50="X"))=0,"",IF(SUMPRODUCT((Matrice!$D$23:$D$50='Plan d''actions détaillé'!AL$5)*(Matrice!$CC$21:$DA$21='Plan d''actions détaillé'!$D23)*(Matrice!$CC$23:$DA$50="X"))=1,"X","erreur"))</f>
        <v/>
      </c>
      <c r="AV23" s="428"/>
      <c r="AW23" s="428"/>
      <c r="AX23" s="428"/>
      <c r="AY23" s="428"/>
      <c r="AZ23" s="428"/>
      <c r="BA23" s="428"/>
      <c r="BB23" s="428"/>
    </row>
    <row r="24" spans="1:54" s="424" customFormat="1" ht="21.75" customHeight="1" x14ac:dyDescent="0.2">
      <c r="A24" s="308" t="str">
        <f>IF((COUNTIF(Matrice!$2:$2,Matrice!$G$1&amp;"-PA"&amp;Listes!A20)=1)=TRUE,Matrice!$G$1&amp;"-PA"&amp;Listes!A20,"")</f>
        <v/>
      </c>
      <c r="B24" s="154" t="str">
        <f t="shared" si="0"/>
        <v/>
      </c>
      <c r="C24" s="154" t="str">
        <f>IF(ISERROR(HLOOKUP($A24,Matrice!$A$2:$DP$100,21,FALSE)),"",(IF(HLOOKUP($A24,Matrice!$A$2:$DP$100,21,FALSE)=0,"",HLOOKUP($A24,Matrice!$A$2:$DP$100,21,FALSE))))</f>
        <v/>
      </c>
      <c r="D24" s="154" t="str">
        <f>IF(ISERROR(HLOOKUP($A24,Matrice!$A$2:$DP$100,20,FALSE)),"",(IF(HLOOKUP($A24,Matrice!$A$2:$DP$100,20,FALSE)=0,"",HLOOKUP($A24,Matrice!$A$2:$DP$100,20,FALSE))))</f>
        <v/>
      </c>
      <c r="E24" s="154" t="str">
        <f>IF(ISERROR(HLOOKUP($A24,Matrice!$A$2:$DP$100,3,FALSE)),"",(IF(HLOOKUP($A24,Matrice!$A$2:$DP$100,3,FALSE)=0,"",HLOOKUP($A24,Matrice!$A$2:$DP$100,3,FALSE))))</f>
        <v/>
      </c>
      <c r="F24" s="426" t="str">
        <f>IF(ISERROR(HLOOKUP($A24,Matrice!$A$2:$DP$100,2,FALSE)),"",(IF(HLOOKUP($A24,Matrice!$A$2:$DP$100,3,FALSE)=0,"",HLOOKUP($A24,Matrice!$A$2:$DP$100,2,FALSE))))</f>
        <v/>
      </c>
      <c r="G24" s="264"/>
      <c r="H24" s="263"/>
      <c r="I24" s="259"/>
      <c r="J24" s="260"/>
      <c r="K24" s="261"/>
      <c r="L24" s="261"/>
      <c r="M24" s="262"/>
      <c r="N24" s="262"/>
      <c r="O24" s="421"/>
      <c r="P24" s="262"/>
      <c r="Q24" s="422"/>
      <c r="R24" s="423"/>
      <c r="S24" s="262"/>
      <c r="U24" s="425" t="str">
        <f>IF(SUMPRODUCT((Matrice!$D$23:$D$50='Plan d''actions détaillé'!U$5)*(Matrice!$CC$21:$DA$21='Plan d''actions détaillé'!$D24)*(Matrice!$CC$23:$DA$50="X"))=0,"",IF(SUMPRODUCT((Matrice!$D$23:$D$50='Plan d''actions détaillé'!U$5)*(Matrice!$CC$21:$DA$21='Plan d''actions détaillé'!$D24)*(Matrice!$CC$23:$DA$50="X"))=1,"X","erreur"))</f>
        <v/>
      </c>
      <c r="V24" s="425" t="str">
        <f>IF(SUMPRODUCT((Matrice!$D$23:$D$50='Plan d''actions détaillé'!V$5)*(Matrice!$CC$21:$DA$21='Plan d''actions détaillé'!$D24)*(Matrice!$CC$23:$DA$50="X"))=0,"",IF(SUMPRODUCT((Matrice!$D$23:$D$50='Plan d''actions détaillé'!V$5)*(Matrice!$CC$21:$DA$21='Plan d''actions détaillé'!$D24)*(Matrice!$CC$23:$DA$50="X"))=1,"X","erreur"))</f>
        <v/>
      </c>
      <c r="W24" s="425" t="str">
        <f>IF(SUMPRODUCT((Matrice!$D$23:$D$50='Plan d''actions détaillé'!W$5)*(Matrice!$CC$21:$DA$21='Plan d''actions détaillé'!$D24)*(Matrice!$CC$23:$DA$50="X"))=0,"",IF(SUMPRODUCT((Matrice!$D$23:$D$50='Plan d''actions détaillé'!W$5)*(Matrice!$CC$21:$DA$21='Plan d''actions détaillé'!$D24)*(Matrice!$CC$23:$DA$50="X"))=1,"X","erreur"))</f>
        <v/>
      </c>
      <c r="X24" s="425" t="str">
        <f>IF(SUMPRODUCT((Matrice!$D$23:$D$50='Plan d''actions détaillé'!X$5)*(Matrice!$CC$21:$DA$21='Plan d''actions détaillé'!$D24)*(Matrice!$CC$23:$DA$50="X"))=0,"",IF(SUMPRODUCT((Matrice!$D$23:$D$50='Plan d''actions détaillé'!X$5)*(Matrice!$CC$21:$DA$21='Plan d''actions détaillé'!$D24)*(Matrice!$CC$23:$DA$50="X"))=1,"X","erreur"))</f>
        <v/>
      </c>
      <c r="Y24" s="425" t="str">
        <f>IF(SUMPRODUCT((Matrice!$D$23:$D$50='Plan d''actions détaillé'!Y$5)*(Matrice!$CC$21:$DA$21='Plan d''actions détaillé'!$D24)*(Matrice!$CC$23:$DA$50="X"))=0,"",IF(SUMPRODUCT((Matrice!$D$23:$D$50='Plan d''actions détaillé'!Y$5)*(Matrice!$CC$21:$DA$21='Plan d''actions détaillé'!$D24)*(Matrice!$CC$23:$DA$50="X"))=1,"X","erreur"))</f>
        <v/>
      </c>
      <c r="Z24" s="425" t="str">
        <f>IF(SUMPRODUCT((Matrice!$D$23:$D$50='Plan d''actions détaillé'!Z$5)*(Matrice!$CC$21:$DA$21='Plan d''actions détaillé'!$D24)*(Matrice!$CC$23:$DA$50="X"))=0,"",IF(SUMPRODUCT((Matrice!$D$23:$D$50='Plan d''actions détaillé'!Z$5)*(Matrice!$CC$21:$DA$21='Plan d''actions détaillé'!$D24)*(Matrice!$CC$23:$DA$50="X"))=1,"X","erreur"))</f>
        <v/>
      </c>
      <c r="AA24" s="425" t="str">
        <f>IF(SUMPRODUCT((Matrice!$D$23:$D$50='Plan d''actions détaillé'!AA$5)*(Matrice!$CC$21:$DA$21='Plan d''actions détaillé'!$D24)*(Matrice!$CC$23:$DA$50="X"))=0,"",IF(SUMPRODUCT((Matrice!$D$23:$D$50='Plan d''actions détaillé'!AA$5)*(Matrice!$CC$21:$DA$21='Plan d''actions détaillé'!$D24)*(Matrice!$CC$23:$DA$50="X"))=1,"X","erreur"))</f>
        <v/>
      </c>
      <c r="AB24" s="425" t="str">
        <f>IF(SUMPRODUCT((Matrice!$D$23:$D$50='Plan d''actions détaillé'!AB$5)*(Matrice!$CC$21:$DA$21='Plan d''actions détaillé'!$D24)*(Matrice!$CC$23:$DA$50="X"))=0,"",IF(SUMPRODUCT((Matrice!$D$23:$D$50='Plan d''actions détaillé'!AB$5)*(Matrice!$CC$21:$DA$21='Plan d''actions détaillé'!$D24)*(Matrice!$CC$23:$DA$50="X"))=1,"X","erreur"))</f>
        <v/>
      </c>
      <c r="AC24" s="425" t="str">
        <f>IF(SUMPRODUCT((Matrice!$D$23:$D$50='Plan d''actions détaillé'!AC$5)*(Matrice!$CC$21:$DA$21='Plan d''actions détaillé'!$D24)*(Matrice!$CC$23:$DA$50="X"))=0,"",IF(SUMPRODUCT((Matrice!$D$23:$D$50='Plan d''actions détaillé'!AC$5)*(Matrice!$CC$21:$DA$21='Plan d''actions détaillé'!$D24)*(Matrice!$CC$23:$DA$50="X"))=1,"X","erreur"))</f>
        <v/>
      </c>
      <c r="AD24" s="425" t="str">
        <f>IF(SUMPRODUCT((Matrice!$D$23:$D$50='Plan d''actions détaillé'!AD$5)*(Matrice!$CC$21:$DA$21='Plan d''actions détaillé'!$D24)*(Matrice!$CC$23:$DA$50="X"))=0,"",IF(SUMPRODUCT((Matrice!$D$23:$D$50='Plan d''actions détaillé'!AD$5)*(Matrice!$CC$21:$DA$21='Plan d''actions détaillé'!$D24)*(Matrice!$CC$23:$DA$50="X"))=1,"X","erreur"))</f>
        <v/>
      </c>
      <c r="AE24" s="425" t="str">
        <f>IF(SUMPRODUCT((Matrice!$D$23:$D$50='Plan d''actions détaillé'!AE$5)*(Matrice!$CC$21:$DA$21='Plan d''actions détaillé'!$D24)*(Matrice!$CC$23:$DA$50="X"))=0,"",IF(SUMPRODUCT((Matrice!$D$23:$D$50='Plan d''actions détaillé'!AE$5)*(Matrice!$CC$21:$DA$21='Plan d''actions détaillé'!$D24)*(Matrice!$CC$23:$DA$50="X"))=1,"X","erreur"))</f>
        <v/>
      </c>
      <c r="AF24" s="425" t="str">
        <f>IF(SUMPRODUCT((Matrice!$D$23:$D$50='Plan d''actions détaillé'!AF$5)*(Matrice!$CC$21:$DA$21='Plan d''actions détaillé'!$D24)*(Matrice!$CC$23:$DA$50="X"))=0,"",IF(SUMPRODUCT((Matrice!$D$23:$D$50='Plan d''actions détaillé'!AF$5)*(Matrice!$CC$21:$DA$21='Plan d''actions détaillé'!$D24)*(Matrice!$CC$23:$DA$50="X"))=1,"X","erreur"))</f>
        <v/>
      </c>
      <c r="AG24" s="425" t="str">
        <f>IF(SUMPRODUCT((Matrice!$D$23:$D$50='Plan d''actions détaillé'!AG$5)*(Matrice!$CC$21:$DA$21='Plan d''actions détaillé'!$D24)*(Matrice!$CC$23:$DA$50="X"))=0,"",IF(SUMPRODUCT((Matrice!$D$23:$D$50='Plan d''actions détaillé'!AG$5)*(Matrice!$CC$21:$DA$21='Plan d''actions détaillé'!$D24)*(Matrice!$CC$23:$DA$50="X"))=1,"X","erreur"))</f>
        <v/>
      </c>
      <c r="AH24" s="425" t="str">
        <f>IF(SUMPRODUCT((Matrice!$D$23:$D$50='Plan d''actions détaillé'!AH$5)*(Matrice!$CC$21:$DA$21='Plan d''actions détaillé'!$D24)*(Matrice!$CC$23:$DA$50="X"))=0,"",IF(SUMPRODUCT((Matrice!$D$23:$D$50='Plan d''actions détaillé'!AH$5)*(Matrice!$CC$21:$DA$21='Plan d''actions détaillé'!$D24)*(Matrice!$CC$23:$DA$50="X"))=1,"X","erreur"))</f>
        <v/>
      </c>
      <c r="AI24" s="425" t="str">
        <f>IF(SUMPRODUCT((Matrice!$D$23:$D$50='Plan d''actions détaillé'!AI$5)*(Matrice!$CC$21:$DA$21='Plan d''actions détaillé'!$D24)*(Matrice!$CC$23:$DA$50="X"))=0,"",IF(SUMPRODUCT((Matrice!$D$23:$D$50='Plan d''actions détaillé'!AI$5)*(Matrice!$CC$21:$DA$21='Plan d''actions détaillé'!$D24)*(Matrice!$CC$23:$DA$50="X"))=1,"X","erreur"))</f>
        <v/>
      </c>
      <c r="AJ24" s="425" t="str">
        <f>IF(SUMPRODUCT((Matrice!$D$23:$D$50='Plan d''actions détaillé'!AJ$5)*(Matrice!$CC$21:$DA$21='Plan d''actions détaillé'!$D24)*(Matrice!$CC$23:$DA$50="X"))=0,"",IF(SUMPRODUCT((Matrice!$D$23:$D$50='Plan d''actions détaillé'!AJ$5)*(Matrice!$CC$21:$DA$21='Plan d''actions détaillé'!$D24)*(Matrice!$CC$23:$DA$50="X"))=1,"X","erreur"))</f>
        <v/>
      </c>
      <c r="AK24" s="425" t="str">
        <f>IF(SUMPRODUCT((Matrice!$D$23:$D$50='Plan d''actions détaillé'!AK$5)*(Matrice!$CC$21:$DA$21='Plan d''actions détaillé'!$D24)*(Matrice!$CC$23:$DA$50="X"))=0,"",IF(SUMPRODUCT((Matrice!$D$23:$D$50='Plan d''actions détaillé'!AK$5)*(Matrice!$CC$21:$DA$21='Plan d''actions détaillé'!$D24)*(Matrice!$CC$23:$DA$50="X"))=1,"X","erreur"))</f>
        <v/>
      </c>
      <c r="AL24" s="425" t="str">
        <f>IF(SUMPRODUCT((Matrice!$D$23:$D$50='Plan d''actions détaillé'!AL$5)*(Matrice!$CC$21:$DA$21='Plan d''actions détaillé'!$D24)*(Matrice!$CC$23:$DA$50="X"))=0,"",IF(SUMPRODUCT((Matrice!$D$23:$D$50='Plan d''actions détaillé'!AL$5)*(Matrice!$CC$21:$DA$21='Plan d''actions détaillé'!$D24)*(Matrice!$CC$23:$DA$50="X"))=1,"X","erreur"))</f>
        <v/>
      </c>
      <c r="AV24" s="428"/>
      <c r="AW24" s="428"/>
      <c r="AX24" s="428"/>
      <c r="AY24" s="428"/>
      <c r="AZ24" s="428"/>
      <c r="BA24" s="428"/>
      <c r="BB24" s="428"/>
    </row>
    <row r="25" spans="1:54" s="424" customFormat="1" ht="21.75" customHeight="1" x14ac:dyDescent="0.2">
      <c r="A25" s="308" t="str">
        <f>IF((COUNTIF(Matrice!$2:$2,Matrice!$G$1&amp;"-PA"&amp;Listes!A21)=1)=TRUE,Matrice!$G$1&amp;"-PA"&amp;Listes!A21,"")</f>
        <v/>
      </c>
      <c r="B25" s="154" t="str">
        <f t="shared" si="0"/>
        <v/>
      </c>
      <c r="C25" s="154" t="str">
        <f>IF(ISERROR(HLOOKUP($A25,Matrice!$A$2:$DP$100,21,FALSE)),"",(IF(HLOOKUP($A25,Matrice!$A$2:$DP$100,21,FALSE)=0,"",HLOOKUP($A25,Matrice!$A$2:$DP$100,21,FALSE))))</f>
        <v/>
      </c>
      <c r="D25" s="154" t="str">
        <f>IF(ISERROR(HLOOKUP($A25,Matrice!$A$2:$DP$100,20,FALSE)),"",(IF(HLOOKUP($A25,Matrice!$A$2:$DP$100,20,FALSE)=0,"",HLOOKUP($A25,Matrice!$A$2:$DP$100,20,FALSE))))</f>
        <v/>
      </c>
      <c r="E25" s="154" t="str">
        <f>IF(ISERROR(HLOOKUP($A25,Matrice!$A$2:$DP$100,3,FALSE)),"",(IF(HLOOKUP($A25,Matrice!$A$2:$DP$100,3,FALSE)=0,"",HLOOKUP($A25,Matrice!$A$2:$DP$100,3,FALSE))))</f>
        <v/>
      </c>
      <c r="F25" s="426" t="str">
        <f>IF(ISERROR(HLOOKUP($A25,Matrice!$A$2:$DP$100,2,FALSE)),"",(IF(HLOOKUP($A25,Matrice!$A$2:$DP$100,3,FALSE)=0,"",HLOOKUP($A25,Matrice!$A$2:$DP$100,2,FALSE))))</f>
        <v/>
      </c>
      <c r="G25" s="264"/>
      <c r="H25" s="263"/>
      <c r="I25" s="259"/>
      <c r="J25" s="260"/>
      <c r="K25" s="261"/>
      <c r="L25" s="261"/>
      <c r="M25" s="262"/>
      <c r="N25" s="262"/>
      <c r="O25" s="421"/>
      <c r="P25" s="262"/>
      <c r="Q25" s="422"/>
      <c r="R25" s="423"/>
      <c r="S25" s="262"/>
      <c r="U25" s="425" t="str">
        <f>IF(SUMPRODUCT((Matrice!$D$23:$D$50='Plan d''actions détaillé'!U$5)*(Matrice!$CC$21:$DA$21='Plan d''actions détaillé'!$D25)*(Matrice!$CC$23:$DA$50="X"))=0,"",IF(SUMPRODUCT((Matrice!$D$23:$D$50='Plan d''actions détaillé'!U$5)*(Matrice!$CC$21:$DA$21='Plan d''actions détaillé'!$D25)*(Matrice!$CC$23:$DA$50="X"))=1,"X","erreur"))</f>
        <v/>
      </c>
      <c r="V25" s="425" t="str">
        <f>IF(SUMPRODUCT((Matrice!$D$23:$D$50='Plan d''actions détaillé'!V$5)*(Matrice!$CC$21:$DA$21='Plan d''actions détaillé'!$D25)*(Matrice!$CC$23:$DA$50="X"))=0,"",IF(SUMPRODUCT((Matrice!$D$23:$D$50='Plan d''actions détaillé'!V$5)*(Matrice!$CC$21:$DA$21='Plan d''actions détaillé'!$D25)*(Matrice!$CC$23:$DA$50="X"))=1,"X","erreur"))</f>
        <v/>
      </c>
      <c r="W25" s="425" t="str">
        <f>IF(SUMPRODUCT((Matrice!$D$23:$D$50='Plan d''actions détaillé'!W$5)*(Matrice!$CC$21:$DA$21='Plan d''actions détaillé'!$D25)*(Matrice!$CC$23:$DA$50="X"))=0,"",IF(SUMPRODUCT((Matrice!$D$23:$D$50='Plan d''actions détaillé'!W$5)*(Matrice!$CC$21:$DA$21='Plan d''actions détaillé'!$D25)*(Matrice!$CC$23:$DA$50="X"))=1,"X","erreur"))</f>
        <v/>
      </c>
      <c r="X25" s="425" t="str">
        <f>IF(SUMPRODUCT((Matrice!$D$23:$D$50='Plan d''actions détaillé'!X$5)*(Matrice!$CC$21:$DA$21='Plan d''actions détaillé'!$D25)*(Matrice!$CC$23:$DA$50="X"))=0,"",IF(SUMPRODUCT((Matrice!$D$23:$D$50='Plan d''actions détaillé'!X$5)*(Matrice!$CC$21:$DA$21='Plan d''actions détaillé'!$D25)*(Matrice!$CC$23:$DA$50="X"))=1,"X","erreur"))</f>
        <v/>
      </c>
      <c r="Y25" s="425" t="str">
        <f>IF(SUMPRODUCT((Matrice!$D$23:$D$50='Plan d''actions détaillé'!Y$5)*(Matrice!$CC$21:$DA$21='Plan d''actions détaillé'!$D25)*(Matrice!$CC$23:$DA$50="X"))=0,"",IF(SUMPRODUCT((Matrice!$D$23:$D$50='Plan d''actions détaillé'!Y$5)*(Matrice!$CC$21:$DA$21='Plan d''actions détaillé'!$D25)*(Matrice!$CC$23:$DA$50="X"))=1,"X","erreur"))</f>
        <v/>
      </c>
      <c r="Z25" s="425" t="str">
        <f>IF(SUMPRODUCT((Matrice!$D$23:$D$50='Plan d''actions détaillé'!Z$5)*(Matrice!$CC$21:$DA$21='Plan d''actions détaillé'!$D25)*(Matrice!$CC$23:$DA$50="X"))=0,"",IF(SUMPRODUCT((Matrice!$D$23:$D$50='Plan d''actions détaillé'!Z$5)*(Matrice!$CC$21:$DA$21='Plan d''actions détaillé'!$D25)*(Matrice!$CC$23:$DA$50="X"))=1,"X","erreur"))</f>
        <v/>
      </c>
      <c r="AA25" s="425" t="str">
        <f>IF(SUMPRODUCT((Matrice!$D$23:$D$50='Plan d''actions détaillé'!AA$5)*(Matrice!$CC$21:$DA$21='Plan d''actions détaillé'!$D25)*(Matrice!$CC$23:$DA$50="X"))=0,"",IF(SUMPRODUCT((Matrice!$D$23:$D$50='Plan d''actions détaillé'!AA$5)*(Matrice!$CC$21:$DA$21='Plan d''actions détaillé'!$D25)*(Matrice!$CC$23:$DA$50="X"))=1,"X","erreur"))</f>
        <v/>
      </c>
      <c r="AB25" s="425" t="str">
        <f>IF(SUMPRODUCT((Matrice!$D$23:$D$50='Plan d''actions détaillé'!AB$5)*(Matrice!$CC$21:$DA$21='Plan d''actions détaillé'!$D25)*(Matrice!$CC$23:$DA$50="X"))=0,"",IF(SUMPRODUCT((Matrice!$D$23:$D$50='Plan d''actions détaillé'!AB$5)*(Matrice!$CC$21:$DA$21='Plan d''actions détaillé'!$D25)*(Matrice!$CC$23:$DA$50="X"))=1,"X","erreur"))</f>
        <v/>
      </c>
      <c r="AC25" s="425" t="str">
        <f>IF(SUMPRODUCT((Matrice!$D$23:$D$50='Plan d''actions détaillé'!AC$5)*(Matrice!$CC$21:$DA$21='Plan d''actions détaillé'!$D25)*(Matrice!$CC$23:$DA$50="X"))=0,"",IF(SUMPRODUCT((Matrice!$D$23:$D$50='Plan d''actions détaillé'!AC$5)*(Matrice!$CC$21:$DA$21='Plan d''actions détaillé'!$D25)*(Matrice!$CC$23:$DA$50="X"))=1,"X","erreur"))</f>
        <v/>
      </c>
      <c r="AD25" s="425" t="str">
        <f>IF(SUMPRODUCT((Matrice!$D$23:$D$50='Plan d''actions détaillé'!AD$5)*(Matrice!$CC$21:$DA$21='Plan d''actions détaillé'!$D25)*(Matrice!$CC$23:$DA$50="X"))=0,"",IF(SUMPRODUCT((Matrice!$D$23:$D$50='Plan d''actions détaillé'!AD$5)*(Matrice!$CC$21:$DA$21='Plan d''actions détaillé'!$D25)*(Matrice!$CC$23:$DA$50="X"))=1,"X","erreur"))</f>
        <v/>
      </c>
      <c r="AE25" s="425" t="str">
        <f>IF(SUMPRODUCT((Matrice!$D$23:$D$50='Plan d''actions détaillé'!AE$5)*(Matrice!$CC$21:$DA$21='Plan d''actions détaillé'!$D25)*(Matrice!$CC$23:$DA$50="X"))=0,"",IF(SUMPRODUCT((Matrice!$D$23:$D$50='Plan d''actions détaillé'!AE$5)*(Matrice!$CC$21:$DA$21='Plan d''actions détaillé'!$D25)*(Matrice!$CC$23:$DA$50="X"))=1,"X","erreur"))</f>
        <v/>
      </c>
      <c r="AF25" s="425" t="str">
        <f>IF(SUMPRODUCT((Matrice!$D$23:$D$50='Plan d''actions détaillé'!AF$5)*(Matrice!$CC$21:$DA$21='Plan d''actions détaillé'!$D25)*(Matrice!$CC$23:$DA$50="X"))=0,"",IF(SUMPRODUCT((Matrice!$D$23:$D$50='Plan d''actions détaillé'!AF$5)*(Matrice!$CC$21:$DA$21='Plan d''actions détaillé'!$D25)*(Matrice!$CC$23:$DA$50="X"))=1,"X","erreur"))</f>
        <v/>
      </c>
      <c r="AG25" s="425" t="str">
        <f>IF(SUMPRODUCT((Matrice!$D$23:$D$50='Plan d''actions détaillé'!AG$5)*(Matrice!$CC$21:$DA$21='Plan d''actions détaillé'!$D25)*(Matrice!$CC$23:$DA$50="X"))=0,"",IF(SUMPRODUCT((Matrice!$D$23:$D$50='Plan d''actions détaillé'!AG$5)*(Matrice!$CC$21:$DA$21='Plan d''actions détaillé'!$D25)*(Matrice!$CC$23:$DA$50="X"))=1,"X","erreur"))</f>
        <v/>
      </c>
      <c r="AH25" s="425" t="str">
        <f>IF(SUMPRODUCT((Matrice!$D$23:$D$50='Plan d''actions détaillé'!AH$5)*(Matrice!$CC$21:$DA$21='Plan d''actions détaillé'!$D25)*(Matrice!$CC$23:$DA$50="X"))=0,"",IF(SUMPRODUCT((Matrice!$D$23:$D$50='Plan d''actions détaillé'!AH$5)*(Matrice!$CC$21:$DA$21='Plan d''actions détaillé'!$D25)*(Matrice!$CC$23:$DA$50="X"))=1,"X","erreur"))</f>
        <v/>
      </c>
      <c r="AI25" s="425" t="str">
        <f>IF(SUMPRODUCT((Matrice!$D$23:$D$50='Plan d''actions détaillé'!AI$5)*(Matrice!$CC$21:$DA$21='Plan d''actions détaillé'!$D25)*(Matrice!$CC$23:$DA$50="X"))=0,"",IF(SUMPRODUCT((Matrice!$D$23:$D$50='Plan d''actions détaillé'!AI$5)*(Matrice!$CC$21:$DA$21='Plan d''actions détaillé'!$D25)*(Matrice!$CC$23:$DA$50="X"))=1,"X","erreur"))</f>
        <v/>
      </c>
      <c r="AJ25" s="425" t="str">
        <f>IF(SUMPRODUCT((Matrice!$D$23:$D$50='Plan d''actions détaillé'!AJ$5)*(Matrice!$CC$21:$DA$21='Plan d''actions détaillé'!$D25)*(Matrice!$CC$23:$DA$50="X"))=0,"",IF(SUMPRODUCT((Matrice!$D$23:$D$50='Plan d''actions détaillé'!AJ$5)*(Matrice!$CC$21:$DA$21='Plan d''actions détaillé'!$D25)*(Matrice!$CC$23:$DA$50="X"))=1,"X","erreur"))</f>
        <v/>
      </c>
      <c r="AK25" s="425" t="str">
        <f>IF(SUMPRODUCT((Matrice!$D$23:$D$50='Plan d''actions détaillé'!AK$5)*(Matrice!$CC$21:$DA$21='Plan d''actions détaillé'!$D25)*(Matrice!$CC$23:$DA$50="X"))=0,"",IF(SUMPRODUCT((Matrice!$D$23:$D$50='Plan d''actions détaillé'!AK$5)*(Matrice!$CC$21:$DA$21='Plan d''actions détaillé'!$D25)*(Matrice!$CC$23:$DA$50="X"))=1,"X","erreur"))</f>
        <v/>
      </c>
      <c r="AL25" s="425" t="str">
        <f>IF(SUMPRODUCT((Matrice!$D$23:$D$50='Plan d''actions détaillé'!AL$5)*(Matrice!$CC$21:$DA$21='Plan d''actions détaillé'!$D25)*(Matrice!$CC$23:$DA$50="X"))=0,"",IF(SUMPRODUCT((Matrice!$D$23:$D$50='Plan d''actions détaillé'!AL$5)*(Matrice!$CC$21:$DA$21='Plan d''actions détaillé'!$D25)*(Matrice!$CC$23:$DA$50="X"))=1,"X","erreur"))</f>
        <v/>
      </c>
      <c r="AV25" s="428"/>
      <c r="AW25" s="428"/>
      <c r="AX25" s="428"/>
      <c r="AY25" s="428"/>
      <c r="AZ25" s="428"/>
      <c r="BA25" s="428"/>
      <c r="BB25" s="428"/>
    </row>
    <row r="26" spans="1:54" s="424" customFormat="1" ht="21.75" customHeight="1" x14ac:dyDescent="0.2">
      <c r="A26" s="308" t="str">
        <f>IF((COUNTIF(Matrice!$2:$2,Matrice!$G$1&amp;"-PA"&amp;Listes!A22)=1)=TRUE,Matrice!$G$1&amp;"-PA"&amp;Listes!A22,"")</f>
        <v/>
      </c>
      <c r="B26" s="154" t="str">
        <f t="shared" si="0"/>
        <v/>
      </c>
      <c r="C26" s="154" t="str">
        <f>IF(ISERROR(HLOOKUP($A26,Matrice!$A$2:$DP$100,21,FALSE)),"",(IF(HLOOKUP($A26,Matrice!$A$2:$DP$100,21,FALSE)=0,"",HLOOKUP($A26,Matrice!$A$2:$DP$100,21,FALSE))))</f>
        <v/>
      </c>
      <c r="D26" s="154" t="str">
        <f>IF(ISERROR(HLOOKUP($A26,Matrice!$A$2:$DP$100,20,FALSE)),"",(IF(HLOOKUP($A26,Matrice!$A$2:$DP$100,20,FALSE)=0,"",HLOOKUP($A26,Matrice!$A$2:$DP$100,20,FALSE))))</f>
        <v/>
      </c>
      <c r="E26" s="154" t="str">
        <f>IF(ISERROR(HLOOKUP($A26,Matrice!$A$2:$DP$100,3,FALSE)),"",(IF(HLOOKUP($A26,Matrice!$A$2:$DP$100,3,FALSE)=0,"",HLOOKUP($A26,Matrice!$A$2:$DP$100,3,FALSE))))</f>
        <v/>
      </c>
      <c r="F26" s="426" t="str">
        <f>IF(ISERROR(HLOOKUP($A26,Matrice!$A$2:$DP$100,2,FALSE)),"",(IF(HLOOKUP($A26,Matrice!$A$2:$DP$100,3,FALSE)=0,"",HLOOKUP($A26,Matrice!$A$2:$DP$100,2,FALSE))))</f>
        <v/>
      </c>
      <c r="G26" s="264"/>
      <c r="H26" s="263"/>
      <c r="I26" s="259"/>
      <c r="J26" s="260"/>
      <c r="K26" s="261"/>
      <c r="L26" s="261"/>
      <c r="M26" s="262"/>
      <c r="N26" s="262"/>
      <c r="O26" s="421"/>
      <c r="P26" s="262"/>
      <c r="Q26" s="422"/>
      <c r="R26" s="423"/>
      <c r="S26" s="262"/>
      <c r="U26" s="425" t="str">
        <f>IF(SUMPRODUCT((Matrice!$D$23:$D$50='Plan d''actions détaillé'!U$5)*(Matrice!$CC$21:$DA$21='Plan d''actions détaillé'!$D26)*(Matrice!$CC$23:$DA$50="X"))=0,"",IF(SUMPRODUCT((Matrice!$D$23:$D$50='Plan d''actions détaillé'!U$5)*(Matrice!$CC$21:$DA$21='Plan d''actions détaillé'!$D26)*(Matrice!$CC$23:$DA$50="X"))=1,"X","erreur"))</f>
        <v/>
      </c>
      <c r="V26" s="425" t="str">
        <f>IF(SUMPRODUCT((Matrice!$D$23:$D$50='Plan d''actions détaillé'!V$5)*(Matrice!$CC$21:$DA$21='Plan d''actions détaillé'!$D26)*(Matrice!$CC$23:$DA$50="X"))=0,"",IF(SUMPRODUCT((Matrice!$D$23:$D$50='Plan d''actions détaillé'!V$5)*(Matrice!$CC$21:$DA$21='Plan d''actions détaillé'!$D26)*(Matrice!$CC$23:$DA$50="X"))=1,"X","erreur"))</f>
        <v/>
      </c>
      <c r="W26" s="425" t="str">
        <f>IF(SUMPRODUCT((Matrice!$D$23:$D$50='Plan d''actions détaillé'!W$5)*(Matrice!$CC$21:$DA$21='Plan d''actions détaillé'!$D26)*(Matrice!$CC$23:$DA$50="X"))=0,"",IF(SUMPRODUCT((Matrice!$D$23:$D$50='Plan d''actions détaillé'!W$5)*(Matrice!$CC$21:$DA$21='Plan d''actions détaillé'!$D26)*(Matrice!$CC$23:$DA$50="X"))=1,"X","erreur"))</f>
        <v/>
      </c>
      <c r="X26" s="425" t="str">
        <f>IF(SUMPRODUCT((Matrice!$D$23:$D$50='Plan d''actions détaillé'!X$5)*(Matrice!$CC$21:$DA$21='Plan d''actions détaillé'!$D26)*(Matrice!$CC$23:$DA$50="X"))=0,"",IF(SUMPRODUCT((Matrice!$D$23:$D$50='Plan d''actions détaillé'!X$5)*(Matrice!$CC$21:$DA$21='Plan d''actions détaillé'!$D26)*(Matrice!$CC$23:$DA$50="X"))=1,"X","erreur"))</f>
        <v/>
      </c>
      <c r="Y26" s="425" t="str">
        <f>IF(SUMPRODUCT((Matrice!$D$23:$D$50='Plan d''actions détaillé'!Y$5)*(Matrice!$CC$21:$DA$21='Plan d''actions détaillé'!$D26)*(Matrice!$CC$23:$DA$50="X"))=0,"",IF(SUMPRODUCT((Matrice!$D$23:$D$50='Plan d''actions détaillé'!Y$5)*(Matrice!$CC$21:$DA$21='Plan d''actions détaillé'!$D26)*(Matrice!$CC$23:$DA$50="X"))=1,"X","erreur"))</f>
        <v/>
      </c>
      <c r="Z26" s="425" t="str">
        <f>IF(SUMPRODUCT((Matrice!$D$23:$D$50='Plan d''actions détaillé'!Z$5)*(Matrice!$CC$21:$DA$21='Plan d''actions détaillé'!$D26)*(Matrice!$CC$23:$DA$50="X"))=0,"",IF(SUMPRODUCT((Matrice!$D$23:$D$50='Plan d''actions détaillé'!Z$5)*(Matrice!$CC$21:$DA$21='Plan d''actions détaillé'!$D26)*(Matrice!$CC$23:$DA$50="X"))=1,"X","erreur"))</f>
        <v/>
      </c>
      <c r="AA26" s="425" t="str">
        <f>IF(SUMPRODUCT((Matrice!$D$23:$D$50='Plan d''actions détaillé'!AA$5)*(Matrice!$CC$21:$DA$21='Plan d''actions détaillé'!$D26)*(Matrice!$CC$23:$DA$50="X"))=0,"",IF(SUMPRODUCT((Matrice!$D$23:$D$50='Plan d''actions détaillé'!AA$5)*(Matrice!$CC$21:$DA$21='Plan d''actions détaillé'!$D26)*(Matrice!$CC$23:$DA$50="X"))=1,"X","erreur"))</f>
        <v/>
      </c>
      <c r="AB26" s="425" t="str">
        <f>IF(SUMPRODUCT((Matrice!$D$23:$D$50='Plan d''actions détaillé'!AB$5)*(Matrice!$CC$21:$DA$21='Plan d''actions détaillé'!$D26)*(Matrice!$CC$23:$DA$50="X"))=0,"",IF(SUMPRODUCT((Matrice!$D$23:$D$50='Plan d''actions détaillé'!AB$5)*(Matrice!$CC$21:$DA$21='Plan d''actions détaillé'!$D26)*(Matrice!$CC$23:$DA$50="X"))=1,"X","erreur"))</f>
        <v/>
      </c>
      <c r="AC26" s="425" t="str">
        <f>IF(SUMPRODUCT((Matrice!$D$23:$D$50='Plan d''actions détaillé'!AC$5)*(Matrice!$CC$21:$DA$21='Plan d''actions détaillé'!$D26)*(Matrice!$CC$23:$DA$50="X"))=0,"",IF(SUMPRODUCT((Matrice!$D$23:$D$50='Plan d''actions détaillé'!AC$5)*(Matrice!$CC$21:$DA$21='Plan d''actions détaillé'!$D26)*(Matrice!$CC$23:$DA$50="X"))=1,"X","erreur"))</f>
        <v/>
      </c>
      <c r="AD26" s="425" t="str">
        <f>IF(SUMPRODUCT((Matrice!$D$23:$D$50='Plan d''actions détaillé'!AD$5)*(Matrice!$CC$21:$DA$21='Plan d''actions détaillé'!$D26)*(Matrice!$CC$23:$DA$50="X"))=0,"",IF(SUMPRODUCT((Matrice!$D$23:$D$50='Plan d''actions détaillé'!AD$5)*(Matrice!$CC$21:$DA$21='Plan d''actions détaillé'!$D26)*(Matrice!$CC$23:$DA$50="X"))=1,"X","erreur"))</f>
        <v/>
      </c>
      <c r="AE26" s="425" t="str">
        <f>IF(SUMPRODUCT((Matrice!$D$23:$D$50='Plan d''actions détaillé'!AE$5)*(Matrice!$CC$21:$DA$21='Plan d''actions détaillé'!$D26)*(Matrice!$CC$23:$DA$50="X"))=0,"",IF(SUMPRODUCT((Matrice!$D$23:$D$50='Plan d''actions détaillé'!AE$5)*(Matrice!$CC$21:$DA$21='Plan d''actions détaillé'!$D26)*(Matrice!$CC$23:$DA$50="X"))=1,"X","erreur"))</f>
        <v/>
      </c>
      <c r="AF26" s="425" t="str">
        <f>IF(SUMPRODUCT((Matrice!$D$23:$D$50='Plan d''actions détaillé'!AF$5)*(Matrice!$CC$21:$DA$21='Plan d''actions détaillé'!$D26)*(Matrice!$CC$23:$DA$50="X"))=0,"",IF(SUMPRODUCT((Matrice!$D$23:$D$50='Plan d''actions détaillé'!AF$5)*(Matrice!$CC$21:$DA$21='Plan d''actions détaillé'!$D26)*(Matrice!$CC$23:$DA$50="X"))=1,"X","erreur"))</f>
        <v/>
      </c>
      <c r="AG26" s="425" t="str">
        <f>IF(SUMPRODUCT((Matrice!$D$23:$D$50='Plan d''actions détaillé'!AG$5)*(Matrice!$CC$21:$DA$21='Plan d''actions détaillé'!$D26)*(Matrice!$CC$23:$DA$50="X"))=0,"",IF(SUMPRODUCT((Matrice!$D$23:$D$50='Plan d''actions détaillé'!AG$5)*(Matrice!$CC$21:$DA$21='Plan d''actions détaillé'!$D26)*(Matrice!$CC$23:$DA$50="X"))=1,"X","erreur"))</f>
        <v/>
      </c>
      <c r="AH26" s="425" t="str">
        <f>IF(SUMPRODUCT((Matrice!$D$23:$D$50='Plan d''actions détaillé'!AH$5)*(Matrice!$CC$21:$DA$21='Plan d''actions détaillé'!$D26)*(Matrice!$CC$23:$DA$50="X"))=0,"",IF(SUMPRODUCT((Matrice!$D$23:$D$50='Plan d''actions détaillé'!AH$5)*(Matrice!$CC$21:$DA$21='Plan d''actions détaillé'!$D26)*(Matrice!$CC$23:$DA$50="X"))=1,"X","erreur"))</f>
        <v/>
      </c>
      <c r="AI26" s="425" t="str">
        <f>IF(SUMPRODUCT((Matrice!$D$23:$D$50='Plan d''actions détaillé'!AI$5)*(Matrice!$CC$21:$DA$21='Plan d''actions détaillé'!$D26)*(Matrice!$CC$23:$DA$50="X"))=0,"",IF(SUMPRODUCT((Matrice!$D$23:$D$50='Plan d''actions détaillé'!AI$5)*(Matrice!$CC$21:$DA$21='Plan d''actions détaillé'!$D26)*(Matrice!$CC$23:$DA$50="X"))=1,"X","erreur"))</f>
        <v/>
      </c>
      <c r="AJ26" s="425" t="str">
        <f>IF(SUMPRODUCT((Matrice!$D$23:$D$50='Plan d''actions détaillé'!AJ$5)*(Matrice!$CC$21:$DA$21='Plan d''actions détaillé'!$D26)*(Matrice!$CC$23:$DA$50="X"))=0,"",IF(SUMPRODUCT((Matrice!$D$23:$D$50='Plan d''actions détaillé'!AJ$5)*(Matrice!$CC$21:$DA$21='Plan d''actions détaillé'!$D26)*(Matrice!$CC$23:$DA$50="X"))=1,"X","erreur"))</f>
        <v/>
      </c>
      <c r="AK26" s="425" t="str">
        <f>IF(SUMPRODUCT((Matrice!$D$23:$D$50='Plan d''actions détaillé'!AK$5)*(Matrice!$CC$21:$DA$21='Plan d''actions détaillé'!$D26)*(Matrice!$CC$23:$DA$50="X"))=0,"",IF(SUMPRODUCT((Matrice!$D$23:$D$50='Plan d''actions détaillé'!AK$5)*(Matrice!$CC$21:$DA$21='Plan d''actions détaillé'!$D26)*(Matrice!$CC$23:$DA$50="X"))=1,"X","erreur"))</f>
        <v/>
      </c>
      <c r="AL26" s="425" t="str">
        <f>IF(SUMPRODUCT((Matrice!$D$23:$D$50='Plan d''actions détaillé'!AL$5)*(Matrice!$CC$21:$DA$21='Plan d''actions détaillé'!$D26)*(Matrice!$CC$23:$DA$50="X"))=0,"",IF(SUMPRODUCT((Matrice!$D$23:$D$50='Plan d''actions détaillé'!AL$5)*(Matrice!$CC$21:$DA$21='Plan d''actions détaillé'!$D26)*(Matrice!$CC$23:$DA$50="X"))=1,"X","erreur"))</f>
        <v/>
      </c>
      <c r="AV26" s="428"/>
      <c r="AW26" s="428"/>
      <c r="AX26" s="428"/>
      <c r="AY26" s="428"/>
      <c r="AZ26" s="428"/>
      <c r="BA26" s="428"/>
      <c r="BB26" s="428"/>
    </row>
    <row r="27" spans="1:54" s="424" customFormat="1" ht="21.75" customHeight="1" x14ac:dyDescent="0.2">
      <c r="A27" s="308" t="str">
        <f>IF((COUNTIF(Matrice!$2:$2,Matrice!$G$1&amp;"-PA"&amp;Listes!A23)=1)=TRUE,Matrice!$G$1&amp;"-PA"&amp;Listes!A23,"")</f>
        <v/>
      </c>
      <c r="B27" s="154" t="str">
        <f t="shared" si="0"/>
        <v/>
      </c>
      <c r="C27" s="154" t="str">
        <f>IF(ISERROR(HLOOKUP($A27,Matrice!$A$2:$DP$100,21,FALSE)),"",(IF(HLOOKUP($A27,Matrice!$A$2:$DP$100,21,FALSE)=0,"",HLOOKUP($A27,Matrice!$A$2:$DP$100,21,FALSE))))</f>
        <v/>
      </c>
      <c r="D27" s="154" t="str">
        <f>IF(ISERROR(HLOOKUP($A27,Matrice!$A$2:$DP$100,20,FALSE)),"",(IF(HLOOKUP($A27,Matrice!$A$2:$DP$100,20,FALSE)=0,"",HLOOKUP($A27,Matrice!$A$2:$DP$100,20,FALSE))))</f>
        <v/>
      </c>
      <c r="E27" s="154" t="str">
        <f>IF(ISERROR(HLOOKUP($A27,Matrice!$A$2:$DP$100,3,FALSE)),"",(IF(HLOOKUP($A27,Matrice!$A$2:$DP$100,3,FALSE)=0,"",HLOOKUP($A27,Matrice!$A$2:$DP$100,3,FALSE))))</f>
        <v/>
      </c>
      <c r="F27" s="426" t="str">
        <f>IF(ISERROR(HLOOKUP($A27,Matrice!$A$2:$DP$100,2,FALSE)),"",(IF(HLOOKUP($A27,Matrice!$A$2:$DP$100,3,FALSE)=0,"",HLOOKUP($A27,Matrice!$A$2:$DP$100,2,FALSE))))</f>
        <v/>
      </c>
      <c r="G27" s="264"/>
      <c r="H27" s="263"/>
      <c r="I27" s="259"/>
      <c r="J27" s="260"/>
      <c r="K27" s="261"/>
      <c r="L27" s="261"/>
      <c r="M27" s="262"/>
      <c r="N27" s="262"/>
      <c r="O27" s="421"/>
      <c r="P27" s="262"/>
      <c r="Q27" s="422"/>
      <c r="R27" s="423"/>
      <c r="S27" s="262"/>
      <c r="U27" s="425" t="str">
        <f>IF(SUMPRODUCT((Matrice!$D$23:$D$50='Plan d''actions détaillé'!U$5)*(Matrice!$CC$21:$DA$21='Plan d''actions détaillé'!$D27)*(Matrice!$CC$23:$DA$50="X"))=0,"",IF(SUMPRODUCT((Matrice!$D$23:$D$50='Plan d''actions détaillé'!U$5)*(Matrice!$CC$21:$DA$21='Plan d''actions détaillé'!$D27)*(Matrice!$CC$23:$DA$50="X"))=1,"X","erreur"))</f>
        <v/>
      </c>
      <c r="V27" s="425" t="str">
        <f>IF(SUMPRODUCT((Matrice!$D$23:$D$50='Plan d''actions détaillé'!V$5)*(Matrice!$CC$21:$DA$21='Plan d''actions détaillé'!$D27)*(Matrice!$CC$23:$DA$50="X"))=0,"",IF(SUMPRODUCT((Matrice!$D$23:$D$50='Plan d''actions détaillé'!V$5)*(Matrice!$CC$21:$DA$21='Plan d''actions détaillé'!$D27)*(Matrice!$CC$23:$DA$50="X"))=1,"X","erreur"))</f>
        <v/>
      </c>
      <c r="W27" s="425" t="str">
        <f>IF(SUMPRODUCT((Matrice!$D$23:$D$50='Plan d''actions détaillé'!W$5)*(Matrice!$CC$21:$DA$21='Plan d''actions détaillé'!$D27)*(Matrice!$CC$23:$DA$50="X"))=0,"",IF(SUMPRODUCT((Matrice!$D$23:$D$50='Plan d''actions détaillé'!W$5)*(Matrice!$CC$21:$DA$21='Plan d''actions détaillé'!$D27)*(Matrice!$CC$23:$DA$50="X"))=1,"X","erreur"))</f>
        <v/>
      </c>
      <c r="X27" s="425" t="str">
        <f>IF(SUMPRODUCT((Matrice!$D$23:$D$50='Plan d''actions détaillé'!X$5)*(Matrice!$CC$21:$DA$21='Plan d''actions détaillé'!$D27)*(Matrice!$CC$23:$DA$50="X"))=0,"",IF(SUMPRODUCT((Matrice!$D$23:$D$50='Plan d''actions détaillé'!X$5)*(Matrice!$CC$21:$DA$21='Plan d''actions détaillé'!$D27)*(Matrice!$CC$23:$DA$50="X"))=1,"X","erreur"))</f>
        <v/>
      </c>
      <c r="Y27" s="425" t="str">
        <f>IF(SUMPRODUCT((Matrice!$D$23:$D$50='Plan d''actions détaillé'!Y$5)*(Matrice!$CC$21:$DA$21='Plan d''actions détaillé'!$D27)*(Matrice!$CC$23:$DA$50="X"))=0,"",IF(SUMPRODUCT((Matrice!$D$23:$D$50='Plan d''actions détaillé'!Y$5)*(Matrice!$CC$21:$DA$21='Plan d''actions détaillé'!$D27)*(Matrice!$CC$23:$DA$50="X"))=1,"X","erreur"))</f>
        <v/>
      </c>
      <c r="Z27" s="425" t="str">
        <f>IF(SUMPRODUCT((Matrice!$D$23:$D$50='Plan d''actions détaillé'!Z$5)*(Matrice!$CC$21:$DA$21='Plan d''actions détaillé'!$D27)*(Matrice!$CC$23:$DA$50="X"))=0,"",IF(SUMPRODUCT((Matrice!$D$23:$D$50='Plan d''actions détaillé'!Z$5)*(Matrice!$CC$21:$DA$21='Plan d''actions détaillé'!$D27)*(Matrice!$CC$23:$DA$50="X"))=1,"X","erreur"))</f>
        <v/>
      </c>
      <c r="AA27" s="425" t="str">
        <f>IF(SUMPRODUCT((Matrice!$D$23:$D$50='Plan d''actions détaillé'!AA$5)*(Matrice!$CC$21:$DA$21='Plan d''actions détaillé'!$D27)*(Matrice!$CC$23:$DA$50="X"))=0,"",IF(SUMPRODUCT((Matrice!$D$23:$D$50='Plan d''actions détaillé'!AA$5)*(Matrice!$CC$21:$DA$21='Plan d''actions détaillé'!$D27)*(Matrice!$CC$23:$DA$50="X"))=1,"X","erreur"))</f>
        <v/>
      </c>
      <c r="AB27" s="425" t="str">
        <f>IF(SUMPRODUCT((Matrice!$D$23:$D$50='Plan d''actions détaillé'!AB$5)*(Matrice!$CC$21:$DA$21='Plan d''actions détaillé'!$D27)*(Matrice!$CC$23:$DA$50="X"))=0,"",IF(SUMPRODUCT((Matrice!$D$23:$D$50='Plan d''actions détaillé'!AB$5)*(Matrice!$CC$21:$DA$21='Plan d''actions détaillé'!$D27)*(Matrice!$CC$23:$DA$50="X"))=1,"X","erreur"))</f>
        <v/>
      </c>
      <c r="AC27" s="425" t="str">
        <f>IF(SUMPRODUCT((Matrice!$D$23:$D$50='Plan d''actions détaillé'!AC$5)*(Matrice!$CC$21:$DA$21='Plan d''actions détaillé'!$D27)*(Matrice!$CC$23:$DA$50="X"))=0,"",IF(SUMPRODUCT((Matrice!$D$23:$D$50='Plan d''actions détaillé'!AC$5)*(Matrice!$CC$21:$DA$21='Plan d''actions détaillé'!$D27)*(Matrice!$CC$23:$DA$50="X"))=1,"X","erreur"))</f>
        <v/>
      </c>
      <c r="AD27" s="425" t="str">
        <f>IF(SUMPRODUCT((Matrice!$D$23:$D$50='Plan d''actions détaillé'!AD$5)*(Matrice!$CC$21:$DA$21='Plan d''actions détaillé'!$D27)*(Matrice!$CC$23:$DA$50="X"))=0,"",IF(SUMPRODUCT((Matrice!$D$23:$D$50='Plan d''actions détaillé'!AD$5)*(Matrice!$CC$21:$DA$21='Plan d''actions détaillé'!$D27)*(Matrice!$CC$23:$DA$50="X"))=1,"X","erreur"))</f>
        <v/>
      </c>
      <c r="AE27" s="425" t="str">
        <f>IF(SUMPRODUCT((Matrice!$D$23:$D$50='Plan d''actions détaillé'!AE$5)*(Matrice!$CC$21:$DA$21='Plan d''actions détaillé'!$D27)*(Matrice!$CC$23:$DA$50="X"))=0,"",IF(SUMPRODUCT((Matrice!$D$23:$D$50='Plan d''actions détaillé'!AE$5)*(Matrice!$CC$21:$DA$21='Plan d''actions détaillé'!$D27)*(Matrice!$CC$23:$DA$50="X"))=1,"X","erreur"))</f>
        <v/>
      </c>
      <c r="AF27" s="425" t="str">
        <f>IF(SUMPRODUCT((Matrice!$D$23:$D$50='Plan d''actions détaillé'!AF$5)*(Matrice!$CC$21:$DA$21='Plan d''actions détaillé'!$D27)*(Matrice!$CC$23:$DA$50="X"))=0,"",IF(SUMPRODUCT((Matrice!$D$23:$D$50='Plan d''actions détaillé'!AF$5)*(Matrice!$CC$21:$DA$21='Plan d''actions détaillé'!$D27)*(Matrice!$CC$23:$DA$50="X"))=1,"X","erreur"))</f>
        <v/>
      </c>
      <c r="AG27" s="425" t="str">
        <f>IF(SUMPRODUCT((Matrice!$D$23:$D$50='Plan d''actions détaillé'!AG$5)*(Matrice!$CC$21:$DA$21='Plan d''actions détaillé'!$D27)*(Matrice!$CC$23:$DA$50="X"))=0,"",IF(SUMPRODUCT((Matrice!$D$23:$D$50='Plan d''actions détaillé'!AG$5)*(Matrice!$CC$21:$DA$21='Plan d''actions détaillé'!$D27)*(Matrice!$CC$23:$DA$50="X"))=1,"X","erreur"))</f>
        <v/>
      </c>
      <c r="AH27" s="425" t="str">
        <f>IF(SUMPRODUCT((Matrice!$D$23:$D$50='Plan d''actions détaillé'!AH$5)*(Matrice!$CC$21:$DA$21='Plan d''actions détaillé'!$D27)*(Matrice!$CC$23:$DA$50="X"))=0,"",IF(SUMPRODUCT((Matrice!$D$23:$D$50='Plan d''actions détaillé'!AH$5)*(Matrice!$CC$21:$DA$21='Plan d''actions détaillé'!$D27)*(Matrice!$CC$23:$DA$50="X"))=1,"X","erreur"))</f>
        <v/>
      </c>
      <c r="AI27" s="425" t="str">
        <f>IF(SUMPRODUCT((Matrice!$D$23:$D$50='Plan d''actions détaillé'!AI$5)*(Matrice!$CC$21:$DA$21='Plan d''actions détaillé'!$D27)*(Matrice!$CC$23:$DA$50="X"))=0,"",IF(SUMPRODUCT((Matrice!$D$23:$D$50='Plan d''actions détaillé'!AI$5)*(Matrice!$CC$21:$DA$21='Plan d''actions détaillé'!$D27)*(Matrice!$CC$23:$DA$50="X"))=1,"X","erreur"))</f>
        <v/>
      </c>
      <c r="AJ27" s="425" t="str">
        <f>IF(SUMPRODUCT((Matrice!$D$23:$D$50='Plan d''actions détaillé'!AJ$5)*(Matrice!$CC$21:$DA$21='Plan d''actions détaillé'!$D27)*(Matrice!$CC$23:$DA$50="X"))=0,"",IF(SUMPRODUCT((Matrice!$D$23:$D$50='Plan d''actions détaillé'!AJ$5)*(Matrice!$CC$21:$DA$21='Plan d''actions détaillé'!$D27)*(Matrice!$CC$23:$DA$50="X"))=1,"X","erreur"))</f>
        <v/>
      </c>
      <c r="AK27" s="425" t="str">
        <f>IF(SUMPRODUCT((Matrice!$D$23:$D$50='Plan d''actions détaillé'!AK$5)*(Matrice!$CC$21:$DA$21='Plan d''actions détaillé'!$D27)*(Matrice!$CC$23:$DA$50="X"))=0,"",IF(SUMPRODUCT((Matrice!$D$23:$D$50='Plan d''actions détaillé'!AK$5)*(Matrice!$CC$21:$DA$21='Plan d''actions détaillé'!$D27)*(Matrice!$CC$23:$DA$50="X"))=1,"X","erreur"))</f>
        <v/>
      </c>
      <c r="AL27" s="425" t="str">
        <f>IF(SUMPRODUCT((Matrice!$D$23:$D$50='Plan d''actions détaillé'!AL$5)*(Matrice!$CC$21:$DA$21='Plan d''actions détaillé'!$D27)*(Matrice!$CC$23:$DA$50="X"))=0,"",IF(SUMPRODUCT((Matrice!$D$23:$D$50='Plan d''actions détaillé'!AL$5)*(Matrice!$CC$21:$DA$21='Plan d''actions détaillé'!$D27)*(Matrice!$CC$23:$DA$50="X"))=1,"X","erreur"))</f>
        <v/>
      </c>
      <c r="AV27" s="428"/>
      <c r="AW27" s="428"/>
      <c r="AX27" s="428"/>
      <c r="AY27" s="428"/>
      <c r="AZ27" s="428"/>
      <c r="BA27" s="428"/>
      <c r="BB27" s="428"/>
    </row>
    <row r="28" spans="1:54" s="424" customFormat="1" ht="21.75" customHeight="1" x14ac:dyDescent="0.2">
      <c r="A28" s="308" t="str">
        <f>IF((COUNTIF(Matrice!$2:$2,Matrice!$G$1&amp;"-PA"&amp;Listes!A24)=1)=TRUE,Matrice!$G$1&amp;"-PA"&amp;Listes!A24,"")</f>
        <v/>
      </c>
      <c r="B28" s="154" t="str">
        <f t="shared" si="0"/>
        <v/>
      </c>
      <c r="C28" s="154" t="str">
        <f>IF(ISERROR(HLOOKUP($A28,Matrice!$A$2:$DP$100,21,FALSE)),"",(IF(HLOOKUP($A28,Matrice!$A$2:$DP$100,21,FALSE)=0,"",HLOOKUP($A28,Matrice!$A$2:$DP$100,21,FALSE))))</f>
        <v/>
      </c>
      <c r="D28" s="154" t="str">
        <f>IF(ISERROR(HLOOKUP($A28,Matrice!$A$2:$DP$100,20,FALSE)),"",(IF(HLOOKUP($A28,Matrice!$A$2:$DP$100,20,FALSE)=0,"",HLOOKUP($A28,Matrice!$A$2:$DP$100,20,FALSE))))</f>
        <v/>
      </c>
      <c r="E28" s="154" t="str">
        <f>IF(ISERROR(HLOOKUP($A28,Matrice!$A$2:$DP$100,3,FALSE)),"",(IF(HLOOKUP($A28,Matrice!$A$2:$DP$100,3,FALSE)=0,"",HLOOKUP($A28,Matrice!$A$2:$DP$100,3,FALSE))))</f>
        <v/>
      </c>
      <c r="F28" s="426" t="str">
        <f>IF(ISERROR(HLOOKUP($A28,Matrice!$A$2:$DP$100,2,FALSE)),"",(IF(HLOOKUP($A28,Matrice!$A$2:$DP$100,3,FALSE)=0,"",HLOOKUP($A28,Matrice!$A$2:$DP$100,2,FALSE))))</f>
        <v/>
      </c>
      <c r="G28" s="264"/>
      <c r="H28" s="263"/>
      <c r="I28" s="259"/>
      <c r="J28" s="260"/>
      <c r="K28" s="261"/>
      <c r="L28" s="261"/>
      <c r="M28" s="262"/>
      <c r="N28" s="262"/>
      <c r="O28" s="421"/>
      <c r="P28" s="262"/>
      <c r="Q28" s="422"/>
      <c r="R28" s="423"/>
      <c r="S28" s="262"/>
      <c r="U28" s="425" t="str">
        <f>IF(SUMPRODUCT((Matrice!$D$23:$D$50='Plan d''actions détaillé'!U$5)*(Matrice!$CC$21:$DA$21='Plan d''actions détaillé'!$D28)*(Matrice!$CC$23:$DA$50="X"))=0,"",IF(SUMPRODUCT((Matrice!$D$23:$D$50='Plan d''actions détaillé'!U$5)*(Matrice!$CC$21:$DA$21='Plan d''actions détaillé'!$D28)*(Matrice!$CC$23:$DA$50="X"))=1,"X","erreur"))</f>
        <v/>
      </c>
      <c r="V28" s="425" t="str">
        <f>IF(SUMPRODUCT((Matrice!$D$23:$D$50='Plan d''actions détaillé'!V$5)*(Matrice!$CC$21:$DA$21='Plan d''actions détaillé'!$D28)*(Matrice!$CC$23:$DA$50="X"))=0,"",IF(SUMPRODUCT((Matrice!$D$23:$D$50='Plan d''actions détaillé'!V$5)*(Matrice!$CC$21:$DA$21='Plan d''actions détaillé'!$D28)*(Matrice!$CC$23:$DA$50="X"))=1,"X","erreur"))</f>
        <v/>
      </c>
      <c r="W28" s="425" t="str">
        <f>IF(SUMPRODUCT((Matrice!$D$23:$D$50='Plan d''actions détaillé'!W$5)*(Matrice!$CC$21:$DA$21='Plan d''actions détaillé'!$D28)*(Matrice!$CC$23:$DA$50="X"))=0,"",IF(SUMPRODUCT((Matrice!$D$23:$D$50='Plan d''actions détaillé'!W$5)*(Matrice!$CC$21:$DA$21='Plan d''actions détaillé'!$D28)*(Matrice!$CC$23:$DA$50="X"))=1,"X","erreur"))</f>
        <v/>
      </c>
      <c r="X28" s="425" t="str">
        <f>IF(SUMPRODUCT((Matrice!$D$23:$D$50='Plan d''actions détaillé'!X$5)*(Matrice!$CC$21:$DA$21='Plan d''actions détaillé'!$D28)*(Matrice!$CC$23:$DA$50="X"))=0,"",IF(SUMPRODUCT((Matrice!$D$23:$D$50='Plan d''actions détaillé'!X$5)*(Matrice!$CC$21:$DA$21='Plan d''actions détaillé'!$D28)*(Matrice!$CC$23:$DA$50="X"))=1,"X","erreur"))</f>
        <v/>
      </c>
      <c r="Y28" s="425" t="str">
        <f>IF(SUMPRODUCT((Matrice!$D$23:$D$50='Plan d''actions détaillé'!Y$5)*(Matrice!$CC$21:$DA$21='Plan d''actions détaillé'!$D28)*(Matrice!$CC$23:$DA$50="X"))=0,"",IF(SUMPRODUCT((Matrice!$D$23:$D$50='Plan d''actions détaillé'!Y$5)*(Matrice!$CC$21:$DA$21='Plan d''actions détaillé'!$D28)*(Matrice!$CC$23:$DA$50="X"))=1,"X","erreur"))</f>
        <v/>
      </c>
      <c r="Z28" s="425" t="str">
        <f>IF(SUMPRODUCT((Matrice!$D$23:$D$50='Plan d''actions détaillé'!Z$5)*(Matrice!$CC$21:$DA$21='Plan d''actions détaillé'!$D28)*(Matrice!$CC$23:$DA$50="X"))=0,"",IF(SUMPRODUCT((Matrice!$D$23:$D$50='Plan d''actions détaillé'!Z$5)*(Matrice!$CC$21:$DA$21='Plan d''actions détaillé'!$D28)*(Matrice!$CC$23:$DA$50="X"))=1,"X","erreur"))</f>
        <v/>
      </c>
      <c r="AA28" s="425" t="str">
        <f>IF(SUMPRODUCT((Matrice!$D$23:$D$50='Plan d''actions détaillé'!AA$5)*(Matrice!$CC$21:$DA$21='Plan d''actions détaillé'!$D28)*(Matrice!$CC$23:$DA$50="X"))=0,"",IF(SUMPRODUCT((Matrice!$D$23:$D$50='Plan d''actions détaillé'!AA$5)*(Matrice!$CC$21:$DA$21='Plan d''actions détaillé'!$D28)*(Matrice!$CC$23:$DA$50="X"))=1,"X","erreur"))</f>
        <v/>
      </c>
      <c r="AB28" s="425" t="str">
        <f>IF(SUMPRODUCT((Matrice!$D$23:$D$50='Plan d''actions détaillé'!AB$5)*(Matrice!$CC$21:$DA$21='Plan d''actions détaillé'!$D28)*(Matrice!$CC$23:$DA$50="X"))=0,"",IF(SUMPRODUCT((Matrice!$D$23:$D$50='Plan d''actions détaillé'!AB$5)*(Matrice!$CC$21:$DA$21='Plan d''actions détaillé'!$D28)*(Matrice!$CC$23:$DA$50="X"))=1,"X","erreur"))</f>
        <v/>
      </c>
      <c r="AC28" s="425" t="str">
        <f>IF(SUMPRODUCT((Matrice!$D$23:$D$50='Plan d''actions détaillé'!AC$5)*(Matrice!$CC$21:$DA$21='Plan d''actions détaillé'!$D28)*(Matrice!$CC$23:$DA$50="X"))=0,"",IF(SUMPRODUCT((Matrice!$D$23:$D$50='Plan d''actions détaillé'!AC$5)*(Matrice!$CC$21:$DA$21='Plan d''actions détaillé'!$D28)*(Matrice!$CC$23:$DA$50="X"))=1,"X","erreur"))</f>
        <v/>
      </c>
      <c r="AD28" s="425" t="str">
        <f>IF(SUMPRODUCT((Matrice!$D$23:$D$50='Plan d''actions détaillé'!AD$5)*(Matrice!$CC$21:$DA$21='Plan d''actions détaillé'!$D28)*(Matrice!$CC$23:$DA$50="X"))=0,"",IF(SUMPRODUCT((Matrice!$D$23:$D$50='Plan d''actions détaillé'!AD$5)*(Matrice!$CC$21:$DA$21='Plan d''actions détaillé'!$D28)*(Matrice!$CC$23:$DA$50="X"))=1,"X","erreur"))</f>
        <v/>
      </c>
      <c r="AE28" s="425" t="str">
        <f>IF(SUMPRODUCT((Matrice!$D$23:$D$50='Plan d''actions détaillé'!AE$5)*(Matrice!$CC$21:$DA$21='Plan d''actions détaillé'!$D28)*(Matrice!$CC$23:$DA$50="X"))=0,"",IF(SUMPRODUCT((Matrice!$D$23:$D$50='Plan d''actions détaillé'!AE$5)*(Matrice!$CC$21:$DA$21='Plan d''actions détaillé'!$D28)*(Matrice!$CC$23:$DA$50="X"))=1,"X","erreur"))</f>
        <v/>
      </c>
      <c r="AF28" s="425" t="str">
        <f>IF(SUMPRODUCT((Matrice!$D$23:$D$50='Plan d''actions détaillé'!AF$5)*(Matrice!$CC$21:$DA$21='Plan d''actions détaillé'!$D28)*(Matrice!$CC$23:$DA$50="X"))=0,"",IF(SUMPRODUCT((Matrice!$D$23:$D$50='Plan d''actions détaillé'!AF$5)*(Matrice!$CC$21:$DA$21='Plan d''actions détaillé'!$D28)*(Matrice!$CC$23:$DA$50="X"))=1,"X","erreur"))</f>
        <v/>
      </c>
      <c r="AG28" s="425" t="str">
        <f>IF(SUMPRODUCT((Matrice!$D$23:$D$50='Plan d''actions détaillé'!AG$5)*(Matrice!$CC$21:$DA$21='Plan d''actions détaillé'!$D28)*(Matrice!$CC$23:$DA$50="X"))=0,"",IF(SUMPRODUCT((Matrice!$D$23:$D$50='Plan d''actions détaillé'!AG$5)*(Matrice!$CC$21:$DA$21='Plan d''actions détaillé'!$D28)*(Matrice!$CC$23:$DA$50="X"))=1,"X","erreur"))</f>
        <v/>
      </c>
      <c r="AH28" s="425" t="str">
        <f>IF(SUMPRODUCT((Matrice!$D$23:$D$50='Plan d''actions détaillé'!AH$5)*(Matrice!$CC$21:$DA$21='Plan d''actions détaillé'!$D28)*(Matrice!$CC$23:$DA$50="X"))=0,"",IF(SUMPRODUCT((Matrice!$D$23:$D$50='Plan d''actions détaillé'!AH$5)*(Matrice!$CC$21:$DA$21='Plan d''actions détaillé'!$D28)*(Matrice!$CC$23:$DA$50="X"))=1,"X","erreur"))</f>
        <v/>
      </c>
      <c r="AI28" s="425" t="str">
        <f>IF(SUMPRODUCT((Matrice!$D$23:$D$50='Plan d''actions détaillé'!AI$5)*(Matrice!$CC$21:$DA$21='Plan d''actions détaillé'!$D28)*(Matrice!$CC$23:$DA$50="X"))=0,"",IF(SUMPRODUCT((Matrice!$D$23:$D$50='Plan d''actions détaillé'!AI$5)*(Matrice!$CC$21:$DA$21='Plan d''actions détaillé'!$D28)*(Matrice!$CC$23:$DA$50="X"))=1,"X","erreur"))</f>
        <v/>
      </c>
      <c r="AJ28" s="425" t="str">
        <f>IF(SUMPRODUCT((Matrice!$D$23:$D$50='Plan d''actions détaillé'!AJ$5)*(Matrice!$CC$21:$DA$21='Plan d''actions détaillé'!$D28)*(Matrice!$CC$23:$DA$50="X"))=0,"",IF(SUMPRODUCT((Matrice!$D$23:$D$50='Plan d''actions détaillé'!AJ$5)*(Matrice!$CC$21:$DA$21='Plan d''actions détaillé'!$D28)*(Matrice!$CC$23:$DA$50="X"))=1,"X","erreur"))</f>
        <v/>
      </c>
      <c r="AK28" s="425" t="str">
        <f>IF(SUMPRODUCT((Matrice!$D$23:$D$50='Plan d''actions détaillé'!AK$5)*(Matrice!$CC$21:$DA$21='Plan d''actions détaillé'!$D28)*(Matrice!$CC$23:$DA$50="X"))=0,"",IF(SUMPRODUCT((Matrice!$D$23:$D$50='Plan d''actions détaillé'!AK$5)*(Matrice!$CC$21:$DA$21='Plan d''actions détaillé'!$D28)*(Matrice!$CC$23:$DA$50="X"))=1,"X","erreur"))</f>
        <v/>
      </c>
      <c r="AL28" s="425" t="str">
        <f>IF(SUMPRODUCT((Matrice!$D$23:$D$50='Plan d''actions détaillé'!AL$5)*(Matrice!$CC$21:$DA$21='Plan d''actions détaillé'!$D28)*(Matrice!$CC$23:$DA$50="X"))=0,"",IF(SUMPRODUCT((Matrice!$D$23:$D$50='Plan d''actions détaillé'!AL$5)*(Matrice!$CC$21:$DA$21='Plan d''actions détaillé'!$D28)*(Matrice!$CC$23:$DA$50="X"))=1,"X","erreur"))</f>
        <v/>
      </c>
      <c r="AV28" s="428"/>
      <c r="AW28" s="428"/>
      <c r="AX28" s="428"/>
      <c r="AY28" s="428"/>
      <c r="AZ28" s="428"/>
      <c r="BA28" s="428"/>
      <c r="BB28" s="428"/>
    </row>
    <row r="29" spans="1:54" s="424" customFormat="1" ht="21.75" customHeight="1" x14ac:dyDescent="0.2">
      <c r="A29" s="308" t="str">
        <f>IF((COUNTIF(Matrice!$2:$2,Matrice!$G$1&amp;"-PA"&amp;Listes!A25)=1)=TRUE,Matrice!$G$1&amp;"-PA"&amp;Listes!A25,"")</f>
        <v/>
      </c>
      <c r="B29" s="154" t="str">
        <f t="shared" si="0"/>
        <v/>
      </c>
      <c r="C29" s="154" t="str">
        <f>IF(ISERROR(HLOOKUP($A29,Matrice!$A$2:$DP$100,21,FALSE)),"",(IF(HLOOKUP($A29,Matrice!$A$2:$DP$100,21,FALSE)=0,"",HLOOKUP($A29,Matrice!$A$2:$DP$100,21,FALSE))))</f>
        <v/>
      </c>
      <c r="D29" s="154" t="str">
        <f>IF(ISERROR(HLOOKUP($A29,Matrice!$A$2:$DP$100,20,FALSE)),"",(IF(HLOOKUP($A29,Matrice!$A$2:$DP$100,20,FALSE)=0,"",HLOOKUP($A29,Matrice!$A$2:$DP$100,20,FALSE))))</f>
        <v/>
      </c>
      <c r="E29" s="154" t="str">
        <f>IF(ISERROR(HLOOKUP($A29,Matrice!$A$2:$DP$100,3,FALSE)),"",(IF(HLOOKUP($A29,Matrice!$A$2:$DP$100,3,FALSE)=0,"",HLOOKUP($A29,Matrice!$A$2:$DP$100,3,FALSE))))</f>
        <v/>
      </c>
      <c r="F29" s="426" t="str">
        <f>IF(ISERROR(HLOOKUP($A29,Matrice!$A$2:$DP$100,2,FALSE)),"",(IF(HLOOKUP($A29,Matrice!$A$2:$DP$100,3,FALSE)=0,"",HLOOKUP($A29,Matrice!$A$2:$DP$100,2,FALSE))))</f>
        <v/>
      </c>
      <c r="G29" s="264"/>
      <c r="H29" s="263"/>
      <c r="I29" s="259"/>
      <c r="J29" s="260"/>
      <c r="K29" s="261"/>
      <c r="L29" s="261"/>
      <c r="M29" s="262"/>
      <c r="N29" s="262"/>
      <c r="O29" s="421"/>
      <c r="P29" s="262"/>
      <c r="Q29" s="422"/>
      <c r="R29" s="423"/>
      <c r="S29" s="262"/>
      <c r="U29" s="425" t="str">
        <f>IF(SUMPRODUCT((Matrice!$D$23:$D$50='Plan d''actions détaillé'!U$5)*(Matrice!$CC$21:$DA$21='Plan d''actions détaillé'!$D29)*(Matrice!$CC$23:$DA$50="X"))=0,"",IF(SUMPRODUCT((Matrice!$D$23:$D$50='Plan d''actions détaillé'!U$5)*(Matrice!$CC$21:$DA$21='Plan d''actions détaillé'!$D29)*(Matrice!$CC$23:$DA$50="X"))=1,"X","erreur"))</f>
        <v/>
      </c>
      <c r="V29" s="425" t="str">
        <f>IF(SUMPRODUCT((Matrice!$D$23:$D$50='Plan d''actions détaillé'!V$5)*(Matrice!$CC$21:$DA$21='Plan d''actions détaillé'!$D29)*(Matrice!$CC$23:$DA$50="X"))=0,"",IF(SUMPRODUCT((Matrice!$D$23:$D$50='Plan d''actions détaillé'!V$5)*(Matrice!$CC$21:$DA$21='Plan d''actions détaillé'!$D29)*(Matrice!$CC$23:$DA$50="X"))=1,"X","erreur"))</f>
        <v/>
      </c>
      <c r="W29" s="425" t="str">
        <f>IF(SUMPRODUCT((Matrice!$D$23:$D$50='Plan d''actions détaillé'!W$5)*(Matrice!$CC$21:$DA$21='Plan d''actions détaillé'!$D29)*(Matrice!$CC$23:$DA$50="X"))=0,"",IF(SUMPRODUCT((Matrice!$D$23:$D$50='Plan d''actions détaillé'!W$5)*(Matrice!$CC$21:$DA$21='Plan d''actions détaillé'!$D29)*(Matrice!$CC$23:$DA$50="X"))=1,"X","erreur"))</f>
        <v/>
      </c>
      <c r="X29" s="425" t="str">
        <f>IF(SUMPRODUCT((Matrice!$D$23:$D$50='Plan d''actions détaillé'!X$5)*(Matrice!$CC$21:$DA$21='Plan d''actions détaillé'!$D29)*(Matrice!$CC$23:$DA$50="X"))=0,"",IF(SUMPRODUCT((Matrice!$D$23:$D$50='Plan d''actions détaillé'!X$5)*(Matrice!$CC$21:$DA$21='Plan d''actions détaillé'!$D29)*(Matrice!$CC$23:$DA$50="X"))=1,"X","erreur"))</f>
        <v/>
      </c>
      <c r="Y29" s="425" t="str">
        <f>IF(SUMPRODUCT((Matrice!$D$23:$D$50='Plan d''actions détaillé'!Y$5)*(Matrice!$CC$21:$DA$21='Plan d''actions détaillé'!$D29)*(Matrice!$CC$23:$DA$50="X"))=0,"",IF(SUMPRODUCT((Matrice!$D$23:$D$50='Plan d''actions détaillé'!Y$5)*(Matrice!$CC$21:$DA$21='Plan d''actions détaillé'!$D29)*(Matrice!$CC$23:$DA$50="X"))=1,"X","erreur"))</f>
        <v/>
      </c>
      <c r="Z29" s="425" t="str">
        <f>IF(SUMPRODUCT((Matrice!$D$23:$D$50='Plan d''actions détaillé'!Z$5)*(Matrice!$CC$21:$DA$21='Plan d''actions détaillé'!$D29)*(Matrice!$CC$23:$DA$50="X"))=0,"",IF(SUMPRODUCT((Matrice!$D$23:$D$50='Plan d''actions détaillé'!Z$5)*(Matrice!$CC$21:$DA$21='Plan d''actions détaillé'!$D29)*(Matrice!$CC$23:$DA$50="X"))=1,"X","erreur"))</f>
        <v/>
      </c>
      <c r="AA29" s="425" t="str">
        <f>IF(SUMPRODUCT((Matrice!$D$23:$D$50='Plan d''actions détaillé'!AA$5)*(Matrice!$CC$21:$DA$21='Plan d''actions détaillé'!$D29)*(Matrice!$CC$23:$DA$50="X"))=0,"",IF(SUMPRODUCT((Matrice!$D$23:$D$50='Plan d''actions détaillé'!AA$5)*(Matrice!$CC$21:$DA$21='Plan d''actions détaillé'!$D29)*(Matrice!$CC$23:$DA$50="X"))=1,"X","erreur"))</f>
        <v/>
      </c>
      <c r="AB29" s="425" t="str">
        <f>IF(SUMPRODUCT((Matrice!$D$23:$D$50='Plan d''actions détaillé'!AB$5)*(Matrice!$CC$21:$DA$21='Plan d''actions détaillé'!$D29)*(Matrice!$CC$23:$DA$50="X"))=0,"",IF(SUMPRODUCT((Matrice!$D$23:$D$50='Plan d''actions détaillé'!AB$5)*(Matrice!$CC$21:$DA$21='Plan d''actions détaillé'!$D29)*(Matrice!$CC$23:$DA$50="X"))=1,"X","erreur"))</f>
        <v/>
      </c>
      <c r="AC29" s="425" t="str">
        <f>IF(SUMPRODUCT((Matrice!$D$23:$D$50='Plan d''actions détaillé'!AC$5)*(Matrice!$CC$21:$DA$21='Plan d''actions détaillé'!$D29)*(Matrice!$CC$23:$DA$50="X"))=0,"",IF(SUMPRODUCT((Matrice!$D$23:$D$50='Plan d''actions détaillé'!AC$5)*(Matrice!$CC$21:$DA$21='Plan d''actions détaillé'!$D29)*(Matrice!$CC$23:$DA$50="X"))=1,"X","erreur"))</f>
        <v/>
      </c>
      <c r="AD29" s="425" t="str">
        <f>IF(SUMPRODUCT((Matrice!$D$23:$D$50='Plan d''actions détaillé'!AD$5)*(Matrice!$CC$21:$DA$21='Plan d''actions détaillé'!$D29)*(Matrice!$CC$23:$DA$50="X"))=0,"",IF(SUMPRODUCT((Matrice!$D$23:$D$50='Plan d''actions détaillé'!AD$5)*(Matrice!$CC$21:$DA$21='Plan d''actions détaillé'!$D29)*(Matrice!$CC$23:$DA$50="X"))=1,"X","erreur"))</f>
        <v/>
      </c>
      <c r="AE29" s="425" t="str">
        <f>IF(SUMPRODUCT((Matrice!$D$23:$D$50='Plan d''actions détaillé'!AE$5)*(Matrice!$CC$21:$DA$21='Plan d''actions détaillé'!$D29)*(Matrice!$CC$23:$DA$50="X"))=0,"",IF(SUMPRODUCT((Matrice!$D$23:$D$50='Plan d''actions détaillé'!AE$5)*(Matrice!$CC$21:$DA$21='Plan d''actions détaillé'!$D29)*(Matrice!$CC$23:$DA$50="X"))=1,"X","erreur"))</f>
        <v/>
      </c>
      <c r="AF29" s="425" t="str">
        <f>IF(SUMPRODUCT((Matrice!$D$23:$D$50='Plan d''actions détaillé'!AF$5)*(Matrice!$CC$21:$DA$21='Plan d''actions détaillé'!$D29)*(Matrice!$CC$23:$DA$50="X"))=0,"",IF(SUMPRODUCT((Matrice!$D$23:$D$50='Plan d''actions détaillé'!AF$5)*(Matrice!$CC$21:$DA$21='Plan d''actions détaillé'!$D29)*(Matrice!$CC$23:$DA$50="X"))=1,"X","erreur"))</f>
        <v/>
      </c>
      <c r="AG29" s="425" t="str">
        <f>IF(SUMPRODUCT((Matrice!$D$23:$D$50='Plan d''actions détaillé'!AG$5)*(Matrice!$CC$21:$DA$21='Plan d''actions détaillé'!$D29)*(Matrice!$CC$23:$DA$50="X"))=0,"",IF(SUMPRODUCT((Matrice!$D$23:$D$50='Plan d''actions détaillé'!AG$5)*(Matrice!$CC$21:$DA$21='Plan d''actions détaillé'!$D29)*(Matrice!$CC$23:$DA$50="X"))=1,"X","erreur"))</f>
        <v/>
      </c>
      <c r="AH29" s="425" t="str">
        <f>IF(SUMPRODUCT((Matrice!$D$23:$D$50='Plan d''actions détaillé'!AH$5)*(Matrice!$CC$21:$DA$21='Plan d''actions détaillé'!$D29)*(Matrice!$CC$23:$DA$50="X"))=0,"",IF(SUMPRODUCT((Matrice!$D$23:$D$50='Plan d''actions détaillé'!AH$5)*(Matrice!$CC$21:$DA$21='Plan d''actions détaillé'!$D29)*(Matrice!$CC$23:$DA$50="X"))=1,"X","erreur"))</f>
        <v/>
      </c>
      <c r="AI29" s="425" t="str">
        <f>IF(SUMPRODUCT((Matrice!$D$23:$D$50='Plan d''actions détaillé'!AI$5)*(Matrice!$CC$21:$DA$21='Plan d''actions détaillé'!$D29)*(Matrice!$CC$23:$DA$50="X"))=0,"",IF(SUMPRODUCT((Matrice!$D$23:$D$50='Plan d''actions détaillé'!AI$5)*(Matrice!$CC$21:$DA$21='Plan d''actions détaillé'!$D29)*(Matrice!$CC$23:$DA$50="X"))=1,"X","erreur"))</f>
        <v/>
      </c>
      <c r="AJ29" s="425" t="str">
        <f>IF(SUMPRODUCT((Matrice!$D$23:$D$50='Plan d''actions détaillé'!AJ$5)*(Matrice!$CC$21:$DA$21='Plan d''actions détaillé'!$D29)*(Matrice!$CC$23:$DA$50="X"))=0,"",IF(SUMPRODUCT((Matrice!$D$23:$D$50='Plan d''actions détaillé'!AJ$5)*(Matrice!$CC$21:$DA$21='Plan d''actions détaillé'!$D29)*(Matrice!$CC$23:$DA$50="X"))=1,"X","erreur"))</f>
        <v/>
      </c>
      <c r="AK29" s="425" t="str">
        <f>IF(SUMPRODUCT((Matrice!$D$23:$D$50='Plan d''actions détaillé'!AK$5)*(Matrice!$CC$21:$DA$21='Plan d''actions détaillé'!$D29)*(Matrice!$CC$23:$DA$50="X"))=0,"",IF(SUMPRODUCT((Matrice!$D$23:$D$50='Plan d''actions détaillé'!AK$5)*(Matrice!$CC$21:$DA$21='Plan d''actions détaillé'!$D29)*(Matrice!$CC$23:$DA$50="X"))=1,"X","erreur"))</f>
        <v/>
      </c>
      <c r="AL29" s="425" t="str">
        <f>IF(SUMPRODUCT((Matrice!$D$23:$D$50='Plan d''actions détaillé'!AL$5)*(Matrice!$CC$21:$DA$21='Plan d''actions détaillé'!$D29)*(Matrice!$CC$23:$DA$50="X"))=0,"",IF(SUMPRODUCT((Matrice!$D$23:$D$50='Plan d''actions détaillé'!AL$5)*(Matrice!$CC$21:$DA$21='Plan d''actions détaillé'!$D29)*(Matrice!$CC$23:$DA$50="X"))=1,"X","erreur"))</f>
        <v/>
      </c>
      <c r="AV29" s="428"/>
      <c r="AW29" s="428"/>
      <c r="AX29" s="428"/>
      <c r="AY29" s="428"/>
      <c r="AZ29" s="428"/>
      <c r="BA29" s="428"/>
      <c r="BB29" s="428"/>
    </row>
    <row r="30" spans="1:54" s="424" customFormat="1" ht="20.25" customHeight="1" x14ac:dyDescent="0.2">
      <c r="A30" s="308" t="str">
        <f>IF((COUNTIF(Matrice!$2:$2,Matrice!$G$1&amp;"-PA"&amp;Listes!A26)=1)=TRUE,Matrice!$G$1&amp;"-PA"&amp;Listes!A26,"")</f>
        <v/>
      </c>
      <c r="B30" s="154" t="str">
        <f t="shared" si="0"/>
        <v/>
      </c>
      <c r="C30" s="154" t="str">
        <f>IF(ISERROR(HLOOKUP($A30,Matrice!$A$2:$DP$100,21,FALSE)),"",(IF(HLOOKUP($A30,Matrice!$A$2:$DP$100,21,FALSE)=0,"",HLOOKUP($A30,Matrice!$A$2:$DP$100,21,FALSE))))</f>
        <v/>
      </c>
      <c r="D30" s="154" t="str">
        <f>IF(ISERROR(HLOOKUP($A30,Matrice!$A$2:$DP$100,20,FALSE)),"",(IF(HLOOKUP($A30,Matrice!$A$2:$DP$100,20,FALSE)=0,"",HLOOKUP($A30,Matrice!$A$2:$DP$100,20,FALSE))))</f>
        <v/>
      </c>
      <c r="E30" s="154" t="str">
        <f>IF(ISERROR(HLOOKUP($A30,Matrice!$A$2:$DP$100,3,FALSE)),"",(IF(HLOOKUP($A30,Matrice!$A$2:$DP$100,3,FALSE)=0,"",HLOOKUP($A30,Matrice!$A$2:$DP$100,3,FALSE))))</f>
        <v/>
      </c>
      <c r="F30" s="426" t="str">
        <f>IF(ISERROR(HLOOKUP($A30,Matrice!$A$2:$DP$100,2,FALSE)),"",(IF(HLOOKUP($A30,Matrice!$A$2:$DP$100,3,FALSE)=0,"",HLOOKUP($A30,Matrice!$A$2:$DP$100,2,FALSE))))</f>
        <v/>
      </c>
      <c r="G30" s="264"/>
      <c r="H30" s="263"/>
      <c r="I30" s="259"/>
      <c r="J30" s="260"/>
      <c r="K30" s="261"/>
      <c r="L30" s="261"/>
      <c r="M30" s="262"/>
      <c r="N30" s="262"/>
      <c r="O30" s="421"/>
      <c r="P30" s="262"/>
      <c r="Q30" s="422"/>
      <c r="R30" s="423"/>
      <c r="S30" s="262"/>
      <c r="U30" s="425" t="str">
        <f>IF(SUMPRODUCT((Matrice!$D$23:$D$50='Plan d''actions détaillé'!U$5)*(Matrice!$CC$21:$DA$21='Plan d''actions détaillé'!$D30)*(Matrice!$CC$23:$DA$50="X"))=0,"",IF(SUMPRODUCT((Matrice!$D$23:$D$50='Plan d''actions détaillé'!U$5)*(Matrice!$CC$21:$DA$21='Plan d''actions détaillé'!$D30)*(Matrice!$CC$23:$DA$50="X"))=1,"X","erreur"))</f>
        <v/>
      </c>
      <c r="V30" s="425" t="str">
        <f>IF(SUMPRODUCT((Matrice!$D$23:$D$50='Plan d''actions détaillé'!V$5)*(Matrice!$CC$21:$DA$21='Plan d''actions détaillé'!$D30)*(Matrice!$CC$23:$DA$50="X"))=0,"",IF(SUMPRODUCT((Matrice!$D$23:$D$50='Plan d''actions détaillé'!V$5)*(Matrice!$CC$21:$DA$21='Plan d''actions détaillé'!$D30)*(Matrice!$CC$23:$DA$50="X"))=1,"X","erreur"))</f>
        <v/>
      </c>
      <c r="W30" s="425" t="str">
        <f>IF(SUMPRODUCT((Matrice!$D$23:$D$50='Plan d''actions détaillé'!W$5)*(Matrice!$CC$21:$DA$21='Plan d''actions détaillé'!$D30)*(Matrice!$CC$23:$DA$50="X"))=0,"",IF(SUMPRODUCT((Matrice!$D$23:$D$50='Plan d''actions détaillé'!W$5)*(Matrice!$CC$21:$DA$21='Plan d''actions détaillé'!$D30)*(Matrice!$CC$23:$DA$50="X"))=1,"X","erreur"))</f>
        <v/>
      </c>
      <c r="X30" s="425" t="str">
        <f>IF(SUMPRODUCT((Matrice!$D$23:$D$50='Plan d''actions détaillé'!X$5)*(Matrice!$CC$21:$DA$21='Plan d''actions détaillé'!$D30)*(Matrice!$CC$23:$DA$50="X"))=0,"",IF(SUMPRODUCT((Matrice!$D$23:$D$50='Plan d''actions détaillé'!X$5)*(Matrice!$CC$21:$DA$21='Plan d''actions détaillé'!$D30)*(Matrice!$CC$23:$DA$50="X"))=1,"X","erreur"))</f>
        <v/>
      </c>
      <c r="Y30" s="425" t="str">
        <f>IF(SUMPRODUCT((Matrice!$D$23:$D$50='Plan d''actions détaillé'!Y$5)*(Matrice!$CC$21:$DA$21='Plan d''actions détaillé'!$D30)*(Matrice!$CC$23:$DA$50="X"))=0,"",IF(SUMPRODUCT((Matrice!$D$23:$D$50='Plan d''actions détaillé'!Y$5)*(Matrice!$CC$21:$DA$21='Plan d''actions détaillé'!$D30)*(Matrice!$CC$23:$DA$50="X"))=1,"X","erreur"))</f>
        <v/>
      </c>
      <c r="Z30" s="425" t="str">
        <f>IF(SUMPRODUCT((Matrice!$D$23:$D$50='Plan d''actions détaillé'!Z$5)*(Matrice!$CC$21:$DA$21='Plan d''actions détaillé'!$D30)*(Matrice!$CC$23:$DA$50="X"))=0,"",IF(SUMPRODUCT((Matrice!$D$23:$D$50='Plan d''actions détaillé'!Z$5)*(Matrice!$CC$21:$DA$21='Plan d''actions détaillé'!$D30)*(Matrice!$CC$23:$DA$50="X"))=1,"X","erreur"))</f>
        <v/>
      </c>
      <c r="AA30" s="425" t="str">
        <f>IF(SUMPRODUCT((Matrice!$D$23:$D$50='Plan d''actions détaillé'!AA$5)*(Matrice!$CC$21:$DA$21='Plan d''actions détaillé'!$D30)*(Matrice!$CC$23:$DA$50="X"))=0,"",IF(SUMPRODUCT((Matrice!$D$23:$D$50='Plan d''actions détaillé'!AA$5)*(Matrice!$CC$21:$DA$21='Plan d''actions détaillé'!$D30)*(Matrice!$CC$23:$DA$50="X"))=1,"X","erreur"))</f>
        <v/>
      </c>
      <c r="AB30" s="425" t="str">
        <f>IF(SUMPRODUCT((Matrice!$D$23:$D$50='Plan d''actions détaillé'!AB$5)*(Matrice!$CC$21:$DA$21='Plan d''actions détaillé'!$D30)*(Matrice!$CC$23:$DA$50="X"))=0,"",IF(SUMPRODUCT((Matrice!$D$23:$D$50='Plan d''actions détaillé'!AB$5)*(Matrice!$CC$21:$DA$21='Plan d''actions détaillé'!$D30)*(Matrice!$CC$23:$DA$50="X"))=1,"X","erreur"))</f>
        <v/>
      </c>
      <c r="AC30" s="425" t="str">
        <f>IF(SUMPRODUCT((Matrice!$D$23:$D$50='Plan d''actions détaillé'!AC$5)*(Matrice!$CC$21:$DA$21='Plan d''actions détaillé'!$D30)*(Matrice!$CC$23:$DA$50="X"))=0,"",IF(SUMPRODUCT((Matrice!$D$23:$D$50='Plan d''actions détaillé'!AC$5)*(Matrice!$CC$21:$DA$21='Plan d''actions détaillé'!$D30)*(Matrice!$CC$23:$DA$50="X"))=1,"X","erreur"))</f>
        <v/>
      </c>
      <c r="AD30" s="425" t="str">
        <f>IF(SUMPRODUCT((Matrice!$D$23:$D$50='Plan d''actions détaillé'!AD$5)*(Matrice!$CC$21:$DA$21='Plan d''actions détaillé'!$D30)*(Matrice!$CC$23:$DA$50="X"))=0,"",IF(SUMPRODUCT((Matrice!$D$23:$D$50='Plan d''actions détaillé'!AD$5)*(Matrice!$CC$21:$DA$21='Plan d''actions détaillé'!$D30)*(Matrice!$CC$23:$DA$50="X"))=1,"X","erreur"))</f>
        <v/>
      </c>
      <c r="AE30" s="425" t="str">
        <f>IF(SUMPRODUCT((Matrice!$D$23:$D$50='Plan d''actions détaillé'!AE$5)*(Matrice!$CC$21:$DA$21='Plan d''actions détaillé'!$D30)*(Matrice!$CC$23:$DA$50="X"))=0,"",IF(SUMPRODUCT((Matrice!$D$23:$D$50='Plan d''actions détaillé'!AE$5)*(Matrice!$CC$21:$DA$21='Plan d''actions détaillé'!$D30)*(Matrice!$CC$23:$DA$50="X"))=1,"X","erreur"))</f>
        <v/>
      </c>
      <c r="AF30" s="425" t="str">
        <f>IF(SUMPRODUCT((Matrice!$D$23:$D$50='Plan d''actions détaillé'!AF$5)*(Matrice!$CC$21:$DA$21='Plan d''actions détaillé'!$D30)*(Matrice!$CC$23:$DA$50="X"))=0,"",IF(SUMPRODUCT((Matrice!$D$23:$D$50='Plan d''actions détaillé'!AF$5)*(Matrice!$CC$21:$DA$21='Plan d''actions détaillé'!$D30)*(Matrice!$CC$23:$DA$50="X"))=1,"X","erreur"))</f>
        <v/>
      </c>
      <c r="AG30" s="425" t="str">
        <f>IF(SUMPRODUCT((Matrice!$D$23:$D$50='Plan d''actions détaillé'!AG$5)*(Matrice!$CC$21:$DA$21='Plan d''actions détaillé'!$D30)*(Matrice!$CC$23:$DA$50="X"))=0,"",IF(SUMPRODUCT((Matrice!$D$23:$D$50='Plan d''actions détaillé'!AG$5)*(Matrice!$CC$21:$DA$21='Plan d''actions détaillé'!$D30)*(Matrice!$CC$23:$DA$50="X"))=1,"X","erreur"))</f>
        <v/>
      </c>
      <c r="AH30" s="425" t="str">
        <f>IF(SUMPRODUCT((Matrice!$D$23:$D$50='Plan d''actions détaillé'!AH$5)*(Matrice!$CC$21:$DA$21='Plan d''actions détaillé'!$D30)*(Matrice!$CC$23:$DA$50="X"))=0,"",IF(SUMPRODUCT((Matrice!$D$23:$D$50='Plan d''actions détaillé'!AH$5)*(Matrice!$CC$21:$DA$21='Plan d''actions détaillé'!$D30)*(Matrice!$CC$23:$DA$50="X"))=1,"X","erreur"))</f>
        <v/>
      </c>
      <c r="AI30" s="425" t="str">
        <f>IF(SUMPRODUCT((Matrice!$D$23:$D$50='Plan d''actions détaillé'!AI$5)*(Matrice!$CC$21:$DA$21='Plan d''actions détaillé'!$D30)*(Matrice!$CC$23:$DA$50="X"))=0,"",IF(SUMPRODUCT((Matrice!$D$23:$D$50='Plan d''actions détaillé'!AI$5)*(Matrice!$CC$21:$DA$21='Plan d''actions détaillé'!$D30)*(Matrice!$CC$23:$DA$50="X"))=1,"X","erreur"))</f>
        <v/>
      </c>
      <c r="AJ30" s="425" t="str">
        <f>IF(SUMPRODUCT((Matrice!$D$23:$D$50='Plan d''actions détaillé'!AJ$5)*(Matrice!$CC$21:$DA$21='Plan d''actions détaillé'!$D30)*(Matrice!$CC$23:$DA$50="X"))=0,"",IF(SUMPRODUCT((Matrice!$D$23:$D$50='Plan d''actions détaillé'!AJ$5)*(Matrice!$CC$21:$DA$21='Plan d''actions détaillé'!$D30)*(Matrice!$CC$23:$DA$50="X"))=1,"X","erreur"))</f>
        <v/>
      </c>
      <c r="AK30" s="425" t="str">
        <f>IF(SUMPRODUCT((Matrice!$D$23:$D$50='Plan d''actions détaillé'!AK$5)*(Matrice!$CC$21:$DA$21='Plan d''actions détaillé'!$D30)*(Matrice!$CC$23:$DA$50="X"))=0,"",IF(SUMPRODUCT((Matrice!$D$23:$D$50='Plan d''actions détaillé'!AK$5)*(Matrice!$CC$21:$DA$21='Plan d''actions détaillé'!$D30)*(Matrice!$CC$23:$DA$50="X"))=1,"X","erreur"))</f>
        <v/>
      </c>
      <c r="AL30" s="425" t="str">
        <f>IF(SUMPRODUCT((Matrice!$D$23:$D$50='Plan d''actions détaillé'!AL$5)*(Matrice!$CC$21:$DA$21='Plan d''actions détaillé'!$D30)*(Matrice!$CC$23:$DA$50="X"))=0,"",IF(SUMPRODUCT((Matrice!$D$23:$D$50='Plan d''actions détaillé'!AL$5)*(Matrice!$CC$21:$DA$21='Plan d''actions détaillé'!$D30)*(Matrice!$CC$23:$DA$50="X"))=1,"X","erreur"))</f>
        <v/>
      </c>
      <c r="AV30" s="428"/>
      <c r="AW30" s="428"/>
      <c r="AX30" s="428"/>
      <c r="AY30" s="428"/>
      <c r="AZ30" s="428"/>
      <c r="BA30" s="428"/>
      <c r="BB30" s="428"/>
    </row>
    <row r="31" spans="1:54" x14ac:dyDescent="0.2">
      <c r="AV31" s="356"/>
      <c r="AW31" s="356"/>
      <c r="AX31" s="356"/>
      <c r="AY31" s="356"/>
      <c r="AZ31" s="356"/>
      <c r="BA31" s="356"/>
      <c r="BB31" s="356"/>
    </row>
    <row r="32" spans="1:54" x14ac:dyDescent="0.2">
      <c r="AV32" s="356"/>
      <c r="AW32" s="356"/>
      <c r="AX32" s="356"/>
      <c r="AY32" s="356"/>
      <c r="AZ32" s="356"/>
      <c r="BA32" s="356"/>
      <c r="BB32" s="356"/>
    </row>
    <row r="33" spans="48:54" x14ac:dyDescent="0.2">
      <c r="AV33" s="356"/>
      <c r="AW33" s="356"/>
      <c r="AX33" s="356"/>
      <c r="AY33" s="356"/>
      <c r="AZ33" s="356"/>
      <c r="BA33" s="356"/>
      <c r="BB33" s="356"/>
    </row>
    <row r="34" spans="48:54" x14ac:dyDescent="0.2">
      <c r="AV34" s="356"/>
      <c r="AW34" s="356"/>
      <c r="AX34" s="356"/>
      <c r="AY34" s="356"/>
      <c r="AZ34" s="356"/>
      <c r="BA34" s="356"/>
      <c r="BB34" s="356"/>
    </row>
    <row r="35" spans="48:54" x14ac:dyDescent="0.2">
      <c r="AV35" s="356"/>
      <c r="AW35" s="356"/>
      <c r="AX35" s="356"/>
      <c r="AY35" s="356"/>
      <c r="AZ35" s="356"/>
      <c r="BA35" s="356"/>
      <c r="BB35" s="356"/>
    </row>
  </sheetData>
  <sheetProtection sheet="1" objects="1" scenarios="1" formatColumns="0" formatRows="0" selectLockedCells="1" sort="0" autoFilter="0"/>
  <conditionalFormatting sqref="Q6:S15">
    <cfRule type="cellIs" dxfId="337" priority="46" operator="equal">
      <formula>"A initier"</formula>
    </cfRule>
    <cfRule type="cellIs" dxfId="336" priority="47" operator="equal">
      <formula>"En attente"</formula>
    </cfRule>
    <cfRule type="cellIs" dxfId="335" priority="48" operator="equal">
      <formula>"En cours"</formula>
    </cfRule>
  </conditionalFormatting>
  <conditionalFormatting sqref="F6:F30">
    <cfRule type="cellIs" dxfId="334" priority="44" operator="equal">
      <formula>"En place"</formula>
    </cfRule>
  </conditionalFormatting>
  <conditionalFormatting sqref="F6:F30">
    <cfRule type="cellIs" dxfId="333" priority="41" operator="equal">
      <formula>"En attente"</formula>
    </cfRule>
    <cfRule type="cellIs" dxfId="332" priority="42" operator="equal">
      <formula>"A initier"</formula>
    </cfRule>
    <cfRule type="cellIs" dxfId="331" priority="43" operator="equal">
      <formula>"En cours"</formula>
    </cfRule>
  </conditionalFormatting>
  <conditionalFormatting sqref="Q16:S30">
    <cfRule type="cellIs" dxfId="330" priority="34" operator="equal">
      <formula>"A initier"</formula>
    </cfRule>
    <cfRule type="cellIs" dxfId="329" priority="35" operator="equal">
      <formula>"En attente"</formula>
    </cfRule>
    <cfRule type="cellIs" dxfId="328" priority="36" operator="equal">
      <formula>"En cours"</formula>
    </cfRule>
  </conditionalFormatting>
  <conditionalFormatting sqref="U6:AL30">
    <cfRule type="cellIs" dxfId="327" priority="28" operator="equal">
      <formula>"X"</formula>
    </cfRule>
  </conditionalFormatting>
  <conditionalFormatting sqref="T31:V98 K31:R98">
    <cfRule type="expression" dxfId="326" priority="1890">
      <formula>$I31="En attente"</formula>
    </cfRule>
  </conditionalFormatting>
  <conditionalFormatting sqref="I6:S30">
    <cfRule type="expression" dxfId="325" priority="1892">
      <formula>$F6="En attente"</formula>
    </cfRule>
  </conditionalFormatting>
  <conditionalFormatting sqref="G6:S30">
    <cfRule type="expression" dxfId="324" priority="16">
      <formula>$F6="Hors processus"</formula>
    </cfRule>
  </conditionalFormatting>
  <pageMargins left="0.23622047244094491" right="0.23622047244094491" top="0.74803149606299213" bottom="0.74803149606299213" header="0.31496062992125984" footer="0.31496062992125984"/>
  <pageSetup paperSize="9" scale="46" fitToHeight="0" orientation="landscape" r:id="rId1"/>
  <headerFooter>
    <oddHeader>&amp;L Document imprimé le &amp;D à &amp;T&amp;CProjet SMI&amp;RVIASANTE Mutuelle</oddHeader>
    <oddFooter>&amp;L&amp;F&amp;C&amp;A&amp;R&amp;P / &amp;N</oddFooter>
  </headerFooter>
  <rowBreaks count="1" manualBreakCount="1">
    <brk id="21" max="19" man="1"/>
  </rowBreak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7" operator="equal" id="{EA9450E2-0C90-470A-98D4-6F15CA754A0B}">
            <xm:f>Listes!$D$15</xm:f>
            <x14:dxf>
              <font>
                <color theme="0" tint="-0.34998626667073579"/>
              </font>
              <fill>
                <patternFill>
                  <bgColor theme="0" tint="-0.14996795556505021"/>
                </patternFill>
              </fill>
            </x14:dxf>
          </x14:cfRule>
          <x14:cfRule type="cellIs" priority="18" operator="equal" id="{D4C69A77-05CC-4778-B1DC-CB76939537A6}">
            <xm:f>Listes!$D$14</xm:f>
            <x14:dxf>
              <font>
                <color theme="0" tint="-0.34998626667073579"/>
              </font>
              <fill>
                <patternFill>
                  <bgColor theme="0" tint="-0.14996795556505021"/>
                </patternFill>
              </fill>
            </x14:dxf>
          </x14:cfRule>
          <x14:cfRule type="cellIs" priority="19" operator="equal" id="{D06A6E88-B68A-4B15-AA44-95485BE3D0E0}">
            <xm:f>Listes!$D$13</xm:f>
            <x14:dxf>
              <font>
                <color theme="6" tint="-0.24994659260841701"/>
              </font>
              <fill>
                <patternFill>
                  <bgColor theme="6" tint="0.59996337778862885"/>
                </patternFill>
              </fill>
            </x14:dxf>
          </x14:cfRule>
          <x14:cfRule type="cellIs" priority="20" operator="equal" id="{B31CF175-9B2A-42B2-B85C-F34EEFD69C3F}">
            <xm:f>Listes!$D$12</xm:f>
            <x14:dxf>
              <font>
                <color theme="3" tint="0.39994506668294322"/>
              </font>
              <fill>
                <patternFill>
                  <bgColor theme="4" tint="0.79998168889431442"/>
                </patternFill>
              </fill>
            </x14:dxf>
          </x14:cfRule>
          <x14:cfRule type="cellIs" priority="21" operator="equal" id="{35282820-6A9B-4D2E-8441-21EFD77B53B8}">
            <xm:f>Listes!$D$11</xm:f>
            <x14:dxf>
              <font>
                <color rgb="FFC00000"/>
              </font>
              <fill>
                <patternFill>
                  <bgColor theme="5" tint="0.79998168889431442"/>
                </patternFill>
              </fill>
            </x14:dxf>
          </x14:cfRule>
          <xm:sqref>Q6:Q30</xm:sqref>
        </x14:conditionalFormatting>
        <x14:conditionalFormatting xmlns:xm="http://schemas.microsoft.com/office/excel/2006/main">
          <x14:cfRule type="expression" priority="6" id="{41A122BD-D8B8-4EE6-B7A8-E8BAB7753E0B}">
            <xm:f>VLOOKUP(U$5,Risques!$D$21:$AB$100,19,FALSE)="Très faible"</xm:f>
            <x14:dxf>
              <font>
                <b/>
                <i val="0"/>
                <color rgb="FF00B050"/>
              </font>
            </x14:dxf>
          </x14:cfRule>
          <x14:cfRule type="expression" priority="7" id="{60462ABB-AA11-4CE1-8B87-C83A3F506A78}">
            <xm:f>VLOOKUP(U$5,Risques!$D$21:$AB$100,19,FALSE)="Faible"</xm:f>
            <x14:dxf>
              <font>
                <b/>
                <i val="0"/>
                <color rgb="FF92D050"/>
              </font>
            </x14:dxf>
          </x14:cfRule>
          <x14:cfRule type="expression" priority="8" id="{A0F52E4F-6307-4F4C-9CA5-D4B13713EECF}">
            <xm:f>VLOOKUP(U$5,Risques!$D$21:$AB$100,19,FALSE)="Moyenne"</xm:f>
            <x14:dxf>
              <font>
                <b/>
                <i val="0"/>
                <color rgb="FFFFC000"/>
              </font>
            </x14:dxf>
          </x14:cfRule>
          <x14:cfRule type="expression" priority="9" id="{34F9A91D-9760-4FEF-91D1-F5C84C2140B1}">
            <xm:f>VLOOKUP(U$5,Risques!$D$21:$AB$100,19,FALSE)="Forte"</xm:f>
            <x14:dxf>
              <font>
                <b/>
                <i val="0"/>
                <color rgb="FFFF0000"/>
              </font>
            </x14:dxf>
          </x14:cfRule>
          <x14:cfRule type="expression" priority="10" id="{D25A8801-2D21-4F09-B111-8AD28829FBF3}">
            <xm:f>VLOOKUP(U$5,Risques!$D$21:$AB$100,19,FALSE)="Majeure"</xm:f>
            <x14:dxf>
              <font>
                <b/>
                <i val="0"/>
                <color theme="9" tint="-0.24994659260841701"/>
              </font>
            </x14:dxf>
          </x14:cfRule>
          <xm:sqref>U5:AL5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Listes!$D$11:$D$15</xm:f>
          </x14:formula1>
          <xm:sqref>Q6:Q30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249977111117893"/>
    <pageSetUpPr fitToPage="1"/>
  </sheetPr>
  <dimension ref="A1:EJ47"/>
  <sheetViews>
    <sheetView showGridLines="0" tabSelected="1" topLeftCell="A10" zoomScale="70" zoomScaleNormal="70" zoomScaleSheetLayoutView="70" workbookViewId="0">
      <pane xSplit="4" topLeftCell="E1" activePane="topRight" state="frozen"/>
      <selection pane="topRight" activeCell="F4" sqref="F4"/>
    </sheetView>
  </sheetViews>
  <sheetFormatPr baseColWidth="10" defaultRowHeight="12" outlineLevelRow="1" outlineLevelCol="1" x14ac:dyDescent="0.2"/>
  <cols>
    <col min="1" max="2" width="1.1640625" style="11" customWidth="1"/>
    <col min="3" max="3" width="15.1640625" style="10" customWidth="1"/>
    <col min="4" max="4" width="49.5" style="11" customWidth="1"/>
    <col min="5" max="5" width="6.83203125" style="12" customWidth="1"/>
    <col min="6" max="6" width="63.1640625" style="11" customWidth="1"/>
    <col min="7" max="7" width="25.83203125" style="11" customWidth="1"/>
    <col min="8" max="9" width="25.83203125" style="11" hidden="1" customWidth="1"/>
    <col min="10" max="10" width="6.5" style="12" customWidth="1"/>
    <col min="11" max="11" width="4.6640625" style="13" customWidth="1"/>
    <col min="12" max="12" width="4.83203125" style="13" customWidth="1"/>
    <col min="13" max="14" width="4.33203125" style="13" customWidth="1"/>
    <col min="15" max="15" width="5.33203125" style="12" customWidth="1"/>
    <col min="16" max="16" width="13.1640625" style="12" customWidth="1"/>
    <col min="17" max="17" width="2.1640625" style="189" customWidth="1"/>
    <col min="18" max="18" width="4.5" style="11" customWidth="1"/>
    <col min="19" max="19" width="3" style="11" customWidth="1" outlineLevel="1"/>
    <col min="20" max="36" width="4" style="11" customWidth="1" outlineLevel="1"/>
    <col min="37" max="74" width="4.5" style="11" customWidth="1" outlineLevel="1"/>
    <col min="75" max="75" width="2.83203125" style="11" customWidth="1"/>
    <col min="76" max="77" width="7" style="12" customWidth="1"/>
    <col min="78" max="78" width="14.5" style="12" customWidth="1"/>
    <col min="79" max="80" width="3.83203125" style="15" customWidth="1"/>
    <col min="81" max="89" width="4.5" style="11" customWidth="1" outlineLevel="1"/>
    <col min="90" max="90" width="3.5" style="11" customWidth="1" outlineLevel="1"/>
    <col min="91" max="91" width="3.83203125" style="11" customWidth="1" outlineLevel="1"/>
    <col min="92" max="105" width="4" style="11" customWidth="1" outlineLevel="1"/>
    <col min="106" max="106" width="2.6640625" style="15" customWidth="1"/>
    <col min="107" max="108" width="7.6640625" style="12" customWidth="1"/>
    <col min="109" max="109" width="14.5" style="12" customWidth="1"/>
    <col min="110" max="110" width="1.1640625" style="15" customWidth="1"/>
    <col min="111" max="140" width="12" style="15"/>
    <col min="141" max="16384" width="12" style="11"/>
  </cols>
  <sheetData>
    <row r="1" spans="3:140" ht="50.25" customHeight="1" x14ac:dyDescent="0.2">
      <c r="C1" s="250" t="s">
        <v>235</v>
      </c>
      <c r="D1" s="247"/>
      <c r="E1" s="248"/>
      <c r="F1" s="290" t="s">
        <v>229</v>
      </c>
      <c r="G1" s="432" t="s">
        <v>254</v>
      </c>
      <c r="H1" s="247"/>
      <c r="I1" s="247"/>
      <c r="J1" s="431" t="s">
        <v>258</v>
      </c>
      <c r="K1" s="249"/>
      <c r="L1" s="249"/>
      <c r="M1" s="250"/>
      <c r="N1" s="249"/>
      <c r="O1" s="248"/>
      <c r="P1" s="265"/>
      <c r="Q1" s="265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  <c r="AJ1" s="266"/>
      <c r="AK1" s="266"/>
      <c r="AL1" s="266"/>
      <c r="AM1" s="266"/>
      <c r="AN1" s="266"/>
      <c r="AO1" s="266"/>
      <c r="AP1" s="266"/>
      <c r="AQ1" s="266"/>
      <c r="AR1" s="266"/>
      <c r="AS1" s="266"/>
      <c r="AT1" s="266"/>
      <c r="AU1" s="266"/>
      <c r="AV1" s="266"/>
      <c r="AW1" s="266"/>
      <c r="AX1" s="266"/>
      <c r="AY1" s="266"/>
      <c r="AZ1" s="266"/>
      <c r="BA1" s="266"/>
      <c r="BB1" s="266"/>
      <c r="BC1" s="266"/>
      <c r="BD1" s="266"/>
      <c r="BE1" s="266"/>
      <c r="BF1" s="266"/>
      <c r="BG1" s="266"/>
      <c r="BH1" s="266"/>
      <c r="BI1" s="266"/>
      <c r="BJ1" s="266"/>
      <c r="BK1" s="266"/>
      <c r="BL1" s="266"/>
      <c r="BM1" s="266"/>
      <c r="BN1" s="266"/>
      <c r="BO1" s="266"/>
      <c r="BP1" s="266"/>
      <c r="BQ1" s="266"/>
      <c r="BR1" s="266"/>
      <c r="BS1" s="266"/>
      <c r="BT1" s="266"/>
      <c r="BU1" s="266"/>
      <c r="BV1" s="266"/>
      <c r="BW1" s="267"/>
      <c r="BX1" s="265"/>
      <c r="BY1" s="265"/>
      <c r="BZ1" s="265"/>
      <c r="CA1" s="266"/>
      <c r="CB1" s="266"/>
      <c r="CC1" s="266"/>
      <c r="CD1" s="266"/>
      <c r="CE1" s="266"/>
      <c r="CF1" s="266"/>
      <c r="CG1" s="266"/>
      <c r="CH1" s="266"/>
      <c r="CI1" s="266"/>
      <c r="CJ1" s="266"/>
      <c r="CK1" s="266"/>
      <c r="CL1" s="266"/>
      <c r="CM1" s="266"/>
      <c r="CN1" s="266"/>
      <c r="CO1" s="266"/>
      <c r="CP1" s="266"/>
      <c r="CQ1" s="266"/>
      <c r="CR1" s="266"/>
      <c r="CS1" s="266"/>
      <c r="CT1" s="266"/>
      <c r="CU1" s="266"/>
      <c r="CV1" s="266"/>
      <c r="CW1" s="266"/>
      <c r="CX1" s="266"/>
      <c r="CY1" s="266"/>
      <c r="CZ1" s="266"/>
      <c r="DA1" s="266"/>
      <c r="DB1" s="268"/>
      <c r="DC1" s="265"/>
      <c r="DD1" s="265"/>
      <c r="DE1" s="248"/>
    </row>
    <row r="2" spans="3:140" s="311" customFormat="1" ht="67.5" customHeight="1" outlineLevel="1" x14ac:dyDescent="0.2">
      <c r="C2" s="310"/>
      <c r="E2" s="312"/>
      <c r="J2" s="312"/>
      <c r="K2" s="313"/>
      <c r="L2" s="313"/>
      <c r="M2" s="313"/>
      <c r="N2" s="313"/>
      <c r="O2" s="312"/>
      <c r="P2" s="312"/>
      <c r="Q2" s="314"/>
      <c r="T2" s="434" t="str">
        <f>IF(T21="","",$G$1&amp;"-AM"&amp;Listes!A2)</f>
        <v/>
      </c>
      <c r="U2" s="434" t="str">
        <f>IF(U21="","",$G$1&amp;"-AM"&amp;Listes!B2)</f>
        <v/>
      </c>
      <c r="V2" s="434" t="str">
        <f>IF(V21="","",$G$1&amp;"-AM"&amp;Listes!C2)</f>
        <v/>
      </c>
      <c r="W2" s="434" t="str">
        <f>IF(W21="","",$G$1&amp;"-AM"&amp;Listes!D2)</f>
        <v/>
      </c>
      <c r="X2" s="434" t="str">
        <f>IF(X21="","",$G$1&amp;"-AM"&amp;Listes!E2)</f>
        <v/>
      </c>
      <c r="Y2" s="434" t="str">
        <f>IF(Y21="","",$G$1&amp;"-AM"&amp;Listes!F2)</f>
        <v/>
      </c>
      <c r="Z2" s="434" t="str">
        <f>IF(Z21="","",$G$1&amp;"-AM"&amp;Listes!G2)</f>
        <v/>
      </c>
      <c r="AA2" s="434" t="str">
        <f>IF(AA21="","",$G$1&amp;"-AM"&amp;Listes!H2)</f>
        <v/>
      </c>
      <c r="AB2" s="434" t="str">
        <f>IF(AB21="","",$G$1&amp;"-AM"&amp;Listes!I2)</f>
        <v/>
      </c>
      <c r="AC2" s="434" t="str">
        <f>IF(AC21="","",$G$1&amp;"-AM"&amp;Listes!J2)</f>
        <v/>
      </c>
      <c r="AD2" s="434" t="str">
        <f>IF(AD21="","",$G$1&amp;"-AM"&amp;Listes!K2)</f>
        <v/>
      </c>
      <c r="AE2" s="434" t="str">
        <f>IF(AE21="","",$G$1&amp;"-AM"&amp;Listes!L2)</f>
        <v/>
      </c>
      <c r="AF2" s="434" t="str">
        <f>IF(AF21="","",$G$1&amp;"-AM"&amp;Listes!M2)</f>
        <v/>
      </c>
      <c r="AG2" s="434" t="str">
        <f>IF(AG21="","",$G$1&amp;"-AM"&amp;Listes!N2)</f>
        <v/>
      </c>
      <c r="AH2" s="434" t="str">
        <f>IF(AH21="","",$G$1&amp;"-AM"&amp;Listes!O2)</f>
        <v/>
      </c>
      <c r="AI2" s="434" t="str">
        <f>IF(AI21="","",$G$1&amp;"-AM"&amp;Listes!P2)</f>
        <v/>
      </c>
      <c r="AJ2" s="434" t="str">
        <f>IF(AJ21="","",$G$1&amp;"-AM"&amp;Listes!Q2)</f>
        <v/>
      </c>
      <c r="AK2" s="434" t="str">
        <f>IF(AK21="","",$G$1&amp;"-AM"&amp;Listes!R2)</f>
        <v/>
      </c>
      <c r="AL2" s="434" t="str">
        <f>IF(AL21="","",$G$1&amp;"-AM"&amp;Listes!S2)</f>
        <v/>
      </c>
      <c r="AM2" s="434" t="str">
        <f>IF(AM21="","",$G$1&amp;"-AM"&amp;Listes!T2)</f>
        <v/>
      </c>
      <c r="AN2" s="434" t="str">
        <f>IF(AN21="","",$G$1&amp;"-AM"&amp;Listes!U2)</f>
        <v/>
      </c>
      <c r="AO2" s="434" t="str">
        <f>IF(AO21="","",$G$1&amp;"-AM"&amp;Listes!V2)</f>
        <v/>
      </c>
      <c r="AP2" s="434" t="str">
        <f>IF(AP21="","",$G$1&amp;"-AM"&amp;Listes!W2)</f>
        <v/>
      </c>
      <c r="AQ2" s="434" t="str">
        <f>IF(AQ21="","",$G$1&amp;"-AM"&amp;Listes!X2)</f>
        <v/>
      </c>
      <c r="AR2" s="434" t="str">
        <f>IF(AR21="","",$G$1&amp;"-AM"&amp;Listes!Y2)</f>
        <v/>
      </c>
      <c r="AS2" s="434" t="str">
        <f>IF(AS21="","",$G$1&amp;"-AM"&amp;Listes!Z2)</f>
        <v/>
      </c>
      <c r="AT2" s="434" t="str">
        <f>IF(AT21="","",$G$1&amp;"-AM"&amp;Listes!AA2)</f>
        <v/>
      </c>
      <c r="AU2" s="434" t="str">
        <f>IF(AU21="","",$G$1&amp;"-AM"&amp;Listes!AB2)</f>
        <v/>
      </c>
      <c r="AV2" s="434" t="str">
        <f>IF(AV21="","",$G$1&amp;"-AM"&amp;Listes!AC2)</f>
        <v/>
      </c>
      <c r="AW2" s="434" t="str">
        <f>IF(AW21="","",$G$1&amp;"-AM"&amp;Listes!AD2)</f>
        <v/>
      </c>
      <c r="AX2" s="434" t="str">
        <f>IF(AX21="","",$G$1&amp;"-AM"&amp;Listes!AE2)</f>
        <v/>
      </c>
      <c r="AY2" s="434" t="str">
        <f>IF(AY21="","",$G$1&amp;"-AM"&amp;Listes!AF2)</f>
        <v/>
      </c>
      <c r="AZ2" s="434" t="str">
        <f>IF(AZ21="","",$G$1&amp;"-AM"&amp;Listes!AG2)</f>
        <v/>
      </c>
      <c r="BA2" s="434" t="str">
        <f>IF(BA21="","",$G$1&amp;"-AM"&amp;Listes!AH2)</f>
        <v/>
      </c>
      <c r="BB2" s="434" t="str">
        <f>IF(BB21="","",$G$1&amp;"-AM"&amp;Listes!AI2)</f>
        <v/>
      </c>
      <c r="BC2" s="434" t="str">
        <f>IF(BC21="","",$G$1&amp;"-AM"&amp;Listes!AJ2)</f>
        <v/>
      </c>
      <c r="BD2" s="434" t="str">
        <f>IF(BD21="","",$G$1&amp;"-AM"&amp;Listes!AK2)</f>
        <v/>
      </c>
      <c r="BE2" s="434" t="str">
        <f>IF(BE21="","",$G$1&amp;"-AM"&amp;Listes!AL2)</f>
        <v/>
      </c>
      <c r="BF2" s="434" t="str">
        <f>IF(BF21="","",$G$1&amp;"-AM"&amp;Listes!AM2)</f>
        <v/>
      </c>
      <c r="BG2" s="434" t="str">
        <f>IF(BG21="","",$G$1&amp;"-AM"&amp;Listes!AN2)</f>
        <v/>
      </c>
      <c r="BH2" s="434" t="str">
        <f>IF(BH21="","",$G$1&amp;"-AM"&amp;Listes!AO2)</f>
        <v/>
      </c>
      <c r="BI2" s="434" t="str">
        <f>IF(BI21="","",$G$1&amp;"-AM"&amp;Listes!AP2)</f>
        <v/>
      </c>
      <c r="BJ2" s="434" t="str">
        <f>IF(BJ21="","",$G$1&amp;"-AM"&amp;Listes!AQ2)</f>
        <v/>
      </c>
      <c r="BK2" s="434" t="str">
        <f>IF(BK21="","",$G$1&amp;"-AM"&amp;Listes!AR2)</f>
        <v/>
      </c>
      <c r="BL2" s="434" t="str">
        <f>IF(BL21="","",$G$1&amp;"-AM"&amp;Listes!AS2)</f>
        <v/>
      </c>
      <c r="BM2" s="434" t="str">
        <f>IF(BM21="","",$G$1&amp;"-AM"&amp;Listes!AT2)</f>
        <v/>
      </c>
      <c r="BN2" s="434" t="str">
        <f>IF(BN21="","",$G$1&amp;"-AM"&amp;Listes!AU2)</f>
        <v/>
      </c>
      <c r="BO2" s="434" t="str">
        <f>IF(BO21="","",$G$1&amp;"-AM"&amp;Listes!AV2)</f>
        <v/>
      </c>
      <c r="BP2" s="434" t="str">
        <f>IF(BP21="","",$G$1&amp;"-AM"&amp;Listes!AW2)</f>
        <v/>
      </c>
      <c r="BQ2" s="434" t="str">
        <f>IF(BQ21="","",$G$1&amp;"-AM"&amp;Listes!AX2)</f>
        <v/>
      </c>
      <c r="BR2" s="434" t="str">
        <f>IF(BR21="","",$G$1&amp;"-AM"&amp;Listes!AY2)</f>
        <v/>
      </c>
      <c r="BS2" s="434" t="str">
        <f>IF(BS21="","",$G$1&amp;"-AM"&amp;Listes!AZ2)</f>
        <v/>
      </c>
      <c r="BT2" s="434" t="str">
        <f>IF(BT21="","",$G$1&amp;"-AM"&amp;Listes!BA2)</f>
        <v/>
      </c>
      <c r="BU2" s="434" t="str">
        <f>IF(BU21="","",$G$1&amp;"-AM"&amp;Listes!BB2)</f>
        <v/>
      </c>
      <c r="BV2" s="434" t="str">
        <f>IF(BV21="","",$G$1&amp;"-AM"&amp;Listes!BC2)</f>
        <v/>
      </c>
      <c r="BW2" s="315"/>
      <c r="BX2" s="312"/>
      <c r="BY2" s="312"/>
      <c r="BZ2" s="312"/>
      <c r="CA2" s="316"/>
      <c r="CB2" s="316"/>
      <c r="CC2" s="436" t="str">
        <f>IF(CC21="","",$G$1&amp;"-PA"&amp;Listes!A2)</f>
        <v/>
      </c>
      <c r="CD2" s="436" t="str">
        <f>IF(CD21="","",$G$1&amp;"-PA"&amp;Listes!B2)</f>
        <v/>
      </c>
      <c r="CE2" s="436" t="str">
        <f>IF(CE21="","",$G$1&amp;"-PA"&amp;Listes!C2)</f>
        <v/>
      </c>
      <c r="CF2" s="436" t="str">
        <f>IF(CF21="","",$G$1&amp;"-PA"&amp;Listes!D2)</f>
        <v/>
      </c>
      <c r="CG2" s="436" t="str">
        <f>IF(CG21="","",$G$1&amp;"-PA"&amp;Listes!E2)</f>
        <v/>
      </c>
      <c r="CH2" s="436" t="str">
        <f>IF(CH21="","",$G$1&amp;"-PA"&amp;Listes!F2)</f>
        <v/>
      </c>
      <c r="CI2" s="436" t="str">
        <f>IF(CI21="","",$G$1&amp;"-PA"&amp;Listes!G2)</f>
        <v/>
      </c>
      <c r="CJ2" s="436" t="str">
        <f>IF(CJ21="","",$G$1&amp;"-PA"&amp;Listes!H2)</f>
        <v/>
      </c>
      <c r="CK2" s="436" t="str">
        <f>IF(CK21="","",$G$1&amp;"-PA"&amp;Listes!I2)</f>
        <v/>
      </c>
      <c r="CL2" s="436" t="str">
        <f>IF(CL21="","",$G$1&amp;"-PA"&amp;Listes!J2)</f>
        <v/>
      </c>
      <c r="CM2" s="436" t="str">
        <f>IF(CM21="","",$G$1&amp;"-PA"&amp;Listes!K2)</f>
        <v/>
      </c>
      <c r="CN2" s="436" t="str">
        <f>IF(CN21="","",$G$1&amp;"-PA"&amp;Listes!L2)</f>
        <v/>
      </c>
      <c r="CO2" s="436" t="str">
        <f>IF(CO21="","",$G$1&amp;"-PA"&amp;Listes!M2)</f>
        <v/>
      </c>
      <c r="CP2" s="436" t="str">
        <f>IF(CP21="","",$G$1&amp;"-PA"&amp;Listes!N2)</f>
        <v/>
      </c>
      <c r="CQ2" s="436" t="str">
        <f>IF(CQ21="","",$G$1&amp;"-PA"&amp;Listes!O2)</f>
        <v/>
      </c>
      <c r="CR2" s="436" t="str">
        <f>IF(CR21="","",$G$1&amp;"-PA"&amp;Listes!P2)</f>
        <v/>
      </c>
      <c r="CS2" s="436" t="str">
        <f>IF(CS21="","",$G$1&amp;"-PA"&amp;Listes!Q2)</f>
        <v/>
      </c>
      <c r="CT2" s="436" t="str">
        <f>IF(CT21="","",$G$1&amp;"-PA"&amp;Listes!R2)</f>
        <v/>
      </c>
      <c r="CU2" s="436" t="str">
        <f>IF(CU21="","",$G$1&amp;"-PA"&amp;Listes!S2)</f>
        <v/>
      </c>
      <c r="CV2" s="436" t="str">
        <f>IF(CV21="","",$G$1&amp;"-PA"&amp;Listes!T2)</f>
        <v/>
      </c>
      <c r="CW2" s="436" t="str">
        <f>IF(CW21="","",$G$1&amp;"-PA"&amp;Listes!U2)</f>
        <v/>
      </c>
      <c r="CX2" s="436" t="str">
        <f>IF(CX21="","",$G$1&amp;"-PA"&amp;Listes!V2)</f>
        <v/>
      </c>
      <c r="CY2" s="436" t="str">
        <f>IF(CY21="","",$G$1&amp;"-PA"&amp;Listes!W2)</f>
        <v/>
      </c>
      <c r="CZ2" s="436" t="str">
        <f>IF(CZ21="","",$G$1&amp;"-PA"&amp;Listes!X2)</f>
        <v/>
      </c>
      <c r="DA2" s="436" t="str">
        <f>IF(DA21="","",$G$1&amp;"-PA"&amp;Listes!Y2)</f>
        <v/>
      </c>
      <c r="DB2" s="317"/>
      <c r="DC2" s="312"/>
      <c r="DD2" s="312"/>
      <c r="DE2" s="312"/>
      <c r="DF2" s="316"/>
      <c r="DG2" s="316"/>
      <c r="DH2" s="316"/>
      <c r="DI2" s="316"/>
      <c r="DJ2" s="316"/>
      <c r="DK2" s="316"/>
      <c r="DL2" s="316"/>
      <c r="DM2" s="316"/>
      <c r="DN2" s="316"/>
      <c r="DO2" s="316"/>
      <c r="DP2" s="316"/>
      <c r="DQ2" s="316"/>
      <c r="DR2" s="316"/>
      <c r="DS2" s="316"/>
      <c r="DT2" s="316"/>
      <c r="DU2" s="316"/>
      <c r="DV2" s="316"/>
      <c r="DW2" s="316"/>
      <c r="DX2" s="316"/>
      <c r="DY2" s="316"/>
      <c r="DZ2" s="316"/>
      <c r="EA2" s="316"/>
      <c r="EB2" s="316"/>
      <c r="EC2" s="316"/>
      <c r="ED2" s="316"/>
      <c r="EE2" s="316"/>
      <c r="EF2" s="316"/>
      <c r="EG2" s="316"/>
      <c r="EH2" s="316"/>
      <c r="EI2" s="316"/>
      <c r="EJ2" s="316"/>
    </row>
    <row r="3" spans="3:140" ht="25.5" customHeight="1" outlineLevel="1" x14ac:dyDescent="0.2">
      <c r="S3" s="84" t="s">
        <v>31</v>
      </c>
      <c r="T3" s="254"/>
      <c r="U3" s="254"/>
      <c r="V3" s="254"/>
      <c r="W3" s="254"/>
      <c r="X3" s="254"/>
      <c r="Y3" s="254"/>
      <c r="Z3" s="254"/>
      <c r="AA3" s="254"/>
      <c r="AB3" s="254"/>
      <c r="AC3" s="254"/>
      <c r="AD3" s="254"/>
      <c r="AE3" s="254"/>
      <c r="AF3" s="254"/>
      <c r="AG3" s="254"/>
      <c r="AH3" s="254"/>
      <c r="AI3" s="254"/>
      <c r="AJ3" s="254"/>
      <c r="AK3" s="254"/>
      <c r="AL3" s="254"/>
      <c r="AM3" s="254"/>
      <c r="AN3" s="254"/>
      <c r="AO3" s="254"/>
      <c r="AP3" s="254"/>
      <c r="AQ3" s="254"/>
      <c r="AR3" s="254"/>
      <c r="AS3" s="254"/>
      <c r="AT3" s="254"/>
      <c r="AU3" s="254"/>
      <c r="AV3" s="254"/>
      <c r="AW3" s="254"/>
      <c r="AX3" s="254"/>
      <c r="AY3" s="254"/>
      <c r="AZ3" s="254"/>
      <c r="BA3" s="254"/>
      <c r="BB3" s="254"/>
      <c r="BC3" s="254"/>
      <c r="BD3" s="254"/>
      <c r="BE3" s="254"/>
      <c r="BF3" s="254"/>
      <c r="BG3" s="254"/>
      <c r="BH3" s="254"/>
      <c r="BI3" s="254"/>
      <c r="BJ3" s="254"/>
      <c r="BK3" s="254"/>
      <c r="BL3" s="254"/>
      <c r="BM3" s="254"/>
      <c r="BN3" s="254"/>
      <c r="BO3" s="254"/>
      <c r="BP3" s="254"/>
      <c r="BQ3" s="254"/>
      <c r="BR3" s="254"/>
      <c r="BS3" s="254"/>
      <c r="BT3" s="254"/>
      <c r="BU3" s="254"/>
      <c r="BV3" s="254"/>
      <c r="BW3" s="157"/>
      <c r="CC3" s="254"/>
      <c r="CD3" s="254"/>
      <c r="CE3" s="254"/>
      <c r="CF3" s="254"/>
      <c r="CG3" s="254"/>
      <c r="CH3" s="254"/>
      <c r="CI3" s="254"/>
      <c r="CJ3" s="254"/>
      <c r="CK3" s="254"/>
      <c r="CL3" s="254"/>
      <c r="CM3" s="254"/>
      <c r="CN3" s="254"/>
      <c r="CO3" s="254"/>
      <c r="CP3" s="254"/>
      <c r="CQ3" s="254"/>
      <c r="CR3" s="254"/>
      <c r="CS3" s="254"/>
      <c r="CT3" s="254"/>
      <c r="CU3" s="254"/>
      <c r="CV3" s="254"/>
      <c r="CW3" s="254"/>
      <c r="CX3" s="254"/>
      <c r="CY3" s="254"/>
      <c r="CZ3" s="254"/>
      <c r="DA3" s="254"/>
      <c r="DB3" s="24"/>
    </row>
    <row r="4" spans="3:140" ht="14.25" customHeight="1" outlineLevel="1" x14ac:dyDescent="0.2">
      <c r="O4" s="11"/>
      <c r="P4" s="72"/>
      <c r="Q4" s="190"/>
      <c r="R4" s="22"/>
      <c r="S4" s="19" t="s">
        <v>36</v>
      </c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5"/>
      <c r="AK4" s="255"/>
      <c r="AL4" s="255"/>
      <c r="AM4" s="255"/>
      <c r="AN4" s="255"/>
      <c r="AO4" s="255"/>
      <c r="AP4" s="255"/>
      <c r="AQ4" s="255"/>
      <c r="AR4" s="255"/>
      <c r="AS4" s="255"/>
      <c r="AT4" s="255"/>
      <c r="AU4" s="255"/>
      <c r="AV4" s="255"/>
      <c r="AW4" s="255"/>
      <c r="AX4" s="255"/>
      <c r="AY4" s="255"/>
      <c r="AZ4" s="255"/>
      <c r="BA4" s="255"/>
      <c r="BB4" s="255"/>
      <c r="BC4" s="255"/>
      <c r="BD4" s="255"/>
      <c r="BE4" s="255"/>
      <c r="BF4" s="255"/>
      <c r="BG4" s="255"/>
      <c r="BH4" s="255"/>
      <c r="BI4" s="255"/>
      <c r="BJ4" s="255"/>
      <c r="BK4" s="255"/>
      <c r="BL4" s="255"/>
      <c r="BM4" s="255"/>
      <c r="BN4" s="255"/>
      <c r="BO4" s="255"/>
      <c r="BP4" s="255"/>
      <c r="BQ4" s="255"/>
      <c r="BR4" s="255"/>
      <c r="BS4" s="255"/>
      <c r="BT4" s="255"/>
      <c r="BU4" s="255"/>
      <c r="BV4" s="255"/>
      <c r="BW4" s="157"/>
      <c r="BY4" s="11"/>
      <c r="BZ4" s="7"/>
      <c r="CA4" s="25"/>
      <c r="CC4" s="339"/>
      <c r="CD4" s="339"/>
      <c r="CE4" s="339"/>
      <c r="CF4" s="339"/>
      <c r="CG4" s="339"/>
      <c r="CH4" s="339"/>
      <c r="CI4" s="339"/>
      <c r="CJ4" s="339"/>
      <c r="CK4" s="339"/>
      <c r="CL4" s="339"/>
      <c r="CM4" s="339"/>
      <c r="CN4" s="339"/>
      <c r="CO4" s="339"/>
      <c r="CP4" s="339"/>
      <c r="CQ4" s="339"/>
      <c r="CR4" s="339"/>
      <c r="CS4" s="339"/>
      <c r="CT4" s="339"/>
      <c r="CU4" s="339"/>
      <c r="CV4" s="339"/>
      <c r="CW4" s="339"/>
      <c r="CX4" s="339"/>
      <c r="CY4" s="339"/>
      <c r="CZ4" s="339"/>
      <c r="DA4" s="339"/>
      <c r="DB4" s="24"/>
      <c r="DD4" s="11"/>
      <c r="DE4" s="7"/>
    </row>
    <row r="5" spans="3:140" ht="11.25" customHeight="1" outlineLevel="1" x14ac:dyDescent="0.2">
      <c r="O5" s="11"/>
      <c r="P5" s="22"/>
      <c r="Q5" s="191"/>
      <c r="R5" s="22"/>
      <c r="S5" s="20" t="s">
        <v>204</v>
      </c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  <c r="AK5" s="256"/>
      <c r="AL5" s="256"/>
      <c r="AM5" s="256"/>
      <c r="AN5" s="256"/>
      <c r="AO5" s="256"/>
      <c r="AP5" s="256"/>
      <c r="AQ5" s="256"/>
      <c r="AR5" s="256"/>
      <c r="AS5" s="256"/>
      <c r="AT5" s="256"/>
      <c r="AU5" s="256"/>
      <c r="AV5" s="256"/>
      <c r="AW5" s="256"/>
      <c r="AX5" s="256"/>
      <c r="AY5" s="256"/>
      <c r="AZ5" s="256"/>
      <c r="BA5" s="256"/>
      <c r="BB5" s="256"/>
      <c r="BC5" s="256"/>
      <c r="BD5" s="256"/>
      <c r="BE5" s="256"/>
      <c r="BF5" s="256"/>
      <c r="BG5" s="256"/>
      <c r="BH5" s="256"/>
      <c r="BI5" s="256"/>
      <c r="BJ5" s="256"/>
      <c r="BK5" s="256"/>
      <c r="BL5" s="256"/>
      <c r="BM5" s="256"/>
      <c r="BN5" s="256"/>
      <c r="BO5" s="256"/>
      <c r="BP5" s="256"/>
      <c r="BQ5" s="256"/>
      <c r="BR5" s="256"/>
      <c r="BS5" s="256"/>
      <c r="BT5" s="256"/>
      <c r="BU5" s="256"/>
      <c r="BV5" s="256"/>
      <c r="BW5" s="157"/>
      <c r="BY5" s="11"/>
      <c r="BZ5" s="7"/>
      <c r="CA5" s="26"/>
      <c r="CC5" s="256"/>
      <c r="CD5" s="256"/>
      <c r="CE5" s="256"/>
      <c r="CF5" s="256"/>
      <c r="CG5" s="256"/>
      <c r="CH5" s="256"/>
      <c r="CI5" s="256"/>
      <c r="CJ5" s="256"/>
      <c r="CK5" s="256"/>
      <c r="CL5" s="256"/>
      <c r="CM5" s="256"/>
      <c r="CN5" s="256"/>
      <c r="CO5" s="256"/>
      <c r="CP5" s="256"/>
      <c r="CQ5" s="256"/>
      <c r="CR5" s="256"/>
      <c r="CS5" s="256"/>
      <c r="CT5" s="256"/>
      <c r="CU5" s="256"/>
      <c r="CV5" s="256"/>
      <c r="CW5" s="256"/>
      <c r="CX5" s="256"/>
      <c r="CY5" s="256"/>
      <c r="CZ5" s="256"/>
      <c r="DA5" s="256"/>
      <c r="DB5" s="24"/>
      <c r="DD5" s="11"/>
      <c r="DE5" s="7"/>
    </row>
    <row r="6" spans="3:140" ht="11.25" customHeight="1" outlineLevel="1" x14ac:dyDescent="0.2">
      <c r="O6" s="11"/>
      <c r="P6" s="22"/>
      <c r="Q6" s="191"/>
      <c r="R6" s="22"/>
      <c r="S6" s="21" t="s">
        <v>205</v>
      </c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56"/>
      <c r="AO6" s="256"/>
      <c r="AP6" s="256"/>
      <c r="AQ6" s="256"/>
      <c r="AR6" s="256"/>
      <c r="AS6" s="256"/>
      <c r="AT6" s="256"/>
      <c r="AU6" s="256"/>
      <c r="AV6" s="256"/>
      <c r="AW6" s="256"/>
      <c r="AX6" s="256"/>
      <c r="AY6" s="256"/>
      <c r="AZ6" s="256"/>
      <c r="BA6" s="256"/>
      <c r="BB6" s="256"/>
      <c r="BC6" s="256"/>
      <c r="BD6" s="256"/>
      <c r="BE6" s="256"/>
      <c r="BF6" s="256"/>
      <c r="BG6" s="256"/>
      <c r="BH6" s="256"/>
      <c r="BI6" s="256"/>
      <c r="BJ6" s="256"/>
      <c r="BK6" s="256"/>
      <c r="BL6" s="256"/>
      <c r="BM6" s="256"/>
      <c r="BN6" s="256"/>
      <c r="BO6" s="256"/>
      <c r="BP6" s="256"/>
      <c r="BQ6" s="256"/>
      <c r="BR6" s="256"/>
      <c r="BS6" s="256"/>
      <c r="BT6" s="256"/>
      <c r="BU6" s="256"/>
      <c r="BV6" s="256"/>
      <c r="BW6" s="157"/>
      <c r="BY6" s="11"/>
      <c r="BZ6" s="7"/>
      <c r="CA6" s="26"/>
      <c r="CC6" s="256"/>
      <c r="CD6" s="256"/>
      <c r="CE6" s="256"/>
      <c r="CF6" s="256"/>
      <c r="CG6" s="256"/>
      <c r="CH6" s="256"/>
      <c r="CI6" s="256"/>
      <c r="CJ6" s="256"/>
      <c r="CK6" s="256"/>
      <c r="CL6" s="256"/>
      <c r="CM6" s="256"/>
      <c r="CN6" s="256"/>
      <c r="CO6" s="256"/>
      <c r="CP6" s="256"/>
      <c r="CQ6" s="256"/>
      <c r="CR6" s="256"/>
      <c r="CS6" s="256"/>
      <c r="CT6" s="256"/>
      <c r="CU6" s="256"/>
      <c r="CV6" s="256"/>
      <c r="CW6" s="256"/>
      <c r="CX6" s="256"/>
      <c r="CY6" s="256"/>
      <c r="CZ6" s="256"/>
      <c r="DA6" s="256"/>
      <c r="DB6" s="24"/>
      <c r="DD6" s="11"/>
      <c r="DE6" s="7"/>
    </row>
    <row r="7" spans="3:140" ht="11.25" customHeight="1" outlineLevel="1" x14ac:dyDescent="0.2">
      <c r="O7" s="11"/>
      <c r="P7" s="22"/>
      <c r="Q7" s="191"/>
      <c r="R7" s="22"/>
      <c r="S7" s="23" t="s">
        <v>58</v>
      </c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6"/>
      <c r="AP7" s="256"/>
      <c r="AQ7" s="256"/>
      <c r="AR7" s="256"/>
      <c r="AS7" s="256"/>
      <c r="AT7" s="256"/>
      <c r="AU7" s="256"/>
      <c r="AV7" s="256"/>
      <c r="AW7" s="256"/>
      <c r="AX7" s="256"/>
      <c r="AY7" s="256"/>
      <c r="AZ7" s="256"/>
      <c r="BA7" s="256"/>
      <c r="BB7" s="256"/>
      <c r="BC7" s="256"/>
      <c r="BD7" s="256"/>
      <c r="BE7" s="256"/>
      <c r="BF7" s="256"/>
      <c r="BG7" s="256"/>
      <c r="BH7" s="256"/>
      <c r="BI7" s="256"/>
      <c r="BJ7" s="256"/>
      <c r="BK7" s="256"/>
      <c r="BL7" s="256"/>
      <c r="BM7" s="256"/>
      <c r="BN7" s="256"/>
      <c r="BO7" s="256"/>
      <c r="BP7" s="256"/>
      <c r="BQ7" s="256"/>
      <c r="BR7" s="256"/>
      <c r="BS7" s="256"/>
      <c r="BT7" s="256"/>
      <c r="BU7" s="256"/>
      <c r="BV7" s="256"/>
      <c r="BW7" s="157"/>
      <c r="BY7" s="11"/>
      <c r="BZ7" s="7"/>
      <c r="CA7" s="26"/>
      <c r="CC7" s="256"/>
      <c r="CD7" s="256"/>
      <c r="CE7" s="256"/>
      <c r="CF7" s="256"/>
      <c r="CG7" s="256"/>
      <c r="CH7" s="256"/>
      <c r="CI7" s="256"/>
      <c r="CJ7" s="256"/>
      <c r="CK7" s="256"/>
      <c r="CL7" s="256"/>
      <c r="CM7" s="256"/>
      <c r="CN7" s="256"/>
      <c r="CO7" s="256"/>
      <c r="CP7" s="256"/>
      <c r="CQ7" s="256"/>
      <c r="CR7" s="256"/>
      <c r="CS7" s="256"/>
      <c r="CT7" s="256"/>
      <c r="CU7" s="256"/>
      <c r="CV7" s="256"/>
      <c r="CW7" s="256"/>
      <c r="CX7" s="256"/>
      <c r="CY7" s="256"/>
      <c r="CZ7" s="256"/>
      <c r="DA7" s="256"/>
      <c r="DB7" s="24"/>
      <c r="DD7" s="11"/>
      <c r="DE7" s="7"/>
    </row>
    <row r="8" spans="3:140" ht="11.25" customHeight="1" outlineLevel="1" x14ac:dyDescent="0.2">
      <c r="O8" s="11"/>
      <c r="P8" s="22"/>
      <c r="Q8" s="191"/>
      <c r="R8" s="22"/>
      <c r="S8" s="23" t="s">
        <v>57</v>
      </c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6"/>
      <c r="AP8" s="256"/>
      <c r="AQ8" s="256"/>
      <c r="AR8" s="256"/>
      <c r="AS8" s="256"/>
      <c r="AT8" s="256"/>
      <c r="AU8" s="256"/>
      <c r="AV8" s="256"/>
      <c r="AW8" s="256"/>
      <c r="AX8" s="256"/>
      <c r="AY8" s="256"/>
      <c r="AZ8" s="256"/>
      <c r="BA8" s="256"/>
      <c r="BB8" s="256"/>
      <c r="BC8" s="256"/>
      <c r="BD8" s="256"/>
      <c r="BE8" s="256"/>
      <c r="BF8" s="256"/>
      <c r="BG8" s="256"/>
      <c r="BH8" s="256"/>
      <c r="BI8" s="256"/>
      <c r="BJ8" s="256"/>
      <c r="BK8" s="256"/>
      <c r="BL8" s="256"/>
      <c r="BM8" s="256"/>
      <c r="BN8" s="256"/>
      <c r="BO8" s="256"/>
      <c r="BP8" s="256"/>
      <c r="BQ8" s="256"/>
      <c r="BR8" s="256"/>
      <c r="BS8" s="256"/>
      <c r="BT8" s="256"/>
      <c r="BU8" s="256"/>
      <c r="BV8" s="256"/>
      <c r="BW8" s="157"/>
      <c r="BY8" s="11"/>
      <c r="BZ8" s="7"/>
      <c r="CA8" s="26"/>
      <c r="CC8" s="256"/>
      <c r="CD8" s="256"/>
      <c r="CE8" s="256"/>
      <c r="CF8" s="256"/>
      <c r="CG8" s="256"/>
      <c r="CH8" s="256"/>
      <c r="CI8" s="256"/>
      <c r="CJ8" s="256"/>
      <c r="CK8" s="256"/>
      <c r="CL8" s="256"/>
      <c r="CM8" s="256"/>
      <c r="CN8" s="256"/>
      <c r="CO8" s="256"/>
      <c r="CP8" s="256"/>
      <c r="CQ8" s="256"/>
      <c r="CR8" s="256"/>
      <c r="CS8" s="256"/>
      <c r="CT8" s="256"/>
      <c r="CU8" s="256"/>
      <c r="CV8" s="256"/>
      <c r="CW8" s="256"/>
      <c r="CX8" s="256"/>
      <c r="CY8" s="256"/>
      <c r="CZ8" s="256"/>
      <c r="DA8" s="256"/>
      <c r="DB8" s="24"/>
      <c r="DD8" s="11"/>
      <c r="DE8" s="7"/>
    </row>
    <row r="9" spans="3:140" ht="11.25" hidden="1" customHeight="1" outlineLevel="1" x14ac:dyDescent="0.2">
      <c r="O9" s="11"/>
      <c r="P9" s="72"/>
      <c r="Q9" s="190"/>
      <c r="R9" s="22"/>
      <c r="S9" s="19" t="s">
        <v>38</v>
      </c>
      <c r="T9" s="17">
        <f t="shared" ref="T9:AS9" si="0">COUNTIF(T10:T12,"X")*3</f>
        <v>0</v>
      </c>
      <c r="U9" s="17">
        <f t="shared" ref="U9:AN9" si="1">COUNTIF(U10:U12,"X")*3</f>
        <v>0</v>
      </c>
      <c r="V9" s="17">
        <f t="shared" si="1"/>
        <v>0</v>
      </c>
      <c r="W9" s="17">
        <f t="shared" si="1"/>
        <v>0</v>
      </c>
      <c r="X9" s="17">
        <f t="shared" si="1"/>
        <v>0</v>
      </c>
      <c r="Y9" s="17">
        <f t="shared" si="1"/>
        <v>0</v>
      </c>
      <c r="Z9" s="17">
        <f t="shared" si="1"/>
        <v>0</v>
      </c>
      <c r="AA9" s="17">
        <f t="shared" si="1"/>
        <v>0</v>
      </c>
      <c r="AB9" s="17">
        <f t="shared" si="1"/>
        <v>0</v>
      </c>
      <c r="AC9" s="17">
        <f t="shared" si="1"/>
        <v>0</v>
      </c>
      <c r="AD9" s="17">
        <f t="shared" si="1"/>
        <v>0</v>
      </c>
      <c r="AE9" s="17">
        <f t="shared" si="1"/>
        <v>0</v>
      </c>
      <c r="AF9" s="17">
        <f t="shared" si="1"/>
        <v>0</v>
      </c>
      <c r="AG9" s="17">
        <f t="shared" si="1"/>
        <v>0</v>
      </c>
      <c r="AH9" s="17">
        <f t="shared" si="1"/>
        <v>0</v>
      </c>
      <c r="AI9" s="17">
        <f t="shared" si="1"/>
        <v>0</v>
      </c>
      <c r="AJ9" s="17">
        <f t="shared" si="1"/>
        <v>0</v>
      </c>
      <c r="AK9" s="17">
        <f t="shared" si="1"/>
        <v>0</v>
      </c>
      <c r="AL9" s="17">
        <f t="shared" si="1"/>
        <v>0</v>
      </c>
      <c r="AM9" s="17">
        <f t="shared" si="1"/>
        <v>0</v>
      </c>
      <c r="AN9" s="17">
        <f t="shared" si="1"/>
        <v>0</v>
      </c>
      <c r="AO9" s="17">
        <f t="shared" si="0"/>
        <v>0</v>
      </c>
      <c r="AP9" s="17">
        <f t="shared" si="0"/>
        <v>0</v>
      </c>
      <c r="AQ9" s="17">
        <f t="shared" si="0"/>
        <v>0</v>
      </c>
      <c r="AR9" s="17">
        <f t="shared" si="0"/>
        <v>0</v>
      </c>
      <c r="AS9" s="17">
        <f t="shared" si="0"/>
        <v>0</v>
      </c>
      <c r="AT9" s="17">
        <f t="shared" ref="AT9:BV9" si="2">COUNTIF(AT10:AT12,"X")*3</f>
        <v>0</v>
      </c>
      <c r="AU9" s="17">
        <f t="shared" si="2"/>
        <v>0</v>
      </c>
      <c r="AV9" s="17">
        <f t="shared" si="2"/>
        <v>0</v>
      </c>
      <c r="AW9" s="17">
        <f t="shared" si="2"/>
        <v>0</v>
      </c>
      <c r="AX9" s="17">
        <f t="shared" si="2"/>
        <v>0</v>
      </c>
      <c r="AY9" s="17">
        <f t="shared" si="2"/>
        <v>0</v>
      </c>
      <c r="AZ9" s="17">
        <f t="shared" si="2"/>
        <v>0</v>
      </c>
      <c r="BA9" s="17">
        <f t="shared" si="2"/>
        <v>0</v>
      </c>
      <c r="BB9" s="17">
        <f t="shared" ref="BB9:BH9" si="3">COUNTIF(BB10:BB12,"X")*3</f>
        <v>0</v>
      </c>
      <c r="BC9" s="17">
        <f t="shared" si="3"/>
        <v>0</v>
      </c>
      <c r="BD9" s="17">
        <f t="shared" si="3"/>
        <v>0</v>
      </c>
      <c r="BE9" s="17">
        <f t="shared" si="3"/>
        <v>0</v>
      </c>
      <c r="BF9" s="17">
        <f t="shared" si="3"/>
        <v>0</v>
      </c>
      <c r="BG9" s="17">
        <f t="shared" si="3"/>
        <v>0</v>
      </c>
      <c r="BH9" s="17">
        <f t="shared" si="3"/>
        <v>0</v>
      </c>
      <c r="BI9" s="17">
        <f t="shared" ref="BI9:BO9" si="4">COUNTIF(BI10:BI12,"X")*3</f>
        <v>0</v>
      </c>
      <c r="BJ9" s="17">
        <f t="shared" si="4"/>
        <v>0</v>
      </c>
      <c r="BK9" s="17">
        <f t="shared" si="4"/>
        <v>0</v>
      </c>
      <c r="BL9" s="17">
        <f t="shared" si="4"/>
        <v>0</v>
      </c>
      <c r="BM9" s="17">
        <f t="shared" si="4"/>
        <v>0</v>
      </c>
      <c r="BN9" s="17">
        <f t="shared" si="4"/>
        <v>0</v>
      </c>
      <c r="BO9" s="17">
        <f t="shared" si="4"/>
        <v>0</v>
      </c>
      <c r="BP9" s="17">
        <f t="shared" si="2"/>
        <v>0</v>
      </c>
      <c r="BQ9" s="17">
        <f t="shared" si="2"/>
        <v>0</v>
      </c>
      <c r="BR9" s="17">
        <f t="shared" si="2"/>
        <v>0</v>
      </c>
      <c r="BS9" s="17">
        <f t="shared" si="2"/>
        <v>0</v>
      </c>
      <c r="BT9" s="17">
        <f t="shared" si="2"/>
        <v>0</v>
      </c>
      <c r="BU9" s="17">
        <f t="shared" si="2"/>
        <v>0</v>
      </c>
      <c r="BV9" s="17">
        <f t="shared" si="2"/>
        <v>0</v>
      </c>
      <c r="BW9" s="157"/>
      <c r="BY9" s="11"/>
      <c r="BZ9" s="7"/>
      <c r="CA9" s="25"/>
      <c r="CC9" s="17">
        <f>COUNTIF(CC10:CC12,"X")*3</f>
        <v>0</v>
      </c>
      <c r="CD9" s="17">
        <f>COUNTIF(CD10:CD12,"X")*3</f>
        <v>0</v>
      </c>
      <c r="CE9" s="17">
        <f>COUNTIF(CE10:CE12,"X")*3</f>
        <v>0</v>
      </c>
      <c r="CF9" s="17">
        <f>COUNTIF(CF10:CF12,"X")*3</f>
        <v>0</v>
      </c>
      <c r="CG9" s="17">
        <f>COUNTIF(CG10:CG12,"X")*3</f>
        <v>0</v>
      </c>
      <c r="CH9" s="17">
        <f t="shared" ref="CH9" si="5">COUNTIF(CH10:CH12,"X")*3</f>
        <v>0</v>
      </c>
      <c r="CI9" s="17">
        <f>COUNTIF(CI10:CI12,"X")*3</f>
        <v>0</v>
      </c>
      <c r="CJ9" s="17">
        <f t="shared" ref="CJ9:CL9" si="6">COUNTIF(CJ10:CJ12,"X")*3</f>
        <v>0</v>
      </c>
      <c r="CK9" s="17">
        <f t="shared" si="6"/>
        <v>0</v>
      </c>
      <c r="CL9" s="17">
        <f t="shared" si="6"/>
        <v>0</v>
      </c>
      <c r="CM9" s="17">
        <f>COUNTIF(CM10:CM12,"X")*3</f>
        <v>0</v>
      </c>
      <c r="CN9" s="17">
        <f>COUNTIF(CN10:CN12,"X")*3</f>
        <v>0</v>
      </c>
      <c r="CO9" s="17">
        <f>COUNTIF(CO10:CO12,"X")*3</f>
        <v>0</v>
      </c>
      <c r="CP9" s="17">
        <f>COUNTIF(CP10:CP12,"X")*3</f>
        <v>0</v>
      </c>
      <c r="CQ9" s="17">
        <f t="shared" ref="CQ9" si="7">COUNTIF(CQ10:CQ12,"X")*3</f>
        <v>0</v>
      </c>
      <c r="CR9" s="17">
        <f>COUNTIF(CR10:CR12,"X")*3</f>
        <v>0</v>
      </c>
      <c r="CS9" s="17">
        <f t="shared" ref="CS9:CU9" si="8">COUNTIF(CS10:CS12,"X")*3</f>
        <v>0</v>
      </c>
      <c r="CT9" s="17">
        <f t="shared" si="8"/>
        <v>0</v>
      </c>
      <c r="CU9" s="17">
        <f t="shared" si="8"/>
        <v>0</v>
      </c>
      <c r="CV9" s="17">
        <f>COUNTIF(CV10:CV12,"X")*3</f>
        <v>0</v>
      </c>
      <c r="CW9" s="17">
        <f t="shared" ref="CW9" si="9">COUNTIF(CW10:CW12,"X")*3</f>
        <v>0</v>
      </c>
      <c r="CX9" s="17">
        <f>COUNTIF(CX10:CX12,"X")*3</f>
        <v>0</v>
      </c>
      <c r="CY9" s="17">
        <f t="shared" ref="CY9:DA9" si="10">COUNTIF(CY10:CY12,"X")*3</f>
        <v>0</v>
      </c>
      <c r="CZ9" s="17">
        <f t="shared" si="10"/>
        <v>0</v>
      </c>
      <c r="DA9" s="17">
        <f t="shared" si="10"/>
        <v>0</v>
      </c>
      <c r="DB9" s="24"/>
      <c r="DD9" s="11"/>
      <c r="DE9" s="7"/>
    </row>
    <row r="10" spans="3:140" ht="11.25" customHeight="1" outlineLevel="1" x14ac:dyDescent="0.2">
      <c r="O10" s="11"/>
      <c r="P10" s="22"/>
      <c r="Q10" s="191"/>
      <c r="R10" s="22"/>
      <c r="S10" s="342" t="s">
        <v>34</v>
      </c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257"/>
      <c r="AJ10" s="257"/>
      <c r="AK10" s="257"/>
      <c r="AL10" s="257"/>
      <c r="AM10" s="257"/>
      <c r="AN10" s="257"/>
      <c r="AO10" s="257"/>
      <c r="AP10" s="257"/>
      <c r="AQ10" s="257"/>
      <c r="AR10" s="257"/>
      <c r="AS10" s="257"/>
      <c r="AT10" s="257"/>
      <c r="AU10" s="257"/>
      <c r="AV10" s="257"/>
      <c r="AW10" s="257"/>
      <c r="AX10" s="257"/>
      <c r="AY10" s="257"/>
      <c r="AZ10" s="257"/>
      <c r="BA10" s="257"/>
      <c r="BB10" s="257"/>
      <c r="BC10" s="257"/>
      <c r="BD10" s="257"/>
      <c r="BE10" s="257"/>
      <c r="BF10" s="257"/>
      <c r="BG10" s="257"/>
      <c r="BH10" s="257"/>
      <c r="BI10" s="257"/>
      <c r="BJ10" s="257"/>
      <c r="BK10" s="257"/>
      <c r="BL10" s="257"/>
      <c r="BM10" s="257"/>
      <c r="BN10" s="257"/>
      <c r="BO10" s="257"/>
      <c r="BP10" s="257"/>
      <c r="BQ10" s="257"/>
      <c r="BR10" s="257"/>
      <c r="BS10" s="257"/>
      <c r="BT10" s="257"/>
      <c r="BU10" s="257"/>
      <c r="BV10" s="257"/>
      <c r="BW10" s="157"/>
      <c r="BX10" s="90"/>
      <c r="BY10" s="11"/>
      <c r="BZ10" s="7"/>
      <c r="CA10" s="26"/>
      <c r="CC10" s="257"/>
      <c r="CD10" s="257"/>
      <c r="CE10" s="257"/>
      <c r="CF10" s="257"/>
      <c r="CG10" s="257"/>
      <c r="CH10" s="257"/>
      <c r="CI10" s="257"/>
      <c r="CJ10" s="257"/>
      <c r="CK10" s="257"/>
      <c r="CL10" s="257"/>
      <c r="CM10" s="257"/>
      <c r="CN10" s="257"/>
      <c r="CO10" s="257"/>
      <c r="CP10" s="257"/>
      <c r="CQ10" s="257"/>
      <c r="CR10" s="257"/>
      <c r="CS10" s="257"/>
      <c r="CT10" s="257"/>
      <c r="CU10" s="257"/>
      <c r="CV10" s="257"/>
      <c r="CW10" s="257"/>
      <c r="CX10" s="257"/>
      <c r="CY10" s="257"/>
      <c r="CZ10" s="257"/>
      <c r="DA10" s="257"/>
      <c r="DB10" s="24"/>
      <c r="DC10" s="90"/>
      <c r="DD10" s="11"/>
      <c r="DE10" s="7"/>
    </row>
    <row r="11" spans="3:140" ht="11.25" customHeight="1" outlineLevel="1" x14ac:dyDescent="0.2">
      <c r="O11" s="11"/>
      <c r="P11" s="22"/>
      <c r="Q11" s="191"/>
      <c r="R11" s="22"/>
      <c r="S11" s="343" t="s">
        <v>39</v>
      </c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257"/>
      <c r="AJ11" s="257"/>
      <c r="AK11" s="257"/>
      <c r="AL11" s="257"/>
      <c r="AM11" s="257"/>
      <c r="AN11" s="257"/>
      <c r="AO11" s="257"/>
      <c r="AP11" s="257"/>
      <c r="AQ11" s="257"/>
      <c r="AR11" s="257"/>
      <c r="AS11" s="257"/>
      <c r="AT11" s="257"/>
      <c r="AU11" s="257"/>
      <c r="AV11" s="257"/>
      <c r="AW11" s="257"/>
      <c r="AX11" s="257"/>
      <c r="AY11" s="257"/>
      <c r="AZ11" s="257"/>
      <c r="BA11" s="257"/>
      <c r="BB11" s="257"/>
      <c r="BC11" s="257"/>
      <c r="BD11" s="257"/>
      <c r="BE11" s="257"/>
      <c r="BF11" s="257"/>
      <c r="BG11" s="257"/>
      <c r="BH11" s="257"/>
      <c r="BI11" s="257"/>
      <c r="BJ11" s="257"/>
      <c r="BK11" s="257"/>
      <c r="BL11" s="257"/>
      <c r="BM11" s="257"/>
      <c r="BN11" s="257"/>
      <c r="BO11" s="257"/>
      <c r="BP11" s="257"/>
      <c r="BQ11" s="257"/>
      <c r="BR11" s="257"/>
      <c r="BS11" s="257"/>
      <c r="BT11" s="257"/>
      <c r="BU11" s="257"/>
      <c r="BV11" s="257"/>
      <c r="BW11" s="157"/>
      <c r="BY11" s="11"/>
      <c r="BZ11" s="8"/>
      <c r="CA11" s="27"/>
      <c r="CC11" s="257"/>
      <c r="CD11" s="257"/>
      <c r="CE11" s="257"/>
      <c r="CF11" s="257"/>
      <c r="CG11" s="257"/>
      <c r="CH11" s="257"/>
      <c r="CI11" s="257"/>
      <c r="CJ11" s="257"/>
      <c r="CK11" s="257"/>
      <c r="CL11" s="257"/>
      <c r="CM11" s="257"/>
      <c r="CN11" s="257"/>
      <c r="CO11" s="257"/>
      <c r="CP11" s="257"/>
      <c r="CQ11" s="257"/>
      <c r="CR11" s="257"/>
      <c r="CS11" s="257"/>
      <c r="CT11" s="257"/>
      <c r="CU11" s="257"/>
      <c r="CV11" s="257"/>
      <c r="CW11" s="257"/>
      <c r="CX11" s="257"/>
      <c r="CY11" s="257"/>
      <c r="CZ11" s="257"/>
      <c r="DA11" s="257"/>
      <c r="DB11" s="24"/>
      <c r="DD11" s="11"/>
      <c r="DE11" s="8"/>
    </row>
    <row r="12" spans="3:140" ht="11.25" customHeight="1" outlineLevel="1" thickBot="1" x14ac:dyDescent="0.25">
      <c r="G12" s="15"/>
      <c r="H12" s="15"/>
      <c r="I12" s="15"/>
      <c r="O12" s="11"/>
      <c r="P12" s="22"/>
      <c r="Q12" s="191"/>
      <c r="R12" s="22"/>
      <c r="S12" s="344" t="s">
        <v>35</v>
      </c>
      <c r="T12" s="347"/>
      <c r="U12" s="347"/>
      <c r="V12" s="347"/>
      <c r="W12" s="347"/>
      <c r="X12" s="347"/>
      <c r="Y12" s="347"/>
      <c r="Z12" s="347"/>
      <c r="AA12" s="347"/>
      <c r="AB12" s="347"/>
      <c r="AC12" s="347"/>
      <c r="AD12" s="347"/>
      <c r="AE12" s="347"/>
      <c r="AF12" s="347"/>
      <c r="AG12" s="347"/>
      <c r="AH12" s="347"/>
      <c r="AI12" s="347"/>
      <c r="AJ12" s="347"/>
      <c r="AK12" s="347"/>
      <c r="AL12" s="347"/>
      <c r="AM12" s="347"/>
      <c r="AN12" s="347"/>
      <c r="AO12" s="347"/>
      <c r="AP12" s="347"/>
      <c r="AQ12" s="347"/>
      <c r="AR12" s="347"/>
      <c r="AS12" s="347"/>
      <c r="AT12" s="347"/>
      <c r="AU12" s="347"/>
      <c r="AV12" s="347"/>
      <c r="AW12" s="347"/>
      <c r="AX12" s="347"/>
      <c r="AY12" s="347"/>
      <c r="AZ12" s="347"/>
      <c r="BA12" s="347"/>
      <c r="BB12" s="347"/>
      <c r="BC12" s="347"/>
      <c r="BD12" s="347"/>
      <c r="BE12" s="347"/>
      <c r="BF12" s="347"/>
      <c r="BG12" s="347"/>
      <c r="BH12" s="347"/>
      <c r="BI12" s="347"/>
      <c r="BJ12" s="347"/>
      <c r="BK12" s="347"/>
      <c r="BL12" s="347"/>
      <c r="BM12" s="347"/>
      <c r="BN12" s="347"/>
      <c r="BO12" s="347"/>
      <c r="BP12" s="347"/>
      <c r="BQ12" s="347"/>
      <c r="BR12" s="347"/>
      <c r="BS12" s="347"/>
      <c r="BT12" s="347"/>
      <c r="BU12" s="347"/>
      <c r="BV12" s="347"/>
      <c r="BW12" s="157"/>
      <c r="BY12" s="11"/>
      <c r="BZ12" s="8"/>
      <c r="CA12" s="27"/>
      <c r="CC12" s="347"/>
      <c r="CD12" s="347"/>
      <c r="CE12" s="347"/>
      <c r="CF12" s="347"/>
      <c r="CG12" s="347"/>
      <c r="CH12" s="347"/>
      <c r="CI12" s="347"/>
      <c r="CJ12" s="347"/>
      <c r="CK12" s="347"/>
      <c r="CL12" s="347"/>
      <c r="CM12" s="347"/>
      <c r="CN12" s="347"/>
      <c r="CO12" s="347"/>
      <c r="CP12" s="347"/>
      <c r="CQ12" s="347"/>
      <c r="CR12" s="347"/>
      <c r="CS12" s="347"/>
      <c r="CT12" s="347"/>
      <c r="CU12" s="347"/>
      <c r="CV12" s="347"/>
      <c r="CW12" s="347"/>
      <c r="CX12" s="347"/>
      <c r="CY12" s="347"/>
      <c r="CZ12" s="347"/>
      <c r="DA12" s="347"/>
      <c r="DB12" s="24"/>
      <c r="DD12" s="11"/>
      <c r="DE12" s="8"/>
    </row>
    <row r="13" spans="3:140" ht="11.25" customHeight="1" outlineLevel="1" x14ac:dyDescent="0.2">
      <c r="G13" s="15"/>
      <c r="H13" s="15"/>
      <c r="I13" s="15"/>
      <c r="O13" s="11"/>
      <c r="P13" s="18"/>
      <c r="Q13" s="192"/>
      <c r="R13" s="22"/>
      <c r="S13" s="345" t="s">
        <v>40</v>
      </c>
      <c r="T13" s="348"/>
      <c r="U13" s="348"/>
      <c r="V13" s="348"/>
      <c r="W13" s="348"/>
      <c r="X13" s="348"/>
      <c r="Y13" s="348"/>
      <c r="Z13" s="348"/>
      <c r="AA13" s="348"/>
      <c r="AB13" s="348"/>
      <c r="AC13" s="348"/>
      <c r="AD13" s="348"/>
      <c r="AE13" s="348"/>
      <c r="AF13" s="348"/>
      <c r="AG13" s="348"/>
      <c r="AH13" s="348"/>
      <c r="AI13" s="348"/>
      <c r="AJ13" s="348"/>
      <c r="AK13" s="348"/>
      <c r="AL13" s="348"/>
      <c r="AM13" s="348"/>
      <c r="AN13" s="348"/>
      <c r="AO13" s="348"/>
      <c r="AP13" s="348"/>
      <c r="AQ13" s="348"/>
      <c r="AR13" s="348"/>
      <c r="AS13" s="348"/>
      <c r="AT13" s="348"/>
      <c r="AU13" s="348"/>
      <c r="AV13" s="348"/>
      <c r="AW13" s="348"/>
      <c r="AX13" s="348"/>
      <c r="AY13" s="348"/>
      <c r="AZ13" s="348"/>
      <c r="BA13" s="348"/>
      <c r="BB13" s="348"/>
      <c r="BC13" s="348"/>
      <c r="BD13" s="348"/>
      <c r="BE13" s="348"/>
      <c r="BF13" s="348"/>
      <c r="BG13" s="348"/>
      <c r="BH13" s="348"/>
      <c r="BI13" s="348"/>
      <c r="BJ13" s="348"/>
      <c r="BK13" s="348"/>
      <c r="BL13" s="348"/>
      <c r="BM13" s="348"/>
      <c r="BN13" s="348"/>
      <c r="BO13" s="348"/>
      <c r="BP13" s="348"/>
      <c r="BQ13" s="348"/>
      <c r="BR13" s="348"/>
      <c r="BS13" s="348"/>
      <c r="BT13" s="348"/>
      <c r="BU13" s="348"/>
      <c r="BV13" s="348"/>
      <c r="BW13" s="157"/>
      <c r="BY13" s="11"/>
      <c r="BZ13" s="8"/>
      <c r="CA13" s="28"/>
      <c r="CC13" s="351"/>
      <c r="CD13" s="351"/>
      <c r="CE13" s="351"/>
      <c r="CF13" s="351"/>
      <c r="CG13" s="351"/>
      <c r="CH13" s="351"/>
      <c r="CI13" s="351"/>
      <c r="CJ13" s="351"/>
      <c r="CK13" s="351"/>
      <c r="CL13" s="351"/>
      <c r="CM13" s="351"/>
      <c r="CN13" s="351"/>
      <c r="CO13" s="351"/>
      <c r="CP13" s="351"/>
      <c r="CQ13" s="351"/>
      <c r="CR13" s="351"/>
      <c r="CS13" s="351"/>
      <c r="CT13" s="351"/>
      <c r="CU13" s="351"/>
      <c r="CV13" s="351"/>
      <c r="CW13" s="351"/>
      <c r="CX13" s="351"/>
      <c r="CY13" s="351"/>
      <c r="CZ13" s="351"/>
      <c r="DA13" s="351"/>
      <c r="DB13" s="24"/>
      <c r="DD13" s="11"/>
      <c r="DE13" s="8"/>
    </row>
    <row r="14" spans="3:140" ht="11.25" customHeight="1" outlineLevel="1" x14ac:dyDescent="0.2">
      <c r="G14" s="15"/>
      <c r="H14" s="15"/>
      <c r="I14" s="15"/>
      <c r="O14" s="11"/>
      <c r="P14" s="18"/>
      <c r="Q14" s="192"/>
      <c r="R14" s="18"/>
      <c r="S14" s="345" t="s">
        <v>42</v>
      </c>
      <c r="T14" s="346"/>
      <c r="U14" s="346"/>
      <c r="V14" s="346"/>
      <c r="W14" s="346"/>
      <c r="X14" s="346"/>
      <c r="Y14" s="346"/>
      <c r="Z14" s="346"/>
      <c r="AA14" s="346"/>
      <c r="AB14" s="346"/>
      <c r="AC14" s="346"/>
      <c r="AD14" s="346"/>
      <c r="AE14" s="346"/>
      <c r="AF14" s="346"/>
      <c r="AG14" s="346"/>
      <c r="AH14" s="346"/>
      <c r="AI14" s="346"/>
      <c r="AJ14" s="346"/>
      <c r="AK14" s="346"/>
      <c r="AL14" s="346"/>
      <c r="AM14" s="346"/>
      <c r="AN14" s="346"/>
      <c r="AO14" s="346"/>
      <c r="AP14" s="346"/>
      <c r="AQ14" s="346"/>
      <c r="AR14" s="346"/>
      <c r="AS14" s="346"/>
      <c r="AT14" s="346"/>
      <c r="AU14" s="346"/>
      <c r="AV14" s="346"/>
      <c r="AW14" s="346"/>
      <c r="AX14" s="346"/>
      <c r="AY14" s="346"/>
      <c r="AZ14" s="346"/>
      <c r="BA14" s="346"/>
      <c r="BB14" s="346"/>
      <c r="BC14" s="346"/>
      <c r="BD14" s="346"/>
      <c r="BE14" s="346"/>
      <c r="BF14" s="346"/>
      <c r="BG14" s="346"/>
      <c r="BH14" s="346"/>
      <c r="BI14" s="346"/>
      <c r="BJ14" s="346"/>
      <c r="BK14" s="346"/>
      <c r="BL14" s="346"/>
      <c r="BM14" s="346"/>
      <c r="BN14" s="346"/>
      <c r="BO14" s="346"/>
      <c r="BP14" s="346"/>
      <c r="BQ14" s="346"/>
      <c r="BR14" s="346"/>
      <c r="BS14" s="346"/>
      <c r="BT14" s="346"/>
      <c r="BU14" s="346"/>
      <c r="BV14" s="346"/>
      <c r="BW14" s="157"/>
      <c r="BY14" s="11"/>
      <c r="BZ14" s="8"/>
      <c r="CA14" s="28"/>
      <c r="CC14" s="352"/>
      <c r="CD14" s="352"/>
      <c r="CE14" s="352"/>
      <c r="CF14" s="352"/>
      <c r="CG14" s="352"/>
      <c r="CH14" s="352"/>
      <c r="CI14" s="352"/>
      <c r="CJ14" s="352"/>
      <c r="CK14" s="352"/>
      <c r="CL14" s="352"/>
      <c r="CM14" s="352"/>
      <c r="CN14" s="352"/>
      <c r="CO14" s="352"/>
      <c r="CP14" s="352"/>
      <c r="CQ14" s="352"/>
      <c r="CR14" s="352"/>
      <c r="CS14" s="352"/>
      <c r="CT14" s="352"/>
      <c r="CU14" s="352"/>
      <c r="CV14" s="352"/>
      <c r="CW14" s="352"/>
      <c r="CX14" s="352"/>
      <c r="CY14" s="352"/>
      <c r="CZ14" s="352"/>
      <c r="DA14" s="352"/>
      <c r="DB14" s="24"/>
      <c r="DD14" s="11"/>
      <c r="DE14" s="8"/>
    </row>
    <row r="15" spans="3:140" ht="11.25" customHeight="1" outlineLevel="1" x14ac:dyDescent="0.2">
      <c r="G15" s="15"/>
      <c r="H15" s="15"/>
      <c r="I15" s="15"/>
      <c r="O15" s="11"/>
      <c r="P15" s="18"/>
      <c r="Q15" s="192"/>
      <c r="R15" s="18"/>
      <c r="S15" s="349" t="s">
        <v>38</v>
      </c>
      <c r="T15" s="435" t="str">
        <f>IF(T21&lt;&gt;"",IF(T9=9,"+",IF(OR(T9=6,T9=3),"+/-",IF(T9=0,"-",""))),"")</f>
        <v/>
      </c>
      <c r="U15" s="435" t="str">
        <f t="shared" ref="U15:BV15" si="11">IF(U21&lt;&gt;"",IF(U9=9,"+",IF(OR(U9=6,U9=3),"+/-",IF(U9=0,"-",""))),"")</f>
        <v/>
      </c>
      <c r="V15" s="435" t="str">
        <f t="shared" si="11"/>
        <v/>
      </c>
      <c r="W15" s="435" t="str">
        <f t="shared" si="11"/>
        <v/>
      </c>
      <c r="X15" s="435" t="str">
        <f t="shared" si="11"/>
        <v/>
      </c>
      <c r="Y15" s="435" t="str">
        <f t="shared" si="11"/>
        <v/>
      </c>
      <c r="Z15" s="435" t="str">
        <f t="shared" si="11"/>
        <v/>
      </c>
      <c r="AA15" s="435" t="str">
        <f t="shared" si="11"/>
        <v/>
      </c>
      <c r="AB15" s="435" t="str">
        <f t="shared" si="11"/>
        <v/>
      </c>
      <c r="AC15" s="435" t="str">
        <f t="shared" si="11"/>
        <v/>
      </c>
      <c r="AD15" s="435" t="str">
        <f t="shared" si="11"/>
        <v/>
      </c>
      <c r="AE15" s="435" t="str">
        <f t="shared" si="11"/>
        <v/>
      </c>
      <c r="AF15" s="435" t="str">
        <f t="shared" si="11"/>
        <v/>
      </c>
      <c r="AG15" s="435" t="str">
        <f t="shared" si="11"/>
        <v/>
      </c>
      <c r="AH15" s="435" t="str">
        <f t="shared" si="11"/>
        <v/>
      </c>
      <c r="AI15" s="435" t="str">
        <f t="shared" si="11"/>
        <v/>
      </c>
      <c r="AJ15" s="435" t="str">
        <f t="shared" si="11"/>
        <v/>
      </c>
      <c r="AK15" s="435" t="str">
        <f t="shared" si="11"/>
        <v/>
      </c>
      <c r="AL15" s="435" t="str">
        <f t="shared" si="11"/>
        <v/>
      </c>
      <c r="AM15" s="435" t="str">
        <f t="shared" si="11"/>
        <v/>
      </c>
      <c r="AN15" s="435" t="str">
        <f t="shared" si="11"/>
        <v/>
      </c>
      <c r="AO15" s="435" t="str">
        <f t="shared" si="11"/>
        <v/>
      </c>
      <c r="AP15" s="435" t="str">
        <f t="shared" si="11"/>
        <v/>
      </c>
      <c r="AQ15" s="435" t="str">
        <f t="shared" si="11"/>
        <v/>
      </c>
      <c r="AR15" s="435" t="str">
        <f t="shared" si="11"/>
        <v/>
      </c>
      <c r="AS15" s="435" t="str">
        <f t="shared" si="11"/>
        <v/>
      </c>
      <c r="AT15" s="435" t="str">
        <f t="shared" si="11"/>
        <v/>
      </c>
      <c r="AU15" s="435" t="str">
        <f t="shared" si="11"/>
        <v/>
      </c>
      <c r="AV15" s="435" t="str">
        <f t="shared" si="11"/>
        <v/>
      </c>
      <c r="AW15" s="435" t="str">
        <f t="shared" si="11"/>
        <v/>
      </c>
      <c r="AX15" s="435" t="str">
        <f t="shared" si="11"/>
        <v/>
      </c>
      <c r="AY15" s="435" t="str">
        <f t="shared" si="11"/>
        <v/>
      </c>
      <c r="AZ15" s="435" t="str">
        <f t="shared" si="11"/>
        <v/>
      </c>
      <c r="BA15" s="435" t="str">
        <f t="shared" si="11"/>
        <v/>
      </c>
      <c r="BB15" s="435" t="str">
        <f t="shared" si="11"/>
        <v/>
      </c>
      <c r="BC15" s="435" t="str">
        <f t="shared" si="11"/>
        <v/>
      </c>
      <c r="BD15" s="435" t="str">
        <f t="shared" si="11"/>
        <v/>
      </c>
      <c r="BE15" s="435" t="str">
        <f t="shared" si="11"/>
        <v/>
      </c>
      <c r="BF15" s="435" t="str">
        <f t="shared" si="11"/>
        <v/>
      </c>
      <c r="BG15" s="435" t="str">
        <f t="shared" si="11"/>
        <v/>
      </c>
      <c r="BH15" s="435" t="str">
        <f t="shared" si="11"/>
        <v/>
      </c>
      <c r="BI15" s="435" t="str">
        <f t="shared" si="11"/>
        <v/>
      </c>
      <c r="BJ15" s="435" t="str">
        <f t="shared" si="11"/>
        <v/>
      </c>
      <c r="BK15" s="435" t="str">
        <f t="shared" si="11"/>
        <v/>
      </c>
      <c r="BL15" s="435" t="str">
        <f t="shared" si="11"/>
        <v/>
      </c>
      <c r="BM15" s="435" t="str">
        <f t="shared" si="11"/>
        <v/>
      </c>
      <c r="BN15" s="435" t="str">
        <f t="shared" si="11"/>
        <v/>
      </c>
      <c r="BO15" s="435" t="str">
        <f t="shared" si="11"/>
        <v/>
      </c>
      <c r="BP15" s="435" t="str">
        <f t="shared" si="11"/>
        <v/>
      </c>
      <c r="BQ15" s="435" t="str">
        <f t="shared" si="11"/>
        <v/>
      </c>
      <c r="BR15" s="435" t="str">
        <f t="shared" si="11"/>
        <v/>
      </c>
      <c r="BS15" s="435" t="str">
        <f t="shared" si="11"/>
        <v/>
      </c>
      <c r="BT15" s="435" t="str">
        <f t="shared" si="11"/>
        <v/>
      </c>
      <c r="BU15" s="435" t="str">
        <f t="shared" si="11"/>
        <v/>
      </c>
      <c r="BV15" s="435" t="str">
        <f t="shared" si="11"/>
        <v/>
      </c>
      <c r="BW15" s="157"/>
      <c r="BY15" s="11"/>
      <c r="BZ15" s="8"/>
      <c r="CA15" s="28"/>
      <c r="CC15" s="437" t="str">
        <f t="shared" ref="CC15" si="12">IF(CC21&lt;&gt;"",IF(CC9=9,"+",IF(OR(CC9=6,CC9=3),"+/-",IF(CC9=0,"-",""))),"")</f>
        <v/>
      </c>
      <c r="CD15" s="437" t="str">
        <f t="shared" ref="CD15:CG15" si="13">IF(CD21&lt;&gt;"",IF(CD9=9,"+",IF(OR(CD9=6,CD9=3),"+/-",IF(CD9=0,"-",""))),"")</f>
        <v/>
      </c>
      <c r="CE15" s="437" t="str">
        <f t="shared" si="13"/>
        <v/>
      </c>
      <c r="CF15" s="437" t="str">
        <f t="shared" si="13"/>
        <v/>
      </c>
      <c r="CG15" s="437" t="str">
        <f t="shared" si="13"/>
        <v/>
      </c>
      <c r="CH15" s="437" t="str">
        <f t="shared" ref="CH15:DA15" si="14">IF(CH21&lt;&gt;"",IF(CH9=9,"+",IF(OR(CH9=6,CH9=3),"+/-",IF(CH9=0,"-",""))),"")</f>
        <v/>
      </c>
      <c r="CI15" s="437" t="str">
        <f t="shared" si="14"/>
        <v/>
      </c>
      <c r="CJ15" s="437" t="str">
        <f t="shared" si="14"/>
        <v/>
      </c>
      <c r="CK15" s="437" t="str">
        <f t="shared" si="14"/>
        <v/>
      </c>
      <c r="CL15" s="437" t="str">
        <f t="shared" si="14"/>
        <v/>
      </c>
      <c r="CM15" s="437" t="str">
        <f t="shared" si="14"/>
        <v/>
      </c>
      <c r="CN15" s="437" t="str">
        <f t="shared" si="14"/>
        <v/>
      </c>
      <c r="CO15" s="437" t="str">
        <f t="shared" si="14"/>
        <v/>
      </c>
      <c r="CP15" s="437" t="str">
        <f t="shared" si="14"/>
        <v/>
      </c>
      <c r="CQ15" s="437" t="str">
        <f t="shared" si="14"/>
        <v/>
      </c>
      <c r="CR15" s="437" t="str">
        <f t="shared" si="14"/>
        <v/>
      </c>
      <c r="CS15" s="437" t="str">
        <f t="shared" si="14"/>
        <v/>
      </c>
      <c r="CT15" s="437" t="str">
        <f t="shared" si="14"/>
        <v/>
      </c>
      <c r="CU15" s="437" t="str">
        <f t="shared" si="14"/>
        <v/>
      </c>
      <c r="CV15" s="437" t="str">
        <f t="shared" si="14"/>
        <v/>
      </c>
      <c r="CW15" s="437" t="str">
        <f t="shared" si="14"/>
        <v/>
      </c>
      <c r="CX15" s="437" t="str">
        <f t="shared" si="14"/>
        <v/>
      </c>
      <c r="CY15" s="437" t="str">
        <f t="shared" si="14"/>
        <v/>
      </c>
      <c r="CZ15" s="437" t="str">
        <f t="shared" si="14"/>
        <v/>
      </c>
      <c r="DA15" s="437" t="str">
        <f t="shared" si="14"/>
        <v/>
      </c>
      <c r="DB15" s="24"/>
      <c r="DD15" s="11"/>
      <c r="DE15" s="8"/>
    </row>
    <row r="16" spans="3:140" ht="15" customHeight="1" x14ac:dyDescent="0.2">
      <c r="S16" s="350" t="s">
        <v>234</v>
      </c>
      <c r="T16" s="435" t="str">
        <f>IF(T21&lt;&gt;"",IF((T13+T14)=0,"-",IF(OR((T13+T14)=1,(T13+T14)=2),"+/-",IF(OR((T13+T14)=3,(T13+T14)=4),"+",""))),"")</f>
        <v/>
      </c>
      <c r="U16" s="435" t="str">
        <f t="shared" ref="U16:BV16" si="15">IF(U21&lt;&gt;"",IF((U13+U14)=0,"-",IF(OR((U13+U14)=1,(U13+U14)=2),"+/-",IF(OR((U13+U14)=3,(U13+U14)=4),"+",""))),"")</f>
        <v/>
      </c>
      <c r="V16" s="435" t="str">
        <f t="shared" si="15"/>
        <v/>
      </c>
      <c r="W16" s="435" t="str">
        <f t="shared" si="15"/>
        <v/>
      </c>
      <c r="X16" s="435" t="str">
        <f t="shared" si="15"/>
        <v/>
      </c>
      <c r="Y16" s="435" t="str">
        <f t="shared" si="15"/>
        <v/>
      </c>
      <c r="Z16" s="435" t="str">
        <f t="shared" si="15"/>
        <v/>
      </c>
      <c r="AA16" s="435" t="str">
        <f t="shared" si="15"/>
        <v/>
      </c>
      <c r="AB16" s="435" t="str">
        <f t="shared" si="15"/>
        <v/>
      </c>
      <c r="AC16" s="435" t="str">
        <f t="shared" si="15"/>
        <v/>
      </c>
      <c r="AD16" s="435" t="str">
        <f t="shared" si="15"/>
        <v/>
      </c>
      <c r="AE16" s="435" t="str">
        <f t="shared" si="15"/>
        <v/>
      </c>
      <c r="AF16" s="435" t="str">
        <f t="shared" si="15"/>
        <v/>
      </c>
      <c r="AG16" s="435" t="str">
        <f t="shared" si="15"/>
        <v/>
      </c>
      <c r="AH16" s="435" t="str">
        <f t="shared" si="15"/>
        <v/>
      </c>
      <c r="AI16" s="435" t="str">
        <f t="shared" si="15"/>
        <v/>
      </c>
      <c r="AJ16" s="435" t="str">
        <f t="shared" si="15"/>
        <v/>
      </c>
      <c r="AK16" s="435" t="str">
        <f t="shared" si="15"/>
        <v/>
      </c>
      <c r="AL16" s="435" t="str">
        <f t="shared" si="15"/>
        <v/>
      </c>
      <c r="AM16" s="435" t="str">
        <f t="shared" si="15"/>
        <v/>
      </c>
      <c r="AN16" s="435" t="str">
        <f t="shared" si="15"/>
        <v/>
      </c>
      <c r="AO16" s="435" t="str">
        <f t="shared" si="15"/>
        <v/>
      </c>
      <c r="AP16" s="435" t="str">
        <f t="shared" si="15"/>
        <v/>
      </c>
      <c r="AQ16" s="435" t="str">
        <f t="shared" si="15"/>
        <v/>
      </c>
      <c r="AR16" s="435" t="str">
        <f t="shared" si="15"/>
        <v/>
      </c>
      <c r="AS16" s="435" t="str">
        <f t="shared" si="15"/>
        <v/>
      </c>
      <c r="AT16" s="435" t="str">
        <f t="shared" si="15"/>
        <v/>
      </c>
      <c r="AU16" s="435" t="str">
        <f t="shared" si="15"/>
        <v/>
      </c>
      <c r="AV16" s="435" t="str">
        <f t="shared" si="15"/>
        <v/>
      </c>
      <c r="AW16" s="435" t="str">
        <f t="shared" si="15"/>
        <v/>
      </c>
      <c r="AX16" s="435" t="str">
        <f t="shared" si="15"/>
        <v/>
      </c>
      <c r="AY16" s="435" t="str">
        <f t="shared" si="15"/>
        <v/>
      </c>
      <c r="AZ16" s="435" t="str">
        <f t="shared" si="15"/>
        <v/>
      </c>
      <c r="BA16" s="435" t="str">
        <f t="shared" si="15"/>
        <v/>
      </c>
      <c r="BB16" s="435" t="str">
        <f t="shared" si="15"/>
        <v/>
      </c>
      <c r="BC16" s="435" t="str">
        <f t="shared" si="15"/>
        <v/>
      </c>
      <c r="BD16" s="435" t="str">
        <f t="shared" si="15"/>
        <v/>
      </c>
      <c r="BE16" s="435" t="str">
        <f t="shared" si="15"/>
        <v/>
      </c>
      <c r="BF16" s="435" t="str">
        <f t="shared" si="15"/>
        <v/>
      </c>
      <c r="BG16" s="435" t="str">
        <f t="shared" si="15"/>
        <v/>
      </c>
      <c r="BH16" s="435" t="str">
        <f t="shared" si="15"/>
        <v/>
      </c>
      <c r="BI16" s="435" t="str">
        <f t="shared" si="15"/>
        <v/>
      </c>
      <c r="BJ16" s="435" t="str">
        <f t="shared" si="15"/>
        <v/>
      </c>
      <c r="BK16" s="435" t="str">
        <f t="shared" si="15"/>
        <v/>
      </c>
      <c r="BL16" s="435" t="str">
        <f t="shared" si="15"/>
        <v/>
      </c>
      <c r="BM16" s="435" t="str">
        <f t="shared" si="15"/>
        <v/>
      </c>
      <c r="BN16" s="435" t="str">
        <f t="shared" si="15"/>
        <v/>
      </c>
      <c r="BO16" s="435" t="str">
        <f t="shared" si="15"/>
        <v/>
      </c>
      <c r="BP16" s="435" t="str">
        <f t="shared" si="15"/>
        <v/>
      </c>
      <c r="BQ16" s="435" t="str">
        <f t="shared" si="15"/>
        <v/>
      </c>
      <c r="BR16" s="435" t="str">
        <f t="shared" si="15"/>
        <v/>
      </c>
      <c r="BS16" s="435" t="str">
        <f t="shared" si="15"/>
        <v/>
      </c>
      <c r="BT16" s="435" t="str">
        <f t="shared" si="15"/>
        <v/>
      </c>
      <c r="BU16" s="435" t="str">
        <f t="shared" si="15"/>
        <v/>
      </c>
      <c r="BV16" s="435" t="str">
        <f t="shared" si="15"/>
        <v/>
      </c>
      <c r="BW16" s="157"/>
      <c r="CC16" s="437" t="str">
        <f t="shared" ref="CC16" si="16">IF(CC21&lt;&gt;"",IF((CC13+CC14)=0,"-",IF(OR((CC13+CC14)=1,(CC13+CC14)=2),"+/-",IF(OR((CC13+CC14)=3,(CC13+CC14)=4),"+",""))),"")</f>
        <v/>
      </c>
      <c r="CD16" s="437" t="str">
        <f t="shared" ref="CD16:CG16" si="17">IF(CD21&lt;&gt;"",IF((CD13+CD14)=0,"-",IF(OR((CD13+CD14)=1,(CD13+CD14)=2),"+/-",IF(OR((CD13+CD14)=3,(CD13+CD14)=4),"+",""))),"")</f>
        <v/>
      </c>
      <c r="CE16" s="437" t="str">
        <f t="shared" si="17"/>
        <v/>
      </c>
      <c r="CF16" s="437" t="str">
        <f t="shared" si="17"/>
        <v/>
      </c>
      <c r="CG16" s="437" t="str">
        <f t="shared" si="17"/>
        <v/>
      </c>
      <c r="CH16" s="437" t="str">
        <f t="shared" ref="CH16:DA16" si="18">IF(CH21&lt;&gt;"",IF((CH13+CH14)=0,"-",IF(OR((CH13+CH14)=1,(CH13+CH14)=2),"+/-",IF(OR((CH13+CH14)=3,(CH13+CH14)=4),"+",""))),"")</f>
        <v/>
      </c>
      <c r="CI16" s="437" t="str">
        <f t="shared" si="18"/>
        <v/>
      </c>
      <c r="CJ16" s="437" t="str">
        <f t="shared" si="18"/>
        <v/>
      </c>
      <c r="CK16" s="437" t="str">
        <f t="shared" si="18"/>
        <v/>
      </c>
      <c r="CL16" s="437" t="str">
        <f t="shared" si="18"/>
        <v/>
      </c>
      <c r="CM16" s="437" t="str">
        <f t="shared" si="18"/>
        <v/>
      </c>
      <c r="CN16" s="437" t="str">
        <f t="shared" si="18"/>
        <v/>
      </c>
      <c r="CO16" s="437" t="str">
        <f t="shared" si="18"/>
        <v/>
      </c>
      <c r="CP16" s="437" t="str">
        <f t="shared" si="18"/>
        <v/>
      </c>
      <c r="CQ16" s="437" t="str">
        <f t="shared" si="18"/>
        <v/>
      </c>
      <c r="CR16" s="437" t="str">
        <f t="shared" si="18"/>
        <v/>
      </c>
      <c r="CS16" s="437" t="str">
        <f t="shared" si="18"/>
        <v/>
      </c>
      <c r="CT16" s="437" t="str">
        <f t="shared" si="18"/>
        <v/>
      </c>
      <c r="CU16" s="437" t="str">
        <f t="shared" si="18"/>
        <v/>
      </c>
      <c r="CV16" s="437" t="str">
        <f t="shared" si="18"/>
        <v/>
      </c>
      <c r="CW16" s="437" t="str">
        <f t="shared" si="18"/>
        <v/>
      </c>
      <c r="CX16" s="437" t="str">
        <f t="shared" si="18"/>
        <v/>
      </c>
      <c r="CY16" s="437" t="str">
        <f t="shared" si="18"/>
        <v/>
      </c>
      <c r="CZ16" s="437" t="str">
        <f t="shared" si="18"/>
        <v/>
      </c>
      <c r="DA16" s="437" t="str">
        <f t="shared" si="18"/>
        <v/>
      </c>
      <c r="DB16" s="24"/>
    </row>
    <row r="17" spans="1:140" ht="17.25" customHeight="1" thickBot="1" x14ac:dyDescent="0.25">
      <c r="S17" s="19"/>
      <c r="T17" s="338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57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24"/>
    </row>
    <row r="18" spans="1:140" ht="22.5" customHeight="1" x14ac:dyDescent="0.2">
      <c r="C18" s="476" t="s">
        <v>22</v>
      </c>
      <c r="D18" s="477"/>
      <c r="E18" s="477"/>
      <c r="F18" s="477"/>
      <c r="G18" s="477"/>
      <c r="H18" s="477"/>
      <c r="I18" s="477"/>
      <c r="J18" s="477"/>
      <c r="K18" s="477"/>
      <c r="L18" s="477"/>
      <c r="M18" s="477"/>
      <c r="N18" s="477"/>
      <c r="O18" s="477"/>
      <c r="P18" s="478"/>
      <c r="Q18" s="193"/>
      <c r="T18" s="31">
        <f t="shared" ref="T18:AN18" si="19">T13*T$9</f>
        <v>0</v>
      </c>
      <c r="U18" s="31">
        <f t="shared" si="19"/>
        <v>0</v>
      </c>
      <c r="V18" s="31">
        <f t="shared" si="19"/>
        <v>0</v>
      </c>
      <c r="W18" s="31">
        <f t="shared" si="19"/>
        <v>0</v>
      </c>
      <c r="X18" s="31">
        <f t="shared" si="19"/>
        <v>0</v>
      </c>
      <c r="Y18" s="31">
        <f t="shared" si="19"/>
        <v>0</v>
      </c>
      <c r="Z18" s="31">
        <f t="shared" si="19"/>
        <v>0</v>
      </c>
      <c r="AA18" s="31">
        <f t="shared" si="19"/>
        <v>0</v>
      </c>
      <c r="AB18" s="31">
        <f t="shared" si="19"/>
        <v>0</v>
      </c>
      <c r="AC18" s="31">
        <f t="shared" si="19"/>
        <v>0</v>
      </c>
      <c r="AD18" s="31">
        <f t="shared" si="19"/>
        <v>0</v>
      </c>
      <c r="AE18" s="31">
        <f t="shared" si="19"/>
        <v>0</v>
      </c>
      <c r="AF18" s="31">
        <f t="shared" si="19"/>
        <v>0</v>
      </c>
      <c r="AG18" s="31">
        <f t="shared" si="19"/>
        <v>0</v>
      </c>
      <c r="AH18" s="31">
        <f t="shared" si="19"/>
        <v>0</v>
      </c>
      <c r="AI18" s="31">
        <f t="shared" si="19"/>
        <v>0</v>
      </c>
      <c r="AJ18" s="31">
        <f t="shared" si="19"/>
        <v>0</v>
      </c>
      <c r="AK18" s="31">
        <f t="shared" si="19"/>
        <v>0</v>
      </c>
      <c r="AL18" s="31">
        <f t="shared" si="19"/>
        <v>0</v>
      </c>
      <c r="AM18" s="31">
        <f t="shared" si="19"/>
        <v>0</v>
      </c>
      <c r="AN18" s="31">
        <f t="shared" si="19"/>
        <v>0</v>
      </c>
      <c r="AO18" s="31">
        <f t="shared" ref="AO18:AS18" si="20">AO13*AO$9</f>
        <v>0</v>
      </c>
      <c r="AP18" s="31">
        <f t="shared" si="20"/>
        <v>0</v>
      </c>
      <c r="AQ18" s="31">
        <f t="shared" si="20"/>
        <v>0</v>
      </c>
      <c r="AR18" s="31">
        <f t="shared" si="20"/>
        <v>0</v>
      </c>
      <c r="AS18" s="31">
        <f t="shared" si="20"/>
        <v>0</v>
      </c>
      <c r="AT18" s="31">
        <f t="shared" ref="AT18:BR18" si="21">AT13*AT$9</f>
        <v>0</v>
      </c>
      <c r="AU18" s="31">
        <f t="shared" si="21"/>
        <v>0</v>
      </c>
      <c r="AV18" s="31">
        <f t="shared" si="21"/>
        <v>0</v>
      </c>
      <c r="AW18" s="31">
        <f t="shared" si="21"/>
        <v>0</v>
      </c>
      <c r="AX18" s="31">
        <f t="shared" si="21"/>
        <v>0</v>
      </c>
      <c r="AY18" s="31">
        <f t="shared" si="21"/>
        <v>0</v>
      </c>
      <c r="AZ18" s="31">
        <f t="shared" si="21"/>
        <v>0</v>
      </c>
      <c r="BA18" s="31">
        <f t="shared" si="21"/>
        <v>0</v>
      </c>
      <c r="BB18" s="31">
        <f t="shared" ref="BB18:BO18" si="22">BB13*BB$9</f>
        <v>0</v>
      </c>
      <c r="BC18" s="31">
        <f t="shared" si="22"/>
        <v>0</v>
      </c>
      <c r="BD18" s="31">
        <f t="shared" si="22"/>
        <v>0</v>
      </c>
      <c r="BE18" s="31">
        <f t="shared" si="22"/>
        <v>0</v>
      </c>
      <c r="BF18" s="31">
        <f t="shared" si="22"/>
        <v>0</v>
      </c>
      <c r="BG18" s="31">
        <f t="shared" si="22"/>
        <v>0</v>
      </c>
      <c r="BH18" s="31">
        <f t="shared" si="22"/>
        <v>0</v>
      </c>
      <c r="BI18" s="31">
        <f t="shared" si="22"/>
        <v>0</v>
      </c>
      <c r="BJ18" s="31">
        <f t="shared" si="22"/>
        <v>0</v>
      </c>
      <c r="BK18" s="31">
        <f t="shared" si="22"/>
        <v>0</v>
      </c>
      <c r="BL18" s="31">
        <f t="shared" si="22"/>
        <v>0</v>
      </c>
      <c r="BM18" s="31">
        <f t="shared" si="22"/>
        <v>0</v>
      </c>
      <c r="BN18" s="31">
        <f t="shared" si="22"/>
        <v>0</v>
      </c>
      <c r="BO18" s="31">
        <f t="shared" si="22"/>
        <v>0</v>
      </c>
      <c r="BP18" s="31">
        <f t="shared" si="21"/>
        <v>0</v>
      </c>
      <c r="BQ18" s="31">
        <f t="shared" si="21"/>
        <v>0</v>
      </c>
      <c r="BR18" s="31">
        <f t="shared" si="21"/>
        <v>0</v>
      </c>
      <c r="BS18" s="31">
        <f t="shared" ref="BS18:BU18" si="23">BS13*BS$9</f>
        <v>0</v>
      </c>
      <c r="BT18" s="31">
        <f t="shared" si="23"/>
        <v>0</v>
      </c>
      <c r="BU18" s="31">
        <f t="shared" si="23"/>
        <v>0</v>
      </c>
      <c r="BV18" s="31">
        <f t="shared" ref="BV18" si="24">BV13*BV$9</f>
        <v>0</v>
      </c>
      <c r="BW18" s="157"/>
      <c r="BX18" s="476" t="s">
        <v>18</v>
      </c>
      <c r="BY18" s="477"/>
      <c r="BZ18" s="478"/>
      <c r="CC18" s="31">
        <f t="shared" ref="CC18:CW18" si="25">CC13*CC$9</f>
        <v>0</v>
      </c>
      <c r="CD18" s="31">
        <f t="shared" si="25"/>
        <v>0</v>
      </c>
      <c r="CE18" s="31">
        <f t="shared" si="25"/>
        <v>0</v>
      </c>
      <c r="CF18" s="31">
        <f t="shared" si="25"/>
        <v>0</v>
      </c>
      <c r="CG18" s="31">
        <f t="shared" si="25"/>
        <v>0</v>
      </c>
      <c r="CH18" s="31">
        <f t="shared" si="25"/>
        <v>0</v>
      </c>
      <c r="CI18" s="31">
        <f t="shared" si="25"/>
        <v>0</v>
      </c>
      <c r="CJ18" s="31">
        <f t="shared" si="25"/>
        <v>0</v>
      </c>
      <c r="CK18" s="31">
        <f t="shared" si="25"/>
        <v>0</v>
      </c>
      <c r="CL18" s="31">
        <f t="shared" si="25"/>
        <v>0</v>
      </c>
      <c r="CM18" s="31">
        <f t="shared" si="25"/>
        <v>0</v>
      </c>
      <c r="CN18" s="31">
        <f t="shared" si="25"/>
        <v>0</v>
      </c>
      <c r="CO18" s="31">
        <f t="shared" si="25"/>
        <v>0</v>
      </c>
      <c r="CP18" s="31">
        <f t="shared" si="25"/>
        <v>0</v>
      </c>
      <c r="CQ18" s="31">
        <f t="shared" si="25"/>
        <v>0</v>
      </c>
      <c r="CR18" s="31">
        <f t="shared" si="25"/>
        <v>0</v>
      </c>
      <c r="CS18" s="31">
        <f t="shared" si="25"/>
        <v>0</v>
      </c>
      <c r="CT18" s="31">
        <f t="shared" si="25"/>
        <v>0</v>
      </c>
      <c r="CU18" s="31">
        <f t="shared" si="25"/>
        <v>0</v>
      </c>
      <c r="CV18" s="31">
        <f t="shared" si="25"/>
        <v>0</v>
      </c>
      <c r="CW18" s="31">
        <f t="shared" si="25"/>
        <v>0</v>
      </c>
      <c r="CX18" s="31">
        <f t="shared" ref="CX18:DA18" si="26">CX13*CX$9</f>
        <v>0</v>
      </c>
      <c r="CY18" s="31">
        <f t="shared" si="26"/>
        <v>0</v>
      </c>
      <c r="CZ18" s="31">
        <f t="shared" ref="CZ18" si="27">CZ13*CZ$9</f>
        <v>0</v>
      </c>
      <c r="DA18" s="31">
        <f t="shared" si="26"/>
        <v>0</v>
      </c>
      <c r="DC18" s="476" t="s">
        <v>66</v>
      </c>
      <c r="DD18" s="477"/>
      <c r="DE18" s="478"/>
    </row>
    <row r="19" spans="1:140" s="15" customFormat="1" ht="17.25" customHeight="1" x14ac:dyDescent="0.2">
      <c r="C19" s="479" t="s">
        <v>25</v>
      </c>
      <c r="D19" s="480"/>
      <c r="E19" s="147"/>
      <c r="F19" s="85"/>
      <c r="G19" s="148"/>
      <c r="H19" s="148"/>
      <c r="I19" s="148"/>
      <c r="J19" s="480" t="s">
        <v>24</v>
      </c>
      <c r="K19" s="480"/>
      <c r="L19" s="480"/>
      <c r="M19" s="480"/>
      <c r="N19" s="481"/>
      <c r="O19" s="481"/>
      <c r="P19" s="482"/>
      <c r="Q19" s="193"/>
      <c r="T19" s="31">
        <f>T14*T$9</f>
        <v>0</v>
      </c>
      <c r="U19" s="31">
        <f t="shared" ref="U19:AM19" si="28">U14*U$9</f>
        <v>0</v>
      </c>
      <c r="V19" s="31">
        <f t="shared" si="28"/>
        <v>0</v>
      </c>
      <c r="W19" s="31">
        <f t="shared" si="28"/>
        <v>0</v>
      </c>
      <c r="X19" s="31">
        <f t="shared" si="28"/>
        <v>0</v>
      </c>
      <c r="Y19" s="31">
        <f t="shared" si="28"/>
        <v>0</v>
      </c>
      <c r="Z19" s="31">
        <f t="shared" si="28"/>
        <v>0</v>
      </c>
      <c r="AA19" s="31">
        <f t="shared" si="28"/>
        <v>0</v>
      </c>
      <c r="AB19" s="31">
        <f t="shared" si="28"/>
        <v>0</v>
      </c>
      <c r="AC19" s="31">
        <f t="shared" si="28"/>
        <v>0</v>
      </c>
      <c r="AD19" s="31">
        <f t="shared" si="28"/>
        <v>0</v>
      </c>
      <c r="AE19" s="31">
        <f t="shared" si="28"/>
        <v>0</v>
      </c>
      <c r="AF19" s="31">
        <f t="shared" si="28"/>
        <v>0</v>
      </c>
      <c r="AG19" s="31">
        <f t="shared" si="28"/>
        <v>0</v>
      </c>
      <c r="AH19" s="31">
        <f t="shared" si="28"/>
        <v>0</v>
      </c>
      <c r="AI19" s="31">
        <f t="shared" si="28"/>
        <v>0</v>
      </c>
      <c r="AJ19" s="31">
        <f t="shared" si="28"/>
        <v>0</v>
      </c>
      <c r="AK19" s="31">
        <f t="shared" si="28"/>
        <v>0</v>
      </c>
      <c r="AL19" s="31">
        <f t="shared" si="28"/>
        <v>0</v>
      </c>
      <c r="AM19" s="31">
        <f t="shared" si="28"/>
        <v>0</v>
      </c>
      <c r="AN19" s="31">
        <f>AN14*AN$9</f>
        <v>0</v>
      </c>
      <c r="AO19" s="31">
        <f t="shared" ref="AO19:AS19" si="29">AO14*AO$9</f>
        <v>0</v>
      </c>
      <c r="AP19" s="31">
        <f t="shared" si="29"/>
        <v>0</v>
      </c>
      <c r="AQ19" s="31">
        <f t="shared" si="29"/>
        <v>0</v>
      </c>
      <c r="AR19" s="31">
        <f t="shared" si="29"/>
        <v>0</v>
      </c>
      <c r="AS19" s="31">
        <f t="shared" si="29"/>
        <v>0</v>
      </c>
      <c r="AT19" s="31">
        <f t="shared" ref="AT19:BR19" si="30">AT14*AT$9</f>
        <v>0</v>
      </c>
      <c r="AU19" s="31">
        <f t="shared" si="30"/>
        <v>0</v>
      </c>
      <c r="AV19" s="31">
        <f t="shared" si="30"/>
        <v>0</v>
      </c>
      <c r="AW19" s="31">
        <f t="shared" si="30"/>
        <v>0</v>
      </c>
      <c r="AX19" s="31">
        <f t="shared" si="30"/>
        <v>0</v>
      </c>
      <c r="AY19" s="31">
        <f t="shared" si="30"/>
        <v>0</v>
      </c>
      <c r="AZ19" s="31">
        <f t="shared" si="30"/>
        <v>0</v>
      </c>
      <c r="BA19" s="31">
        <f t="shared" si="30"/>
        <v>0</v>
      </c>
      <c r="BB19" s="31">
        <f t="shared" ref="BB19:BG19" si="31">BB14*BB$9</f>
        <v>0</v>
      </c>
      <c r="BC19" s="31">
        <f t="shared" si="31"/>
        <v>0</v>
      </c>
      <c r="BD19" s="31">
        <f t="shared" si="31"/>
        <v>0</v>
      </c>
      <c r="BE19" s="31">
        <f t="shared" si="31"/>
        <v>0</v>
      </c>
      <c r="BF19" s="31">
        <f t="shared" si="31"/>
        <v>0</v>
      </c>
      <c r="BG19" s="31">
        <f t="shared" si="31"/>
        <v>0</v>
      </c>
      <c r="BH19" s="31">
        <f t="shared" ref="BH19:BO19" si="32">BH14*BH$9</f>
        <v>0</v>
      </c>
      <c r="BI19" s="31">
        <f t="shared" si="32"/>
        <v>0</v>
      </c>
      <c r="BJ19" s="31">
        <f t="shared" si="32"/>
        <v>0</v>
      </c>
      <c r="BK19" s="31">
        <f t="shared" si="32"/>
        <v>0</v>
      </c>
      <c r="BL19" s="31">
        <f t="shared" si="32"/>
        <v>0</v>
      </c>
      <c r="BM19" s="31">
        <f t="shared" si="32"/>
        <v>0</v>
      </c>
      <c r="BN19" s="31">
        <f t="shared" si="32"/>
        <v>0</v>
      </c>
      <c r="BO19" s="31">
        <f t="shared" si="32"/>
        <v>0</v>
      </c>
      <c r="BP19" s="31">
        <f t="shared" si="30"/>
        <v>0</v>
      </c>
      <c r="BQ19" s="31">
        <f t="shared" si="30"/>
        <v>0</v>
      </c>
      <c r="BR19" s="31">
        <f t="shared" si="30"/>
        <v>0</v>
      </c>
      <c r="BS19" s="31">
        <f t="shared" ref="BS19:BU19" si="33">BS14*BS$9</f>
        <v>0</v>
      </c>
      <c r="BT19" s="31">
        <f t="shared" si="33"/>
        <v>0</v>
      </c>
      <c r="BU19" s="31">
        <f t="shared" si="33"/>
        <v>0</v>
      </c>
      <c r="BV19" s="31">
        <f t="shared" ref="BV19" si="34">BV14*BV$9</f>
        <v>0</v>
      </c>
      <c r="BW19" s="157"/>
      <c r="BX19" s="479" t="s">
        <v>41</v>
      </c>
      <c r="BY19" s="481"/>
      <c r="BZ19" s="482"/>
      <c r="CC19" s="31">
        <f>CC14*CC$9</f>
        <v>0</v>
      </c>
      <c r="CD19" s="31">
        <f t="shared" ref="CD19:CJ19" si="35">CD14*CD$9</f>
        <v>0</v>
      </c>
      <c r="CE19" s="31">
        <f t="shared" si="35"/>
        <v>0</v>
      </c>
      <c r="CF19" s="31">
        <f t="shared" si="35"/>
        <v>0</v>
      </c>
      <c r="CG19" s="31">
        <f t="shared" si="35"/>
        <v>0</v>
      </c>
      <c r="CH19" s="31">
        <f t="shared" si="35"/>
        <v>0</v>
      </c>
      <c r="CI19" s="31">
        <f t="shared" si="35"/>
        <v>0</v>
      </c>
      <c r="CJ19" s="31">
        <f t="shared" si="35"/>
        <v>0</v>
      </c>
      <c r="CK19" s="31">
        <f>CK14*CK$9</f>
        <v>0</v>
      </c>
      <c r="CL19" s="31">
        <f>CL14*CL$9</f>
        <v>0</v>
      </c>
      <c r="CM19" s="31">
        <f>CM14*CM$9</f>
        <v>0</v>
      </c>
      <c r="CN19" s="31">
        <f>CN14*CN$9</f>
        <v>0</v>
      </c>
      <c r="CO19" s="31">
        <f>CO14*CO$9</f>
        <v>0</v>
      </c>
      <c r="CP19" s="31">
        <f t="shared" ref="CP19:CS19" si="36">CP14*CP$9</f>
        <v>0</v>
      </c>
      <c r="CQ19" s="31">
        <f t="shared" si="36"/>
        <v>0</v>
      </c>
      <c r="CR19" s="31">
        <f t="shared" si="36"/>
        <v>0</v>
      </c>
      <c r="CS19" s="31">
        <f t="shared" si="36"/>
        <v>0</v>
      </c>
      <c r="CT19" s="31">
        <f>CT14*CT$9</f>
        <v>0</v>
      </c>
      <c r="CU19" s="31">
        <f>CU14*CU$9</f>
        <v>0</v>
      </c>
      <c r="CV19" s="31">
        <f>CV14*CV$9</f>
        <v>0</v>
      </c>
      <c r="CW19" s="31">
        <f>CW14*CW$9</f>
        <v>0</v>
      </c>
      <c r="CX19" s="31">
        <f t="shared" ref="CX19:DA19" si="37">CX14*CX$9</f>
        <v>0</v>
      </c>
      <c r="CY19" s="31">
        <f t="shared" si="37"/>
        <v>0</v>
      </c>
      <c r="CZ19" s="31">
        <f t="shared" ref="CZ19" si="38">CZ14*CZ$9</f>
        <v>0</v>
      </c>
      <c r="DA19" s="31">
        <f t="shared" si="37"/>
        <v>0</v>
      </c>
      <c r="DC19" s="479" t="s">
        <v>41</v>
      </c>
      <c r="DD19" s="481"/>
      <c r="DE19" s="482"/>
    </row>
    <row r="20" spans="1:140" ht="18.75" customHeight="1" x14ac:dyDescent="0.2">
      <c r="C20" s="199"/>
      <c r="D20" s="156"/>
      <c r="E20" s="155"/>
      <c r="F20" s="156"/>
      <c r="G20" s="149"/>
      <c r="H20" s="209"/>
      <c r="I20" s="209"/>
      <c r="J20" s="198"/>
      <c r="K20" s="472" t="s">
        <v>217</v>
      </c>
      <c r="L20" s="473"/>
      <c r="M20" s="473"/>
      <c r="N20" s="474"/>
      <c r="O20" s="475"/>
      <c r="P20" s="16"/>
      <c r="Q20" s="100"/>
      <c r="T20" s="95">
        <v>1</v>
      </c>
      <c r="U20" s="95">
        <v>1</v>
      </c>
      <c r="V20" s="95">
        <v>1</v>
      </c>
      <c r="W20" s="95">
        <v>1</v>
      </c>
      <c r="X20" s="95">
        <v>1</v>
      </c>
      <c r="Y20" s="95">
        <v>1</v>
      </c>
      <c r="Z20" s="95">
        <v>1</v>
      </c>
      <c r="AA20" s="95">
        <v>1</v>
      </c>
      <c r="AB20" s="95">
        <v>1</v>
      </c>
      <c r="AC20" s="95">
        <v>1</v>
      </c>
      <c r="AD20" s="95">
        <v>1</v>
      </c>
      <c r="AE20" s="95">
        <v>1</v>
      </c>
      <c r="AF20" s="95">
        <v>1</v>
      </c>
      <c r="AG20" s="95">
        <v>1</v>
      </c>
      <c r="AH20" s="95">
        <v>1</v>
      </c>
      <c r="AI20" s="95">
        <v>1</v>
      </c>
      <c r="AJ20" s="95">
        <v>1</v>
      </c>
      <c r="AK20" s="95">
        <v>1</v>
      </c>
      <c r="AL20" s="95">
        <v>1</v>
      </c>
      <c r="AM20" s="95">
        <v>1</v>
      </c>
      <c r="AN20" s="95">
        <v>1</v>
      </c>
      <c r="AO20" s="95">
        <v>1</v>
      </c>
      <c r="AP20" s="95">
        <v>1</v>
      </c>
      <c r="AQ20" s="95">
        <v>1</v>
      </c>
      <c r="AR20" s="95">
        <v>1</v>
      </c>
      <c r="AS20" s="95">
        <v>1</v>
      </c>
      <c r="AT20" s="95">
        <v>1</v>
      </c>
      <c r="AU20" s="95">
        <v>1</v>
      </c>
      <c r="AV20" s="95">
        <v>1</v>
      </c>
      <c r="AW20" s="95">
        <v>1</v>
      </c>
      <c r="AX20" s="95">
        <v>1</v>
      </c>
      <c r="AY20" s="95">
        <v>1</v>
      </c>
      <c r="AZ20" s="95">
        <v>1</v>
      </c>
      <c r="BA20" s="95">
        <v>1</v>
      </c>
      <c r="BB20" s="95">
        <v>1</v>
      </c>
      <c r="BC20" s="95">
        <v>1</v>
      </c>
      <c r="BD20" s="95">
        <v>1</v>
      </c>
      <c r="BE20" s="95">
        <v>1</v>
      </c>
      <c r="BF20" s="95">
        <v>1</v>
      </c>
      <c r="BG20" s="95">
        <v>1</v>
      </c>
      <c r="BH20" s="95">
        <v>1</v>
      </c>
      <c r="BI20" s="95">
        <v>1</v>
      </c>
      <c r="BJ20" s="95">
        <v>1</v>
      </c>
      <c r="BK20" s="95">
        <v>1</v>
      </c>
      <c r="BL20" s="95">
        <v>1</v>
      </c>
      <c r="BM20" s="95">
        <v>1</v>
      </c>
      <c r="BN20" s="95">
        <v>1</v>
      </c>
      <c r="BO20" s="95">
        <v>1</v>
      </c>
      <c r="BP20" s="95">
        <v>1</v>
      </c>
      <c r="BQ20" s="95">
        <v>1</v>
      </c>
      <c r="BR20" s="95">
        <v>1</v>
      </c>
      <c r="BS20" s="95">
        <v>1</v>
      </c>
      <c r="BT20" s="95">
        <v>1</v>
      </c>
      <c r="BU20" s="95">
        <v>1</v>
      </c>
      <c r="BV20" s="95">
        <v>1</v>
      </c>
      <c r="BW20" s="157"/>
      <c r="BX20" s="195"/>
      <c r="BY20" s="198"/>
      <c r="BZ20" s="16"/>
      <c r="CC20" s="35" t="s">
        <v>246</v>
      </c>
      <c r="CD20" s="35" t="s">
        <v>246</v>
      </c>
      <c r="CE20" s="35" t="s">
        <v>246</v>
      </c>
      <c r="CF20" s="35" t="s">
        <v>246</v>
      </c>
      <c r="CG20" s="35" t="s">
        <v>246</v>
      </c>
      <c r="CH20" s="35" t="s">
        <v>246</v>
      </c>
      <c r="CI20" s="35" t="s">
        <v>246</v>
      </c>
      <c r="CJ20" s="35" t="s">
        <v>246</v>
      </c>
      <c r="CK20" s="35" t="s">
        <v>246</v>
      </c>
      <c r="CL20" s="35" t="s">
        <v>246</v>
      </c>
      <c r="CM20" s="35" t="s">
        <v>246</v>
      </c>
      <c r="CN20" s="35" t="s">
        <v>246</v>
      </c>
      <c r="CO20" s="35" t="s">
        <v>246</v>
      </c>
      <c r="CP20" s="35" t="s">
        <v>246</v>
      </c>
      <c r="CQ20" s="35" t="s">
        <v>246</v>
      </c>
      <c r="CR20" s="35" t="s">
        <v>246</v>
      </c>
      <c r="CS20" s="35" t="s">
        <v>246</v>
      </c>
      <c r="CT20" s="35" t="s">
        <v>246</v>
      </c>
      <c r="CU20" s="35" t="s">
        <v>246</v>
      </c>
      <c r="CV20" s="35" t="s">
        <v>246</v>
      </c>
      <c r="CW20" s="35" t="s">
        <v>246</v>
      </c>
      <c r="CX20" s="35" t="s">
        <v>246</v>
      </c>
      <c r="CY20" s="35" t="s">
        <v>246</v>
      </c>
      <c r="CZ20" s="35" t="s">
        <v>246</v>
      </c>
      <c r="DA20" s="35" t="s">
        <v>246</v>
      </c>
      <c r="DC20" s="195"/>
      <c r="DD20" s="198"/>
      <c r="DE20" s="16"/>
    </row>
    <row r="21" spans="1:140" ht="135" customHeight="1" x14ac:dyDescent="0.25">
      <c r="A21" s="15"/>
      <c r="B21" s="15"/>
      <c r="C21" s="199" t="s">
        <v>26</v>
      </c>
      <c r="D21" s="200" t="s">
        <v>0</v>
      </c>
      <c r="E21" s="197" t="s">
        <v>223</v>
      </c>
      <c r="F21" s="200" t="s">
        <v>79</v>
      </c>
      <c r="G21" s="187" t="s">
        <v>27</v>
      </c>
      <c r="H21" s="187"/>
      <c r="I21" s="187"/>
      <c r="J21" s="201" t="s">
        <v>216</v>
      </c>
      <c r="K21" s="80" t="s">
        <v>13</v>
      </c>
      <c r="L21" s="81" t="s">
        <v>14</v>
      </c>
      <c r="M21" s="82" t="s">
        <v>15</v>
      </c>
      <c r="N21" s="82" t="s">
        <v>56</v>
      </c>
      <c r="O21" s="246"/>
      <c r="P21" s="245" t="s">
        <v>218</v>
      </c>
      <c r="Q21" s="188"/>
      <c r="R21" s="186" t="s">
        <v>59</v>
      </c>
      <c r="S21" s="186"/>
      <c r="T21" s="285"/>
      <c r="U21" s="285"/>
      <c r="V21" s="286"/>
      <c r="W21" s="286"/>
      <c r="X21" s="286"/>
      <c r="Y21" s="286"/>
      <c r="Z21" s="286"/>
      <c r="AA21" s="286"/>
      <c r="AB21" s="286"/>
      <c r="AC21" s="286"/>
      <c r="AD21" s="286"/>
      <c r="AE21" s="286"/>
      <c r="AF21" s="286"/>
      <c r="AG21" s="286"/>
      <c r="AH21" s="286"/>
      <c r="AI21" s="286"/>
      <c r="AJ21" s="286"/>
      <c r="AK21" s="286"/>
      <c r="AL21" s="286"/>
      <c r="AM21" s="286"/>
      <c r="AN21" s="269"/>
      <c r="AO21" s="285"/>
      <c r="AP21" s="286"/>
      <c r="AQ21" s="286"/>
      <c r="AR21" s="286"/>
      <c r="AS21" s="286"/>
      <c r="AT21" s="286"/>
      <c r="AU21" s="286"/>
      <c r="AV21" s="286"/>
      <c r="AW21" s="286"/>
      <c r="AX21" s="286"/>
      <c r="AY21" s="286"/>
      <c r="AZ21" s="286"/>
      <c r="BA21" s="286"/>
      <c r="BB21" s="286"/>
      <c r="BC21" s="286"/>
      <c r="BD21" s="286"/>
      <c r="BE21" s="286"/>
      <c r="BF21" s="286"/>
      <c r="BG21" s="286"/>
      <c r="BH21" s="269"/>
      <c r="BI21" s="286"/>
      <c r="BJ21" s="286"/>
      <c r="BK21" s="286"/>
      <c r="BL21" s="286"/>
      <c r="BM21" s="286"/>
      <c r="BN21" s="286"/>
      <c r="BO21" s="286"/>
      <c r="BP21" s="286"/>
      <c r="BQ21" s="286"/>
      <c r="BR21" s="286"/>
      <c r="BS21" s="286"/>
      <c r="BT21" s="286"/>
      <c r="BU21" s="286"/>
      <c r="BV21" s="269"/>
      <c r="BW21" s="157"/>
      <c r="BX21" s="196" t="s">
        <v>212</v>
      </c>
      <c r="BY21" s="197" t="s">
        <v>213</v>
      </c>
      <c r="BZ21" s="245" t="s">
        <v>233</v>
      </c>
      <c r="CB21" s="97" t="s">
        <v>48</v>
      </c>
      <c r="CC21" s="340"/>
      <c r="CD21" s="340"/>
      <c r="CE21" s="340"/>
      <c r="CF21" s="340"/>
      <c r="CG21" s="341"/>
      <c r="CH21" s="340"/>
      <c r="CI21" s="340"/>
      <c r="CJ21" s="340"/>
      <c r="CK21" s="340"/>
      <c r="CL21" s="340"/>
      <c r="CM21" s="340"/>
      <c r="CN21" s="340"/>
      <c r="CO21" s="340"/>
      <c r="CP21" s="341"/>
      <c r="CQ21" s="340"/>
      <c r="CR21" s="340"/>
      <c r="CS21" s="340"/>
      <c r="CT21" s="340"/>
      <c r="CU21" s="340"/>
      <c r="CV21" s="341"/>
      <c r="CW21" s="340"/>
      <c r="CX21" s="340"/>
      <c r="CY21" s="340"/>
      <c r="CZ21" s="340"/>
      <c r="DA21" s="340"/>
      <c r="DB21" s="270"/>
      <c r="DC21" s="196" t="s">
        <v>214</v>
      </c>
      <c r="DD21" s="197" t="s">
        <v>215</v>
      </c>
      <c r="DE21" s="245" t="s">
        <v>219</v>
      </c>
    </row>
    <row r="22" spans="1:140" ht="18.75" customHeight="1" x14ac:dyDescent="0.2">
      <c r="A22" s="15"/>
      <c r="B22" s="15"/>
      <c r="C22" s="99"/>
      <c r="D22" s="100"/>
      <c r="E22" s="100"/>
      <c r="F22" s="100"/>
      <c r="G22" s="102"/>
      <c r="H22" s="102"/>
      <c r="I22" s="102"/>
      <c r="J22" s="100"/>
      <c r="K22" s="102"/>
      <c r="L22" s="102"/>
      <c r="M22" s="102"/>
      <c r="N22" s="102"/>
      <c r="O22" s="103"/>
      <c r="P22" s="101"/>
      <c r="Q22" s="188"/>
      <c r="S22" s="96"/>
      <c r="T22" s="258"/>
      <c r="U22" s="258"/>
      <c r="V22" s="258"/>
      <c r="W22" s="258"/>
      <c r="X22" s="258"/>
      <c r="Y22" s="258"/>
      <c r="Z22" s="258"/>
      <c r="AA22" s="258"/>
      <c r="AB22" s="258"/>
      <c r="AC22" s="258"/>
      <c r="AD22" s="258"/>
      <c r="AE22" s="258"/>
      <c r="AF22" s="258"/>
      <c r="AG22" s="258"/>
      <c r="AH22" s="258"/>
      <c r="AI22" s="258"/>
      <c r="AJ22" s="258"/>
      <c r="AK22" s="258"/>
      <c r="AL22" s="258"/>
      <c r="AM22" s="258"/>
      <c r="AN22" s="258"/>
      <c r="AO22" s="258"/>
      <c r="AP22" s="258"/>
      <c r="AQ22" s="258"/>
      <c r="AR22" s="258"/>
      <c r="AS22" s="258"/>
      <c r="AT22" s="258"/>
      <c r="AU22" s="258"/>
      <c r="AV22" s="258"/>
      <c r="AW22" s="258"/>
      <c r="AX22" s="258"/>
      <c r="AY22" s="258"/>
      <c r="AZ22" s="258"/>
      <c r="BA22" s="258"/>
      <c r="BB22" s="258"/>
      <c r="BC22" s="258"/>
      <c r="BD22" s="258"/>
      <c r="BE22" s="258"/>
      <c r="BF22" s="258"/>
      <c r="BG22" s="258"/>
      <c r="BH22" s="258"/>
      <c r="BI22" s="258"/>
      <c r="BJ22" s="258"/>
      <c r="BK22" s="258"/>
      <c r="BL22" s="258"/>
      <c r="BM22" s="258"/>
      <c r="BN22" s="258"/>
      <c r="BO22" s="258"/>
      <c r="BP22" s="258"/>
      <c r="BQ22" s="258"/>
      <c r="BR22" s="258"/>
      <c r="BS22" s="258"/>
      <c r="BT22" s="258"/>
      <c r="BU22" s="258"/>
      <c r="BV22" s="258"/>
      <c r="BW22" s="98"/>
      <c r="BX22" s="99"/>
      <c r="BY22" s="100"/>
      <c r="BZ22" s="101"/>
      <c r="CB22" s="97"/>
      <c r="CC22" s="323"/>
      <c r="CD22" s="323"/>
      <c r="CE22" s="323"/>
      <c r="CF22" s="323"/>
      <c r="CG22" s="323"/>
      <c r="CH22" s="323"/>
      <c r="CI22" s="323"/>
      <c r="CJ22" s="323"/>
      <c r="CK22" s="323"/>
      <c r="CL22" s="323"/>
      <c r="CM22" s="323"/>
      <c r="CN22" s="323"/>
      <c r="CO22" s="323"/>
      <c r="CP22" s="323"/>
      <c r="CQ22" s="323"/>
      <c r="CR22" s="323"/>
      <c r="CS22" s="323"/>
      <c r="CT22" s="323"/>
      <c r="CU22" s="323"/>
      <c r="CV22" s="323"/>
      <c r="CW22" s="323"/>
      <c r="CX22" s="323"/>
      <c r="CY22" s="323"/>
      <c r="CZ22" s="323"/>
      <c r="DA22" s="323"/>
      <c r="DB22" s="271"/>
      <c r="DC22" s="99"/>
      <c r="DD22" s="100"/>
      <c r="DE22" s="101"/>
    </row>
    <row r="23" spans="1:140" s="6" customFormat="1" ht="14.25" customHeight="1" x14ac:dyDescent="0.2">
      <c r="A23" s="9"/>
      <c r="B23" s="9"/>
      <c r="C23" s="433" t="str">
        <f>IF(D23="","",$G$1&amp;"-R"&amp;Listes!A2)</f>
        <v>DI2-R1</v>
      </c>
      <c r="D23" s="280" t="s">
        <v>255</v>
      </c>
      <c r="E23" s="281"/>
      <c r="F23" s="281"/>
      <c r="G23" s="278"/>
      <c r="H23" s="304" t="str">
        <f>IF(G23="","",VLOOKUP(G23,Listes!W4:Y51,2,FALSE))</f>
        <v/>
      </c>
      <c r="I23" s="304" t="str">
        <f>IF(G23="","",VLOOKUP(G23,Listes!W4:Y51,3,FALSE))</f>
        <v/>
      </c>
      <c r="J23" s="282"/>
      <c r="K23" s="283"/>
      <c r="L23" s="283"/>
      <c r="M23" s="283"/>
      <c r="N23" s="283"/>
      <c r="O23" s="318" t="str">
        <f>IF(AND(K23="",L23="",M23="",N23=""),"",MAX(K23:N23))</f>
        <v/>
      </c>
      <c r="P23" s="319" t="str">
        <f t="shared" ref="P23:P28" si="39">IF(OR(J23="",O23=""),"",IF((O23+J23)&lt;4,"Très faible",IF((J23+O23)=4,"Faible",IF((O23+J23)=6,"Moyenne",IF((J23+O23)=7,"Forte",IF((O23+J23)&gt;=8,"Majeure",IF(OR(AND(J23=4,O23=1),AND(J23=1,O23=4)),"Faible",IF(OR(AND(J23=3,O23=2),AND(J23=2,O23=3)),"Moyenne",""))))))))</f>
        <v/>
      </c>
      <c r="Q23" s="194"/>
      <c r="R23" s="9"/>
      <c r="S23" s="79"/>
      <c r="T23" s="273"/>
      <c r="U23" s="273"/>
      <c r="V23" s="273"/>
      <c r="W23" s="273"/>
      <c r="X23" s="273"/>
      <c r="Y23" s="273"/>
      <c r="Z23" s="273"/>
      <c r="AA23" s="273"/>
      <c r="AB23" s="273"/>
      <c r="AC23" s="273"/>
      <c r="AD23" s="273"/>
      <c r="AE23" s="273"/>
      <c r="AF23" s="273"/>
      <c r="AG23" s="273"/>
      <c r="AH23" s="273"/>
      <c r="AI23" s="273"/>
      <c r="AJ23" s="273"/>
      <c r="AK23" s="273"/>
      <c r="AL23" s="273"/>
      <c r="AM23" s="273"/>
      <c r="AN23" s="273"/>
      <c r="AO23" s="273"/>
      <c r="AP23" s="273"/>
      <c r="AQ23" s="273"/>
      <c r="AR23" s="273"/>
      <c r="AS23" s="273"/>
      <c r="AT23" s="273"/>
      <c r="AU23" s="273"/>
      <c r="AV23" s="273"/>
      <c r="AW23" s="273"/>
      <c r="AX23" s="273"/>
      <c r="AY23" s="273"/>
      <c r="AZ23" s="273"/>
      <c r="BA23" s="273"/>
      <c r="BB23" s="273"/>
      <c r="BC23" s="273"/>
      <c r="BD23" s="273"/>
      <c r="BE23" s="273"/>
      <c r="BF23" s="273"/>
      <c r="BG23" s="273"/>
      <c r="BH23" s="273"/>
      <c r="BI23" s="273"/>
      <c r="BJ23" s="273"/>
      <c r="BK23" s="273"/>
      <c r="BL23" s="273"/>
      <c r="BM23" s="273"/>
      <c r="BN23" s="273"/>
      <c r="BO23" s="273"/>
      <c r="BP23" s="273"/>
      <c r="BQ23" s="273"/>
      <c r="BR23" s="273"/>
      <c r="BS23" s="273"/>
      <c r="BT23" s="273"/>
      <c r="BU23" s="273"/>
      <c r="BV23" s="273"/>
      <c r="BW23" s="29"/>
      <c r="BX23" s="320" t="str">
        <f>IF(J23="","",IF(IF((SUMPRODUCT(($T23:$BV23="X")*$T$18:$BV$18))&lt;Listes!$R$12,J23-Listes!$S$12,
IF(AND((SUMPRODUCT(($T23:$BV23="X")*$T$18:$BV$18))&gt;=Listes!$Q$11,(SUMPRODUCT(($T23:$BV23="X")*$T$18:$BV$18))&lt;Listes!$R$11),J23-Listes!$S$11,
IF(AND((SUMPRODUCT(($T23:$BV23="X")*$T$18:$BV$18))&gt;=Listes!$Q$10,(SUMPRODUCT(($T23:$BV23="X")*$T$18:$BV$18))&lt;Listes!$R$10),J23-Listes!$S$10,
IF(AND((SUMPRODUCT(($T23:$BV23="X")*$T$18:$BV$18))&gt;=Listes!$Q$9,(SUMPRODUCT(($T23:$BV23="X")*$T$18:$BV$18))&lt;Listes!$R$9),J23-Listes!$S$9,
IF(AND((SUMPRODUCT(($T23:$BV23="X")*$T$18:$BV$18))&gt;=Listes!$Q$8,(SUMPRODUCT(($T23:$BV23="X")*$T$18:$BV$18))&lt;Listes!$R$8),J23-Listes!$S$8,
IF(AND((SUMPRODUCT(($T23:$BV23="X")*$T$18:$BV$18))&gt;=Listes!$Q$7),J23-Listes!$S$7,
"Erreur"))))))&lt;1,1,
IF((SUMPRODUCT(($T23:$BV23="X")*$T$18:$BV$18))&lt;Listes!$R$12,J23-Listes!$S$12,
IF(AND((SUMPRODUCT(($T23:$BV23="X")*$T$18:$BV$18))&gt;=Listes!$Q$11,(SUMPRODUCT(($T23:$BV23="X")*$T$18:$BV$18))&lt;Listes!$R$11),J23-Listes!$S$11,
IF(AND((SUMPRODUCT(($T23:$BV23="X")*$T$18:$BV$18))&gt;=Listes!$Q$10,(SUMPRODUCT(($T23:$BV23="X")*$T$18:$BV$18))&lt;Listes!$R$10),J23-Listes!$S$10,
IF(AND((SUMPRODUCT(($T23:$BV23="X")*$T$18:$BV$18))&gt;=Listes!$Q$9,(SUMPRODUCT(($T23:$BV23="X")*$T$18:$BV$18))&lt;Listes!$R$9),J23-Listes!$S$9,
IF(AND((SUMPRODUCT(($T23:$BV23="X")*$T$18:$BV$18))&gt;=Listes!$Q$8,(SUMPRODUCT(($T23:$BV23="X")*$T$18:$BV$18))&lt;Listes!$R$8),J23-Listes!$S$8,
IF(AND((SUMPRODUCT(($T23:$BV23="X")*$T$18:$BV$18))&gt;=Listes!$Q$7),J23-Listes!$S$7,
"Erreur"))))))))</f>
        <v/>
      </c>
      <c r="BY23" s="321" t="str">
        <f>IF(O23="","",IF(IF((SUMPRODUCT(($T23:$BV23="X")*$T$19:$BV$19))&lt;Listes!$R$12,O23-Listes!$S$12,
IF(AND((SUMPRODUCT(($T23:$BV23="X")*$T$19:$BV$19))&gt;=Listes!$Q$11,(SUMPRODUCT(($T23:$BV23="X")*$T$19:$BV$19))&lt;Listes!$R$11),O23-Listes!$S$11,
IF(AND((SUMPRODUCT(($T23:$BV23="X")*$T$19:$BV$19))&gt;=Listes!$Q$10,(SUMPRODUCT(($T23:$BV23="X")*$T$19:$BV$19))&lt;Listes!$R$10),O23-Listes!$S$10,
IF(AND((SUMPRODUCT(($T23:$BV23="X")*$T$19:$BV$19))&gt;=Listes!$Q$9,(SUMPRODUCT(($T23:$BV23="X")*$T$19:$BV$19))&lt;Listes!$R$9),O23-Listes!$S$9,
IF(AND((SUMPRODUCT(($T23:$BV23="X")*$T$19:$BV$19))&gt;=Listes!$Q$8,(SUMPRODUCT(($T23:$BV23="X")*$T$19:$BV$19))&lt;Listes!$R$8),O23-Listes!$S$8,
IF(AND((SUMPRODUCT(($T23:$BV23="X")*$T$19:$BV$19))&gt;=Listes!$Q$7),O23-Listes!$S$7,
"Erreur"))))))&lt;1,1,
IF((SUMPRODUCT(($T23:$BV23="X")*$T$19:$BV$19))&lt;Listes!$R$12,O23-Listes!$S$12,
IF(AND((SUMPRODUCT(($T23:$BV23="X")*$T$19:$BV$19))&gt;=Listes!$Q$11,(SUMPRODUCT(($T23:$BV23="X")*$T$19:$BV$19))&lt;Listes!$R$11),O23-Listes!$S$11,
IF(AND((SUMPRODUCT(($T23:$BV23="X")*$T$19:$BV$19))&gt;=Listes!$Q$10,(SUMPRODUCT(($T23:$BV23="X")*$T$19:$BV$19))&lt;Listes!$R$10),O23-Listes!$S$10,
IF(AND((SUMPRODUCT(($T23:$BV23="X")*$T$19:$BV$19))&gt;=Listes!$Q$9,(SUMPRODUCT(($T23:$BV23="X")*$T$19:$BV$19))&lt;Listes!$R$9),O23-Listes!$S$9,
IF(AND((SUMPRODUCT(($T23:$BV23="X")*$T$19:$BV$19))&gt;=Listes!$Q$8,(SUMPRODUCT(($T23:$BV23="X")*$T$19:$BV$19))&lt;Listes!$R$8),O23-Listes!$S$8,
IF(AND((SUMPRODUCT(($T23:$BV23="X")*$T$19:$BV$19))&gt;=Listes!$Q$7),O23-Listes!$S$7,
"Erreur"))))))))</f>
        <v/>
      </c>
      <c r="BZ23" s="322" t="str">
        <f t="shared" ref="BZ23:BZ28" si="40">IF(OR(BX23=0,BY23=0),"",IF(OR(BX23="",BY23=""),"",IF((BY23+BX23)&lt;4,"Très faible",IF((BX23+BY23)=4,"Faible",IF((BY23+BX23)=6,"Moyenne",IF((BX23+BY23)=7,"Forte",IF((BY23+BX23)&gt;=8,"Majeure",IF(OR(AND(BX23=4,BY23=1),AND(BX23=1,BY23=4)),"Faible",IF(OR(AND(BX23=3,BY23=2),AND(BX23=2,BY23=3)),"Moyenne","")))))))))</f>
        <v/>
      </c>
      <c r="CA23" s="9"/>
      <c r="CB23" s="9"/>
      <c r="CC23" s="287"/>
      <c r="CD23" s="288"/>
      <c r="CE23" s="289"/>
      <c r="CF23" s="289"/>
      <c r="CG23" s="289"/>
      <c r="CH23" s="289"/>
      <c r="CI23" s="289"/>
      <c r="CJ23" s="289"/>
      <c r="CK23" s="289"/>
      <c r="CL23" s="289"/>
      <c r="CM23" s="288"/>
      <c r="CN23" s="289"/>
      <c r="CO23" s="289"/>
      <c r="CP23" s="289"/>
      <c r="CQ23" s="289"/>
      <c r="CR23" s="289"/>
      <c r="CS23" s="289"/>
      <c r="CT23" s="289"/>
      <c r="CU23" s="289"/>
      <c r="CV23" s="289"/>
      <c r="CW23" s="289"/>
      <c r="CX23" s="289"/>
      <c r="CY23" s="289"/>
      <c r="CZ23" s="289"/>
      <c r="DA23" s="289"/>
      <c r="DB23" s="272"/>
      <c r="DC23" s="320" t="str">
        <f>IF(BX23="","",IF(IF((SUMPRODUCT(($CC23:$DA23="X")*$CC$18:$DA$18))&lt;Listes!$R$12,BX23-Listes!$S$12,
IF(AND((SUMPRODUCT(($CC23:$DA23="X")*$CC$18:$DA$18))&gt;=Listes!$Q$11,(SUMPRODUCT(($CC23:$DA23="X")*$CC$18:$DA$18))&lt;Listes!$R$11),BX23-Listes!$S$11,
IF(AND((SUMPRODUCT(($CC23:$DA23="X")*$CC$18:$DA$18))&gt;=Listes!$Q$10,(SUMPRODUCT(($CC23:$DA23="X")*$CC$18:$DA$18))&lt;Listes!$R$10),BX23-Listes!$S$10,
IF(AND((SUMPRODUCT(($CC23:$DA23="X")*$CC$18:$DA$18))&gt;=Listes!$Q$9,(SUMPRODUCT(($CC23:$DA23="X")*$CC$18:$DA$18))&lt;Listes!$R$9),BX23-Listes!$S$9,
IF(AND((SUMPRODUCT(($CC23:$DA23="X")*$CC$18:$DA$18))&gt;=Listes!$Q$8,(SUMPRODUCT(($CC23:$DA23="X")*$CC$18:$DA$18))&lt;Listes!$R$8),BX23-Listes!$S$8,
IF(AND((SUMPRODUCT(($CC23:$DA23="X")*$CC$18:$DA$18))&gt;=Listes!$Q$7),BX23-Listes!$S$7,
"Erreur"))))))&lt;1,1,
IF((SUMPRODUCT(($CC23:$DA23="X")*$CC$18:$DA$18))&lt;Listes!$R$12,BX23-Listes!$S$12,
IF(AND((SUMPRODUCT(($CC23:$DA23="X")*$CC$18:$DA$18))&gt;=Listes!$Q$11,(SUMPRODUCT(($CC23:$DA23="X")*$CC$18:$DA$18))&lt;Listes!$R$11),BX23-Listes!$S$11,
IF(AND((SUMPRODUCT(($CC23:$DA23="X")*$CC$18:$DA$18))&gt;=Listes!$Q$10,(SUMPRODUCT(($CC23:$DA23="X")*$CC$18:$DA$18))&lt;Listes!$R$10),BX23-Listes!$S$10,
IF(AND((SUMPRODUCT(($CC23:$DA23="X")*$CC$18:$DA$18))&gt;=Listes!$Q$9,(SUMPRODUCT(($CC23:$DA23="X")*$CC$18:$DA$18))&lt;Listes!$R$9),BX23-Listes!$S$9,
IF(AND((SUMPRODUCT(($CC23:$DA23="X")*$CC$18:$DA$18))&gt;=Listes!$Q$8,(SUMPRODUCT(($CC23:$DA23="X")*$CC$18:$DA$18))&lt;Listes!$R$8),BX23-Listes!$S$8,
IF(AND((SUMPRODUCT(($CC23:$DA23="X")*$CC$18:$DA$18))&gt;=Listes!$Q$7),BX23-Listes!$S$7,
"Erreur"))))))))</f>
        <v/>
      </c>
      <c r="DD23" s="321" t="str">
        <f>IF(BY23="","",IF(IF((SUMPRODUCT(($CC23:$DA23="X")*$CC$19:$DA$19))&lt;Listes!$R$12,BY23-Listes!$S$12,
IF(AND((SUMPRODUCT(($CC23:$DA23="X")*$CC$19:$DA$19))&gt;=Listes!$Q$11,(SUMPRODUCT(($CC23:$DA23="X")*$CC$19:$DA$19))&lt;Listes!$R$11),BY23-Listes!$S$11,
IF(AND((SUMPRODUCT(($CC23:$DA23="X")*$CC$19:$DA$19))&gt;=Listes!$Q$10,(SUMPRODUCT(($CC23:$DA23="X")*$CC$19:$DA$19))&lt;Listes!$R$10),BY23-Listes!$S$10,
IF(AND((SUMPRODUCT(($CC23:$DA23="X")*$CC$19:$DA$19))&gt;=Listes!$Q$9,(SUMPRODUCT(($CC23:$DA23="X")*$CC$19:$DA$19))&lt;Listes!$R$9),BY23-Listes!$S$9,
IF(AND((SUMPRODUCT(($CC23:$DA23="X")*$CC$19:$DA$19))&gt;=Listes!$Q$8,(SUMPRODUCT(($CC23:$DA23="X")*$CC$19:$DA$19))&lt;Listes!$R$8),BY23-Listes!$S$8,
IF(AND((SUMPRODUCT(($CC23:$DA23="X")*$CC$19:$DA$19))&gt;=Listes!$Q$7),BY23-Listes!$S$7,
"Erreur"))))))&lt;1,1,
IF((SUMPRODUCT(($CC23:$DA23="X")*$CC$19:$DA$19))&lt;Listes!$R$12,BY23-Listes!$S$12,
IF(AND((SUMPRODUCT(($CC23:$DA23="X")*$CC$19:$DA$19))&gt;=Listes!$Q$11,(SUMPRODUCT(($CC23:$DA23="X")*$CC$19:$DA$19))&lt;Listes!$R$11),BY23-Listes!$S$11,
IF(AND((SUMPRODUCT(($CC23:$DA23="X")*$CC$19:$DA$19))&gt;=Listes!$Q$10,(SUMPRODUCT(($CC23:$DA23="X")*$CC$19:$DA$19))&lt;Listes!$R$10),BY23-Listes!$S$10,
IF(AND((SUMPRODUCT(($CC23:$DA23="X")*$CC$19:$DA$19))&gt;=Listes!$Q$9,(SUMPRODUCT(($CC23:$DA23="X")*$CC$19:$DA$19))&lt;Listes!$R$9),BY23-Listes!$S$9,
IF(AND((SUMPRODUCT(($CC23:$DA23="X")*$CC$19:$DA$19))&gt;=Listes!$Q$8,(SUMPRODUCT(($CC23:$DA23="X")*$CC$19:$DA$19))&lt;Listes!$R$8),BY23-Listes!$S$8,
IF(AND((SUMPRODUCT(($CC23:$DA23="X")*$CC$19:$DA$19))&gt;=Listes!$Q$7),BY23-Listes!$S$7,
"Erreur"))))))))</f>
        <v/>
      </c>
      <c r="DE23" s="322" t="str">
        <f t="shared" ref="DE23:DE28" si="41">IF(OR(DC23=0,DD23=0),"",IF(OR(DC23="",DD23=""),"",IF((DD23+DC23)&lt;4,"Très faible",IF((DC23+DD23)=4,"Faible",IF((DD23+DC23)=6,"Moyenne",IF((DC23+DD23)=7,"Forte",IF((DD23+DC23)&gt;=8,"Majeure",IF(OR(AND(DC23=4,DD23=1),AND(DC23=1,DD23=4)),"Faible",IF(OR(AND(DC23=3,DD23=2),AND(DC23=2,DD23=3)),"Moyenne","")))))))))</f>
        <v/>
      </c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</row>
    <row r="24" spans="1:140" s="6" customFormat="1" ht="14.25" customHeight="1" x14ac:dyDescent="0.2">
      <c r="A24" s="9"/>
      <c r="B24" s="9"/>
      <c r="C24" s="433" t="str">
        <f>IF(D24="","",$G$1&amp;"-R"&amp;Listes!A3)</f>
        <v>DI2-R2</v>
      </c>
      <c r="D24" s="280" t="s">
        <v>256</v>
      </c>
      <c r="E24" s="281"/>
      <c r="F24" s="281"/>
      <c r="G24" s="278"/>
      <c r="H24" s="304" t="str">
        <f>IF(G24="","",VLOOKUP(G24,Listes!W5:Y52,2,FALSE))</f>
        <v/>
      </c>
      <c r="I24" s="304" t="str">
        <f>IF(G24="","",VLOOKUP(G24,Listes!W5:Y52,3,FALSE))</f>
        <v/>
      </c>
      <c r="J24" s="282"/>
      <c r="K24" s="283"/>
      <c r="L24" s="283"/>
      <c r="M24" s="283"/>
      <c r="N24" s="283"/>
      <c r="O24" s="318" t="str">
        <f t="shared" ref="O24:O39" si="42">IF(AND(K24="",L24="",M24="",N24=""),"",MAX(K24:N24))</f>
        <v/>
      </c>
      <c r="P24" s="319" t="str">
        <f t="shared" si="39"/>
        <v/>
      </c>
      <c r="Q24" s="194"/>
      <c r="R24" s="9"/>
      <c r="S24" s="79"/>
      <c r="T24" s="273"/>
      <c r="U24" s="273"/>
      <c r="V24" s="273"/>
      <c r="W24" s="273"/>
      <c r="X24" s="273"/>
      <c r="Y24" s="273"/>
      <c r="Z24" s="273"/>
      <c r="AA24" s="273"/>
      <c r="AB24" s="273"/>
      <c r="AC24" s="273"/>
      <c r="AD24" s="273"/>
      <c r="AE24" s="273"/>
      <c r="AF24" s="273"/>
      <c r="AG24" s="273"/>
      <c r="AH24" s="273"/>
      <c r="AI24" s="273"/>
      <c r="AJ24" s="273"/>
      <c r="AK24" s="273"/>
      <c r="AL24" s="273"/>
      <c r="AM24" s="273"/>
      <c r="AN24" s="273"/>
      <c r="AO24" s="273"/>
      <c r="AP24" s="273"/>
      <c r="AQ24" s="273"/>
      <c r="AR24" s="273"/>
      <c r="AS24" s="273"/>
      <c r="AT24" s="273"/>
      <c r="AU24" s="273"/>
      <c r="AV24" s="273"/>
      <c r="AW24" s="273"/>
      <c r="AX24" s="273"/>
      <c r="AY24" s="273"/>
      <c r="AZ24" s="273"/>
      <c r="BA24" s="273"/>
      <c r="BB24" s="273"/>
      <c r="BC24" s="273"/>
      <c r="BD24" s="273"/>
      <c r="BE24" s="273"/>
      <c r="BF24" s="273"/>
      <c r="BG24" s="273"/>
      <c r="BH24" s="273"/>
      <c r="BI24" s="273"/>
      <c r="BJ24" s="273"/>
      <c r="BK24" s="273"/>
      <c r="BL24" s="273"/>
      <c r="BM24" s="273"/>
      <c r="BN24" s="273"/>
      <c r="BO24" s="273"/>
      <c r="BP24" s="273"/>
      <c r="BQ24" s="273"/>
      <c r="BR24" s="273"/>
      <c r="BS24" s="273"/>
      <c r="BT24" s="273"/>
      <c r="BU24" s="273"/>
      <c r="BV24" s="273"/>
      <c r="BW24" s="29"/>
      <c r="BX24" s="320" t="str">
        <f>IF(J24="","",IF(IF((SUMPRODUCT(($T24:$BV24="X")*$T$18:$BV$18))&lt;Listes!$R$12,J24-Listes!$S$12,
IF(AND((SUMPRODUCT(($T24:$BV24="X")*$T$18:$BV$18))&gt;=Listes!$Q$11,(SUMPRODUCT(($T24:$BV24="X")*$T$18:$BV$18))&lt;Listes!$R$11),J24-Listes!$S$11,
IF(AND((SUMPRODUCT(($T24:$BV24="X")*$T$18:$BV$18))&gt;=Listes!$Q$10,(SUMPRODUCT(($T24:$BV24="X")*$T$18:$BV$18))&lt;Listes!$R$10),J24-Listes!$S$10,
IF(AND((SUMPRODUCT(($T24:$BV24="X")*$T$18:$BV$18))&gt;=Listes!$Q$9,(SUMPRODUCT(($T24:$BV24="X")*$T$18:$BV$18))&lt;Listes!$R$9),J24-Listes!$S$9,
IF(AND((SUMPRODUCT(($T24:$BV24="X")*$T$18:$BV$18))&gt;=Listes!$Q$8,(SUMPRODUCT(($T24:$BV24="X")*$T$18:$BV$18))&lt;Listes!$R$8),J24-Listes!$S$8,
IF(AND((SUMPRODUCT(($T24:$BV24="X")*$T$18:$BV$18))&gt;=Listes!$Q$7),J24-Listes!$S$7,
"Erreur"))))))&lt;1,1,
IF((SUMPRODUCT(($T24:$BV24="X")*$T$18:$BV$18))&lt;Listes!$R$12,J24-Listes!$S$12,
IF(AND((SUMPRODUCT(($T24:$BV24="X")*$T$18:$BV$18))&gt;=Listes!$Q$11,(SUMPRODUCT(($T24:$BV24="X")*$T$18:$BV$18))&lt;Listes!$R$11),J24-Listes!$S$11,
IF(AND((SUMPRODUCT(($T24:$BV24="X")*$T$18:$BV$18))&gt;=Listes!$Q$10,(SUMPRODUCT(($T24:$BV24="X")*$T$18:$BV$18))&lt;Listes!$R$10),J24-Listes!$S$10,
IF(AND((SUMPRODUCT(($T24:$BV24="X")*$T$18:$BV$18))&gt;=Listes!$Q$9,(SUMPRODUCT(($T24:$BV24="X")*$T$18:$BV$18))&lt;Listes!$R$9),J24-Listes!$S$9,
IF(AND((SUMPRODUCT(($T24:$BV24="X")*$T$18:$BV$18))&gt;=Listes!$Q$8,(SUMPRODUCT(($T24:$BV24="X")*$T$18:$BV$18))&lt;Listes!$R$8),J24-Listes!$S$8,
IF(AND((SUMPRODUCT(($T24:$BV24="X")*$T$18:$BV$18))&gt;=Listes!$Q$7),J24-Listes!$S$7,
"Erreur"))))))))</f>
        <v/>
      </c>
      <c r="BY24" s="321" t="str">
        <f>IF(O24="","",IF(IF((SUMPRODUCT(($T24:$BV24="X")*$T$19:$BV$19))&lt;Listes!$R$12,O24-Listes!$S$12,
IF(AND((SUMPRODUCT(($T24:$BV24="X")*$T$19:$BV$19))&gt;=Listes!$Q$11,(SUMPRODUCT(($T24:$BV24="X")*$T$19:$BV$19))&lt;Listes!$R$11),O24-Listes!$S$11,
IF(AND((SUMPRODUCT(($T24:$BV24="X")*$T$19:$BV$19))&gt;=Listes!$Q$10,(SUMPRODUCT(($T24:$BV24="X")*$T$19:$BV$19))&lt;Listes!$R$10),O24-Listes!$S$10,
IF(AND((SUMPRODUCT(($T24:$BV24="X")*$T$19:$BV$19))&gt;=Listes!$Q$9,(SUMPRODUCT(($T24:$BV24="X")*$T$19:$BV$19))&lt;Listes!$R$9),O24-Listes!$S$9,
IF(AND((SUMPRODUCT(($T24:$BV24="X")*$T$19:$BV$19))&gt;=Listes!$Q$8,(SUMPRODUCT(($T24:$BV24="X")*$T$19:$BV$19))&lt;Listes!$R$8),O24-Listes!$S$8,
IF(AND((SUMPRODUCT(($T24:$BV24="X")*$T$19:$BV$19))&gt;=Listes!$Q$7),O24-Listes!$S$7,
"Erreur"))))))&lt;1,1,
IF((SUMPRODUCT(($T24:$BV24="X")*$T$19:$BV$19))&lt;Listes!$R$12,O24-Listes!$S$12,
IF(AND((SUMPRODUCT(($T24:$BV24="X")*$T$19:$BV$19))&gt;=Listes!$Q$11,(SUMPRODUCT(($T24:$BV24="X")*$T$19:$BV$19))&lt;Listes!$R$11),O24-Listes!$S$11,
IF(AND((SUMPRODUCT(($T24:$BV24="X")*$T$19:$BV$19))&gt;=Listes!$Q$10,(SUMPRODUCT(($T24:$BV24="X")*$T$19:$BV$19))&lt;Listes!$R$10),O24-Listes!$S$10,
IF(AND((SUMPRODUCT(($T24:$BV24="X")*$T$19:$BV$19))&gt;=Listes!$Q$9,(SUMPRODUCT(($T24:$BV24="X")*$T$19:$BV$19))&lt;Listes!$R$9),O24-Listes!$S$9,
IF(AND((SUMPRODUCT(($T24:$BV24="X")*$T$19:$BV$19))&gt;=Listes!$Q$8,(SUMPRODUCT(($T24:$BV24="X")*$T$19:$BV$19))&lt;Listes!$R$8),O24-Listes!$S$8,
IF(AND((SUMPRODUCT(($T24:$BV24="X")*$T$19:$BV$19))&gt;=Listes!$Q$7),O24-Listes!$S$7,
"Erreur"))))))))</f>
        <v/>
      </c>
      <c r="BZ24" s="322" t="str">
        <f t="shared" si="40"/>
        <v/>
      </c>
      <c r="CA24" s="9"/>
      <c r="CB24" s="9"/>
      <c r="CC24" s="287"/>
      <c r="CD24" s="288"/>
      <c r="CE24" s="289"/>
      <c r="CF24" s="289"/>
      <c r="CG24" s="289"/>
      <c r="CH24" s="289"/>
      <c r="CI24" s="289"/>
      <c r="CJ24" s="289"/>
      <c r="CK24" s="289"/>
      <c r="CL24" s="289"/>
      <c r="CM24" s="288"/>
      <c r="CN24" s="289"/>
      <c r="CO24" s="289"/>
      <c r="CP24" s="289"/>
      <c r="CQ24" s="289"/>
      <c r="CR24" s="289"/>
      <c r="CS24" s="289"/>
      <c r="CT24" s="289"/>
      <c r="CU24" s="289"/>
      <c r="CV24" s="289"/>
      <c r="CW24" s="289"/>
      <c r="CX24" s="289"/>
      <c r="CY24" s="289"/>
      <c r="CZ24" s="289"/>
      <c r="DA24" s="289"/>
      <c r="DB24" s="272"/>
      <c r="DC24" s="320" t="str">
        <f>IF(BX24="","",IF(IF((SUMPRODUCT(($CC24:$DA24="X")*$CC$18:$DA$18))&lt;Listes!$R$12,BX24-Listes!$S$12,
IF(AND((SUMPRODUCT(($CC24:$DA24="X")*$CC$18:$DA$18))&gt;=Listes!$Q$11,(SUMPRODUCT(($CC24:$DA24="X")*$CC$18:$DA$18))&lt;Listes!$R$11),BX24-Listes!$S$11,
IF(AND((SUMPRODUCT(($CC24:$DA24="X")*$CC$18:$DA$18))&gt;=Listes!$Q$10,(SUMPRODUCT(($CC24:$DA24="X")*$CC$18:$DA$18))&lt;Listes!$R$10),BX24-Listes!$S$10,
IF(AND((SUMPRODUCT(($CC24:$DA24="X")*$CC$18:$DA$18))&gt;=Listes!$Q$9,(SUMPRODUCT(($CC24:$DA24="X")*$CC$18:$DA$18))&lt;Listes!$R$9),BX24-Listes!$S$9,
IF(AND((SUMPRODUCT(($CC24:$DA24="X")*$CC$18:$DA$18))&gt;=Listes!$Q$8,(SUMPRODUCT(($CC24:$DA24="X")*$CC$18:$DA$18))&lt;Listes!$R$8),BX24-Listes!$S$8,
IF(AND((SUMPRODUCT(($CC24:$DA24="X")*$CC$18:$DA$18))&gt;=Listes!$Q$7),BX24-Listes!$S$7,
"Erreur"))))))&lt;1,1,
IF((SUMPRODUCT(($CC24:$DA24="X")*$CC$18:$DA$18))&lt;Listes!$R$12,BX24-Listes!$S$12,
IF(AND((SUMPRODUCT(($CC24:$DA24="X")*$CC$18:$DA$18))&gt;=Listes!$Q$11,(SUMPRODUCT(($CC24:$DA24="X")*$CC$18:$DA$18))&lt;Listes!$R$11),BX24-Listes!$S$11,
IF(AND((SUMPRODUCT(($CC24:$DA24="X")*$CC$18:$DA$18))&gt;=Listes!$Q$10,(SUMPRODUCT(($CC24:$DA24="X")*$CC$18:$DA$18))&lt;Listes!$R$10),BX24-Listes!$S$10,
IF(AND((SUMPRODUCT(($CC24:$DA24="X")*$CC$18:$DA$18))&gt;=Listes!$Q$9,(SUMPRODUCT(($CC24:$DA24="X")*$CC$18:$DA$18))&lt;Listes!$R$9),BX24-Listes!$S$9,
IF(AND((SUMPRODUCT(($CC24:$DA24="X")*$CC$18:$DA$18))&gt;=Listes!$Q$8,(SUMPRODUCT(($CC24:$DA24="X")*$CC$18:$DA$18))&lt;Listes!$R$8),BX24-Listes!$S$8,
IF(AND((SUMPRODUCT(($CC24:$DA24="X")*$CC$18:$DA$18))&gt;=Listes!$Q$7),BX24-Listes!$S$7,
"Erreur"))))))))</f>
        <v/>
      </c>
      <c r="DD24" s="321" t="str">
        <f>IF(BY24="","",IF(IF((SUMPRODUCT(($CC24:$DA24="X")*$CC$19:$DA$19))&lt;Listes!$R$12,BY24-Listes!$S$12,
IF(AND((SUMPRODUCT(($CC24:$DA24="X")*$CC$19:$DA$19))&gt;=Listes!$Q$11,(SUMPRODUCT(($CC24:$DA24="X")*$CC$19:$DA$19))&lt;Listes!$R$11),BY24-Listes!$S$11,
IF(AND((SUMPRODUCT(($CC24:$DA24="X")*$CC$19:$DA$19))&gt;=Listes!$Q$10,(SUMPRODUCT(($CC24:$DA24="X")*$CC$19:$DA$19))&lt;Listes!$R$10),BY24-Listes!$S$10,
IF(AND((SUMPRODUCT(($CC24:$DA24="X")*$CC$19:$DA$19))&gt;=Listes!$Q$9,(SUMPRODUCT(($CC24:$DA24="X")*$CC$19:$DA$19))&lt;Listes!$R$9),BY24-Listes!$S$9,
IF(AND((SUMPRODUCT(($CC24:$DA24="X")*$CC$19:$DA$19))&gt;=Listes!$Q$8,(SUMPRODUCT(($CC24:$DA24="X")*$CC$19:$DA$19))&lt;Listes!$R$8),BY24-Listes!$S$8,
IF(AND((SUMPRODUCT(($CC24:$DA24="X")*$CC$19:$DA$19))&gt;=Listes!$Q$7),BY24-Listes!$S$7,
"Erreur"))))))&lt;1,1,
IF((SUMPRODUCT(($CC24:$DA24="X")*$CC$19:$DA$19))&lt;Listes!$R$12,BY24-Listes!$S$12,
IF(AND((SUMPRODUCT(($CC24:$DA24="X")*$CC$19:$DA$19))&gt;=Listes!$Q$11,(SUMPRODUCT(($CC24:$DA24="X")*$CC$19:$DA$19))&lt;Listes!$R$11),BY24-Listes!$S$11,
IF(AND((SUMPRODUCT(($CC24:$DA24="X")*$CC$19:$DA$19))&gt;=Listes!$Q$10,(SUMPRODUCT(($CC24:$DA24="X")*$CC$19:$DA$19))&lt;Listes!$R$10),BY24-Listes!$S$10,
IF(AND((SUMPRODUCT(($CC24:$DA24="X")*$CC$19:$DA$19))&gt;=Listes!$Q$9,(SUMPRODUCT(($CC24:$DA24="X")*$CC$19:$DA$19))&lt;Listes!$R$9),BY24-Listes!$S$9,
IF(AND((SUMPRODUCT(($CC24:$DA24="X")*$CC$19:$DA$19))&gt;=Listes!$Q$8,(SUMPRODUCT(($CC24:$DA24="X")*$CC$19:$DA$19))&lt;Listes!$R$8),BY24-Listes!$S$8,
IF(AND((SUMPRODUCT(($CC24:$DA24="X")*$CC$19:$DA$19))&gt;=Listes!$Q$7),BY24-Listes!$S$7,
"Erreur"))))))))</f>
        <v/>
      </c>
      <c r="DE24" s="322" t="str">
        <f t="shared" si="41"/>
        <v/>
      </c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</row>
    <row r="25" spans="1:140" s="6" customFormat="1" ht="14.25" customHeight="1" x14ac:dyDescent="0.2">
      <c r="A25" s="9"/>
      <c r="B25" s="9"/>
      <c r="C25" s="433" t="str">
        <f>IF(D25="","",$G$1&amp;"-R"&amp;Listes!A4)</f>
        <v>DI2-R3</v>
      </c>
      <c r="D25" s="280" t="s">
        <v>257</v>
      </c>
      <c r="E25" s="284"/>
      <c r="F25" s="284"/>
      <c r="G25" s="278"/>
      <c r="H25" s="304" t="str">
        <f>IF(G25="","",VLOOKUP(G25,Listes!W6:Y53,2,FALSE))</f>
        <v/>
      </c>
      <c r="I25" s="304" t="str">
        <f>IF(G25="","",VLOOKUP(G25,Listes!W6:Y53,3,FALSE))</f>
        <v/>
      </c>
      <c r="J25" s="282"/>
      <c r="K25" s="283"/>
      <c r="L25" s="283"/>
      <c r="M25" s="283"/>
      <c r="N25" s="283"/>
      <c r="O25" s="318" t="str">
        <f t="shared" si="42"/>
        <v/>
      </c>
      <c r="P25" s="319" t="str">
        <f t="shared" si="39"/>
        <v/>
      </c>
      <c r="Q25" s="194"/>
      <c r="R25" s="9"/>
      <c r="S25" s="79"/>
      <c r="T25" s="273"/>
      <c r="U25" s="273"/>
      <c r="V25" s="273"/>
      <c r="W25" s="273"/>
      <c r="X25" s="273"/>
      <c r="Y25" s="273"/>
      <c r="Z25" s="273"/>
      <c r="AA25" s="273"/>
      <c r="AB25" s="273"/>
      <c r="AC25" s="273"/>
      <c r="AD25" s="273"/>
      <c r="AE25" s="273"/>
      <c r="AF25" s="273"/>
      <c r="AG25" s="273"/>
      <c r="AH25" s="273"/>
      <c r="AI25" s="273"/>
      <c r="AJ25" s="273"/>
      <c r="AK25" s="273"/>
      <c r="AL25" s="273"/>
      <c r="AM25" s="273"/>
      <c r="AN25" s="273"/>
      <c r="AO25" s="273"/>
      <c r="AP25" s="273"/>
      <c r="AQ25" s="273"/>
      <c r="AR25" s="273"/>
      <c r="AS25" s="273"/>
      <c r="AT25" s="273"/>
      <c r="AU25" s="273"/>
      <c r="AV25" s="273"/>
      <c r="AW25" s="273"/>
      <c r="AX25" s="273"/>
      <c r="AY25" s="273"/>
      <c r="AZ25" s="273"/>
      <c r="BA25" s="273"/>
      <c r="BB25" s="273"/>
      <c r="BC25" s="273"/>
      <c r="BD25" s="273"/>
      <c r="BE25" s="273"/>
      <c r="BF25" s="273"/>
      <c r="BG25" s="273"/>
      <c r="BH25" s="273"/>
      <c r="BI25" s="273"/>
      <c r="BJ25" s="273"/>
      <c r="BK25" s="273"/>
      <c r="BL25" s="273"/>
      <c r="BM25" s="273"/>
      <c r="BN25" s="273"/>
      <c r="BO25" s="273"/>
      <c r="BP25" s="273"/>
      <c r="BQ25" s="273"/>
      <c r="BR25" s="273"/>
      <c r="BS25" s="273"/>
      <c r="BT25" s="273"/>
      <c r="BU25" s="273"/>
      <c r="BV25" s="273"/>
      <c r="BW25" s="29"/>
      <c r="BX25" s="320" t="str">
        <f>IF(J25="","",IF(IF((SUMPRODUCT(($T25:$BV25="X")*$T$18:$BV$18))&lt;Listes!$R$12,J25-Listes!$S$12,
IF(AND((SUMPRODUCT(($T25:$BV25="X")*$T$18:$BV$18))&gt;=Listes!$Q$11,(SUMPRODUCT(($T25:$BV25="X")*$T$18:$BV$18))&lt;Listes!$R$11),J25-Listes!$S$11,
IF(AND((SUMPRODUCT(($T25:$BV25="X")*$T$18:$BV$18))&gt;=Listes!$Q$10,(SUMPRODUCT(($T25:$BV25="X")*$T$18:$BV$18))&lt;Listes!$R$10),J25-Listes!$S$10,
IF(AND((SUMPRODUCT(($T25:$BV25="X")*$T$18:$BV$18))&gt;=Listes!$Q$9,(SUMPRODUCT(($T25:$BV25="X")*$T$18:$BV$18))&lt;Listes!$R$9),J25-Listes!$S$9,
IF(AND((SUMPRODUCT(($T25:$BV25="X")*$T$18:$BV$18))&gt;=Listes!$Q$8,(SUMPRODUCT(($T25:$BV25="X")*$T$18:$BV$18))&lt;Listes!$R$8),J25-Listes!$S$8,
IF(AND((SUMPRODUCT(($T25:$BV25="X")*$T$18:$BV$18))&gt;=Listes!$Q$7),J25-Listes!$S$7,
"Erreur"))))))&lt;1,1,
IF((SUMPRODUCT(($T25:$BV25="X")*$T$18:$BV$18))&lt;Listes!$R$12,J25-Listes!$S$12,
IF(AND((SUMPRODUCT(($T25:$BV25="X")*$T$18:$BV$18))&gt;=Listes!$Q$11,(SUMPRODUCT(($T25:$BV25="X")*$T$18:$BV$18))&lt;Listes!$R$11),J25-Listes!$S$11,
IF(AND((SUMPRODUCT(($T25:$BV25="X")*$T$18:$BV$18))&gt;=Listes!$Q$10,(SUMPRODUCT(($T25:$BV25="X")*$T$18:$BV$18))&lt;Listes!$R$10),J25-Listes!$S$10,
IF(AND((SUMPRODUCT(($T25:$BV25="X")*$T$18:$BV$18))&gt;=Listes!$Q$9,(SUMPRODUCT(($T25:$BV25="X")*$T$18:$BV$18))&lt;Listes!$R$9),J25-Listes!$S$9,
IF(AND((SUMPRODUCT(($T25:$BV25="X")*$T$18:$BV$18))&gt;=Listes!$Q$8,(SUMPRODUCT(($T25:$BV25="X")*$T$18:$BV$18))&lt;Listes!$R$8),J25-Listes!$S$8,
IF(AND((SUMPRODUCT(($T25:$BV25="X")*$T$18:$BV$18))&gt;=Listes!$Q$7),J25-Listes!$S$7,
"Erreur"))))))))</f>
        <v/>
      </c>
      <c r="BY25" s="321" t="str">
        <f>IF(O25="","",IF(IF((SUMPRODUCT(($T25:$BV25="X")*$T$19:$BV$19))&lt;Listes!$R$12,O25-Listes!$S$12,
IF(AND((SUMPRODUCT(($T25:$BV25="X")*$T$19:$BV$19))&gt;=Listes!$Q$11,(SUMPRODUCT(($T25:$BV25="X")*$T$19:$BV$19))&lt;Listes!$R$11),O25-Listes!$S$11,
IF(AND((SUMPRODUCT(($T25:$BV25="X")*$T$19:$BV$19))&gt;=Listes!$Q$10,(SUMPRODUCT(($T25:$BV25="X")*$T$19:$BV$19))&lt;Listes!$R$10),O25-Listes!$S$10,
IF(AND((SUMPRODUCT(($T25:$BV25="X")*$T$19:$BV$19))&gt;=Listes!$Q$9,(SUMPRODUCT(($T25:$BV25="X")*$T$19:$BV$19))&lt;Listes!$R$9),O25-Listes!$S$9,
IF(AND((SUMPRODUCT(($T25:$BV25="X")*$T$19:$BV$19))&gt;=Listes!$Q$8,(SUMPRODUCT(($T25:$BV25="X")*$T$19:$BV$19))&lt;Listes!$R$8),O25-Listes!$S$8,
IF(AND((SUMPRODUCT(($T25:$BV25="X")*$T$19:$BV$19))&gt;=Listes!$Q$7),O25-Listes!$S$7,
"Erreur"))))))&lt;1,1,
IF((SUMPRODUCT(($T25:$BV25="X")*$T$19:$BV$19))&lt;Listes!$R$12,O25-Listes!$S$12,
IF(AND((SUMPRODUCT(($T25:$BV25="X")*$T$19:$BV$19))&gt;=Listes!$Q$11,(SUMPRODUCT(($T25:$BV25="X")*$T$19:$BV$19))&lt;Listes!$R$11),O25-Listes!$S$11,
IF(AND((SUMPRODUCT(($T25:$BV25="X")*$T$19:$BV$19))&gt;=Listes!$Q$10,(SUMPRODUCT(($T25:$BV25="X")*$T$19:$BV$19))&lt;Listes!$R$10),O25-Listes!$S$10,
IF(AND((SUMPRODUCT(($T25:$BV25="X")*$T$19:$BV$19))&gt;=Listes!$Q$9,(SUMPRODUCT(($T25:$BV25="X")*$T$19:$BV$19))&lt;Listes!$R$9),O25-Listes!$S$9,
IF(AND((SUMPRODUCT(($T25:$BV25="X")*$T$19:$BV$19))&gt;=Listes!$Q$8,(SUMPRODUCT(($T25:$BV25="X")*$T$19:$BV$19))&lt;Listes!$R$8),O25-Listes!$S$8,
IF(AND((SUMPRODUCT(($T25:$BV25="X")*$T$19:$BV$19))&gt;=Listes!$Q$7),O25-Listes!$S$7,
"Erreur"))))))))</f>
        <v/>
      </c>
      <c r="BZ25" s="322" t="str">
        <f t="shared" si="40"/>
        <v/>
      </c>
      <c r="CA25" s="9"/>
      <c r="CB25" s="9"/>
      <c r="CC25" s="287"/>
      <c r="CD25" s="288"/>
      <c r="CE25" s="289"/>
      <c r="CF25" s="289"/>
      <c r="CG25" s="289"/>
      <c r="CH25" s="289"/>
      <c r="CI25" s="289"/>
      <c r="CJ25" s="289"/>
      <c r="CK25" s="289"/>
      <c r="CL25" s="289"/>
      <c r="CM25" s="288"/>
      <c r="CN25" s="289"/>
      <c r="CO25" s="289"/>
      <c r="CP25" s="289"/>
      <c r="CQ25" s="289"/>
      <c r="CR25" s="289"/>
      <c r="CS25" s="289"/>
      <c r="CT25" s="289"/>
      <c r="CU25" s="289"/>
      <c r="CV25" s="289"/>
      <c r="CW25" s="289"/>
      <c r="CX25" s="289"/>
      <c r="CY25" s="289"/>
      <c r="CZ25" s="289"/>
      <c r="DA25" s="289"/>
      <c r="DB25" s="272"/>
      <c r="DC25" s="320" t="str">
        <f>IF(BX25="","",IF(IF((SUMPRODUCT(($CC25:$DA25="X")*$CC$18:$DA$18))&lt;Listes!$R$12,BX25-Listes!$S$12,
IF(AND((SUMPRODUCT(($CC25:$DA25="X")*$CC$18:$DA$18))&gt;=Listes!$Q$11,(SUMPRODUCT(($CC25:$DA25="X")*$CC$18:$DA$18))&lt;Listes!$R$11),BX25-Listes!$S$11,
IF(AND((SUMPRODUCT(($CC25:$DA25="X")*$CC$18:$DA$18))&gt;=Listes!$Q$10,(SUMPRODUCT(($CC25:$DA25="X")*$CC$18:$DA$18))&lt;Listes!$R$10),BX25-Listes!$S$10,
IF(AND((SUMPRODUCT(($CC25:$DA25="X")*$CC$18:$DA$18))&gt;=Listes!$Q$9,(SUMPRODUCT(($CC25:$DA25="X")*$CC$18:$DA$18))&lt;Listes!$R$9),BX25-Listes!$S$9,
IF(AND((SUMPRODUCT(($CC25:$DA25="X")*$CC$18:$DA$18))&gt;=Listes!$Q$8,(SUMPRODUCT(($CC25:$DA25="X")*$CC$18:$DA$18))&lt;Listes!$R$8),BX25-Listes!$S$8,
IF(AND((SUMPRODUCT(($CC25:$DA25="X")*$CC$18:$DA$18))&gt;=Listes!$Q$7),BX25-Listes!$S$7,
"Erreur"))))))&lt;1,1,
IF((SUMPRODUCT(($CC25:$DA25="X")*$CC$18:$DA$18))&lt;Listes!$R$12,BX25-Listes!$S$12,
IF(AND((SUMPRODUCT(($CC25:$DA25="X")*$CC$18:$DA$18))&gt;=Listes!$Q$11,(SUMPRODUCT(($CC25:$DA25="X")*$CC$18:$DA$18))&lt;Listes!$R$11),BX25-Listes!$S$11,
IF(AND((SUMPRODUCT(($CC25:$DA25="X")*$CC$18:$DA$18))&gt;=Listes!$Q$10,(SUMPRODUCT(($CC25:$DA25="X")*$CC$18:$DA$18))&lt;Listes!$R$10),BX25-Listes!$S$10,
IF(AND((SUMPRODUCT(($CC25:$DA25="X")*$CC$18:$DA$18))&gt;=Listes!$Q$9,(SUMPRODUCT(($CC25:$DA25="X")*$CC$18:$DA$18))&lt;Listes!$R$9),BX25-Listes!$S$9,
IF(AND((SUMPRODUCT(($CC25:$DA25="X")*$CC$18:$DA$18))&gt;=Listes!$Q$8,(SUMPRODUCT(($CC25:$DA25="X")*$CC$18:$DA$18))&lt;Listes!$R$8),BX25-Listes!$S$8,
IF(AND((SUMPRODUCT(($CC25:$DA25="X")*$CC$18:$DA$18))&gt;=Listes!$Q$7),BX25-Listes!$S$7,
"Erreur"))))))))</f>
        <v/>
      </c>
      <c r="DD25" s="321" t="str">
        <f>IF(BY25="","",IF(IF((SUMPRODUCT(($CC25:$DA25="X")*$CC$19:$DA$19))&lt;Listes!$R$12,BY25-Listes!$S$12,
IF(AND((SUMPRODUCT(($CC25:$DA25="X")*$CC$19:$DA$19))&gt;=Listes!$Q$11,(SUMPRODUCT(($CC25:$DA25="X")*$CC$19:$DA$19))&lt;Listes!$R$11),BY25-Listes!$S$11,
IF(AND((SUMPRODUCT(($CC25:$DA25="X")*$CC$19:$DA$19))&gt;=Listes!$Q$10,(SUMPRODUCT(($CC25:$DA25="X")*$CC$19:$DA$19))&lt;Listes!$R$10),BY25-Listes!$S$10,
IF(AND((SUMPRODUCT(($CC25:$DA25="X")*$CC$19:$DA$19))&gt;=Listes!$Q$9,(SUMPRODUCT(($CC25:$DA25="X")*$CC$19:$DA$19))&lt;Listes!$R$9),BY25-Listes!$S$9,
IF(AND((SUMPRODUCT(($CC25:$DA25="X")*$CC$19:$DA$19))&gt;=Listes!$Q$8,(SUMPRODUCT(($CC25:$DA25="X")*$CC$19:$DA$19))&lt;Listes!$R$8),BY25-Listes!$S$8,
IF(AND((SUMPRODUCT(($CC25:$DA25="X")*$CC$19:$DA$19))&gt;=Listes!$Q$7),BY25-Listes!$S$7,
"Erreur"))))))&lt;1,1,
IF((SUMPRODUCT(($CC25:$DA25="X")*$CC$19:$DA$19))&lt;Listes!$R$12,BY25-Listes!$S$12,
IF(AND((SUMPRODUCT(($CC25:$DA25="X")*$CC$19:$DA$19))&gt;=Listes!$Q$11,(SUMPRODUCT(($CC25:$DA25="X")*$CC$19:$DA$19))&lt;Listes!$R$11),BY25-Listes!$S$11,
IF(AND((SUMPRODUCT(($CC25:$DA25="X")*$CC$19:$DA$19))&gt;=Listes!$Q$10,(SUMPRODUCT(($CC25:$DA25="X")*$CC$19:$DA$19))&lt;Listes!$R$10),BY25-Listes!$S$10,
IF(AND((SUMPRODUCT(($CC25:$DA25="X")*$CC$19:$DA$19))&gt;=Listes!$Q$9,(SUMPRODUCT(($CC25:$DA25="X")*$CC$19:$DA$19))&lt;Listes!$R$9),BY25-Listes!$S$9,
IF(AND((SUMPRODUCT(($CC25:$DA25="X")*$CC$19:$DA$19))&gt;=Listes!$Q$8,(SUMPRODUCT(($CC25:$DA25="X")*$CC$19:$DA$19))&lt;Listes!$R$8),BY25-Listes!$S$8,
IF(AND((SUMPRODUCT(($CC25:$DA25="X")*$CC$19:$DA$19))&gt;=Listes!$Q$7),BY25-Listes!$S$7,
"Erreur"))))))))</f>
        <v/>
      </c>
      <c r="DE25" s="322" t="str">
        <f t="shared" si="41"/>
        <v/>
      </c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</row>
    <row r="26" spans="1:140" s="6" customFormat="1" ht="14.25" customHeight="1" x14ac:dyDescent="0.2">
      <c r="A26" s="9"/>
      <c r="B26" s="9"/>
      <c r="C26" s="433" t="str">
        <f>IF(D26="","",$G$1&amp;"-R"&amp;Listes!A5)</f>
        <v/>
      </c>
      <c r="D26" s="280"/>
      <c r="E26" s="284"/>
      <c r="F26" s="284"/>
      <c r="G26" s="278"/>
      <c r="H26" s="304" t="str">
        <f>IF(G26="","",VLOOKUP(G26,Listes!W7:Y54,2,FALSE))</f>
        <v/>
      </c>
      <c r="I26" s="304" t="str">
        <f>IF(G26="","",VLOOKUP(G26,Listes!W7:Y54,3,FALSE))</f>
        <v/>
      </c>
      <c r="J26" s="282"/>
      <c r="K26" s="283"/>
      <c r="L26" s="283"/>
      <c r="M26" s="283"/>
      <c r="N26" s="283"/>
      <c r="O26" s="318" t="str">
        <f t="shared" si="42"/>
        <v/>
      </c>
      <c r="P26" s="319" t="str">
        <f t="shared" si="39"/>
        <v/>
      </c>
      <c r="Q26" s="194"/>
      <c r="R26" s="9"/>
      <c r="S26" s="79"/>
      <c r="T26" s="273"/>
      <c r="U26" s="273"/>
      <c r="V26" s="273"/>
      <c r="W26" s="273"/>
      <c r="X26" s="273"/>
      <c r="Y26" s="273"/>
      <c r="Z26" s="273"/>
      <c r="AA26" s="273"/>
      <c r="AB26" s="273"/>
      <c r="AC26" s="273"/>
      <c r="AD26" s="273"/>
      <c r="AE26" s="273"/>
      <c r="AF26" s="273"/>
      <c r="AG26" s="273"/>
      <c r="AH26" s="273"/>
      <c r="AI26" s="273"/>
      <c r="AJ26" s="273"/>
      <c r="AK26" s="273"/>
      <c r="AL26" s="273"/>
      <c r="AM26" s="273"/>
      <c r="AN26" s="273"/>
      <c r="AO26" s="273"/>
      <c r="AP26" s="273"/>
      <c r="AQ26" s="273"/>
      <c r="AR26" s="273"/>
      <c r="AS26" s="273"/>
      <c r="AT26" s="273"/>
      <c r="AU26" s="273"/>
      <c r="AV26" s="273"/>
      <c r="AW26" s="273"/>
      <c r="AX26" s="273"/>
      <c r="AY26" s="273"/>
      <c r="AZ26" s="273"/>
      <c r="BA26" s="273"/>
      <c r="BB26" s="273"/>
      <c r="BC26" s="273"/>
      <c r="BD26" s="273"/>
      <c r="BE26" s="273"/>
      <c r="BF26" s="273"/>
      <c r="BG26" s="273"/>
      <c r="BH26" s="273"/>
      <c r="BI26" s="273"/>
      <c r="BJ26" s="273"/>
      <c r="BK26" s="273"/>
      <c r="BL26" s="273"/>
      <c r="BM26" s="273"/>
      <c r="BN26" s="273"/>
      <c r="BO26" s="273"/>
      <c r="BP26" s="273"/>
      <c r="BQ26" s="273"/>
      <c r="BR26" s="273"/>
      <c r="BS26" s="273"/>
      <c r="BT26" s="273"/>
      <c r="BU26" s="273"/>
      <c r="BV26" s="273"/>
      <c r="BW26" s="29"/>
      <c r="BX26" s="320" t="str">
        <f>IF(J26="","",IF(IF((SUMPRODUCT(($T26:$BV26="X")*$T$18:$BV$18))&lt;Listes!$R$12,J26-Listes!$S$12,
IF(AND((SUMPRODUCT(($T26:$BV26="X")*$T$18:$BV$18))&gt;=Listes!$Q$11,(SUMPRODUCT(($T26:$BV26="X")*$T$18:$BV$18))&lt;Listes!$R$11),J26-Listes!$S$11,
IF(AND((SUMPRODUCT(($T26:$BV26="X")*$T$18:$BV$18))&gt;=Listes!$Q$10,(SUMPRODUCT(($T26:$BV26="X")*$T$18:$BV$18))&lt;Listes!$R$10),J26-Listes!$S$10,
IF(AND((SUMPRODUCT(($T26:$BV26="X")*$T$18:$BV$18))&gt;=Listes!$Q$9,(SUMPRODUCT(($T26:$BV26="X")*$T$18:$BV$18))&lt;Listes!$R$9),J26-Listes!$S$9,
IF(AND((SUMPRODUCT(($T26:$BV26="X")*$T$18:$BV$18))&gt;=Listes!$Q$8,(SUMPRODUCT(($T26:$BV26="X")*$T$18:$BV$18))&lt;Listes!$R$8),J26-Listes!$S$8,
IF(AND((SUMPRODUCT(($T26:$BV26="X")*$T$18:$BV$18))&gt;=Listes!$Q$7),J26-Listes!$S$7,
"Erreur"))))))&lt;1,1,
IF((SUMPRODUCT(($T26:$BV26="X")*$T$18:$BV$18))&lt;Listes!$R$12,J26-Listes!$S$12,
IF(AND((SUMPRODUCT(($T26:$BV26="X")*$T$18:$BV$18))&gt;=Listes!$Q$11,(SUMPRODUCT(($T26:$BV26="X")*$T$18:$BV$18))&lt;Listes!$R$11),J26-Listes!$S$11,
IF(AND((SUMPRODUCT(($T26:$BV26="X")*$T$18:$BV$18))&gt;=Listes!$Q$10,(SUMPRODUCT(($T26:$BV26="X")*$T$18:$BV$18))&lt;Listes!$R$10),J26-Listes!$S$10,
IF(AND((SUMPRODUCT(($T26:$BV26="X")*$T$18:$BV$18))&gt;=Listes!$Q$9,(SUMPRODUCT(($T26:$BV26="X")*$T$18:$BV$18))&lt;Listes!$R$9),J26-Listes!$S$9,
IF(AND((SUMPRODUCT(($T26:$BV26="X")*$T$18:$BV$18))&gt;=Listes!$Q$8,(SUMPRODUCT(($T26:$BV26="X")*$T$18:$BV$18))&lt;Listes!$R$8),J26-Listes!$S$8,
IF(AND((SUMPRODUCT(($T26:$BV26="X")*$T$18:$BV$18))&gt;=Listes!$Q$7),J26-Listes!$S$7,
"Erreur"))))))))</f>
        <v/>
      </c>
      <c r="BY26" s="321" t="str">
        <f>IF(O26="","",IF(IF((SUMPRODUCT(($T26:$BV26="X")*$T$19:$BV$19))&lt;Listes!$R$12,O26-Listes!$S$12,
IF(AND((SUMPRODUCT(($T26:$BV26="X")*$T$19:$BV$19))&gt;=Listes!$Q$11,(SUMPRODUCT(($T26:$BV26="X")*$T$19:$BV$19))&lt;Listes!$R$11),O26-Listes!$S$11,
IF(AND((SUMPRODUCT(($T26:$BV26="X")*$T$19:$BV$19))&gt;=Listes!$Q$10,(SUMPRODUCT(($T26:$BV26="X")*$T$19:$BV$19))&lt;Listes!$R$10),O26-Listes!$S$10,
IF(AND((SUMPRODUCT(($T26:$BV26="X")*$T$19:$BV$19))&gt;=Listes!$Q$9,(SUMPRODUCT(($T26:$BV26="X")*$T$19:$BV$19))&lt;Listes!$R$9),O26-Listes!$S$9,
IF(AND((SUMPRODUCT(($T26:$BV26="X")*$T$19:$BV$19))&gt;=Listes!$Q$8,(SUMPRODUCT(($T26:$BV26="X")*$T$19:$BV$19))&lt;Listes!$R$8),O26-Listes!$S$8,
IF(AND((SUMPRODUCT(($T26:$BV26="X")*$T$19:$BV$19))&gt;=Listes!$Q$7),O26-Listes!$S$7,
"Erreur"))))))&lt;1,1,
IF((SUMPRODUCT(($T26:$BV26="X")*$T$19:$BV$19))&lt;Listes!$R$12,O26-Listes!$S$12,
IF(AND((SUMPRODUCT(($T26:$BV26="X")*$T$19:$BV$19))&gt;=Listes!$Q$11,(SUMPRODUCT(($T26:$BV26="X")*$T$19:$BV$19))&lt;Listes!$R$11),O26-Listes!$S$11,
IF(AND((SUMPRODUCT(($T26:$BV26="X")*$T$19:$BV$19))&gt;=Listes!$Q$10,(SUMPRODUCT(($T26:$BV26="X")*$T$19:$BV$19))&lt;Listes!$R$10),O26-Listes!$S$10,
IF(AND((SUMPRODUCT(($T26:$BV26="X")*$T$19:$BV$19))&gt;=Listes!$Q$9,(SUMPRODUCT(($T26:$BV26="X")*$T$19:$BV$19))&lt;Listes!$R$9),O26-Listes!$S$9,
IF(AND((SUMPRODUCT(($T26:$BV26="X")*$T$19:$BV$19))&gt;=Listes!$Q$8,(SUMPRODUCT(($T26:$BV26="X")*$T$19:$BV$19))&lt;Listes!$R$8),O26-Listes!$S$8,
IF(AND((SUMPRODUCT(($T26:$BV26="X")*$T$19:$BV$19))&gt;=Listes!$Q$7),O26-Listes!$S$7,
"Erreur"))))))))</f>
        <v/>
      </c>
      <c r="BZ26" s="322" t="str">
        <f t="shared" si="40"/>
        <v/>
      </c>
      <c r="CA26" s="9"/>
      <c r="CB26" s="9"/>
      <c r="CC26" s="287"/>
      <c r="CD26" s="288"/>
      <c r="CE26" s="289"/>
      <c r="CF26" s="289"/>
      <c r="CG26" s="289"/>
      <c r="CH26" s="289"/>
      <c r="CI26" s="289"/>
      <c r="CJ26" s="289"/>
      <c r="CK26" s="289"/>
      <c r="CL26" s="289"/>
      <c r="CM26" s="288"/>
      <c r="CN26" s="289"/>
      <c r="CO26" s="289"/>
      <c r="CP26" s="289"/>
      <c r="CQ26" s="289"/>
      <c r="CR26" s="289"/>
      <c r="CS26" s="289"/>
      <c r="CT26" s="289"/>
      <c r="CU26" s="289"/>
      <c r="CV26" s="289"/>
      <c r="CW26" s="289"/>
      <c r="CX26" s="289"/>
      <c r="CY26" s="289"/>
      <c r="CZ26" s="289"/>
      <c r="DA26" s="289"/>
      <c r="DB26" s="272"/>
      <c r="DC26" s="320" t="str">
        <f>IF(BX26="","",IF(IF((SUMPRODUCT(($CC26:$DA26="X")*$CC$18:$DA$18))&lt;Listes!$R$12,BX26-Listes!$S$12,
IF(AND((SUMPRODUCT(($CC26:$DA26="X")*$CC$18:$DA$18))&gt;=Listes!$Q$11,(SUMPRODUCT(($CC26:$DA26="X")*$CC$18:$DA$18))&lt;Listes!$R$11),BX26-Listes!$S$11,
IF(AND((SUMPRODUCT(($CC26:$DA26="X")*$CC$18:$DA$18))&gt;=Listes!$Q$10,(SUMPRODUCT(($CC26:$DA26="X")*$CC$18:$DA$18))&lt;Listes!$R$10),BX26-Listes!$S$10,
IF(AND((SUMPRODUCT(($CC26:$DA26="X")*$CC$18:$DA$18))&gt;=Listes!$Q$9,(SUMPRODUCT(($CC26:$DA26="X")*$CC$18:$DA$18))&lt;Listes!$R$9),BX26-Listes!$S$9,
IF(AND((SUMPRODUCT(($CC26:$DA26="X")*$CC$18:$DA$18))&gt;=Listes!$Q$8,(SUMPRODUCT(($CC26:$DA26="X")*$CC$18:$DA$18))&lt;Listes!$R$8),BX26-Listes!$S$8,
IF(AND((SUMPRODUCT(($CC26:$DA26="X")*$CC$18:$DA$18))&gt;=Listes!$Q$7),BX26-Listes!$S$7,
"Erreur"))))))&lt;1,1,
IF((SUMPRODUCT(($CC26:$DA26="X")*$CC$18:$DA$18))&lt;Listes!$R$12,BX26-Listes!$S$12,
IF(AND((SUMPRODUCT(($CC26:$DA26="X")*$CC$18:$DA$18))&gt;=Listes!$Q$11,(SUMPRODUCT(($CC26:$DA26="X")*$CC$18:$DA$18))&lt;Listes!$R$11),BX26-Listes!$S$11,
IF(AND((SUMPRODUCT(($CC26:$DA26="X")*$CC$18:$DA$18))&gt;=Listes!$Q$10,(SUMPRODUCT(($CC26:$DA26="X")*$CC$18:$DA$18))&lt;Listes!$R$10),BX26-Listes!$S$10,
IF(AND((SUMPRODUCT(($CC26:$DA26="X")*$CC$18:$DA$18))&gt;=Listes!$Q$9,(SUMPRODUCT(($CC26:$DA26="X")*$CC$18:$DA$18))&lt;Listes!$R$9),BX26-Listes!$S$9,
IF(AND((SUMPRODUCT(($CC26:$DA26="X")*$CC$18:$DA$18))&gt;=Listes!$Q$8,(SUMPRODUCT(($CC26:$DA26="X")*$CC$18:$DA$18))&lt;Listes!$R$8),BX26-Listes!$S$8,
IF(AND((SUMPRODUCT(($CC26:$DA26="X")*$CC$18:$DA$18))&gt;=Listes!$Q$7),BX26-Listes!$S$7,
"Erreur"))))))))</f>
        <v/>
      </c>
      <c r="DD26" s="321" t="str">
        <f>IF(BY26="","",IF(IF((SUMPRODUCT(($CC26:$DA26="X")*$CC$19:$DA$19))&lt;Listes!$R$12,BY26-Listes!$S$12,
IF(AND((SUMPRODUCT(($CC26:$DA26="X")*$CC$19:$DA$19))&gt;=Listes!$Q$11,(SUMPRODUCT(($CC26:$DA26="X")*$CC$19:$DA$19))&lt;Listes!$R$11),BY26-Listes!$S$11,
IF(AND((SUMPRODUCT(($CC26:$DA26="X")*$CC$19:$DA$19))&gt;=Listes!$Q$10,(SUMPRODUCT(($CC26:$DA26="X")*$CC$19:$DA$19))&lt;Listes!$R$10),BY26-Listes!$S$10,
IF(AND((SUMPRODUCT(($CC26:$DA26="X")*$CC$19:$DA$19))&gt;=Listes!$Q$9,(SUMPRODUCT(($CC26:$DA26="X")*$CC$19:$DA$19))&lt;Listes!$R$9),BY26-Listes!$S$9,
IF(AND((SUMPRODUCT(($CC26:$DA26="X")*$CC$19:$DA$19))&gt;=Listes!$Q$8,(SUMPRODUCT(($CC26:$DA26="X")*$CC$19:$DA$19))&lt;Listes!$R$8),BY26-Listes!$S$8,
IF(AND((SUMPRODUCT(($CC26:$DA26="X")*$CC$19:$DA$19))&gt;=Listes!$Q$7),BY26-Listes!$S$7,
"Erreur"))))))&lt;1,1,
IF((SUMPRODUCT(($CC26:$DA26="X")*$CC$19:$DA$19))&lt;Listes!$R$12,BY26-Listes!$S$12,
IF(AND((SUMPRODUCT(($CC26:$DA26="X")*$CC$19:$DA$19))&gt;=Listes!$Q$11,(SUMPRODUCT(($CC26:$DA26="X")*$CC$19:$DA$19))&lt;Listes!$R$11),BY26-Listes!$S$11,
IF(AND((SUMPRODUCT(($CC26:$DA26="X")*$CC$19:$DA$19))&gt;=Listes!$Q$10,(SUMPRODUCT(($CC26:$DA26="X")*$CC$19:$DA$19))&lt;Listes!$R$10),BY26-Listes!$S$10,
IF(AND((SUMPRODUCT(($CC26:$DA26="X")*$CC$19:$DA$19))&gt;=Listes!$Q$9,(SUMPRODUCT(($CC26:$DA26="X")*$CC$19:$DA$19))&lt;Listes!$R$9),BY26-Listes!$S$9,
IF(AND((SUMPRODUCT(($CC26:$DA26="X")*$CC$19:$DA$19))&gt;=Listes!$Q$8,(SUMPRODUCT(($CC26:$DA26="X")*$CC$19:$DA$19))&lt;Listes!$R$8),BY26-Listes!$S$8,
IF(AND((SUMPRODUCT(($CC26:$DA26="X")*$CC$19:$DA$19))&gt;=Listes!$Q$7),BY26-Listes!$S$7,
"Erreur"))))))))</f>
        <v/>
      </c>
      <c r="DE26" s="322" t="str">
        <f t="shared" si="41"/>
        <v/>
      </c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</row>
    <row r="27" spans="1:140" s="6" customFormat="1" ht="14.25" customHeight="1" x14ac:dyDescent="0.2">
      <c r="A27" s="9"/>
      <c r="B27" s="9"/>
      <c r="C27" s="433" t="str">
        <f>IF(D27="","",$G$1&amp;"-R"&amp;Listes!A6)</f>
        <v/>
      </c>
      <c r="D27" s="280"/>
      <c r="E27" s="284"/>
      <c r="F27" s="284"/>
      <c r="G27" s="278"/>
      <c r="H27" s="304" t="str">
        <f>IF(G27="","",VLOOKUP(G27,Listes!W8:Y55,2,FALSE))</f>
        <v/>
      </c>
      <c r="I27" s="304" t="str">
        <f>IF(G27="","",VLOOKUP(G27,Listes!W8:Y55,3,FALSE))</f>
        <v/>
      </c>
      <c r="J27" s="282"/>
      <c r="K27" s="283"/>
      <c r="L27" s="283"/>
      <c r="M27" s="283"/>
      <c r="N27" s="283"/>
      <c r="O27" s="318" t="str">
        <f t="shared" si="42"/>
        <v/>
      </c>
      <c r="P27" s="319" t="str">
        <f t="shared" si="39"/>
        <v/>
      </c>
      <c r="Q27" s="194"/>
      <c r="R27" s="9"/>
      <c r="S27" s="79"/>
      <c r="T27" s="273"/>
      <c r="U27" s="273"/>
      <c r="V27" s="273"/>
      <c r="W27" s="273"/>
      <c r="X27" s="273"/>
      <c r="Y27" s="273"/>
      <c r="Z27" s="273"/>
      <c r="AA27" s="273"/>
      <c r="AB27" s="273"/>
      <c r="AC27" s="273"/>
      <c r="AD27" s="273"/>
      <c r="AE27" s="273"/>
      <c r="AF27" s="273"/>
      <c r="AG27" s="273"/>
      <c r="AH27" s="273"/>
      <c r="AI27" s="273"/>
      <c r="AJ27" s="273"/>
      <c r="AK27" s="273"/>
      <c r="AL27" s="273"/>
      <c r="AM27" s="273"/>
      <c r="AN27" s="273"/>
      <c r="AO27" s="273"/>
      <c r="AP27" s="273"/>
      <c r="AQ27" s="273"/>
      <c r="AR27" s="273"/>
      <c r="AS27" s="273"/>
      <c r="AT27" s="273"/>
      <c r="AU27" s="273"/>
      <c r="AV27" s="273"/>
      <c r="AW27" s="273"/>
      <c r="AX27" s="273"/>
      <c r="AY27" s="273"/>
      <c r="AZ27" s="273"/>
      <c r="BA27" s="273"/>
      <c r="BB27" s="273"/>
      <c r="BC27" s="273"/>
      <c r="BD27" s="273"/>
      <c r="BE27" s="273"/>
      <c r="BF27" s="273"/>
      <c r="BG27" s="273"/>
      <c r="BH27" s="273"/>
      <c r="BI27" s="273"/>
      <c r="BJ27" s="273"/>
      <c r="BK27" s="273"/>
      <c r="BL27" s="273"/>
      <c r="BM27" s="273"/>
      <c r="BN27" s="273"/>
      <c r="BO27" s="273"/>
      <c r="BP27" s="273"/>
      <c r="BQ27" s="273"/>
      <c r="BR27" s="273"/>
      <c r="BS27" s="273"/>
      <c r="BT27" s="273"/>
      <c r="BU27" s="273"/>
      <c r="BV27" s="273"/>
      <c r="BW27" s="29"/>
      <c r="BX27" s="320" t="str">
        <f>IF(J27="","",IF(IF((SUMPRODUCT(($T27:$BV27="X")*$T$18:$BV$18))&lt;Listes!$R$12,J27-Listes!$S$12,
IF(AND((SUMPRODUCT(($T27:$BV27="X")*$T$18:$BV$18))&gt;=Listes!$Q$11,(SUMPRODUCT(($T27:$BV27="X")*$T$18:$BV$18))&lt;Listes!$R$11),J27-Listes!$S$11,
IF(AND((SUMPRODUCT(($T27:$BV27="X")*$T$18:$BV$18))&gt;=Listes!$Q$10,(SUMPRODUCT(($T27:$BV27="X")*$T$18:$BV$18))&lt;Listes!$R$10),J27-Listes!$S$10,
IF(AND((SUMPRODUCT(($T27:$BV27="X")*$T$18:$BV$18))&gt;=Listes!$Q$9,(SUMPRODUCT(($T27:$BV27="X")*$T$18:$BV$18))&lt;Listes!$R$9),J27-Listes!$S$9,
IF(AND((SUMPRODUCT(($T27:$BV27="X")*$T$18:$BV$18))&gt;=Listes!$Q$8,(SUMPRODUCT(($T27:$BV27="X")*$T$18:$BV$18))&lt;Listes!$R$8),J27-Listes!$S$8,
IF(AND((SUMPRODUCT(($T27:$BV27="X")*$T$18:$BV$18))&gt;=Listes!$Q$7),J27-Listes!$S$7,
"Erreur"))))))&lt;1,1,
IF((SUMPRODUCT(($T27:$BV27="X")*$T$18:$BV$18))&lt;Listes!$R$12,J27-Listes!$S$12,
IF(AND((SUMPRODUCT(($T27:$BV27="X")*$T$18:$BV$18))&gt;=Listes!$Q$11,(SUMPRODUCT(($T27:$BV27="X")*$T$18:$BV$18))&lt;Listes!$R$11),J27-Listes!$S$11,
IF(AND((SUMPRODUCT(($T27:$BV27="X")*$T$18:$BV$18))&gt;=Listes!$Q$10,(SUMPRODUCT(($T27:$BV27="X")*$T$18:$BV$18))&lt;Listes!$R$10),J27-Listes!$S$10,
IF(AND((SUMPRODUCT(($T27:$BV27="X")*$T$18:$BV$18))&gt;=Listes!$Q$9,(SUMPRODUCT(($T27:$BV27="X")*$T$18:$BV$18))&lt;Listes!$R$9),J27-Listes!$S$9,
IF(AND((SUMPRODUCT(($T27:$BV27="X")*$T$18:$BV$18))&gt;=Listes!$Q$8,(SUMPRODUCT(($T27:$BV27="X")*$T$18:$BV$18))&lt;Listes!$R$8),J27-Listes!$S$8,
IF(AND((SUMPRODUCT(($T27:$BV27="X")*$T$18:$BV$18))&gt;=Listes!$Q$7),J27-Listes!$S$7,
"Erreur"))))))))</f>
        <v/>
      </c>
      <c r="BY27" s="321" t="str">
        <f>IF(O27="","",IF(IF((SUMPRODUCT(($T27:$BV27="X")*$T$19:$BV$19))&lt;Listes!$R$12,O27-Listes!$S$12,
IF(AND((SUMPRODUCT(($T27:$BV27="X")*$T$19:$BV$19))&gt;=Listes!$Q$11,(SUMPRODUCT(($T27:$BV27="X")*$T$19:$BV$19))&lt;Listes!$R$11),O27-Listes!$S$11,
IF(AND((SUMPRODUCT(($T27:$BV27="X")*$T$19:$BV$19))&gt;=Listes!$Q$10,(SUMPRODUCT(($T27:$BV27="X")*$T$19:$BV$19))&lt;Listes!$R$10),O27-Listes!$S$10,
IF(AND((SUMPRODUCT(($T27:$BV27="X")*$T$19:$BV$19))&gt;=Listes!$Q$9,(SUMPRODUCT(($T27:$BV27="X")*$T$19:$BV$19))&lt;Listes!$R$9),O27-Listes!$S$9,
IF(AND((SUMPRODUCT(($T27:$BV27="X")*$T$19:$BV$19))&gt;=Listes!$Q$8,(SUMPRODUCT(($T27:$BV27="X")*$T$19:$BV$19))&lt;Listes!$R$8),O27-Listes!$S$8,
IF(AND((SUMPRODUCT(($T27:$BV27="X")*$T$19:$BV$19))&gt;=Listes!$Q$7),O27-Listes!$S$7,
"Erreur"))))))&lt;1,1,
IF((SUMPRODUCT(($T27:$BV27="X")*$T$19:$BV$19))&lt;Listes!$R$12,O27-Listes!$S$12,
IF(AND((SUMPRODUCT(($T27:$BV27="X")*$T$19:$BV$19))&gt;=Listes!$Q$11,(SUMPRODUCT(($T27:$BV27="X")*$T$19:$BV$19))&lt;Listes!$R$11),O27-Listes!$S$11,
IF(AND((SUMPRODUCT(($T27:$BV27="X")*$T$19:$BV$19))&gt;=Listes!$Q$10,(SUMPRODUCT(($T27:$BV27="X")*$T$19:$BV$19))&lt;Listes!$R$10),O27-Listes!$S$10,
IF(AND((SUMPRODUCT(($T27:$BV27="X")*$T$19:$BV$19))&gt;=Listes!$Q$9,(SUMPRODUCT(($T27:$BV27="X")*$T$19:$BV$19))&lt;Listes!$R$9),O27-Listes!$S$9,
IF(AND((SUMPRODUCT(($T27:$BV27="X")*$T$19:$BV$19))&gt;=Listes!$Q$8,(SUMPRODUCT(($T27:$BV27="X")*$T$19:$BV$19))&lt;Listes!$R$8),O27-Listes!$S$8,
IF(AND((SUMPRODUCT(($T27:$BV27="X")*$T$19:$BV$19))&gt;=Listes!$Q$7),O27-Listes!$S$7,
"Erreur"))))))))</f>
        <v/>
      </c>
      <c r="BZ27" s="322" t="str">
        <f t="shared" si="40"/>
        <v/>
      </c>
      <c r="CA27" s="9"/>
      <c r="CB27" s="9"/>
      <c r="CC27" s="287"/>
      <c r="CD27" s="288"/>
      <c r="CE27" s="289"/>
      <c r="CF27" s="289"/>
      <c r="CG27" s="289"/>
      <c r="CH27" s="289"/>
      <c r="CI27" s="289"/>
      <c r="CJ27" s="289"/>
      <c r="CK27" s="289"/>
      <c r="CL27" s="289"/>
      <c r="CM27" s="288"/>
      <c r="CN27" s="289"/>
      <c r="CO27" s="289"/>
      <c r="CP27" s="289"/>
      <c r="CQ27" s="289"/>
      <c r="CR27" s="289"/>
      <c r="CS27" s="289"/>
      <c r="CT27" s="289"/>
      <c r="CU27" s="289"/>
      <c r="CV27" s="289"/>
      <c r="CW27" s="289"/>
      <c r="CX27" s="289"/>
      <c r="CY27" s="289"/>
      <c r="CZ27" s="289"/>
      <c r="DA27" s="289"/>
      <c r="DB27" s="272"/>
      <c r="DC27" s="320" t="str">
        <f>IF(BX27="","",IF(IF((SUMPRODUCT(($CC27:$DA27="X")*$CC$18:$DA$18))&lt;Listes!$R$12,BX27-Listes!$S$12,
IF(AND((SUMPRODUCT(($CC27:$DA27="X")*$CC$18:$DA$18))&gt;=Listes!$Q$11,(SUMPRODUCT(($CC27:$DA27="X")*$CC$18:$DA$18))&lt;Listes!$R$11),BX27-Listes!$S$11,
IF(AND((SUMPRODUCT(($CC27:$DA27="X")*$CC$18:$DA$18))&gt;=Listes!$Q$10,(SUMPRODUCT(($CC27:$DA27="X")*$CC$18:$DA$18))&lt;Listes!$R$10),BX27-Listes!$S$10,
IF(AND((SUMPRODUCT(($CC27:$DA27="X")*$CC$18:$DA$18))&gt;=Listes!$Q$9,(SUMPRODUCT(($CC27:$DA27="X")*$CC$18:$DA$18))&lt;Listes!$R$9),BX27-Listes!$S$9,
IF(AND((SUMPRODUCT(($CC27:$DA27="X")*$CC$18:$DA$18))&gt;=Listes!$Q$8,(SUMPRODUCT(($CC27:$DA27="X")*$CC$18:$DA$18))&lt;Listes!$R$8),BX27-Listes!$S$8,
IF(AND((SUMPRODUCT(($CC27:$DA27="X")*$CC$18:$DA$18))&gt;=Listes!$Q$7),BX27-Listes!$S$7,
"Erreur"))))))&lt;1,1,
IF((SUMPRODUCT(($CC27:$DA27="X")*$CC$18:$DA$18))&lt;Listes!$R$12,BX27-Listes!$S$12,
IF(AND((SUMPRODUCT(($CC27:$DA27="X")*$CC$18:$DA$18))&gt;=Listes!$Q$11,(SUMPRODUCT(($CC27:$DA27="X")*$CC$18:$DA$18))&lt;Listes!$R$11),BX27-Listes!$S$11,
IF(AND((SUMPRODUCT(($CC27:$DA27="X")*$CC$18:$DA$18))&gt;=Listes!$Q$10,(SUMPRODUCT(($CC27:$DA27="X")*$CC$18:$DA$18))&lt;Listes!$R$10),BX27-Listes!$S$10,
IF(AND((SUMPRODUCT(($CC27:$DA27="X")*$CC$18:$DA$18))&gt;=Listes!$Q$9,(SUMPRODUCT(($CC27:$DA27="X")*$CC$18:$DA$18))&lt;Listes!$R$9),BX27-Listes!$S$9,
IF(AND((SUMPRODUCT(($CC27:$DA27="X")*$CC$18:$DA$18))&gt;=Listes!$Q$8,(SUMPRODUCT(($CC27:$DA27="X")*$CC$18:$DA$18))&lt;Listes!$R$8),BX27-Listes!$S$8,
IF(AND((SUMPRODUCT(($CC27:$DA27="X")*$CC$18:$DA$18))&gt;=Listes!$Q$7),BX27-Listes!$S$7,
"Erreur"))))))))</f>
        <v/>
      </c>
      <c r="DD27" s="321" t="str">
        <f>IF(BY27="","",IF(IF((SUMPRODUCT(($CC27:$DA27="X")*$CC$19:$DA$19))&lt;Listes!$R$12,BY27-Listes!$S$12,
IF(AND((SUMPRODUCT(($CC27:$DA27="X")*$CC$19:$DA$19))&gt;=Listes!$Q$11,(SUMPRODUCT(($CC27:$DA27="X")*$CC$19:$DA$19))&lt;Listes!$R$11),BY27-Listes!$S$11,
IF(AND((SUMPRODUCT(($CC27:$DA27="X")*$CC$19:$DA$19))&gt;=Listes!$Q$10,(SUMPRODUCT(($CC27:$DA27="X")*$CC$19:$DA$19))&lt;Listes!$R$10),BY27-Listes!$S$10,
IF(AND((SUMPRODUCT(($CC27:$DA27="X")*$CC$19:$DA$19))&gt;=Listes!$Q$9,(SUMPRODUCT(($CC27:$DA27="X")*$CC$19:$DA$19))&lt;Listes!$R$9),BY27-Listes!$S$9,
IF(AND((SUMPRODUCT(($CC27:$DA27="X")*$CC$19:$DA$19))&gt;=Listes!$Q$8,(SUMPRODUCT(($CC27:$DA27="X")*$CC$19:$DA$19))&lt;Listes!$R$8),BY27-Listes!$S$8,
IF(AND((SUMPRODUCT(($CC27:$DA27="X")*$CC$19:$DA$19))&gt;=Listes!$Q$7),BY27-Listes!$S$7,
"Erreur"))))))&lt;1,1,
IF((SUMPRODUCT(($CC27:$DA27="X")*$CC$19:$DA$19))&lt;Listes!$R$12,BY27-Listes!$S$12,
IF(AND((SUMPRODUCT(($CC27:$DA27="X")*$CC$19:$DA$19))&gt;=Listes!$Q$11,(SUMPRODUCT(($CC27:$DA27="X")*$CC$19:$DA$19))&lt;Listes!$R$11),BY27-Listes!$S$11,
IF(AND((SUMPRODUCT(($CC27:$DA27="X")*$CC$19:$DA$19))&gt;=Listes!$Q$10,(SUMPRODUCT(($CC27:$DA27="X")*$CC$19:$DA$19))&lt;Listes!$R$10),BY27-Listes!$S$10,
IF(AND((SUMPRODUCT(($CC27:$DA27="X")*$CC$19:$DA$19))&gt;=Listes!$Q$9,(SUMPRODUCT(($CC27:$DA27="X")*$CC$19:$DA$19))&lt;Listes!$R$9),BY27-Listes!$S$9,
IF(AND((SUMPRODUCT(($CC27:$DA27="X")*$CC$19:$DA$19))&gt;=Listes!$Q$8,(SUMPRODUCT(($CC27:$DA27="X")*$CC$19:$DA$19))&lt;Listes!$R$8),BY27-Listes!$S$8,
IF(AND((SUMPRODUCT(($CC27:$DA27="X")*$CC$19:$DA$19))&gt;=Listes!$Q$7),BY27-Listes!$S$7,
"Erreur"))))))))</f>
        <v/>
      </c>
      <c r="DE27" s="322" t="str">
        <f t="shared" si="41"/>
        <v/>
      </c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</row>
    <row r="28" spans="1:140" s="6" customFormat="1" ht="14.25" customHeight="1" x14ac:dyDescent="0.2">
      <c r="A28" s="9"/>
      <c r="B28" s="9"/>
      <c r="C28" s="433" t="str">
        <f>IF(D28="","",$G$1&amp;"-R"&amp;Listes!A7)</f>
        <v/>
      </c>
      <c r="D28" s="280"/>
      <c r="E28" s="284"/>
      <c r="F28" s="284"/>
      <c r="G28" s="278"/>
      <c r="H28" s="304" t="str">
        <f>IF(G28="","",VLOOKUP(G28,Listes!W9:Y56,2,FALSE))</f>
        <v/>
      </c>
      <c r="I28" s="304" t="str">
        <f>IF(G28="","",VLOOKUP(G28,Listes!W9:Y56,3,FALSE))</f>
        <v/>
      </c>
      <c r="J28" s="282"/>
      <c r="K28" s="283"/>
      <c r="L28" s="283"/>
      <c r="M28" s="283"/>
      <c r="N28" s="283"/>
      <c r="O28" s="318" t="str">
        <f t="shared" si="42"/>
        <v/>
      </c>
      <c r="P28" s="319" t="str">
        <f t="shared" si="39"/>
        <v/>
      </c>
      <c r="Q28" s="194"/>
      <c r="R28" s="9"/>
      <c r="S28" s="79"/>
      <c r="T28" s="273"/>
      <c r="U28" s="273"/>
      <c r="V28" s="273"/>
      <c r="W28" s="273"/>
      <c r="X28" s="273"/>
      <c r="Y28" s="273"/>
      <c r="Z28" s="273"/>
      <c r="AA28" s="273"/>
      <c r="AB28" s="273"/>
      <c r="AC28" s="273"/>
      <c r="AD28" s="273"/>
      <c r="AE28" s="273"/>
      <c r="AF28" s="273"/>
      <c r="AG28" s="273"/>
      <c r="AH28" s="273"/>
      <c r="AI28" s="273"/>
      <c r="AJ28" s="273"/>
      <c r="AK28" s="273"/>
      <c r="AL28" s="273"/>
      <c r="AM28" s="273"/>
      <c r="AN28" s="273"/>
      <c r="AO28" s="273"/>
      <c r="AP28" s="273"/>
      <c r="AQ28" s="273"/>
      <c r="AR28" s="273"/>
      <c r="AS28" s="273"/>
      <c r="AT28" s="273"/>
      <c r="AU28" s="273"/>
      <c r="AV28" s="273"/>
      <c r="AW28" s="273"/>
      <c r="AX28" s="273"/>
      <c r="AY28" s="273"/>
      <c r="AZ28" s="273"/>
      <c r="BA28" s="273"/>
      <c r="BB28" s="273"/>
      <c r="BC28" s="273"/>
      <c r="BD28" s="273"/>
      <c r="BE28" s="273"/>
      <c r="BF28" s="273"/>
      <c r="BG28" s="273"/>
      <c r="BH28" s="273"/>
      <c r="BI28" s="273"/>
      <c r="BJ28" s="273"/>
      <c r="BK28" s="273"/>
      <c r="BL28" s="273"/>
      <c r="BM28" s="273"/>
      <c r="BN28" s="273"/>
      <c r="BO28" s="273"/>
      <c r="BP28" s="273"/>
      <c r="BQ28" s="273"/>
      <c r="BR28" s="273"/>
      <c r="BS28" s="273"/>
      <c r="BT28" s="273"/>
      <c r="BU28" s="273"/>
      <c r="BV28" s="273"/>
      <c r="BW28" s="29"/>
      <c r="BX28" s="320" t="str">
        <f>IF(J28="","",IF(IF((SUMPRODUCT(($T28:$BV28="X")*$T$18:$BV$18))&lt;Listes!$R$12,J28-Listes!$S$12,
IF(AND((SUMPRODUCT(($T28:$BV28="X")*$T$18:$BV$18))&gt;=Listes!$Q$11,(SUMPRODUCT(($T28:$BV28="X")*$T$18:$BV$18))&lt;Listes!$R$11),J28-Listes!$S$11,
IF(AND((SUMPRODUCT(($T28:$BV28="X")*$T$18:$BV$18))&gt;=Listes!$Q$10,(SUMPRODUCT(($T28:$BV28="X")*$T$18:$BV$18))&lt;Listes!$R$10),J28-Listes!$S$10,
IF(AND((SUMPRODUCT(($T28:$BV28="X")*$T$18:$BV$18))&gt;=Listes!$Q$9,(SUMPRODUCT(($T28:$BV28="X")*$T$18:$BV$18))&lt;Listes!$R$9),J28-Listes!$S$9,
IF(AND((SUMPRODUCT(($T28:$BV28="X")*$T$18:$BV$18))&gt;=Listes!$Q$8,(SUMPRODUCT(($T28:$BV28="X")*$T$18:$BV$18))&lt;Listes!$R$8),J28-Listes!$S$8,
IF(AND((SUMPRODUCT(($T28:$BV28="X")*$T$18:$BV$18))&gt;=Listes!$Q$7),J28-Listes!$S$7,
"Erreur"))))))&lt;1,1,
IF((SUMPRODUCT(($T28:$BV28="X")*$T$18:$BV$18))&lt;Listes!$R$12,J28-Listes!$S$12,
IF(AND((SUMPRODUCT(($T28:$BV28="X")*$T$18:$BV$18))&gt;=Listes!$Q$11,(SUMPRODUCT(($T28:$BV28="X")*$T$18:$BV$18))&lt;Listes!$R$11),J28-Listes!$S$11,
IF(AND((SUMPRODUCT(($T28:$BV28="X")*$T$18:$BV$18))&gt;=Listes!$Q$10,(SUMPRODUCT(($T28:$BV28="X")*$T$18:$BV$18))&lt;Listes!$R$10),J28-Listes!$S$10,
IF(AND((SUMPRODUCT(($T28:$BV28="X")*$T$18:$BV$18))&gt;=Listes!$Q$9,(SUMPRODUCT(($T28:$BV28="X")*$T$18:$BV$18))&lt;Listes!$R$9),J28-Listes!$S$9,
IF(AND((SUMPRODUCT(($T28:$BV28="X")*$T$18:$BV$18))&gt;=Listes!$Q$8,(SUMPRODUCT(($T28:$BV28="X")*$T$18:$BV$18))&lt;Listes!$R$8),J28-Listes!$S$8,
IF(AND((SUMPRODUCT(($T28:$BV28="X")*$T$18:$BV$18))&gt;=Listes!$Q$7),J28-Listes!$S$7,
"Erreur"))))))))</f>
        <v/>
      </c>
      <c r="BY28" s="321" t="str">
        <f>IF(O28="","",IF(IF((SUMPRODUCT(($T28:$BV28="X")*$T$19:$BV$19))&lt;Listes!$R$12,O28-Listes!$S$12,
IF(AND((SUMPRODUCT(($T28:$BV28="X")*$T$19:$BV$19))&gt;=Listes!$Q$11,(SUMPRODUCT(($T28:$BV28="X")*$T$19:$BV$19))&lt;Listes!$R$11),O28-Listes!$S$11,
IF(AND((SUMPRODUCT(($T28:$BV28="X")*$T$19:$BV$19))&gt;=Listes!$Q$10,(SUMPRODUCT(($T28:$BV28="X")*$T$19:$BV$19))&lt;Listes!$R$10),O28-Listes!$S$10,
IF(AND((SUMPRODUCT(($T28:$BV28="X")*$T$19:$BV$19))&gt;=Listes!$Q$9,(SUMPRODUCT(($T28:$BV28="X")*$T$19:$BV$19))&lt;Listes!$R$9),O28-Listes!$S$9,
IF(AND((SUMPRODUCT(($T28:$BV28="X")*$T$19:$BV$19))&gt;=Listes!$Q$8,(SUMPRODUCT(($T28:$BV28="X")*$T$19:$BV$19))&lt;Listes!$R$8),O28-Listes!$S$8,
IF(AND((SUMPRODUCT(($T28:$BV28="X")*$T$19:$BV$19))&gt;=Listes!$Q$7),O28-Listes!$S$7,
"Erreur"))))))&lt;1,1,
IF((SUMPRODUCT(($T28:$BV28="X")*$T$19:$BV$19))&lt;Listes!$R$12,O28-Listes!$S$12,
IF(AND((SUMPRODUCT(($T28:$BV28="X")*$T$19:$BV$19))&gt;=Listes!$Q$11,(SUMPRODUCT(($T28:$BV28="X")*$T$19:$BV$19))&lt;Listes!$R$11),O28-Listes!$S$11,
IF(AND((SUMPRODUCT(($T28:$BV28="X")*$T$19:$BV$19))&gt;=Listes!$Q$10,(SUMPRODUCT(($T28:$BV28="X")*$T$19:$BV$19))&lt;Listes!$R$10),O28-Listes!$S$10,
IF(AND((SUMPRODUCT(($T28:$BV28="X")*$T$19:$BV$19))&gt;=Listes!$Q$9,(SUMPRODUCT(($T28:$BV28="X")*$T$19:$BV$19))&lt;Listes!$R$9),O28-Listes!$S$9,
IF(AND((SUMPRODUCT(($T28:$BV28="X")*$T$19:$BV$19))&gt;=Listes!$Q$8,(SUMPRODUCT(($T28:$BV28="X")*$T$19:$BV$19))&lt;Listes!$R$8),O28-Listes!$S$8,
IF(AND((SUMPRODUCT(($T28:$BV28="X")*$T$19:$BV$19))&gt;=Listes!$Q$7),O28-Listes!$S$7,
"Erreur"))))))))</f>
        <v/>
      </c>
      <c r="BZ28" s="322" t="str">
        <f t="shared" si="40"/>
        <v/>
      </c>
      <c r="CA28" s="9"/>
      <c r="CB28" s="9"/>
      <c r="CC28" s="287"/>
      <c r="CD28" s="288"/>
      <c r="CE28" s="289"/>
      <c r="CF28" s="289"/>
      <c r="CG28" s="289"/>
      <c r="CH28" s="289"/>
      <c r="CI28" s="289"/>
      <c r="CJ28" s="289"/>
      <c r="CK28" s="289"/>
      <c r="CL28" s="289"/>
      <c r="CM28" s="288"/>
      <c r="CN28" s="289"/>
      <c r="CO28" s="289"/>
      <c r="CP28" s="289"/>
      <c r="CQ28" s="289"/>
      <c r="CR28" s="289"/>
      <c r="CS28" s="289"/>
      <c r="CT28" s="289"/>
      <c r="CU28" s="289"/>
      <c r="CV28" s="289"/>
      <c r="CW28" s="289"/>
      <c r="CX28" s="289"/>
      <c r="CY28" s="289"/>
      <c r="CZ28" s="289"/>
      <c r="DA28" s="289"/>
      <c r="DB28" s="272"/>
      <c r="DC28" s="320" t="str">
        <f>IF(BX28="","",IF(IF((SUMPRODUCT(($CC28:$DA28="X")*$CC$18:$DA$18))&lt;Listes!$R$12,BX28-Listes!$S$12,
IF(AND((SUMPRODUCT(($CC28:$DA28="X")*$CC$18:$DA$18))&gt;=Listes!$Q$11,(SUMPRODUCT(($CC28:$DA28="X")*$CC$18:$DA$18))&lt;Listes!$R$11),BX28-Listes!$S$11,
IF(AND((SUMPRODUCT(($CC28:$DA28="X")*$CC$18:$DA$18))&gt;=Listes!$Q$10,(SUMPRODUCT(($CC28:$DA28="X")*$CC$18:$DA$18))&lt;Listes!$R$10),BX28-Listes!$S$10,
IF(AND((SUMPRODUCT(($CC28:$DA28="X")*$CC$18:$DA$18))&gt;=Listes!$Q$9,(SUMPRODUCT(($CC28:$DA28="X")*$CC$18:$DA$18))&lt;Listes!$R$9),BX28-Listes!$S$9,
IF(AND((SUMPRODUCT(($CC28:$DA28="X")*$CC$18:$DA$18))&gt;=Listes!$Q$8,(SUMPRODUCT(($CC28:$DA28="X")*$CC$18:$DA$18))&lt;Listes!$R$8),BX28-Listes!$S$8,
IF(AND((SUMPRODUCT(($CC28:$DA28="X")*$CC$18:$DA$18))&gt;=Listes!$Q$7),BX28-Listes!$S$7,
"Erreur"))))))&lt;1,1,
IF((SUMPRODUCT(($CC28:$DA28="X")*$CC$18:$DA$18))&lt;Listes!$R$12,BX28-Listes!$S$12,
IF(AND((SUMPRODUCT(($CC28:$DA28="X")*$CC$18:$DA$18))&gt;=Listes!$Q$11,(SUMPRODUCT(($CC28:$DA28="X")*$CC$18:$DA$18))&lt;Listes!$R$11),BX28-Listes!$S$11,
IF(AND((SUMPRODUCT(($CC28:$DA28="X")*$CC$18:$DA$18))&gt;=Listes!$Q$10,(SUMPRODUCT(($CC28:$DA28="X")*$CC$18:$DA$18))&lt;Listes!$R$10),BX28-Listes!$S$10,
IF(AND((SUMPRODUCT(($CC28:$DA28="X")*$CC$18:$DA$18))&gt;=Listes!$Q$9,(SUMPRODUCT(($CC28:$DA28="X")*$CC$18:$DA$18))&lt;Listes!$R$9),BX28-Listes!$S$9,
IF(AND((SUMPRODUCT(($CC28:$DA28="X")*$CC$18:$DA$18))&gt;=Listes!$Q$8,(SUMPRODUCT(($CC28:$DA28="X")*$CC$18:$DA$18))&lt;Listes!$R$8),BX28-Listes!$S$8,
IF(AND((SUMPRODUCT(($CC28:$DA28="X")*$CC$18:$DA$18))&gt;=Listes!$Q$7),BX28-Listes!$S$7,
"Erreur"))))))))</f>
        <v/>
      </c>
      <c r="DD28" s="321" t="str">
        <f>IF(BY28="","",IF(IF((SUMPRODUCT(($CC28:$DA28="X")*$CC$19:$DA$19))&lt;Listes!$R$12,BY28-Listes!$S$12,
IF(AND((SUMPRODUCT(($CC28:$DA28="X")*$CC$19:$DA$19))&gt;=Listes!$Q$11,(SUMPRODUCT(($CC28:$DA28="X")*$CC$19:$DA$19))&lt;Listes!$R$11),BY28-Listes!$S$11,
IF(AND((SUMPRODUCT(($CC28:$DA28="X")*$CC$19:$DA$19))&gt;=Listes!$Q$10,(SUMPRODUCT(($CC28:$DA28="X")*$CC$19:$DA$19))&lt;Listes!$R$10),BY28-Listes!$S$10,
IF(AND((SUMPRODUCT(($CC28:$DA28="X")*$CC$19:$DA$19))&gt;=Listes!$Q$9,(SUMPRODUCT(($CC28:$DA28="X")*$CC$19:$DA$19))&lt;Listes!$R$9),BY28-Listes!$S$9,
IF(AND((SUMPRODUCT(($CC28:$DA28="X")*$CC$19:$DA$19))&gt;=Listes!$Q$8,(SUMPRODUCT(($CC28:$DA28="X")*$CC$19:$DA$19))&lt;Listes!$R$8),BY28-Listes!$S$8,
IF(AND((SUMPRODUCT(($CC28:$DA28="X")*$CC$19:$DA$19))&gt;=Listes!$Q$7),BY28-Listes!$S$7,
"Erreur"))))))&lt;1,1,
IF((SUMPRODUCT(($CC28:$DA28="X")*$CC$19:$DA$19))&lt;Listes!$R$12,BY28-Listes!$S$12,
IF(AND((SUMPRODUCT(($CC28:$DA28="X")*$CC$19:$DA$19))&gt;=Listes!$Q$11,(SUMPRODUCT(($CC28:$DA28="X")*$CC$19:$DA$19))&lt;Listes!$R$11),BY28-Listes!$S$11,
IF(AND((SUMPRODUCT(($CC28:$DA28="X")*$CC$19:$DA$19))&gt;=Listes!$Q$10,(SUMPRODUCT(($CC28:$DA28="X")*$CC$19:$DA$19))&lt;Listes!$R$10),BY28-Listes!$S$10,
IF(AND((SUMPRODUCT(($CC28:$DA28="X")*$CC$19:$DA$19))&gt;=Listes!$Q$9,(SUMPRODUCT(($CC28:$DA28="X")*$CC$19:$DA$19))&lt;Listes!$R$9),BY28-Listes!$S$9,
IF(AND((SUMPRODUCT(($CC28:$DA28="X")*$CC$19:$DA$19))&gt;=Listes!$Q$8,(SUMPRODUCT(($CC28:$DA28="X")*$CC$19:$DA$19))&lt;Listes!$R$8),BY28-Listes!$S$8,
IF(AND((SUMPRODUCT(($CC28:$DA28="X")*$CC$19:$DA$19))&gt;=Listes!$Q$7),BY28-Listes!$S$7,
"Erreur"))))))))</f>
        <v/>
      </c>
      <c r="DE28" s="322" t="str">
        <f t="shared" si="41"/>
        <v/>
      </c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</row>
    <row r="29" spans="1:140" s="6" customFormat="1" ht="14.25" customHeight="1" x14ac:dyDescent="0.2">
      <c r="A29" s="9"/>
      <c r="B29" s="9"/>
      <c r="C29" s="433" t="str">
        <f>IF(D29="","",$G$1&amp;"-R"&amp;Listes!A8)</f>
        <v/>
      </c>
      <c r="D29" s="280"/>
      <c r="E29" s="284"/>
      <c r="F29" s="284"/>
      <c r="G29" s="278"/>
      <c r="H29" s="304" t="str">
        <f>IF(G29="","",VLOOKUP(G29,Listes!W10:Y57,2,FALSE))</f>
        <v/>
      </c>
      <c r="I29" s="304" t="str">
        <f>IF(G29="","",VLOOKUP(G29,Listes!W10:Y57,3,FALSE))</f>
        <v/>
      </c>
      <c r="J29" s="282"/>
      <c r="K29" s="283"/>
      <c r="L29" s="283"/>
      <c r="M29" s="283"/>
      <c r="N29" s="283"/>
      <c r="O29" s="318" t="str">
        <f t="shared" si="42"/>
        <v/>
      </c>
      <c r="P29" s="319" t="str">
        <f t="shared" ref="P29:P30" si="43">IF(OR(J29="",O29=""),"",IF((O29+J29)&lt;4,"Très faible",IF((J29+O29)=4,"Faible",IF((O29+J29)=6,"Moyenne",IF((J29+O29)=7,"Forte",IF((O29+J29)&gt;=8,"Majeure",IF(OR(AND(J29=4,O29=1),AND(J29=1,O29=4)),"Faible",IF(OR(AND(J29=3,O29=2),AND(J29=2,O29=3)),"Moyenne",""))))))))</f>
        <v/>
      </c>
      <c r="Q29" s="194"/>
      <c r="R29" s="9"/>
      <c r="S29" s="79"/>
      <c r="T29" s="273"/>
      <c r="U29" s="273"/>
      <c r="V29" s="273"/>
      <c r="W29" s="273"/>
      <c r="X29" s="273"/>
      <c r="Y29" s="273"/>
      <c r="Z29" s="273"/>
      <c r="AA29" s="273"/>
      <c r="AB29" s="273"/>
      <c r="AC29" s="273"/>
      <c r="AD29" s="273"/>
      <c r="AE29" s="273"/>
      <c r="AF29" s="273"/>
      <c r="AG29" s="273"/>
      <c r="AH29" s="273"/>
      <c r="AI29" s="273"/>
      <c r="AJ29" s="273"/>
      <c r="AK29" s="273"/>
      <c r="AL29" s="273"/>
      <c r="AM29" s="273"/>
      <c r="AN29" s="273"/>
      <c r="AO29" s="273"/>
      <c r="AP29" s="273"/>
      <c r="AQ29" s="273"/>
      <c r="AR29" s="273"/>
      <c r="AS29" s="273"/>
      <c r="AT29" s="273"/>
      <c r="AU29" s="273"/>
      <c r="AV29" s="273"/>
      <c r="AW29" s="273"/>
      <c r="AX29" s="273"/>
      <c r="AY29" s="273"/>
      <c r="AZ29" s="273"/>
      <c r="BA29" s="273"/>
      <c r="BB29" s="273"/>
      <c r="BC29" s="273"/>
      <c r="BD29" s="273"/>
      <c r="BE29" s="273"/>
      <c r="BF29" s="273"/>
      <c r="BG29" s="273"/>
      <c r="BH29" s="273"/>
      <c r="BI29" s="273"/>
      <c r="BJ29" s="273"/>
      <c r="BK29" s="273"/>
      <c r="BL29" s="273"/>
      <c r="BM29" s="273"/>
      <c r="BN29" s="273"/>
      <c r="BO29" s="273"/>
      <c r="BP29" s="273"/>
      <c r="BQ29" s="273"/>
      <c r="BR29" s="273"/>
      <c r="BS29" s="273"/>
      <c r="BT29" s="273"/>
      <c r="BU29" s="273"/>
      <c r="BV29" s="273"/>
      <c r="BW29" s="29"/>
      <c r="BX29" s="320" t="str">
        <f>IF(J29="","",IF(IF((SUMPRODUCT(($T29:$BV29="X")*$T$18:$BV$18))&lt;Listes!$R$12,J29-Listes!$S$12,
IF(AND((SUMPRODUCT(($T29:$BV29="X")*$T$18:$BV$18))&gt;=Listes!$Q$11,(SUMPRODUCT(($T29:$BV29="X")*$T$18:$BV$18))&lt;Listes!$R$11),J29-Listes!$S$11,
IF(AND((SUMPRODUCT(($T29:$BV29="X")*$T$18:$BV$18))&gt;=Listes!$Q$10,(SUMPRODUCT(($T29:$BV29="X")*$T$18:$BV$18))&lt;Listes!$R$10),J29-Listes!$S$10,
IF(AND((SUMPRODUCT(($T29:$BV29="X")*$T$18:$BV$18))&gt;=Listes!$Q$9,(SUMPRODUCT(($T29:$BV29="X")*$T$18:$BV$18))&lt;Listes!$R$9),J29-Listes!$S$9,
IF(AND((SUMPRODUCT(($T29:$BV29="X")*$T$18:$BV$18))&gt;=Listes!$Q$8,(SUMPRODUCT(($T29:$BV29="X")*$T$18:$BV$18))&lt;Listes!$R$8),J29-Listes!$S$8,
IF(AND((SUMPRODUCT(($T29:$BV29="X")*$T$18:$BV$18))&gt;=Listes!$Q$7),J29-Listes!$S$7,
"Erreur"))))))&lt;1,1,
IF((SUMPRODUCT(($T29:$BV29="X")*$T$18:$BV$18))&lt;Listes!$R$12,J29-Listes!$S$12,
IF(AND((SUMPRODUCT(($T29:$BV29="X")*$T$18:$BV$18))&gt;=Listes!$Q$11,(SUMPRODUCT(($T29:$BV29="X")*$T$18:$BV$18))&lt;Listes!$R$11),J29-Listes!$S$11,
IF(AND((SUMPRODUCT(($T29:$BV29="X")*$T$18:$BV$18))&gt;=Listes!$Q$10,(SUMPRODUCT(($T29:$BV29="X")*$T$18:$BV$18))&lt;Listes!$R$10),J29-Listes!$S$10,
IF(AND((SUMPRODUCT(($T29:$BV29="X")*$T$18:$BV$18))&gt;=Listes!$Q$9,(SUMPRODUCT(($T29:$BV29="X")*$T$18:$BV$18))&lt;Listes!$R$9),J29-Listes!$S$9,
IF(AND((SUMPRODUCT(($T29:$BV29="X")*$T$18:$BV$18))&gt;=Listes!$Q$8,(SUMPRODUCT(($T29:$BV29="X")*$T$18:$BV$18))&lt;Listes!$R$8),J29-Listes!$S$8,
IF(AND((SUMPRODUCT(($T29:$BV29="X")*$T$18:$BV$18))&gt;=Listes!$Q$7),J29-Listes!$S$7,
"Erreur"))))))))</f>
        <v/>
      </c>
      <c r="BY29" s="321" t="str">
        <f>IF(O29="","",IF(IF((SUMPRODUCT(($T29:$BV29="X")*$T$19:$BV$19))&lt;Listes!$R$12,O29-Listes!$S$12,
IF(AND((SUMPRODUCT(($T29:$BV29="X")*$T$19:$BV$19))&gt;=Listes!$Q$11,(SUMPRODUCT(($T29:$BV29="X")*$T$19:$BV$19))&lt;Listes!$R$11),O29-Listes!$S$11,
IF(AND((SUMPRODUCT(($T29:$BV29="X")*$T$19:$BV$19))&gt;=Listes!$Q$10,(SUMPRODUCT(($T29:$BV29="X")*$T$19:$BV$19))&lt;Listes!$R$10),O29-Listes!$S$10,
IF(AND((SUMPRODUCT(($T29:$BV29="X")*$T$19:$BV$19))&gt;=Listes!$Q$9,(SUMPRODUCT(($T29:$BV29="X")*$T$19:$BV$19))&lt;Listes!$R$9),O29-Listes!$S$9,
IF(AND((SUMPRODUCT(($T29:$BV29="X")*$T$19:$BV$19))&gt;=Listes!$Q$8,(SUMPRODUCT(($T29:$BV29="X")*$T$19:$BV$19))&lt;Listes!$R$8),O29-Listes!$S$8,
IF(AND((SUMPRODUCT(($T29:$BV29="X")*$T$19:$BV$19))&gt;=Listes!$Q$7),O29-Listes!$S$7,
"Erreur"))))))&lt;1,1,
IF((SUMPRODUCT(($T29:$BV29="X")*$T$19:$BV$19))&lt;Listes!$R$12,O29-Listes!$S$12,
IF(AND((SUMPRODUCT(($T29:$BV29="X")*$T$19:$BV$19))&gt;=Listes!$Q$11,(SUMPRODUCT(($T29:$BV29="X")*$T$19:$BV$19))&lt;Listes!$R$11),O29-Listes!$S$11,
IF(AND((SUMPRODUCT(($T29:$BV29="X")*$T$19:$BV$19))&gt;=Listes!$Q$10,(SUMPRODUCT(($T29:$BV29="X")*$T$19:$BV$19))&lt;Listes!$R$10),O29-Listes!$S$10,
IF(AND((SUMPRODUCT(($T29:$BV29="X")*$T$19:$BV$19))&gt;=Listes!$Q$9,(SUMPRODUCT(($T29:$BV29="X")*$T$19:$BV$19))&lt;Listes!$R$9),O29-Listes!$S$9,
IF(AND((SUMPRODUCT(($T29:$BV29="X")*$T$19:$BV$19))&gt;=Listes!$Q$8,(SUMPRODUCT(($T29:$BV29="X")*$T$19:$BV$19))&lt;Listes!$R$8),O29-Listes!$S$8,
IF(AND((SUMPRODUCT(($T29:$BV29="X")*$T$19:$BV$19))&gt;=Listes!$Q$7),O29-Listes!$S$7,
"Erreur"))))))))</f>
        <v/>
      </c>
      <c r="BZ29" s="322" t="str">
        <f t="shared" ref="BZ29:BZ30" si="44">IF(OR(BX29=0,BY29=0),"",IF(OR(BX29="",BY29=""),"",IF((BY29+BX29)&lt;4,"Très faible",IF((BX29+BY29)=4,"Faible",IF((BY29+BX29)=6,"Moyenne",IF((BX29+BY29)=7,"Forte",IF((BY29+BX29)&gt;=8,"Majeure",IF(OR(AND(BX29=4,BY29=1),AND(BX29=1,BY29=4)),"Faible",IF(OR(AND(BX29=3,BY29=2),AND(BX29=2,BY29=3)),"Moyenne","")))))))))</f>
        <v/>
      </c>
      <c r="CA29" s="9"/>
      <c r="CB29" s="9"/>
      <c r="CC29" s="287"/>
      <c r="CD29" s="288"/>
      <c r="CE29" s="289"/>
      <c r="CF29" s="289"/>
      <c r="CG29" s="289"/>
      <c r="CH29" s="289"/>
      <c r="CI29" s="289"/>
      <c r="CJ29" s="289"/>
      <c r="CK29" s="289"/>
      <c r="CL29" s="289"/>
      <c r="CM29" s="288"/>
      <c r="CN29" s="289"/>
      <c r="CO29" s="289"/>
      <c r="CP29" s="289"/>
      <c r="CQ29" s="289"/>
      <c r="CR29" s="289"/>
      <c r="CS29" s="289"/>
      <c r="CT29" s="289"/>
      <c r="CU29" s="289"/>
      <c r="CV29" s="289"/>
      <c r="CW29" s="289"/>
      <c r="CX29" s="289"/>
      <c r="CY29" s="289"/>
      <c r="CZ29" s="289"/>
      <c r="DA29" s="289"/>
      <c r="DB29" s="272"/>
      <c r="DC29" s="320" t="str">
        <f>IF(BX29="","",IF(IF((SUMPRODUCT(($CC29:$DA29="X")*$CC$18:$DA$18))&lt;Listes!$R$12,BX29-Listes!$S$12,
IF(AND((SUMPRODUCT(($CC29:$DA29="X")*$CC$18:$DA$18))&gt;=Listes!$Q$11,(SUMPRODUCT(($CC29:$DA29="X")*$CC$18:$DA$18))&lt;Listes!$R$11),BX29-Listes!$S$11,
IF(AND((SUMPRODUCT(($CC29:$DA29="X")*$CC$18:$DA$18))&gt;=Listes!$Q$10,(SUMPRODUCT(($CC29:$DA29="X")*$CC$18:$DA$18))&lt;Listes!$R$10),BX29-Listes!$S$10,
IF(AND((SUMPRODUCT(($CC29:$DA29="X")*$CC$18:$DA$18))&gt;=Listes!$Q$9,(SUMPRODUCT(($CC29:$DA29="X")*$CC$18:$DA$18))&lt;Listes!$R$9),BX29-Listes!$S$9,
IF(AND((SUMPRODUCT(($CC29:$DA29="X")*$CC$18:$DA$18))&gt;=Listes!$Q$8,(SUMPRODUCT(($CC29:$DA29="X")*$CC$18:$DA$18))&lt;Listes!$R$8),BX29-Listes!$S$8,
IF(AND((SUMPRODUCT(($CC29:$DA29="X")*$CC$18:$DA$18))&gt;=Listes!$Q$7),BX29-Listes!$S$7,
"Erreur"))))))&lt;1,1,
IF((SUMPRODUCT(($CC29:$DA29="X")*$CC$18:$DA$18))&lt;Listes!$R$12,BX29-Listes!$S$12,
IF(AND((SUMPRODUCT(($CC29:$DA29="X")*$CC$18:$DA$18))&gt;=Listes!$Q$11,(SUMPRODUCT(($CC29:$DA29="X")*$CC$18:$DA$18))&lt;Listes!$R$11),BX29-Listes!$S$11,
IF(AND((SUMPRODUCT(($CC29:$DA29="X")*$CC$18:$DA$18))&gt;=Listes!$Q$10,(SUMPRODUCT(($CC29:$DA29="X")*$CC$18:$DA$18))&lt;Listes!$R$10),BX29-Listes!$S$10,
IF(AND((SUMPRODUCT(($CC29:$DA29="X")*$CC$18:$DA$18))&gt;=Listes!$Q$9,(SUMPRODUCT(($CC29:$DA29="X")*$CC$18:$DA$18))&lt;Listes!$R$9),BX29-Listes!$S$9,
IF(AND((SUMPRODUCT(($CC29:$DA29="X")*$CC$18:$DA$18))&gt;=Listes!$Q$8,(SUMPRODUCT(($CC29:$DA29="X")*$CC$18:$DA$18))&lt;Listes!$R$8),BX29-Listes!$S$8,
IF(AND((SUMPRODUCT(($CC29:$DA29="X")*$CC$18:$DA$18))&gt;=Listes!$Q$7),BX29-Listes!$S$7,
"Erreur"))))))))</f>
        <v/>
      </c>
      <c r="DD29" s="321" t="str">
        <f>IF(BY29="","",IF(IF((SUMPRODUCT(($CC29:$DA29="X")*$CC$19:$DA$19))&lt;Listes!$R$12,BY29-Listes!$S$12,
IF(AND((SUMPRODUCT(($CC29:$DA29="X")*$CC$19:$DA$19))&gt;=Listes!$Q$11,(SUMPRODUCT(($CC29:$DA29="X")*$CC$19:$DA$19))&lt;Listes!$R$11),BY29-Listes!$S$11,
IF(AND((SUMPRODUCT(($CC29:$DA29="X")*$CC$19:$DA$19))&gt;=Listes!$Q$10,(SUMPRODUCT(($CC29:$DA29="X")*$CC$19:$DA$19))&lt;Listes!$R$10),BY29-Listes!$S$10,
IF(AND((SUMPRODUCT(($CC29:$DA29="X")*$CC$19:$DA$19))&gt;=Listes!$Q$9,(SUMPRODUCT(($CC29:$DA29="X")*$CC$19:$DA$19))&lt;Listes!$R$9),BY29-Listes!$S$9,
IF(AND((SUMPRODUCT(($CC29:$DA29="X")*$CC$19:$DA$19))&gt;=Listes!$Q$8,(SUMPRODUCT(($CC29:$DA29="X")*$CC$19:$DA$19))&lt;Listes!$R$8),BY29-Listes!$S$8,
IF(AND((SUMPRODUCT(($CC29:$DA29="X")*$CC$19:$DA$19))&gt;=Listes!$Q$7),BY29-Listes!$S$7,
"Erreur"))))))&lt;1,1,
IF((SUMPRODUCT(($CC29:$DA29="X")*$CC$19:$DA$19))&lt;Listes!$R$12,BY29-Listes!$S$12,
IF(AND((SUMPRODUCT(($CC29:$DA29="X")*$CC$19:$DA$19))&gt;=Listes!$Q$11,(SUMPRODUCT(($CC29:$DA29="X")*$CC$19:$DA$19))&lt;Listes!$R$11),BY29-Listes!$S$11,
IF(AND((SUMPRODUCT(($CC29:$DA29="X")*$CC$19:$DA$19))&gt;=Listes!$Q$10,(SUMPRODUCT(($CC29:$DA29="X")*$CC$19:$DA$19))&lt;Listes!$R$10),BY29-Listes!$S$10,
IF(AND((SUMPRODUCT(($CC29:$DA29="X")*$CC$19:$DA$19))&gt;=Listes!$Q$9,(SUMPRODUCT(($CC29:$DA29="X")*$CC$19:$DA$19))&lt;Listes!$R$9),BY29-Listes!$S$9,
IF(AND((SUMPRODUCT(($CC29:$DA29="X")*$CC$19:$DA$19))&gt;=Listes!$Q$8,(SUMPRODUCT(($CC29:$DA29="X")*$CC$19:$DA$19))&lt;Listes!$R$8),BY29-Listes!$S$8,
IF(AND((SUMPRODUCT(($CC29:$DA29="X")*$CC$19:$DA$19))&gt;=Listes!$Q$7),BY29-Listes!$S$7,
"Erreur"))))))))</f>
        <v/>
      </c>
      <c r="DE29" s="322" t="str">
        <f t="shared" ref="DE29:DE30" si="45">IF(OR(DC29=0,DD29=0),"",IF(OR(DC29="",DD29=""),"",IF((DD29+DC29)&lt;4,"Très faible",IF((DC29+DD29)=4,"Faible",IF((DD29+DC29)=6,"Moyenne",IF((DC29+DD29)=7,"Forte",IF((DD29+DC29)&gt;=8,"Majeure",IF(OR(AND(DC29=4,DD29=1),AND(DC29=1,DD29=4)),"Faible",IF(OR(AND(DC29=3,DD29=2),AND(DC29=2,DD29=3)),"Moyenne","")))))))))</f>
        <v/>
      </c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</row>
    <row r="30" spans="1:140" s="30" customFormat="1" ht="14.25" customHeight="1" x14ac:dyDescent="0.2">
      <c r="A30" s="9"/>
      <c r="B30" s="9"/>
      <c r="C30" s="433" t="str">
        <f>IF(D30="","",$G$1&amp;"-R"&amp;Listes!A9)</f>
        <v/>
      </c>
      <c r="D30" s="280"/>
      <c r="E30" s="284"/>
      <c r="F30" s="284"/>
      <c r="G30" s="279"/>
      <c r="H30" s="304" t="str">
        <f>IF(G30="","",VLOOKUP(G30,Listes!W11:Y58,2,FALSE))</f>
        <v/>
      </c>
      <c r="I30" s="304" t="str">
        <f>IF(G30="","",VLOOKUP(G30,Listes!W11:Y58,3,FALSE))</f>
        <v/>
      </c>
      <c r="J30" s="282"/>
      <c r="K30" s="283"/>
      <c r="L30" s="283"/>
      <c r="M30" s="283"/>
      <c r="N30" s="283"/>
      <c r="O30" s="318" t="str">
        <f t="shared" si="42"/>
        <v/>
      </c>
      <c r="P30" s="319" t="str">
        <f t="shared" si="43"/>
        <v/>
      </c>
      <c r="Q30" s="194"/>
      <c r="R30" s="9"/>
      <c r="S30" s="79"/>
      <c r="T30" s="273"/>
      <c r="U30" s="273"/>
      <c r="V30" s="273"/>
      <c r="W30" s="273"/>
      <c r="X30" s="273"/>
      <c r="Y30" s="273"/>
      <c r="Z30" s="273"/>
      <c r="AA30" s="273"/>
      <c r="AB30" s="273"/>
      <c r="AC30" s="273"/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3"/>
      <c r="AO30" s="273"/>
      <c r="AP30" s="273"/>
      <c r="AQ30" s="273"/>
      <c r="AR30" s="273"/>
      <c r="AS30" s="273"/>
      <c r="AT30" s="273"/>
      <c r="AU30" s="273"/>
      <c r="AV30" s="273"/>
      <c r="AW30" s="273"/>
      <c r="AX30" s="273"/>
      <c r="AY30" s="273"/>
      <c r="AZ30" s="273"/>
      <c r="BA30" s="273"/>
      <c r="BB30" s="273"/>
      <c r="BC30" s="273"/>
      <c r="BD30" s="273"/>
      <c r="BE30" s="273"/>
      <c r="BF30" s="273"/>
      <c r="BG30" s="273"/>
      <c r="BH30" s="273"/>
      <c r="BI30" s="273"/>
      <c r="BJ30" s="273"/>
      <c r="BK30" s="273"/>
      <c r="BL30" s="273"/>
      <c r="BM30" s="273"/>
      <c r="BN30" s="273"/>
      <c r="BO30" s="273"/>
      <c r="BP30" s="273"/>
      <c r="BQ30" s="273"/>
      <c r="BR30" s="273"/>
      <c r="BS30" s="273"/>
      <c r="BT30" s="273"/>
      <c r="BU30" s="273"/>
      <c r="BV30" s="273"/>
      <c r="BW30" s="29"/>
      <c r="BX30" s="320" t="str">
        <f>IF(J30="","",IF(IF((SUMPRODUCT(($T30:$BV30="X")*$T$18:$BV$18))&lt;Listes!$R$12,J30-Listes!$S$12,
IF(AND((SUMPRODUCT(($T30:$BV30="X")*$T$18:$BV$18))&gt;=Listes!$Q$11,(SUMPRODUCT(($T30:$BV30="X")*$T$18:$BV$18))&lt;Listes!$R$11),J30-Listes!$S$11,
IF(AND((SUMPRODUCT(($T30:$BV30="X")*$T$18:$BV$18))&gt;=Listes!$Q$10,(SUMPRODUCT(($T30:$BV30="X")*$T$18:$BV$18))&lt;Listes!$R$10),J30-Listes!$S$10,
IF(AND((SUMPRODUCT(($T30:$BV30="X")*$T$18:$BV$18))&gt;=Listes!$Q$9,(SUMPRODUCT(($T30:$BV30="X")*$T$18:$BV$18))&lt;Listes!$R$9),J30-Listes!$S$9,
IF(AND((SUMPRODUCT(($T30:$BV30="X")*$T$18:$BV$18))&gt;=Listes!$Q$8,(SUMPRODUCT(($T30:$BV30="X")*$T$18:$BV$18))&lt;Listes!$R$8),J30-Listes!$S$8,
IF(AND((SUMPRODUCT(($T30:$BV30="X")*$T$18:$BV$18))&gt;=Listes!$Q$7),J30-Listes!$S$7,
"Erreur"))))))&lt;1,1,
IF((SUMPRODUCT(($T30:$BV30="X")*$T$18:$BV$18))&lt;Listes!$R$12,J30-Listes!$S$12,
IF(AND((SUMPRODUCT(($T30:$BV30="X")*$T$18:$BV$18))&gt;=Listes!$Q$11,(SUMPRODUCT(($T30:$BV30="X")*$T$18:$BV$18))&lt;Listes!$R$11),J30-Listes!$S$11,
IF(AND((SUMPRODUCT(($T30:$BV30="X")*$T$18:$BV$18))&gt;=Listes!$Q$10,(SUMPRODUCT(($T30:$BV30="X")*$T$18:$BV$18))&lt;Listes!$R$10),J30-Listes!$S$10,
IF(AND((SUMPRODUCT(($T30:$BV30="X")*$T$18:$BV$18))&gt;=Listes!$Q$9,(SUMPRODUCT(($T30:$BV30="X")*$T$18:$BV$18))&lt;Listes!$R$9),J30-Listes!$S$9,
IF(AND((SUMPRODUCT(($T30:$BV30="X")*$T$18:$BV$18))&gt;=Listes!$Q$8,(SUMPRODUCT(($T30:$BV30="X")*$T$18:$BV$18))&lt;Listes!$R$8),J30-Listes!$S$8,
IF(AND((SUMPRODUCT(($T30:$BV30="X")*$T$18:$BV$18))&gt;=Listes!$Q$7),J30-Listes!$S$7,
"Erreur"))))))))</f>
        <v/>
      </c>
      <c r="BY30" s="321" t="str">
        <f>IF(O30="","",IF(IF((SUMPRODUCT(($T30:$BV30="X")*$T$19:$BV$19))&lt;Listes!$R$12,O30-Listes!$S$12,
IF(AND((SUMPRODUCT(($T30:$BV30="X")*$T$19:$BV$19))&gt;=Listes!$Q$11,(SUMPRODUCT(($T30:$BV30="X")*$T$19:$BV$19))&lt;Listes!$R$11),O30-Listes!$S$11,
IF(AND((SUMPRODUCT(($T30:$BV30="X")*$T$19:$BV$19))&gt;=Listes!$Q$10,(SUMPRODUCT(($T30:$BV30="X")*$T$19:$BV$19))&lt;Listes!$R$10),O30-Listes!$S$10,
IF(AND((SUMPRODUCT(($T30:$BV30="X")*$T$19:$BV$19))&gt;=Listes!$Q$9,(SUMPRODUCT(($T30:$BV30="X")*$T$19:$BV$19))&lt;Listes!$R$9),O30-Listes!$S$9,
IF(AND((SUMPRODUCT(($T30:$BV30="X")*$T$19:$BV$19))&gt;=Listes!$Q$8,(SUMPRODUCT(($T30:$BV30="X")*$T$19:$BV$19))&lt;Listes!$R$8),O30-Listes!$S$8,
IF(AND((SUMPRODUCT(($T30:$BV30="X")*$T$19:$BV$19))&gt;=Listes!$Q$7),O30-Listes!$S$7,
"Erreur"))))))&lt;1,1,
IF((SUMPRODUCT(($T30:$BV30="X")*$T$19:$BV$19))&lt;Listes!$R$12,O30-Listes!$S$12,
IF(AND((SUMPRODUCT(($T30:$BV30="X")*$T$19:$BV$19))&gt;=Listes!$Q$11,(SUMPRODUCT(($T30:$BV30="X")*$T$19:$BV$19))&lt;Listes!$R$11),O30-Listes!$S$11,
IF(AND((SUMPRODUCT(($T30:$BV30="X")*$T$19:$BV$19))&gt;=Listes!$Q$10,(SUMPRODUCT(($T30:$BV30="X")*$T$19:$BV$19))&lt;Listes!$R$10),O30-Listes!$S$10,
IF(AND((SUMPRODUCT(($T30:$BV30="X")*$T$19:$BV$19))&gt;=Listes!$Q$9,(SUMPRODUCT(($T30:$BV30="X")*$T$19:$BV$19))&lt;Listes!$R$9),O30-Listes!$S$9,
IF(AND((SUMPRODUCT(($T30:$BV30="X")*$T$19:$BV$19))&gt;=Listes!$Q$8,(SUMPRODUCT(($T30:$BV30="X")*$T$19:$BV$19))&lt;Listes!$R$8),O30-Listes!$S$8,
IF(AND((SUMPRODUCT(($T30:$BV30="X")*$T$19:$BV$19))&gt;=Listes!$Q$7),O30-Listes!$S$7,
"Erreur"))))))))</f>
        <v/>
      </c>
      <c r="BZ30" s="322" t="str">
        <f t="shared" si="44"/>
        <v/>
      </c>
      <c r="CA30" s="9"/>
      <c r="CB30" s="9"/>
      <c r="CC30" s="287"/>
      <c r="CD30" s="288"/>
      <c r="CE30" s="289"/>
      <c r="CF30" s="289"/>
      <c r="CG30" s="289"/>
      <c r="CH30" s="289"/>
      <c r="CI30" s="289"/>
      <c r="CJ30" s="289"/>
      <c r="CK30" s="289"/>
      <c r="CL30" s="289"/>
      <c r="CM30" s="288"/>
      <c r="CN30" s="289"/>
      <c r="CO30" s="289"/>
      <c r="CP30" s="289"/>
      <c r="CQ30" s="289"/>
      <c r="CR30" s="289"/>
      <c r="CS30" s="289"/>
      <c r="CT30" s="289"/>
      <c r="CU30" s="289"/>
      <c r="CV30" s="289"/>
      <c r="CW30" s="289"/>
      <c r="CX30" s="289"/>
      <c r="CY30" s="289"/>
      <c r="CZ30" s="289"/>
      <c r="DA30" s="289"/>
      <c r="DB30" s="272"/>
      <c r="DC30" s="320" t="str">
        <f>IF(BX30="","",IF(IF((SUMPRODUCT(($CC30:$DA30="X")*$CC$18:$DA$18))&lt;Listes!$R$12,BX30-Listes!$S$12,
IF(AND((SUMPRODUCT(($CC30:$DA30="X")*$CC$18:$DA$18))&gt;=Listes!$Q$11,(SUMPRODUCT(($CC30:$DA30="X")*$CC$18:$DA$18))&lt;Listes!$R$11),BX30-Listes!$S$11,
IF(AND((SUMPRODUCT(($CC30:$DA30="X")*$CC$18:$DA$18))&gt;=Listes!$Q$10,(SUMPRODUCT(($CC30:$DA30="X")*$CC$18:$DA$18))&lt;Listes!$R$10),BX30-Listes!$S$10,
IF(AND((SUMPRODUCT(($CC30:$DA30="X")*$CC$18:$DA$18))&gt;=Listes!$Q$9,(SUMPRODUCT(($CC30:$DA30="X")*$CC$18:$DA$18))&lt;Listes!$R$9),BX30-Listes!$S$9,
IF(AND((SUMPRODUCT(($CC30:$DA30="X")*$CC$18:$DA$18))&gt;=Listes!$Q$8,(SUMPRODUCT(($CC30:$DA30="X")*$CC$18:$DA$18))&lt;Listes!$R$8),BX30-Listes!$S$8,
IF(AND((SUMPRODUCT(($CC30:$DA30="X")*$CC$18:$DA$18))&gt;=Listes!$Q$7),BX30-Listes!$S$7,
"Erreur"))))))&lt;1,1,
IF((SUMPRODUCT(($CC30:$DA30="X")*$CC$18:$DA$18))&lt;Listes!$R$12,BX30-Listes!$S$12,
IF(AND((SUMPRODUCT(($CC30:$DA30="X")*$CC$18:$DA$18))&gt;=Listes!$Q$11,(SUMPRODUCT(($CC30:$DA30="X")*$CC$18:$DA$18))&lt;Listes!$R$11),BX30-Listes!$S$11,
IF(AND((SUMPRODUCT(($CC30:$DA30="X")*$CC$18:$DA$18))&gt;=Listes!$Q$10,(SUMPRODUCT(($CC30:$DA30="X")*$CC$18:$DA$18))&lt;Listes!$R$10),BX30-Listes!$S$10,
IF(AND((SUMPRODUCT(($CC30:$DA30="X")*$CC$18:$DA$18))&gt;=Listes!$Q$9,(SUMPRODUCT(($CC30:$DA30="X")*$CC$18:$DA$18))&lt;Listes!$R$9),BX30-Listes!$S$9,
IF(AND((SUMPRODUCT(($CC30:$DA30="X")*$CC$18:$DA$18))&gt;=Listes!$Q$8,(SUMPRODUCT(($CC30:$DA30="X")*$CC$18:$DA$18))&lt;Listes!$R$8),BX30-Listes!$S$8,
IF(AND((SUMPRODUCT(($CC30:$DA30="X")*$CC$18:$DA$18))&gt;=Listes!$Q$7),BX30-Listes!$S$7,
"Erreur"))))))))</f>
        <v/>
      </c>
      <c r="DD30" s="321" t="str">
        <f>IF(BY30="","",IF(IF((SUMPRODUCT(($CC30:$DA30="X")*$CC$19:$DA$19))&lt;Listes!$R$12,BY30-Listes!$S$12,
IF(AND((SUMPRODUCT(($CC30:$DA30="X")*$CC$19:$DA$19))&gt;=Listes!$Q$11,(SUMPRODUCT(($CC30:$DA30="X")*$CC$19:$DA$19))&lt;Listes!$R$11),BY30-Listes!$S$11,
IF(AND((SUMPRODUCT(($CC30:$DA30="X")*$CC$19:$DA$19))&gt;=Listes!$Q$10,(SUMPRODUCT(($CC30:$DA30="X")*$CC$19:$DA$19))&lt;Listes!$R$10),BY30-Listes!$S$10,
IF(AND((SUMPRODUCT(($CC30:$DA30="X")*$CC$19:$DA$19))&gt;=Listes!$Q$9,(SUMPRODUCT(($CC30:$DA30="X")*$CC$19:$DA$19))&lt;Listes!$R$9),BY30-Listes!$S$9,
IF(AND((SUMPRODUCT(($CC30:$DA30="X")*$CC$19:$DA$19))&gt;=Listes!$Q$8,(SUMPRODUCT(($CC30:$DA30="X")*$CC$19:$DA$19))&lt;Listes!$R$8),BY30-Listes!$S$8,
IF(AND((SUMPRODUCT(($CC30:$DA30="X")*$CC$19:$DA$19))&gt;=Listes!$Q$7),BY30-Listes!$S$7,
"Erreur"))))))&lt;1,1,
IF((SUMPRODUCT(($CC30:$DA30="X")*$CC$19:$DA$19))&lt;Listes!$R$12,BY30-Listes!$S$12,
IF(AND((SUMPRODUCT(($CC30:$DA30="X")*$CC$19:$DA$19))&gt;=Listes!$Q$11,(SUMPRODUCT(($CC30:$DA30="X")*$CC$19:$DA$19))&lt;Listes!$R$11),BY30-Listes!$S$11,
IF(AND((SUMPRODUCT(($CC30:$DA30="X")*$CC$19:$DA$19))&gt;=Listes!$Q$10,(SUMPRODUCT(($CC30:$DA30="X")*$CC$19:$DA$19))&lt;Listes!$R$10),BY30-Listes!$S$10,
IF(AND((SUMPRODUCT(($CC30:$DA30="X")*$CC$19:$DA$19))&gt;=Listes!$Q$9,(SUMPRODUCT(($CC30:$DA30="X")*$CC$19:$DA$19))&lt;Listes!$R$9),BY30-Listes!$S$9,
IF(AND((SUMPRODUCT(($CC30:$DA30="X")*$CC$19:$DA$19))&gt;=Listes!$Q$8,(SUMPRODUCT(($CC30:$DA30="X")*$CC$19:$DA$19))&lt;Listes!$R$8),BY30-Listes!$S$8,
IF(AND((SUMPRODUCT(($CC30:$DA30="X")*$CC$19:$DA$19))&gt;=Listes!$Q$7),BY30-Listes!$S$7,
"Erreur"))))))))</f>
        <v/>
      </c>
      <c r="DE30" s="322" t="str">
        <f t="shared" si="45"/>
        <v/>
      </c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</row>
    <row r="31" spans="1:140" s="30" customFormat="1" ht="14.25" customHeight="1" x14ac:dyDescent="0.2">
      <c r="A31" s="9"/>
      <c r="B31" s="9"/>
      <c r="C31" s="433" t="str">
        <f>IF(D31="","",$G$1&amp;"-R"&amp;Listes!A10)</f>
        <v/>
      </c>
      <c r="D31" s="280"/>
      <c r="E31" s="284"/>
      <c r="F31" s="284"/>
      <c r="G31" s="279"/>
      <c r="H31" s="304" t="str">
        <f>IF(G31="","",VLOOKUP(G31,Listes!W12:Y59,2,FALSE))</f>
        <v/>
      </c>
      <c r="I31" s="304" t="str">
        <f>IF(G31="","",VLOOKUP(G31,Listes!W12:Y59,3,FALSE))</f>
        <v/>
      </c>
      <c r="J31" s="282"/>
      <c r="K31" s="283"/>
      <c r="L31" s="283"/>
      <c r="M31" s="283"/>
      <c r="N31" s="283"/>
      <c r="O31" s="318" t="str">
        <f t="shared" si="42"/>
        <v/>
      </c>
      <c r="P31" s="319" t="str">
        <f t="shared" ref="P31:P33" si="46">IF(OR(J31="",O31=""),"",IF((O31+J31)&lt;4,"Très faible",IF((J31+O31)=4,"Faible",IF((O31+J31)=6,"Moyenne",IF((J31+O31)=7,"Forte",IF((O31+J31)&gt;=8,"Majeure",IF(OR(AND(J31=4,O31=1),AND(J31=1,O31=4)),"Faible",IF(OR(AND(J31=3,O31=2),AND(J31=2,O31=3)),"Moyenne",""))))))))</f>
        <v/>
      </c>
      <c r="Q31" s="194"/>
      <c r="R31" s="9"/>
      <c r="S31" s="79"/>
      <c r="T31" s="273"/>
      <c r="U31" s="273"/>
      <c r="V31" s="273"/>
      <c r="W31" s="273"/>
      <c r="X31" s="273"/>
      <c r="Y31" s="273"/>
      <c r="Z31" s="273"/>
      <c r="AA31" s="273"/>
      <c r="AB31" s="273"/>
      <c r="AC31" s="273"/>
      <c r="AD31" s="273"/>
      <c r="AE31" s="273"/>
      <c r="AF31" s="273"/>
      <c r="AG31" s="273"/>
      <c r="AH31" s="273"/>
      <c r="AI31" s="273"/>
      <c r="AJ31" s="273"/>
      <c r="AK31" s="273"/>
      <c r="AL31" s="273"/>
      <c r="AM31" s="273"/>
      <c r="AN31" s="273"/>
      <c r="AO31" s="273"/>
      <c r="AP31" s="273"/>
      <c r="AQ31" s="273"/>
      <c r="AR31" s="273"/>
      <c r="AS31" s="273"/>
      <c r="AT31" s="273"/>
      <c r="AU31" s="273"/>
      <c r="AV31" s="273"/>
      <c r="AW31" s="273"/>
      <c r="AX31" s="273"/>
      <c r="AY31" s="273"/>
      <c r="AZ31" s="273"/>
      <c r="BA31" s="273"/>
      <c r="BB31" s="273"/>
      <c r="BC31" s="273"/>
      <c r="BD31" s="273"/>
      <c r="BE31" s="273"/>
      <c r="BF31" s="273"/>
      <c r="BG31" s="273"/>
      <c r="BH31" s="273"/>
      <c r="BI31" s="273"/>
      <c r="BJ31" s="273"/>
      <c r="BK31" s="273"/>
      <c r="BL31" s="273"/>
      <c r="BM31" s="273"/>
      <c r="BN31" s="273"/>
      <c r="BO31" s="273"/>
      <c r="BP31" s="273"/>
      <c r="BQ31" s="273"/>
      <c r="BR31" s="273"/>
      <c r="BS31" s="273"/>
      <c r="BT31" s="273"/>
      <c r="BU31" s="273"/>
      <c r="BV31" s="273"/>
      <c r="BW31" s="29"/>
      <c r="BX31" s="320" t="str">
        <f>IF(J31="","",IF(IF((SUMPRODUCT(($T31:$BV31="X")*$T$18:$BV$18))&lt;Listes!$R$12,J31-Listes!$S$12,
IF(AND((SUMPRODUCT(($T31:$BV31="X")*$T$18:$BV$18))&gt;=Listes!$Q$11,(SUMPRODUCT(($T31:$BV31="X")*$T$18:$BV$18))&lt;Listes!$R$11),J31-Listes!$S$11,
IF(AND((SUMPRODUCT(($T31:$BV31="X")*$T$18:$BV$18))&gt;=Listes!$Q$10,(SUMPRODUCT(($T31:$BV31="X")*$T$18:$BV$18))&lt;Listes!$R$10),J31-Listes!$S$10,
IF(AND((SUMPRODUCT(($T31:$BV31="X")*$T$18:$BV$18))&gt;=Listes!$Q$9,(SUMPRODUCT(($T31:$BV31="X")*$T$18:$BV$18))&lt;Listes!$R$9),J31-Listes!$S$9,
IF(AND((SUMPRODUCT(($T31:$BV31="X")*$T$18:$BV$18))&gt;=Listes!$Q$8,(SUMPRODUCT(($T31:$BV31="X")*$T$18:$BV$18))&lt;Listes!$R$8),J31-Listes!$S$8,
IF(AND((SUMPRODUCT(($T31:$BV31="X")*$T$18:$BV$18))&gt;=Listes!$Q$7),J31-Listes!$S$7,
"Erreur"))))))&lt;1,1,
IF((SUMPRODUCT(($T31:$BV31="X")*$T$18:$BV$18))&lt;Listes!$R$12,J31-Listes!$S$12,
IF(AND((SUMPRODUCT(($T31:$BV31="X")*$T$18:$BV$18))&gt;=Listes!$Q$11,(SUMPRODUCT(($T31:$BV31="X")*$T$18:$BV$18))&lt;Listes!$R$11),J31-Listes!$S$11,
IF(AND((SUMPRODUCT(($T31:$BV31="X")*$T$18:$BV$18))&gt;=Listes!$Q$10,(SUMPRODUCT(($T31:$BV31="X")*$T$18:$BV$18))&lt;Listes!$R$10),J31-Listes!$S$10,
IF(AND((SUMPRODUCT(($T31:$BV31="X")*$T$18:$BV$18))&gt;=Listes!$Q$9,(SUMPRODUCT(($T31:$BV31="X")*$T$18:$BV$18))&lt;Listes!$R$9),J31-Listes!$S$9,
IF(AND((SUMPRODUCT(($T31:$BV31="X")*$T$18:$BV$18))&gt;=Listes!$Q$8,(SUMPRODUCT(($T31:$BV31="X")*$T$18:$BV$18))&lt;Listes!$R$8),J31-Listes!$S$8,
IF(AND((SUMPRODUCT(($T31:$BV31="X")*$T$18:$BV$18))&gt;=Listes!$Q$7),J31-Listes!$S$7,
"Erreur"))))))))</f>
        <v/>
      </c>
      <c r="BY31" s="321" t="str">
        <f>IF(O31="","",IF(IF((SUMPRODUCT(($T31:$BV31="X")*$T$19:$BV$19))&lt;Listes!$R$12,O31-Listes!$S$12,
IF(AND((SUMPRODUCT(($T31:$BV31="X")*$T$19:$BV$19))&gt;=Listes!$Q$11,(SUMPRODUCT(($T31:$BV31="X")*$T$19:$BV$19))&lt;Listes!$R$11),O31-Listes!$S$11,
IF(AND((SUMPRODUCT(($T31:$BV31="X")*$T$19:$BV$19))&gt;=Listes!$Q$10,(SUMPRODUCT(($T31:$BV31="X")*$T$19:$BV$19))&lt;Listes!$R$10),O31-Listes!$S$10,
IF(AND((SUMPRODUCT(($T31:$BV31="X")*$T$19:$BV$19))&gt;=Listes!$Q$9,(SUMPRODUCT(($T31:$BV31="X")*$T$19:$BV$19))&lt;Listes!$R$9),O31-Listes!$S$9,
IF(AND((SUMPRODUCT(($T31:$BV31="X")*$T$19:$BV$19))&gt;=Listes!$Q$8,(SUMPRODUCT(($T31:$BV31="X")*$T$19:$BV$19))&lt;Listes!$R$8),O31-Listes!$S$8,
IF(AND((SUMPRODUCT(($T31:$BV31="X")*$T$19:$BV$19))&gt;=Listes!$Q$7),O31-Listes!$S$7,
"Erreur"))))))&lt;1,1,
IF((SUMPRODUCT(($T31:$BV31="X")*$T$19:$BV$19))&lt;Listes!$R$12,O31-Listes!$S$12,
IF(AND((SUMPRODUCT(($T31:$BV31="X")*$T$19:$BV$19))&gt;=Listes!$Q$11,(SUMPRODUCT(($T31:$BV31="X")*$T$19:$BV$19))&lt;Listes!$R$11),O31-Listes!$S$11,
IF(AND((SUMPRODUCT(($T31:$BV31="X")*$T$19:$BV$19))&gt;=Listes!$Q$10,(SUMPRODUCT(($T31:$BV31="X")*$T$19:$BV$19))&lt;Listes!$R$10),O31-Listes!$S$10,
IF(AND((SUMPRODUCT(($T31:$BV31="X")*$T$19:$BV$19))&gt;=Listes!$Q$9,(SUMPRODUCT(($T31:$BV31="X")*$T$19:$BV$19))&lt;Listes!$R$9),O31-Listes!$S$9,
IF(AND((SUMPRODUCT(($T31:$BV31="X")*$T$19:$BV$19))&gt;=Listes!$Q$8,(SUMPRODUCT(($T31:$BV31="X")*$T$19:$BV$19))&lt;Listes!$R$8),O31-Listes!$S$8,
IF(AND((SUMPRODUCT(($T31:$BV31="X")*$T$19:$BV$19))&gt;=Listes!$Q$7),O31-Listes!$S$7,
"Erreur"))))))))</f>
        <v/>
      </c>
      <c r="BZ31" s="322" t="str">
        <f t="shared" ref="BZ31:BZ33" si="47">IF(OR(BX31=0,BY31=0),"",IF(OR(BX31="",BY31=""),"",IF((BY31+BX31)&lt;4,"Très faible",IF((BX31+BY31)=4,"Faible",IF((BY31+BX31)=6,"Moyenne",IF((BX31+BY31)=7,"Forte",IF((BY31+BX31)&gt;=8,"Majeure",IF(OR(AND(BX31=4,BY31=1),AND(BX31=1,BY31=4)),"Faible",IF(OR(AND(BX31=3,BY31=2),AND(BX31=2,BY31=3)),"Moyenne","")))))))))</f>
        <v/>
      </c>
      <c r="CA31" s="9"/>
      <c r="CB31" s="9"/>
      <c r="CC31" s="287"/>
      <c r="CD31" s="288"/>
      <c r="CE31" s="289"/>
      <c r="CF31" s="289"/>
      <c r="CG31" s="289"/>
      <c r="CH31" s="289"/>
      <c r="CI31" s="289"/>
      <c r="CJ31" s="289"/>
      <c r="CK31" s="289"/>
      <c r="CL31" s="289"/>
      <c r="CM31" s="288"/>
      <c r="CN31" s="289"/>
      <c r="CO31" s="289"/>
      <c r="CP31" s="289"/>
      <c r="CQ31" s="289"/>
      <c r="CR31" s="289"/>
      <c r="CS31" s="289"/>
      <c r="CT31" s="289"/>
      <c r="CU31" s="289"/>
      <c r="CV31" s="289"/>
      <c r="CW31" s="289"/>
      <c r="CX31" s="289"/>
      <c r="CY31" s="289"/>
      <c r="CZ31" s="289"/>
      <c r="DA31" s="289"/>
      <c r="DB31" s="272"/>
      <c r="DC31" s="320" t="str">
        <f>IF(BX31="","",IF(IF((SUMPRODUCT(($CC31:$DA31="X")*$CC$18:$DA$18))&lt;Listes!$R$12,BX31-Listes!$S$12,
IF(AND((SUMPRODUCT(($CC31:$DA31="X")*$CC$18:$DA$18))&gt;=Listes!$Q$11,(SUMPRODUCT(($CC31:$DA31="X")*$CC$18:$DA$18))&lt;Listes!$R$11),BX31-Listes!$S$11,
IF(AND((SUMPRODUCT(($CC31:$DA31="X")*$CC$18:$DA$18))&gt;=Listes!$Q$10,(SUMPRODUCT(($CC31:$DA31="X")*$CC$18:$DA$18))&lt;Listes!$R$10),BX31-Listes!$S$10,
IF(AND((SUMPRODUCT(($CC31:$DA31="X")*$CC$18:$DA$18))&gt;=Listes!$Q$9,(SUMPRODUCT(($CC31:$DA31="X")*$CC$18:$DA$18))&lt;Listes!$R$9),BX31-Listes!$S$9,
IF(AND((SUMPRODUCT(($CC31:$DA31="X")*$CC$18:$DA$18))&gt;=Listes!$Q$8,(SUMPRODUCT(($CC31:$DA31="X")*$CC$18:$DA$18))&lt;Listes!$R$8),BX31-Listes!$S$8,
IF(AND((SUMPRODUCT(($CC31:$DA31="X")*$CC$18:$DA$18))&gt;=Listes!$Q$7),BX31-Listes!$S$7,
"Erreur"))))))&lt;1,1,
IF((SUMPRODUCT(($CC31:$DA31="X")*$CC$18:$DA$18))&lt;Listes!$R$12,BX31-Listes!$S$12,
IF(AND((SUMPRODUCT(($CC31:$DA31="X")*$CC$18:$DA$18))&gt;=Listes!$Q$11,(SUMPRODUCT(($CC31:$DA31="X")*$CC$18:$DA$18))&lt;Listes!$R$11),BX31-Listes!$S$11,
IF(AND((SUMPRODUCT(($CC31:$DA31="X")*$CC$18:$DA$18))&gt;=Listes!$Q$10,(SUMPRODUCT(($CC31:$DA31="X")*$CC$18:$DA$18))&lt;Listes!$R$10),BX31-Listes!$S$10,
IF(AND((SUMPRODUCT(($CC31:$DA31="X")*$CC$18:$DA$18))&gt;=Listes!$Q$9,(SUMPRODUCT(($CC31:$DA31="X")*$CC$18:$DA$18))&lt;Listes!$R$9),BX31-Listes!$S$9,
IF(AND((SUMPRODUCT(($CC31:$DA31="X")*$CC$18:$DA$18))&gt;=Listes!$Q$8,(SUMPRODUCT(($CC31:$DA31="X")*$CC$18:$DA$18))&lt;Listes!$R$8),BX31-Listes!$S$8,
IF(AND((SUMPRODUCT(($CC31:$DA31="X")*$CC$18:$DA$18))&gt;=Listes!$Q$7),BX31-Listes!$S$7,
"Erreur"))))))))</f>
        <v/>
      </c>
      <c r="DD31" s="321" t="str">
        <f>IF(BY31="","",IF(IF((SUMPRODUCT(($CC31:$DA31="X")*$CC$19:$DA$19))&lt;Listes!$R$12,BY31-Listes!$S$12,
IF(AND((SUMPRODUCT(($CC31:$DA31="X")*$CC$19:$DA$19))&gt;=Listes!$Q$11,(SUMPRODUCT(($CC31:$DA31="X")*$CC$19:$DA$19))&lt;Listes!$R$11),BY31-Listes!$S$11,
IF(AND((SUMPRODUCT(($CC31:$DA31="X")*$CC$19:$DA$19))&gt;=Listes!$Q$10,(SUMPRODUCT(($CC31:$DA31="X")*$CC$19:$DA$19))&lt;Listes!$R$10),BY31-Listes!$S$10,
IF(AND((SUMPRODUCT(($CC31:$DA31="X")*$CC$19:$DA$19))&gt;=Listes!$Q$9,(SUMPRODUCT(($CC31:$DA31="X")*$CC$19:$DA$19))&lt;Listes!$R$9),BY31-Listes!$S$9,
IF(AND((SUMPRODUCT(($CC31:$DA31="X")*$CC$19:$DA$19))&gt;=Listes!$Q$8,(SUMPRODUCT(($CC31:$DA31="X")*$CC$19:$DA$19))&lt;Listes!$R$8),BY31-Listes!$S$8,
IF(AND((SUMPRODUCT(($CC31:$DA31="X")*$CC$19:$DA$19))&gt;=Listes!$Q$7),BY31-Listes!$S$7,
"Erreur"))))))&lt;1,1,
IF((SUMPRODUCT(($CC31:$DA31="X")*$CC$19:$DA$19))&lt;Listes!$R$12,BY31-Listes!$S$12,
IF(AND((SUMPRODUCT(($CC31:$DA31="X")*$CC$19:$DA$19))&gt;=Listes!$Q$11,(SUMPRODUCT(($CC31:$DA31="X")*$CC$19:$DA$19))&lt;Listes!$R$11),BY31-Listes!$S$11,
IF(AND((SUMPRODUCT(($CC31:$DA31="X")*$CC$19:$DA$19))&gt;=Listes!$Q$10,(SUMPRODUCT(($CC31:$DA31="X")*$CC$19:$DA$19))&lt;Listes!$R$10),BY31-Listes!$S$10,
IF(AND((SUMPRODUCT(($CC31:$DA31="X")*$CC$19:$DA$19))&gt;=Listes!$Q$9,(SUMPRODUCT(($CC31:$DA31="X")*$CC$19:$DA$19))&lt;Listes!$R$9),BY31-Listes!$S$9,
IF(AND((SUMPRODUCT(($CC31:$DA31="X")*$CC$19:$DA$19))&gt;=Listes!$Q$8,(SUMPRODUCT(($CC31:$DA31="X")*$CC$19:$DA$19))&lt;Listes!$R$8),BY31-Listes!$S$8,
IF(AND((SUMPRODUCT(($CC31:$DA31="X")*$CC$19:$DA$19))&gt;=Listes!$Q$7),BY31-Listes!$S$7,
"Erreur"))))))))</f>
        <v/>
      </c>
      <c r="DE31" s="322" t="str">
        <f t="shared" ref="DE31:DE33" si="48">IF(OR(DC31=0,DD31=0),"",IF(OR(DC31="",DD31=""),"",IF((DD31+DC31)&lt;4,"Très faible",IF((DC31+DD31)=4,"Faible",IF((DD31+DC31)=6,"Moyenne",IF((DC31+DD31)=7,"Forte",IF((DD31+DC31)&gt;=8,"Majeure",IF(OR(AND(DC31=4,DD31=1),AND(DC31=1,DD31=4)),"Faible",IF(OR(AND(DC31=3,DD31=2),AND(DC31=2,DD31=3)),"Moyenne","")))))))))</f>
        <v/>
      </c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</row>
    <row r="32" spans="1:140" s="30" customFormat="1" ht="14.25" customHeight="1" x14ac:dyDescent="0.2">
      <c r="A32" s="9"/>
      <c r="B32" s="9"/>
      <c r="C32" s="433" t="str">
        <f>IF(D32="","",$G$1&amp;"-R"&amp;Listes!A11)</f>
        <v/>
      </c>
      <c r="D32" s="280"/>
      <c r="E32" s="284"/>
      <c r="F32" s="284"/>
      <c r="G32" s="279"/>
      <c r="H32" s="304" t="str">
        <f>IF(G32="","",VLOOKUP(G32,Listes!W13:Y60,2,FALSE))</f>
        <v/>
      </c>
      <c r="I32" s="304" t="str">
        <f>IF(G32="","",VLOOKUP(G32,Listes!W13:Y60,3,FALSE))</f>
        <v/>
      </c>
      <c r="J32" s="282"/>
      <c r="K32" s="283"/>
      <c r="L32" s="283"/>
      <c r="M32" s="283"/>
      <c r="N32" s="283"/>
      <c r="O32" s="318" t="str">
        <f t="shared" si="42"/>
        <v/>
      </c>
      <c r="P32" s="319" t="str">
        <f t="shared" si="46"/>
        <v/>
      </c>
      <c r="Q32" s="194"/>
      <c r="R32" s="9"/>
      <c r="S32" s="79"/>
      <c r="T32" s="273"/>
      <c r="U32" s="273"/>
      <c r="V32" s="273"/>
      <c r="W32" s="273"/>
      <c r="X32" s="273"/>
      <c r="Y32" s="273"/>
      <c r="Z32" s="273"/>
      <c r="AA32" s="273"/>
      <c r="AB32" s="273"/>
      <c r="AC32" s="273"/>
      <c r="AD32" s="273"/>
      <c r="AE32" s="273"/>
      <c r="AF32" s="273"/>
      <c r="AG32" s="273"/>
      <c r="AH32" s="273"/>
      <c r="AI32" s="273"/>
      <c r="AJ32" s="273"/>
      <c r="AK32" s="273"/>
      <c r="AL32" s="273"/>
      <c r="AM32" s="273"/>
      <c r="AN32" s="273"/>
      <c r="AO32" s="273"/>
      <c r="AP32" s="273"/>
      <c r="AQ32" s="273"/>
      <c r="AR32" s="273"/>
      <c r="AS32" s="273"/>
      <c r="AT32" s="273"/>
      <c r="AU32" s="273"/>
      <c r="AV32" s="273"/>
      <c r="AW32" s="273"/>
      <c r="AX32" s="273"/>
      <c r="AY32" s="273"/>
      <c r="AZ32" s="273"/>
      <c r="BA32" s="273"/>
      <c r="BB32" s="273"/>
      <c r="BC32" s="273"/>
      <c r="BD32" s="273"/>
      <c r="BE32" s="273"/>
      <c r="BF32" s="273"/>
      <c r="BG32" s="273"/>
      <c r="BH32" s="273"/>
      <c r="BI32" s="273"/>
      <c r="BJ32" s="273"/>
      <c r="BK32" s="273"/>
      <c r="BL32" s="273"/>
      <c r="BM32" s="273"/>
      <c r="BN32" s="273"/>
      <c r="BO32" s="273"/>
      <c r="BP32" s="273"/>
      <c r="BQ32" s="273"/>
      <c r="BR32" s="273"/>
      <c r="BS32" s="273"/>
      <c r="BT32" s="273"/>
      <c r="BU32" s="273"/>
      <c r="BV32" s="273"/>
      <c r="BW32" s="29"/>
      <c r="BX32" s="320" t="str">
        <f>IF(J32="","",IF(IF((SUMPRODUCT(($T32:$BV32="X")*$T$18:$BV$18))&lt;Listes!$R$12,J32-Listes!$S$12,
IF(AND((SUMPRODUCT(($T32:$BV32="X")*$T$18:$BV$18))&gt;=Listes!$Q$11,(SUMPRODUCT(($T32:$BV32="X")*$T$18:$BV$18))&lt;Listes!$R$11),J32-Listes!$S$11,
IF(AND((SUMPRODUCT(($T32:$BV32="X")*$T$18:$BV$18))&gt;=Listes!$Q$10,(SUMPRODUCT(($T32:$BV32="X")*$T$18:$BV$18))&lt;Listes!$R$10),J32-Listes!$S$10,
IF(AND((SUMPRODUCT(($T32:$BV32="X")*$T$18:$BV$18))&gt;=Listes!$Q$9,(SUMPRODUCT(($T32:$BV32="X")*$T$18:$BV$18))&lt;Listes!$R$9),J32-Listes!$S$9,
IF(AND((SUMPRODUCT(($T32:$BV32="X")*$T$18:$BV$18))&gt;=Listes!$Q$8,(SUMPRODUCT(($T32:$BV32="X")*$T$18:$BV$18))&lt;Listes!$R$8),J32-Listes!$S$8,
IF(AND((SUMPRODUCT(($T32:$BV32="X")*$T$18:$BV$18))&gt;=Listes!$Q$7),J32-Listes!$S$7,
"Erreur"))))))&lt;1,1,
IF((SUMPRODUCT(($T32:$BV32="X")*$T$18:$BV$18))&lt;Listes!$R$12,J32-Listes!$S$12,
IF(AND((SUMPRODUCT(($T32:$BV32="X")*$T$18:$BV$18))&gt;=Listes!$Q$11,(SUMPRODUCT(($T32:$BV32="X")*$T$18:$BV$18))&lt;Listes!$R$11),J32-Listes!$S$11,
IF(AND((SUMPRODUCT(($T32:$BV32="X")*$T$18:$BV$18))&gt;=Listes!$Q$10,(SUMPRODUCT(($T32:$BV32="X")*$T$18:$BV$18))&lt;Listes!$R$10),J32-Listes!$S$10,
IF(AND((SUMPRODUCT(($T32:$BV32="X")*$T$18:$BV$18))&gt;=Listes!$Q$9,(SUMPRODUCT(($T32:$BV32="X")*$T$18:$BV$18))&lt;Listes!$R$9),J32-Listes!$S$9,
IF(AND((SUMPRODUCT(($T32:$BV32="X")*$T$18:$BV$18))&gt;=Listes!$Q$8,(SUMPRODUCT(($T32:$BV32="X")*$T$18:$BV$18))&lt;Listes!$R$8),J32-Listes!$S$8,
IF(AND((SUMPRODUCT(($T32:$BV32="X")*$T$18:$BV$18))&gt;=Listes!$Q$7),J32-Listes!$S$7,
"Erreur"))))))))</f>
        <v/>
      </c>
      <c r="BY32" s="321" t="str">
        <f>IF(O32="","",IF(IF((SUMPRODUCT(($T32:$BV32="X")*$T$19:$BV$19))&lt;Listes!$R$12,O32-Listes!$S$12,
IF(AND((SUMPRODUCT(($T32:$BV32="X")*$T$19:$BV$19))&gt;=Listes!$Q$11,(SUMPRODUCT(($T32:$BV32="X")*$T$19:$BV$19))&lt;Listes!$R$11),O32-Listes!$S$11,
IF(AND((SUMPRODUCT(($T32:$BV32="X")*$T$19:$BV$19))&gt;=Listes!$Q$10,(SUMPRODUCT(($T32:$BV32="X")*$T$19:$BV$19))&lt;Listes!$R$10),O32-Listes!$S$10,
IF(AND((SUMPRODUCT(($T32:$BV32="X")*$T$19:$BV$19))&gt;=Listes!$Q$9,(SUMPRODUCT(($T32:$BV32="X")*$T$19:$BV$19))&lt;Listes!$R$9),O32-Listes!$S$9,
IF(AND((SUMPRODUCT(($T32:$BV32="X")*$T$19:$BV$19))&gt;=Listes!$Q$8,(SUMPRODUCT(($T32:$BV32="X")*$T$19:$BV$19))&lt;Listes!$R$8),O32-Listes!$S$8,
IF(AND((SUMPRODUCT(($T32:$BV32="X")*$T$19:$BV$19))&gt;=Listes!$Q$7),O32-Listes!$S$7,
"Erreur"))))))&lt;1,1,
IF((SUMPRODUCT(($T32:$BV32="X")*$T$19:$BV$19))&lt;Listes!$R$12,O32-Listes!$S$12,
IF(AND((SUMPRODUCT(($T32:$BV32="X")*$T$19:$BV$19))&gt;=Listes!$Q$11,(SUMPRODUCT(($T32:$BV32="X")*$T$19:$BV$19))&lt;Listes!$R$11),O32-Listes!$S$11,
IF(AND((SUMPRODUCT(($T32:$BV32="X")*$T$19:$BV$19))&gt;=Listes!$Q$10,(SUMPRODUCT(($T32:$BV32="X")*$T$19:$BV$19))&lt;Listes!$R$10),O32-Listes!$S$10,
IF(AND((SUMPRODUCT(($T32:$BV32="X")*$T$19:$BV$19))&gt;=Listes!$Q$9,(SUMPRODUCT(($T32:$BV32="X")*$T$19:$BV$19))&lt;Listes!$R$9),O32-Listes!$S$9,
IF(AND((SUMPRODUCT(($T32:$BV32="X")*$T$19:$BV$19))&gt;=Listes!$Q$8,(SUMPRODUCT(($T32:$BV32="X")*$T$19:$BV$19))&lt;Listes!$R$8),O32-Listes!$S$8,
IF(AND((SUMPRODUCT(($T32:$BV32="X")*$T$19:$BV$19))&gt;=Listes!$Q$7),O32-Listes!$S$7,
"Erreur"))))))))</f>
        <v/>
      </c>
      <c r="BZ32" s="322" t="str">
        <f t="shared" si="47"/>
        <v/>
      </c>
      <c r="CA32" s="9"/>
      <c r="CB32" s="9"/>
      <c r="CC32" s="287"/>
      <c r="CD32" s="288"/>
      <c r="CE32" s="289"/>
      <c r="CF32" s="289"/>
      <c r="CG32" s="289"/>
      <c r="CH32" s="289"/>
      <c r="CI32" s="289"/>
      <c r="CJ32" s="289"/>
      <c r="CK32" s="289"/>
      <c r="CL32" s="289"/>
      <c r="CM32" s="288"/>
      <c r="CN32" s="289"/>
      <c r="CO32" s="289"/>
      <c r="CP32" s="289"/>
      <c r="CQ32" s="289"/>
      <c r="CR32" s="289"/>
      <c r="CS32" s="289"/>
      <c r="CT32" s="289"/>
      <c r="CU32" s="289"/>
      <c r="CV32" s="289"/>
      <c r="CW32" s="289"/>
      <c r="CX32" s="289"/>
      <c r="CY32" s="289"/>
      <c r="CZ32" s="289"/>
      <c r="DA32" s="289"/>
      <c r="DB32" s="272"/>
      <c r="DC32" s="320" t="str">
        <f>IF(BX32="","",IF(IF((SUMPRODUCT(($CC32:$DA32="X")*$CC$18:$DA$18))&lt;Listes!$R$12,BX32-Listes!$S$12,
IF(AND((SUMPRODUCT(($CC32:$DA32="X")*$CC$18:$DA$18))&gt;=Listes!$Q$11,(SUMPRODUCT(($CC32:$DA32="X")*$CC$18:$DA$18))&lt;Listes!$R$11),BX32-Listes!$S$11,
IF(AND((SUMPRODUCT(($CC32:$DA32="X")*$CC$18:$DA$18))&gt;=Listes!$Q$10,(SUMPRODUCT(($CC32:$DA32="X")*$CC$18:$DA$18))&lt;Listes!$R$10),BX32-Listes!$S$10,
IF(AND((SUMPRODUCT(($CC32:$DA32="X")*$CC$18:$DA$18))&gt;=Listes!$Q$9,(SUMPRODUCT(($CC32:$DA32="X")*$CC$18:$DA$18))&lt;Listes!$R$9),BX32-Listes!$S$9,
IF(AND((SUMPRODUCT(($CC32:$DA32="X")*$CC$18:$DA$18))&gt;=Listes!$Q$8,(SUMPRODUCT(($CC32:$DA32="X")*$CC$18:$DA$18))&lt;Listes!$R$8),BX32-Listes!$S$8,
IF(AND((SUMPRODUCT(($CC32:$DA32="X")*$CC$18:$DA$18))&gt;=Listes!$Q$7),BX32-Listes!$S$7,
"Erreur"))))))&lt;1,1,
IF((SUMPRODUCT(($CC32:$DA32="X")*$CC$18:$DA$18))&lt;Listes!$R$12,BX32-Listes!$S$12,
IF(AND((SUMPRODUCT(($CC32:$DA32="X")*$CC$18:$DA$18))&gt;=Listes!$Q$11,(SUMPRODUCT(($CC32:$DA32="X")*$CC$18:$DA$18))&lt;Listes!$R$11),BX32-Listes!$S$11,
IF(AND((SUMPRODUCT(($CC32:$DA32="X")*$CC$18:$DA$18))&gt;=Listes!$Q$10,(SUMPRODUCT(($CC32:$DA32="X")*$CC$18:$DA$18))&lt;Listes!$R$10),BX32-Listes!$S$10,
IF(AND((SUMPRODUCT(($CC32:$DA32="X")*$CC$18:$DA$18))&gt;=Listes!$Q$9,(SUMPRODUCT(($CC32:$DA32="X")*$CC$18:$DA$18))&lt;Listes!$R$9),BX32-Listes!$S$9,
IF(AND((SUMPRODUCT(($CC32:$DA32="X")*$CC$18:$DA$18))&gt;=Listes!$Q$8,(SUMPRODUCT(($CC32:$DA32="X")*$CC$18:$DA$18))&lt;Listes!$R$8),BX32-Listes!$S$8,
IF(AND((SUMPRODUCT(($CC32:$DA32="X")*$CC$18:$DA$18))&gt;=Listes!$Q$7),BX32-Listes!$S$7,
"Erreur"))))))))</f>
        <v/>
      </c>
      <c r="DD32" s="321" t="str">
        <f>IF(BY32="","",IF(IF((SUMPRODUCT(($CC32:$DA32="X")*$CC$19:$DA$19))&lt;Listes!$R$12,BY32-Listes!$S$12,
IF(AND((SUMPRODUCT(($CC32:$DA32="X")*$CC$19:$DA$19))&gt;=Listes!$Q$11,(SUMPRODUCT(($CC32:$DA32="X")*$CC$19:$DA$19))&lt;Listes!$R$11),BY32-Listes!$S$11,
IF(AND((SUMPRODUCT(($CC32:$DA32="X")*$CC$19:$DA$19))&gt;=Listes!$Q$10,(SUMPRODUCT(($CC32:$DA32="X")*$CC$19:$DA$19))&lt;Listes!$R$10),BY32-Listes!$S$10,
IF(AND((SUMPRODUCT(($CC32:$DA32="X")*$CC$19:$DA$19))&gt;=Listes!$Q$9,(SUMPRODUCT(($CC32:$DA32="X")*$CC$19:$DA$19))&lt;Listes!$R$9),BY32-Listes!$S$9,
IF(AND((SUMPRODUCT(($CC32:$DA32="X")*$CC$19:$DA$19))&gt;=Listes!$Q$8,(SUMPRODUCT(($CC32:$DA32="X")*$CC$19:$DA$19))&lt;Listes!$R$8),BY32-Listes!$S$8,
IF(AND((SUMPRODUCT(($CC32:$DA32="X")*$CC$19:$DA$19))&gt;=Listes!$Q$7),BY32-Listes!$S$7,
"Erreur"))))))&lt;1,1,
IF((SUMPRODUCT(($CC32:$DA32="X")*$CC$19:$DA$19))&lt;Listes!$R$12,BY32-Listes!$S$12,
IF(AND((SUMPRODUCT(($CC32:$DA32="X")*$CC$19:$DA$19))&gt;=Listes!$Q$11,(SUMPRODUCT(($CC32:$DA32="X")*$CC$19:$DA$19))&lt;Listes!$R$11),BY32-Listes!$S$11,
IF(AND((SUMPRODUCT(($CC32:$DA32="X")*$CC$19:$DA$19))&gt;=Listes!$Q$10,(SUMPRODUCT(($CC32:$DA32="X")*$CC$19:$DA$19))&lt;Listes!$R$10),BY32-Listes!$S$10,
IF(AND((SUMPRODUCT(($CC32:$DA32="X")*$CC$19:$DA$19))&gt;=Listes!$Q$9,(SUMPRODUCT(($CC32:$DA32="X")*$CC$19:$DA$19))&lt;Listes!$R$9),BY32-Listes!$S$9,
IF(AND((SUMPRODUCT(($CC32:$DA32="X")*$CC$19:$DA$19))&gt;=Listes!$Q$8,(SUMPRODUCT(($CC32:$DA32="X")*$CC$19:$DA$19))&lt;Listes!$R$8),BY32-Listes!$S$8,
IF(AND((SUMPRODUCT(($CC32:$DA32="X")*$CC$19:$DA$19))&gt;=Listes!$Q$7),BY32-Listes!$S$7,
"Erreur"))))))))</f>
        <v/>
      </c>
      <c r="DE32" s="322" t="str">
        <f t="shared" si="48"/>
        <v/>
      </c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</row>
    <row r="33" spans="1:140" s="30" customFormat="1" ht="14.25" customHeight="1" x14ac:dyDescent="0.2">
      <c r="A33" s="9"/>
      <c r="B33" s="9"/>
      <c r="C33" s="433" t="str">
        <f>IF(D33="","",$G$1&amp;"-R"&amp;Listes!A12)</f>
        <v/>
      </c>
      <c r="D33" s="280"/>
      <c r="E33" s="284"/>
      <c r="F33" s="284"/>
      <c r="G33" s="279"/>
      <c r="H33" s="304" t="str">
        <f>IF(G33="","",VLOOKUP(G33,Listes!W14:Y61,2,FALSE))</f>
        <v/>
      </c>
      <c r="I33" s="304" t="str">
        <f>IF(G33="","",VLOOKUP(G33,Listes!W14:Y61,3,FALSE))</f>
        <v/>
      </c>
      <c r="J33" s="282"/>
      <c r="K33" s="283"/>
      <c r="L33" s="283"/>
      <c r="M33" s="283"/>
      <c r="N33" s="283"/>
      <c r="O33" s="318" t="str">
        <f t="shared" si="42"/>
        <v/>
      </c>
      <c r="P33" s="319" t="str">
        <f t="shared" si="46"/>
        <v/>
      </c>
      <c r="Q33" s="194"/>
      <c r="R33" s="9"/>
      <c r="S33" s="79"/>
      <c r="T33" s="273"/>
      <c r="U33" s="273"/>
      <c r="V33" s="273"/>
      <c r="W33" s="273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273"/>
      <c r="AL33" s="273"/>
      <c r="AM33" s="273"/>
      <c r="AN33" s="273"/>
      <c r="AO33" s="273"/>
      <c r="AP33" s="273"/>
      <c r="AQ33" s="273"/>
      <c r="AR33" s="273"/>
      <c r="AS33" s="273"/>
      <c r="AT33" s="273"/>
      <c r="AU33" s="273"/>
      <c r="AV33" s="273"/>
      <c r="AW33" s="273"/>
      <c r="AX33" s="273"/>
      <c r="AY33" s="273"/>
      <c r="AZ33" s="273"/>
      <c r="BA33" s="273"/>
      <c r="BB33" s="273"/>
      <c r="BC33" s="273"/>
      <c r="BD33" s="273"/>
      <c r="BE33" s="273"/>
      <c r="BF33" s="273"/>
      <c r="BG33" s="273"/>
      <c r="BH33" s="273"/>
      <c r="BI33" s="273"/>
      <c r="BJ33" s="273"/>
      <c r="BK33" s="273"/>
      <c r="BL33" s="273"/>
      <c r="BM33" s="273"/>
      <c r="BN33" s="273"/>
      <c r="BO33" s="273"/>
      <c r="BP33" s="273"/>
      <c r="BQ33" s="273"/>
      <c r="BR33" s="273"/>
      <c r="BS33" s="273"/>
      <c r="BT33" s="273"/>
      <c r="BU33" s="273"/>
      <c r="BV33" s="273"/>
      <c r="BW33" s="29"/>
      <c r="BX33" s="320" t="str">
        <f>IF(J33="","",IF(IF((SUMPRODUCT(($T33:$BV33="X")*$T$18:$BV$18))&lt;Listes!$R$12,J33-Listes!$S$12,
IF(AND((SUMPRODUCT(($T33:$BV33="X")*$T$18:$BV$18))&gt;=Listes!$Q$11,(SUMPRODUCT(($T33:$BV33="X")*$T$18:$BV$18))&lt;Listes!$R$11),J33-Listes!$S$11,
IF(AND((SUMPRODUCT(($T33:$BV33="X")*$T$18:$BV$18))&gt;=Listes!$Q$10,(SUMPRODUCT(($T33:$BV33="X")*$T$18:$BV$18))&lt;Listes!$R$10),J33-Listes!$S$10,
IF(AND((SUMPRODUCT(($T33:$BV33="X")*$T$18:$BV$18))&gt;=Listes!$Q$9,(SUMPRODUCT(($T33:$BV33="X")*$T$18:$BV$18))&lt;Listes!$R$9),J33-Listes!$S$9,
IF(AND((SUMPRODUCT(($T33:$BV33="X")*$T$18:$BV$18))&gt;=Listes!$Q$8,(SUMPRODUCT(($T33:$BV33="X")*$T$18:$BV$18))&lt;Listes!$R$8),J33-Listes!$S$8,
IF(AND((SUMPRODUCT(($T33:$BV33="X")*$T$18:$BV$18))&gt;=Listes!$Q$7),J33-Listes!$S$7,
"Erreur"))))))&lt;1,1,
IF((SUMPRODUCT(($T33:$BV33="X")*$T$18:$BV$18))&lt;Listes!$R$12,J33-Listes!$S$12,
IF(AND((SUMPRODUCT(($T33:$BV33="X")*$T$18:$BV$18))&gt;=Listes!$Q$11,(SUMPRODUCT(($T33:$BV33="X")*$T$18:$BV$18))&lt;Listes!$R$11),J33-Listes!$S$11,
IF(AND((SUMPRODUCT(($T33:$BV33="X")*$T$18:$BV$18))&gt;=Listes!$Q$10,(SUMPRODUCT(($T33:$BV33="X")*$T$18:$BV$18))&lt;Listes!$R$10),J33-Listes!$S$10,
IF(AND((SUMPRODUCT(($T33:$BV33="X")*$T$18:$BV$18))&gt;=Listes!$Q$9,(SUMPRODUCT(($T33:$BV33="X")*$T$18:$BV$18))&lt;Listes!$R$9),J33-Listes!$S$9,
IF(AND((SUMPRODUCT(($T33:$BV33="X")*$T$18:$BV$18))&gt;=Listes!$Q$8,(SUMPRODUCT(($T33:$BV33="X")*$T$18:$BV$18))&lt;Listes!$R$8),J33-Listes!$S$8,
IF(AND((SUMPRODUCT(($T33:$BV33="X")*$T$18:$BV$18))&gt;=Listes!$Q$7),J33-Listes!$S$7,
"Erreur"))))))))</f>
        <v/>
      </c>
      <c r="BY33" s="321" t="str">
        <f>IF(O33="","",IF(IF((SUMPRODUCT(($T33:$BV33="X")*$T$19:$BV$19))&lt;Listes!$R$12,O33-Listes!$S$12,
IF(AND((SUMPRODUCT(($T33:$BV33="X")*$T$19:$BV$19))&gt;=Listes!$Q$11,(SUMPRODUCT(($T33:$BV33="X")*$T$19:$BV$19))&lt;Listes!$R$11),O33-Listes!$S$11,
IF(AND((SUMPRODUCT(($T33:$BV33="X")*$T$19:$BV$19))&gt;=Listes!$Q$10,(SUMPRODUCT(($T33:$BV33="X")*$T$19:$BV$19))&lt;Listes!$R$10),O33-Listes!$S$10,
IF(AND((SUMPRODUCT(($T33:$BV33="X")*$T$19:$BV$19))&gt;=Listes!$Q$9,(SUMPRODUCT(($T33:$BV33="X")*$T$19:$BV$19))&lt;Listes!$R$9),O33-Listes!$S$9,
IF(AND((SUMPRODUCT(($T33:$BV33="X")*$T$19:$BV$19))&gt;=Listes!$Q$8,(SUMPRODUCT(($T33:$BV33="X")*$T$19:$BV$19))&lt;Listes!$R$8),O33-Listes!$S$8,
IF(AND((SUMPRODUCT(($T33:$BV33="X")*$T$19:$BV$19))&gt;=Listes!$Q$7),O33-Listes!$S$7,
"Erreur"))))))&lt;1,1,
IF((SUMPRODUCT(($T33:$BV33="X")*$T$19:$BV$19))&lt;Listes!$R$12,O33-Listes!$S$12,
IF(AND((SUMPRODUCT(($T33:$BV33="X")*$T$19:$BV$19))&gt;=Listes!$Q$11,(SUMPRODUCT(($T33:$BV33="X")*$T$19:$BV$19))&lt;Listes!$R$11),O33-Listes!$S$11,
IF(AND((SUMPRODUCT(($T33:$BV33="X")*$T$19:$BV$19))&gt;=Listes!$Q$10,(SUMPRODUCT(($T33:$BV33="X")*$T$19:$BV$19))&lt;Listes!$R$10),O33-Listes!$S$10,
IF(AND((SUMPRODUCT(($T33:$BV33="X")*$T$19:$BV$19))&gt;=Listes!$Q$9,(SUMPRODUCT(($T33:$BV33="X")*$T$19:$BV$19))&lt;Listes!$R$9),O33-Listes!$S$9,
IF(AND((SUMPRODUCT(($T33:$BV33="X")*$T$19:$BV$19))&gt;=Listes!$Q$8,(SUMPRODUCT(($T33:$BV33="X")*$T$19:$BV$19))&lt;Listes!$R$8),O33-Listes!$S$8,
IF(AND((SUMPRODUCT(($T33:$BV33="X")*$T$19:$BV$19))&gt;=Listes!$Q$7),O33-Listes!$S$7,
"Erreur"))))))))</f>
        <v/>
      </c>
      <c r="BZ33" s="322" t="str">
        <f t="shared" si="47"/>
        <v/>
      </c>
      <c r="CA33" s="9"/>
      <c r="CB33" s="9"/>
      <c r="CC33" s="287"/>
      <c r="CD33" s="288"/>
      <c r="CE33" s="289"/>
      <c r="CF33" s="289"/>
      <c r="CG33" s="289"/>
      <c r="CH33" s="289"/>
      <c r="CI33" s="289"/>
      <c r="CJ33" s="289"/>
      <c r="CK33" s="289"/>
      <c r="CL33" s="289"/>
      <c r="CM33" s="288"/>
      <c r="CN33" s="289"/>
      <c r="CO33" s="289"/>
      <c r="CP33" s="289"/>
      <c r="CQ33" s="289"/>
      <c r="CR33" s="289"/>
      <c r="CS33" s="289"/>
      <c r="CT33" s="289"/>
      <c r="CU33" s="289"/>
      <c r="CV33" s="289"/>
      <c r="CW33" s="289"/>
      <c r="CX33" s="289"/>
      <c r="CY33" s="289"/>
      <c r="CZ33" s="289"/>
      <c r="DA33" s="289"/>
      <c r="DB33" s="272"/>
      <c r="DC33" s="320" t="str">
        <f>IF(BX33="","",IF(IF((SUMPRODUCT(($CC33:$DA33="X")*$CC$18:$DA$18))&lt;Listes!$R$12,BX33-Listes!$S$12,
IF(AND((SUMPRODUCT(($CC33:$DA33="X")*$CC$18:$DA$18))&gt;=Listes!$Q$11,(SUMPRODUCT(($CC33:$DA33="X")*$CC$18:$DA$18))&lt;Listes!$R$11),BX33-Listes!$S$11,
IF(AND((SUMPRODUCT(($CC33:$DA33="X")*$CC$18:$DA$18))&gt;=Listes!$Q$10,(SUMPRODUCT(($CC33:$DA33="X")*$CC$18:$DA$18))&lt;Listes!$R$10),BX33-Listes!$S$10,
IF(AND((SUMPRODUCT(($CC33:$DA33="X")*$CC$18:$DA$18))&gt;=Listes!$Q$9,(SUMPRODUCT(($CC33:$DA33="X")*$CC$18:$DA$18))&lt;Listes!$R$9),BX33-Listes!$S$9,
IF(AND((SUMPRODUCT(($CC33:$DA33="X")*$CC$18:$DA$18))&gt;=Listes!$Q$8,(SUMPRODUCT(($CC33:$DA33="X")*$CC$18:$DA$18))&lt;Listes!$R$8),BX33-Listes!$S$8,
IF(AND((SUMPRODUCT(($CC33:$DA33="X")*$CC$18:$DA$18))&gt;=Listes!$Q$7),BX33-Listes!$S$7,
"Erreur"))))))&lt;1,1,
IF((SUMPRODUCT(($CC33:$DA33="X")*$CC$18:$DA$18))&lt;Listes!$R$12,BX33-Listes!$S$12,
IF(AND((SUMPRODUCT(($CC33:$DA33="X")*$CC$18:$DA$18))&gt;=Listes!$Q$11,(SUMPRODUCT(($CC33:$DA33="X")*$CC$18:$DA$18))&lt;Listes!$R$11),BX33-Listes!$S$11,
IF(AND((SUMPRODUCT(($CC33:$DA33="X")*$CC$18:$DA$18))&gt;=Listes!$Q$10,(SUMPRODUCT(($CC33:$DA33="X")*$CC$18:$DA$18))&lt;Listes!$R$10),BX33-Listes!$S$10,
IF(AND((SUMPRODUCT(($CC33:$DA33="X")*$CC$18:$DA$18))&gt;=Listes!$Q$9,(SUMPRODUCT(($CC33:$DA33="X")*$CC$18:$DA$18))&lt;Listes!$R$9),BX33-Listes!$S$9,
IF(AND((SUMPRODUCT(($CC33:$DA33="X")*$CC$18:$DA$18))&gt;=Listes!$Q$8,(SUMPRODUCT(($CC33:$DA33="X")*$CC$18:$DA$18))&lt;Listes!$R$8),BX33-Listes!$S$8,
IF(AND((SUMPRODUCT(($CC33:$DA33="X")*$CC$18:$DA$18))&gt;=Listes!$Q$7),BX33-Listes!$S$7,
"Erreur"))))))))</f>
        <v/>
      </c>
      <c r="DD33" s="321" t="str">
        <f>IF(BY33="","",IF(IF((SUMPRODUCT(($CC33:$DA33="X")*$CC$19:$DA$19))&lt;Listes!$R$12,BY33-Listes!$S$12,
IF(AND((SUMPRODUCT(($CC33:$DA33="X")*$CC$19:$DA$19))&gt;=Listes!$Q$11,(SUMPRODUCT(($CC33:$DA33="X")*$CC$19:$DA$19))&lt;Listes!$R$11),BY33-Listes!$S$11,
IF(AND((SUMPRODUCT(($CC33:$DA33="X")*$CC$19:$DA$19))&gt;=Listes!$Q$10,(SUMPRODUCT(($CC33:$DA33="X")*$CC$19:$DA$19))&lt;Listes!$R$10),BY33-Listes!$S$10,
IF(AND((SUMPRODUCT(($CC33:$DA33="X")*$CC$19:$DA$19))&gt;=Listes!$Q$9,(SUMPRODUCT(($CC33:$DA33="X")*$CC$19:$DA$19))&lt;Listes!$R$9),BY33-Listes!$S$9,
IF(AND((SUMPRODUCT(($CC33:$DA33="X")*$CC$19:$DA$19))&gt;=Listes!$Q$8,(SUMPRODUCT(($CC33:$DA33="X")*$CC$19:$DA$19))&lt;Listes!$R$8),BY33-Listes!$S$8,
IF(AND((SUMPRODUCT(($CC33:$DA33="X")*$CC$19:$DA$19))&gt;=Listes!$Q$7),BY33-Listes!$S$7,
"Erreur"))))))&lt;1,1,
IF((SUMPRODUCT(($CC33:$DA33="X")*$CC$19:$DA$19))&lt;Listes!$R$12,BY33-Listes!$S$12,
IF(AND((SUMPRODUCT(($CC33:$DA33="X")*$CC$19:$DA$19))&gt;=Listes!$Q$11,(SUMPRODUCT(($CC33:$DA33="X")*$CC$19:$DA$19))&lt;Listes!$R$11),BY33-Listes!$S$11,
IF(AND((SUMPRODUCT(($CC33:$DA33="X")*$CC$19:$DA$19))&gt;=Listes!$Q$10,(SUMPRODUCT(($CC33:$DA33="X")*$CC$19:$DA$19))&lt;Listes!$R$10),BY33-Listes!$S$10,
IF(AND((SUMPRODUCT(($CC33:$DA33="X")*$CC$19:$DA$19))&gt;=Listes!$Q$9,(SUMPRODUCT(($CC33:$DA33="X")*$CC$19:$DA$19))&lt;Listes!$R$9),BY33-Listes!$S$9,
IF(AND((SUMPRODUCT(($CC33:$DA33="X")*$CC$19:$DA$19))&gt;=Listes!$Q$8,(SUMPRODUCT(($CC33:$DA33="X")*$CC$19:$DA$19))&lt;Listes!$R$8),BY33-Listes!$S$8,
IF(AND((SUMPRODUCT(($CC33:$DA33="X")*$CC$19:$DA$19))&gt;=Listes!$Q$7),BY33-Listes!$S$7,
"Erreur"))))))))</f>
        <v/>
      </c>
      <c r="DE33" s="322" t="str">
        <f t="shared" si="48"/>
        <v/>
      </c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</row>
    <row r="34" spans="1:140" s="30" customFormat="1" ht="14.25" customHeight="1" x14ac:dyDescent="0.2">
      <c r="A34" s="9"/>
      <c r="B34" s="9"/>
      <c r="C34" s="433" t="str">
        <f>IF(D34="","",$G$1&amp;"-R"&amp;Listes!A13)</f>
        <v/>
      </c>
      <c r="D34" s="280"/>
      <c r="E34" s="284"/>
      <c r="F34" s="284"/>
      <c r="G34" s="279"/>
      <c r="H34" s="304" t="str">
        <f>IF(G34="","",VLOOKUP(G34,Listes!W15:Y62,2,FALSE))</f>
        <v/>
      </c>
      <c r="I34" s="304" t="str">
        <f>IF(G34="","",VLOOKUP(G34,Listes!W15:Y62,3,FALSE))</f>
        <v/>
      </c>
      <c r="J34" s="282"/>
      <c r="K34" s="283"/>
      <c r="L34" s="283"/>
      <c r="M34" s="283"/>
      <c r="N34" s="283"/>
      <c r="O34" s="318" t="str">
        <f t="shared" si="42"/>
        <v/>
      </c>
      <c r="P34" s="319" t="str">
        <f t="shared" ref="P34:P39" si="49">IF(OR(J34="",O34=""),"",IF((O34+J34)&lt;4,"Très faible",IF((J34+O34)=4,"Faible",IF((O34+J34)=6,"Moyenne",IF((J34+O34)=7,"Forte",IF((O34+J34)&gt;=8,"Majeure",IF(OR(AND(J34=4,O34=1),AND(J34=1,O34=4)),"Faible",IF(OR(AND(J34=3,O34=2),AND(J34=2,O34=3)),"Moyenne",""))))))))</f>
        <v/>
      </c>
      <c r="Q34" s="194"/>
      <c r="R34" s="9"/>
      <c r="S34" s="79"/>
      <c r="T34" s="273"/>
      <c r="U34" s="273"/>
      <c r="V34" s="273"/>
      <c r="W34" s="273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273"/>
      <c r="AL34" s="273"/>
      <c r="AM34" s="273"/>
      <c r="AN34" s="273"/>
      <c r="AO34" s="273"/>
      <c r="AP34" s="273"/>
      <c r="AQ34" s="273"/>
      <c r="AR34" s="273"/>
      <c r="AS34" s="273"/>
      <c r="AT34" s="273"/>
      <c r="AU34" s="273"/>
      <c r="AV34" s="273"/>
      <c r="AW34" s="273"/>
      <c r="AX34" s="273"/>
      <c r="AY34" s="273"/>
      <c r="AZ34" s="273"/>
      <c r="BA34" s="273"/>
      <c r="BB34" s="273"/>
      <c r="BC34" s="273"/>
      <c r="BD34" s="273"/>
      <c r="BE34" s="273"/>
      <c r="BF34" s="273"/>
      <c r="BG34" s="273"/>
      <c r="BH34" s="273"/>
      <c r="BI34" s="273"/>
      <c r="BJ34" s="273"/>
      <c r="BK34" s="273"/>
      <c r="BL34" s="273"/>
      <c r="BM34" s="273"/>
      <c r="BN34" s="273"/>
      <c r="BO34" s="273"/>
      <c r="BP34" s="273"/>
      <c r="BQ34" s="273"/>
      <c r="BR34" s="273"/>
      <c r="BS34" s="273"/>
      <c r="BT34" s="273"/>
      <c r="BU34" s="273"/>
      <c r="BV34" s="273"/>
      <c r="BW34" s="29"/>
      <c r="BX34" s="320" t="str">
        <f>IF(J34="","",IF(IF((SUMPRODUCT(($T34:$BV34="X")*$T$18:$BV$18))&lt;Listes!$R$12,J34-Listes!$S$12,
IF(AND((SUMPRODUCT(($T34:$BV34="X")*$T$18:$BV$18))&gt;=Listes!$Q$11,(SUMPRODUCT(($T34:$BV34="X")*$T$18:$BV$18))&lt;Listes!$R$11),J34-Listes!$S$11,
IF(AND((SUMPRODUCT(($T34:$BV34="X")*$T$18:$BV$18))&gt;=Listes!$Q$10,(SUMPRODUCT(($T34:$BV34="X")*$T$18:$BV$18))&lt;Listes!$R$10),J34-Listes!$S$10,
IF(AND((SUMPRODUCT(($T34:$BV34="X")*$T$18:$BV$18))&gt;=Listes!$Q$9,(SUMPRODUCT(($T34:$BV34="X")*$T$18:$BV$18))&lt;Listes!$R$9),J34-Listes!$S$9,
IF(AND((SUMPRODUCT(($T34:$BV34="X")*$T$18:$BV$18))&gt;=Listes!$Q$8,(SUMPRODUCT(($T34:$BV34="X")*$T$18:$BV$18))&lt;Listes!$R$8),J34-Listes!$S$8,
IF(AND((SUMPRODUCT(($T34:$BV34="X")*$T$18:$BV$18))&gt;=Listes!$Q$7),J34-Listes!$S$7,
"Erreur"))))))&lt;1,1,
IF((SUMPRODUCT(($T34:$BV34="X")*$T$18:$BV$18))&lt;Listes!$R$12,J34-Listes!$S$12,
IF(AND((SUMPRODUCT(($T34:$BV34="X")*$T$18:$BV$18))&gt;=Listes!$Q$11,(SUMPRODUCT(($T34:$BV34="X")*$T$18:$BV$18))&lt;Listes!$R$11),J34-Listes!$S$11,
IF(AND((SUMPRODUCT(($T34:$BV34="X")*$T$18:$BV$18))&gt;=Listes!$Q$10,(SUMPRODUCT(($T34:$BV34="X")*$T$18:$BV$18))&lt;Listes!$R$10),J34-Listes!$S$10,
IF(AND((SUMPRODUCT(($T34:$BV34="X")*$T$18:$BV$18))&gt;=Listes!$Q$9,(SUMPRODUCT(($T34:$BV34="X")*$T$18:$BV$18))&lt;Listes!$R$9),J34-Listes!$S$9,
IF(AND((SUMPRODUCT(($T34:$BV34="X")*$T$18:$BV$18))&gt;=Listes!$Q$8,(SUMPRODUCT(($T34:$BV34="X")*$T$18:$BV$18))&lt;Listes!$R$8),J34-Listes!$S$8,
IF(AND((SUMPRODUCT(($T34:$BV34="X")*$T$18:$BV$18))&gt;=Listes!$Q$7),J34-Listes!$S$7,
"Erreur"))))))))</f>
        <v/>
      </c>
      <c r="BY34" s="321" t="str">
        <f>IF(O34="","",IF(IF((SUMPRODUCT(($T34:$BV34="X")*$T$19:$BV$19))&lt;Listes!$R$12,O34-Listes!$S$12,
IF(AND((SUMPRODUCT(($T34:$BV34="X")*$T$19:$BV$19))&gt;=Listes!$Q$11,(SUMPRODUCT(($T34:$BV34="X")*$T$19:$BV$19))&lt;Listes!$R$11),O34-Listes!$S$11,
IF(AND((SUMPRODUCT(($T34:$BV34="X")*$T$19:$BV$19))&gt;=Listes!$Q$10,(SUMPRODUCT(($T34:$BV34="X")*$T$19:$BV$19))&lt;Listes!$R$10),O34-Listes!$S$10,
IF(AND((SUMPRODUCT(($T34:$BV34="X")*$T$19:$BV$19))&gt;=Listes!$Q$9,(SUMPRODUCT(($T34:$BV34="X")*$T$19:$BV$19))&lt;Listes!$R$9),O34-Listes!$S$9,
IF(AND((SUMPRODUCT(($T34:$BV34="X")*$T$19:$BV$19))&gt;=Listes!$Q$8,(SUMPRODUCT(($T34:$BV34="X")*$T$19:$BV$19))&lt;Listes!$R$8),O34-Listes!$S$8,
IF(AND((SUMPRODUCT(($T34:$BV34="X")*$T$19:$BV$19))&gt;=Listes!$Q$7),O34-Listes!$S$7,
"Erreur"))))))&lt;1,1,
IF((SUMPRODUCT(($T34:$BV34="X")*$T$19:$BV$19))&lt;Listes!$R$12,O34-Listes!$S$12,
IF(AND((SUMPRODUCT(($T34:$BV34="X")*$T$19:$BV$19))&gt;=Listes!$Q$11,(SUMPRODUCT(($T34:$BV34="X")*$T$19:$BV$19))&lt;Listes!$R$11),O34-Listes!$S$11,
IF(AND((SUMPRODUCT(($T34:$BV34="X")*$T$19:$BV$19))&gt;=Listes!$Q$10,(SUMPRODUCT(($T34:$BV34="X")*$T$19:$BV$19))&lt;Listes!$R$10),O34-Listes!$S$10,
IF(AND((SUMPRODUCT(($T34:$BV34="X")*$T$19:$BV$19))&gt;=Listes!$Q$9,(SUMPRODUCT(($T34:$BV34="X")*$T$19:$BV$19))&lt;Listes!$R$9),O34-Listes!$S$9,
IF(AND((SUMPRODUCT(($T34:$BV34="X")*$T$19:$BV$19))&gt;=Listes!$Q$8,(SUMPRODUCT(($T34:$BV34="X")*$T$19:$BV$19))&lt;Listes!$R$8),O34-Listes!$S$8,
IF(AND((SUMPRODUCT(($T34:$BV34="X")*$T$19:$BV$19))&gt;=Listes!$Q$7),O34-Listes!$S$7,
"Erreur"))))))))</f>
        <v/>
      </c>
      <c r="BZ34" s="322" t="str">
        <f t="shared" ref="BZ34:BZ39" si="50">IF(OR(BX34=0,BY34=0),"",IF(OR(BX34="",BY34=""),"",IF((BY34+BX34)&lt;4,"Très faible",IF((BX34+BY34)=4,"Faible",IF((BY34+BX34)=6,"Moyenne",IF((BX34+BY34)=7,"Forte",IF((BY34+BX34)&gt;=8,"Majeure",IF(OR(AND(BX34=4,BY34=1),AND(BX34=1,BY34=4)),"Faible",IF(OR(AND(BX34=3,BY34=2),AND(BX34=2,BY34=3)),"Moyenne","")))))))))</f>
        <v/>
      </c>
      <c r="CA34" s="9"/>
      <c r="CB34" s="9"/>
      <c r="CC34" s="287"/>
      <c r="CD34" s="288"/>
      <c r="CE34" s="289"/>
      <c r="CF34" s="289"/>
      <c r="CG34" s="289"/>
      <c r="CH34" s="289"/>
      <c r="CI34" s="289"/>
      <c r="CJ34" s="289"/>
      <c r="CK34" s="289"/>
      <c r="CL34" s="289"/>
      <c r="CM34" s="288"/>
      <c r="CN34" s="289"/>
      <c r="CO34" s="289"/>
      <c r="CP34" s="289"/>
      <c r="CQ34" s="289"/>
      <c r="CR34" s="289"/>
      <c r="CS34" s="289"/>
      <c r="CT34" s="289"/>
      <c r="CU34" s="289"/>
      <c r="CV34" s="289"/>
      <c r="CW34" s="289"/>
      <c r="CX34" s="289"/>
      <c r="CY34" s="289"/>
      <c r="CZ34" s="289"/>
      <c r="DA34" s="289"/>
      <c r="DB34" s="272"/>
      <c r="DC34" s="320" t="str">
        <f>IF(BX34="","",IF(IF((SUMPRODUCT(($CC34:$DA34="X")*$CC$18:$DA$18))&lt;Listes!$R$12,BX34-Listes!$S$12,
IF(AND((SUMPRODUCT(($CC34:$DA34="X")*$CC$18:$DA$18))&gt;=Listes!$Q$11,(SUMPRODUCT(($CC34:$DA34="X")*$CC$18:$DA$18))&lt;Listes!$R$11),BX34-Listes!$S$11,
IF(AND((SUMPRODUCT(($CC34:$DA34="X")*$CC$18:$DA$18))&gt;=Listes!$Q$10,(SUMPRODUCT(($CC34:$DA34="X")*$CC$18:$DA$18))&lt;Listes!$R$10),BX34-Listes!$S$10,
IF(AND((SUMPRODUCT(($CC34:$DA34="X")*$CC$18:$DA$18))&gt;=Listes!$Q$9,(SUMPRODUCT(($CC34:$DA34="X")*$CC$18:$DA$18))&lt;Listes!$R$9),BX34-Listes!$S$9,
IF(AND((SUMPRODUCT(($CC34:$DA34="X")*$CC$18:$DA$18))&gt;=Listes!$Q$8,(SUMPRODUCT(($CC34:$DA34="X")*$CC$18:$DA$18))&lt;Listes!$R$8),BX34-Listes!$S$8,
IF(AND((SUMPRODUCT(($CC34:$DA34="X")*$CC$18:$DA$18))&gt;=Listes!$Q$7),BX34-Listes!$S$7,
"Erreur"))))))&lt;1,1,
IF((SUMPRODUCT(($CC34:$DA34="X")*$CC$18:$DA$18))&lt;Listes!$R$12,BX34-Listes!$S$12,
IF(AND((SUMPRODUCT(($CC34:$DA34="X")*$CC$18:$DA$18))&gt;=Listes!$Q$11,(SUMPRODUCT(($CC34:$DA34="X")*$CC$18:$DA$18))&lt;Listes!$R$11),BX34-Listes!$S$11,
IF(AND((SUMPRODUCT(($CC34:$DA34="X")*$CC$18:$DA$18))&gt;=Listes!$Q$10,(SUMPRODUCT(($CC34:$DA34="X")*$CC$18:$DA$18))&lt;Listes!$R$10),BX34-Listes!$S$10,
IF(AND((SUMPRODUCT(($CC34:$DA34="X")*$CC$18:$DA$18))&gt;=Listes!$Q$9,(SUMPRODUCT(($CC34:$DA34="X")*$CC$18:$DA$18))&lt;Listes!$R$9),BX34-Listes!$S$9,
IF(AND((SUMPRODUCT(($CC34:$DA34="X")*$CC$18:$DA$18))&gt;=Listes!$Q$8,(SUMPRODUCT(($CC34:$DA34="X")*$CC$18:$DA$18))&lt;Listes!$R$8),BX34-Listes!$S$8,
IF(AND((SUMPRODUCT(($CC34:$DA34="X")*$CC$18:$DA$18))&gt;=Listes!$Q$7),BX34-Listes!$S$7,
"Erreur"))))))))</f>
        <v/>
      </c>
      <c r="DD34" s="321" t="str">
        <f>IF(BY34="","",IF(IF((SUMPRODUCT(($CC34:$DA34="X")*$CC$19:$DA$19))&lt;Listes!$R$12,BY34-Listes!$S$12,
IF(AND((SUMPRODUCT(($CC34:$DA34="X")*$CC$19:$DA$19))&gt;=Listes!$Q$11,(SUMPRODUCT(($CC34:$DA34="X")*$CC$19:$DA$19))&lt;Listes!$R$11),BY34-Listes!$S$11,
IF(AND((SUMPRODUCT(($CC34:$DA34="X")*$CC$19:$DA$19))&gt;=Listes!$Q$10,(SUMPRODUCT(($CC34:$DA34="X")*$CC$19:$DA$19))&lt;Listes!$R$10),BY34-Listes!$S$10,
IF(AND((SUMPRODUCT(($CC34:$DA34="X")*$CC$19:$DA$19))&gt;=Listes!$Q$9,(SUMPRODUCT(($CC34:$DA34="X")*$CC$19:$DA$19))&lt;Listes!$R$9),BY34-Listes!$S$9,
IF(AND((SUMPRODUCT(($CC34:$DA34="X")*$CC$19:$DA$19))&gt;=Listes!$Q$8,(SUMPRODUCT(($CC34:$DA34="X")*$CC$19:$DA$19))&lt;Listes!$R$8),BY34-Listes!$S$8,
IF(AND((SUMPRODUCT(($CC34:$DA34="X")*$CC$19:$DA$19))&gt;=Listes!$Q$7),BY34-Listes!$S$7,
"Erreur"))))))&lt;1,1,
IF((SUMPRODUCT(($CC34:$DA34="X")*$CC$19:$DA$19))&lt;Listes!$R$12,BY34-Listes!$S$12,
IF(AND((SUMPRODUCT(($CC34:$DA34="X")*$CC$19:$DA$19))&gt;=Listes!$Q$11,(SUMPRODUCT(($CC34:$DA34="X")*$CC$19:$DA$19))&lt;Listes!$R$11),BY34-Listes!$S$11,
IF(AND((SUMPRODUCT(($CC34:$DA34="X")*$CC$19:$DA$19))&gt;=Listes!$Q$10,(SUMPRODUCT(($CC34:$DA34="X")*$CC$19:$DA$19))&lt;Listes!$R$10),BY34-Listes!$S$10,
IF(AND((SUMPRODUCT(($CC34:$DA34="X")*$CC$19:$DA$19))&gt;=Listes!$Q$9,(SUMPRODUCT(($CC34:$DA34="X")*$CC$19:$DA$19))&lt;Listes!$R$9),BY34-Listes!$S$9,
IF(AND((SUMPRODUCT(($CC34:$DA34="X")*$CC$19:$DA$19))&gt;=Listes!$Q$8,(SUMPRODUCT(($CC34:$DA34="X")*$CC$19:$DA$19))&lt;Listes!$R$8),BY34-Listes!$S$8,
IF(AND((SUMPRODUCT(($CC34:$DA34="X")*$CC$19:$DA$19))&gt;=Listes!$Q$7),BY34-Listes!$S$7,
"Erreur"))))))))</f>
        <v/>
      </c>
      <c r="DE34" s="322" t="str">
        <f t="shared" ref="DE34:DE39" si="51">IF(OR(DC34=0,DD34=0),"",IF(OR(DC34="",DD34=""),"",IF((DD34+DC34)&lt;4,"Très faible",IF((DC34+DD34)=4,"Faible",IF((DD34+DC34)=6,"Moyenne",IF((DC34+DD34)=7,"Forte",IF((DD34+DC34)&gt;=8,"Majeure",IF(OR(AND(DC34=4,DD34=1),AND(DC34=1,DD34=4)),"Faible",IF(OR(AND(DC34=3,DD34=2),AND(DC34=2,DD34=3)),"Moyenne","")))))))))</f>
        <v/>
      </c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</row>
    <row r="35" spans="1:140" s="30" customFormat="1" ht="16.5" customHeight="1" x14ac:dyDescent="0.2">
      <c r="A35" s="9"/>
      <c r="B35" s="9"/>
      <c r="C35" s="433" t="str">
        <f>IF(D35="","",$G$1&amp;"-R"&amp;Listes!A14)</f>
        <v/>
      </c>
      <c r="D35" s="280"/>
      <c r="E35" s="284"/>
      <c r="F35" s="284"/>
      <c r="G35" s="279"/>
      <c r="H35" s="304" t="str">
        <f>IF(G35="","",VLOOKUP(G35,Listes!W16:Y63,2,FALSE))</f>
        <v/>
      </c>
      <c r="I35" s="304" t="str">
        <f>IF(G35="","",VLOOKUP(G35,Listes!W16:Y63,3,FALSE))</f>
        <v/>
      </c>
      <c r="J35" s="282"/>
      <c r="K35" s="283"/>
      <c r="L35" s="283"/>
      <c r="M35" s="283"/>
      <c r="N35" s="283"/>
      <c r="O35" s="318" t="str">
        <f t="shared" si="42"/>
        <v/>
      </c>
      <c r="P35" s="319" t="str">
        <f t="shared" si="49"/>
        <v/>
      </c>
      <c r="Q35" s="194"/>
      <c r="R35" s="9"/>
      <c r="S35" s="79"/>
      <c r="T35" s="273"/>
      <c r="U35" s="273"/>
      <c r="V35" s="273"/>
      <c r="W35" s="273"/>
      <c r="X35" s="273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73"/>
      <c r="AK35" s="273"/>
      <c r="AL35" s="273"/>
      <c r="AM35" s="273"/>
      <c r="AN35" s="273"/>
      <c r="AO35" s="273"/>
      <c r="AP35" s="273"/>
      <c r="AQ35" s="273"/>
      <c r="AR35" s="273"/>
      <c r="AS35" s="273"/>
      <c r="AT35" s="273"/>
      <c r="AU35" s="273"/>
      <c r="AV35" s="273"/>
      <c r="AW35" s="273"/>
      <c r="AX35" s="273"/>
      <c r="AY35" s="273"/>
      <c r="AZ35" s="273"/>
      <c r="BA35" s="273"/>
      <c r="BB35" s="273"/>
      <c r="BC35" s="273"/>
      <c r="BD35" s="273"/>
      <c r="BE35" s="273"/>
      <c r="BF35" s="273"/>
      <c r="BG35" s="273"/>
      <c r="BH35" s="273"/>
      <c r="BI35" s="273"/>
      <c r="BJ35" s="273"/>
      <c r="BK35" s="273"/>
      <c r="BL35" s="273"/>
      <c r="BM35" s="273"/>
      <c r="BN35" s="273"/>
      <c r="BO35" s="273"/>
      <c r="BP35" s="273"/>
      <c r="BQ35" s="273"/>
      <c r="BR35" s="273"/>
      <c r="BS35" s="273"/>
      <c r="BT35" s="273"/>
      <c r="BU35" s="273"/>
      <c r="BV35" s="273"/>
      <c r="BW35" s="29"/>
      <c r="BX35" s="320" t="str">
        <f>IF(J35="","",IF(IF((SUMPRODUCT(($T35:$BV35="X")*$T$18:$BV$18))&lt;Listes!$R$12,J35-Listes!$S$12,
IF(AND((SUMPRODUCT(($T35:$BV35="X")*$T$18:$BV$18))&gt;=Listes!$Q$11,(SUMPRODUCT(($T35:$BV35="X")*$T$18:$BV$18))&lt;Listes!$R$11),J35-Listes!$S$11,
IF(AND((SUMPRODUCT(($T35:$BV35="X")*$T$18:$BV$18))&gt;=Listes!$Q$10,(SUMPRODUCT(($T35:$BV35="X")*$T$18:$BV$18))&lt;Listes!$R$10),J35-Listes!$S$10,
IF(AND((SUMPRODUCT(($T35:$BV35="X")*$T$18:$BV$18))&gt;=Listes!$Q$9,(SUMPRODUCT(($T35:$BV35="X")*$T$18:$BV$18))&lt;Listes!$R$9),J35-Listes!$S$9,
IF(AND((SUMPRODUCT(($T35:$BV35="X")*$T$18:$BV$18))&gt;=Listes!$Q$8,(SUMPRODUCT(($T35:$BV35="X")*$T$18:$BV$18))&lt;Listes!$R$8),J35-Listes!$S$8,
IF(AND((SUMPRODUCT(($T35:$BV35="X")*$T$18:$BV$18))&gt;=Listes!$Q$7),J35-Listes!$S$7,
"Erreur"))))))&lt;1,1,
IF((SUMPRODUCT(($T35:$BV35="X")*$T$18:$BV$18))&lt;Listes!$R$12,J35-Listes!$S$12,
IF(AND((SUMPRODUCT(($T35:$BV35="X")*$T$18:$BV$18))&gt;=Listes!$Q$11,(SUMPRODUCT(($T35:$BV35="X")*$T$18:$BV$18))&lt;Listes!$R$11),J35-Listes!$S$11,
IF(AND((SUMPRODUCT(($T35:$BV35="X")*$T$18:$BV$18))&gt;=Listes!$Q$10,(SUMPRODUCT(($T35:$BV35="X")*$T$18:$BV$18))&lt;Listes!$R$10),J35-Listes!$S$10,
IF(AND((SUMPRODUCT(($T35:$BV35="X")*$T$18:$BV$18))&gt;=Listes!$Q$9,(SUMPRODUCT(($T35:$BV35="X")*$T$18:$BV$18))&lt;Listes!$R$9),J35-Listes!$S$9,
IF(AND((SUMPRODUCT(($T35:$BV35="X")*$T$18:$BV$18))&gt;=Listes!$Q$8,(SUMPRODUCT(($T35:$BV35="X")*$T$18:$BV$18))&lt;Listes!$R$8),J35-Listes!$S$8,
IF(AND((SUMPRODUCT(($T35:$BV35="X")*$T$18:$BV$18))&gt;=Listes!$Q$7),J35-Listes!$S$7,
"Erreur"))))))))</f>
        <v/>
      </c>
      <c r="BY35" s="321" t="str">
        <f>IF(O35="","",IF(IF((SUMPRODUCT(($T35:$BV35="X")*$T$19:$BV$19))&lt;Listes!$R$12,O35-Listes!$S$12,
IF(AND((SUMPRODUCT(($T35:$BV35="X")*$T$19:$BV$19))&gt;=Listes!$Q$11,(SUMPRODUCT(($T35:$BV35="X")*$T$19:$BV$19))&lt;Listes!$R$11),O35-Listes!$S$11,
IF(AND((SUMPRODUCT(($T35:$BV35="X")*$T$19:$BV$19))&gt;=Listes!$Q$10,(SUMPRODUCT(($T35:$BV35="X")*$T$19:$BV$19))&lt;Listes!$R$10),O35-Listes!$S$10,
IF(AND((SUMPRODUCT(($T35:$BV35="X")*$T$19:$BV$19))&gt;=Listes!$Q$9,(SUMPRODUCT(($T35:$BV35="X")*$T$19:$BV$19))&lt;Listes!$R$9),O35-Listes!$S$9,
IF(AND((SUMPRODUCT(($T35:$BV35="X")*$T$19:$BV$19))&gt;=Listes!$Q$8,(SUMPRODUCT(($T35:$BV35="X")*$T$19:$BV$19))&lt;Listes!$R$8),O35-Listes!$S$8,
IF(AND((SUMPRODUCT(($T35:$BV35="X")*$T$19:$BV$19))&gt;=Listes!$Q$7),O35-Listes!$S$7,
"Erreur"))))))&lt;1,1,
IF((SUMPRODUCT(($T35:$BV35="X")*$T$19:$BV$19))&lt;Listes!$R$12,O35-Listes!$S$12,
IF(AND((SUMPRODUCT(($T35:$BV35="X")*$T$19:$BV$19))&gt;=Listes!$Q$11,(SUMPRODUCT(($T35:$BV35="X")*$T$19:$BV$19))&lt;Listes!$R$11),O35-Listes!$S$11,
IF(AND((SUMPRODUCT(($T35:$BV35="X")*$T$19:$BV$19))&gt;=Listes!$Q$10,(SUMPRODUCT(($T35:$BV35="X")*$T$19:$BV$19))&lt;Listes!$R$10),O35-Listes!$S$10,
IF(AND((SUMPRODUCT(($T35:$BV35="X")*$T$19:$BV$19))&gt;=Listes!$Q$9,(SUMPRODUCT(($T35:$BV35="X")*$T$19:$BV$19))&lt;Listes!$R$9),O35-Listes!$S$9,
IF(AND((SUMPRODUCT(($T35:$BV35="X")*$T$19:$BV$19))&gt;=Listes!$Q$8,(SUMPRODUCT(($T35:$BV35="X")*$T$19:$BV$19))&lt;Listes!$R$8),O35-Listes!$S$8,
IF(AND((SUMPRODUCT(($T35:$BV35="X")*$T$19:$BV$19))&gt;=Listes!$Q$7),O35-Listes!$S$7,
"Erreur"))))))))</f>
        <v/>
      </c>
      <c r="BZ35" s="322" t="str">
        <f t="shared" si="50"/>
        <v/>
      </c>
      <c r="CA35" s="9"/>
      <c r="CB35" s="9"/>
      <c r="CC35" s="287"/>
      <c r="CD35" s="288"/>
      <c r="CE35" s="289"/>
      <c r="CF35" s="289"/>
      <c r="CG35" s="289"/>
      <c r="CH35" s="289"/>
      <c r="CI35" s="289"/>
      <c r="CJ35" s="289"/>
      <c r="CK35" s="289"/>
      <c r="CL35" s="289"/>
      <c r="CM35" s="288"/>
      <c r="CN35" s="289"/>
      <c r="CO35" s="289"/>
      <c r="CP35" s="289"/>
      <c r="CQ35" s="289"/>
      <c r="CR35" s="289"/>
      <c r="CS35" s="289"/>
      <c r="CT35" s="289"/>
      <c r="CU35" s="289"/>
      <c r="CV35" s="289"/>
      <c r="CW35" s="289"/>
      <c r="CX35" s="289"/>
      <c r="CY35" s="289"/>
      <c r="CZ35" s="289"/>
      <c r="DA35" s="289"/>
      <c r="DB35" s="272"/>
      <c r="DC35" s="320" t="str">
        <f>IF(BX35="","",IF(IF((SUMPRODUCT(($CC35:$DA35="X")*$CC$18:$DA$18))&lt;Listes!$R$12,BX35-Listes!$S$12,
IF(AND((SUMPRODUCT(($CC35:$DA35="X")*$CC$18:$DA$18))&gt;=Listes!$Q$11,(SUMPRODUCT(($CC35:$DA35="X")*$CC$18:$DA$18))&lt;Listes!$R$11),BX35-Listes!$S$11,
IF(AND((SUMPRODUCT(($CC35:$DA35="X")*$CC$18:$DA$18))&gt;=Listes!$Q$10,(SUMPRODUCT(($CC35:$DA35="X")*$CC$18:$DA$18))&lt;Listes!$R$10),BX35-Listes!$S$10,
IF(AND((SUMPRODUCT(($CC35:$DA35="X")*$CC$18:$DA$18))&gt;=Listes!$Q$9,(SUMPRODUCT(($CC35:$DA35="X")*$CC$18:$DA$18))&lt;Listes!$R$9),BX35-Listes!$S$9,
IF(AND((SUMPRODUCT(($CC35:$DA35="X")*$CC$18:$DA$18))&gt;=Listes!$Q$8,(SUMPRODUCT(($CC35:$DA35="X")*$CC$18:$DA$18))&lt;Listes!$R$8),BX35-Listes!$S$8,
IF(AND((SUMPRODUCT(($CC35:$DA35="X")*$CC$18:$DA$18))&gt;=Listes!$Q$7),BX35-Listes!$S$7,
"Erreur"))))))&lt;1,1,
IF((SUMPRODUCT(($CC35:$DA35="X")*$CC$18:$DA$18))&lt;Listes!$R$12,BX35-Listes!$S$12,
IF(AND((SUMPRODUCT(($CC35:$DA35="X")*$CC$18:$DA$18))&gt;=Listes!$Q$11,(SUMPRODUCT(($CC35:$DA35="X")*$CC$18:$DA$18))&lt;Listes!$R$11),BX35-Listes!$S$11,
IF(AND((SUMPRODUCT(($CC35:$DA35="X")*$CC$18:$DA$18))&gt;=Listes!$Q$10,(SUMPRODUCT(($CC35:$DA35="X")*$CC$18:$DA$18))&lt;Listes!$R$10),BX35-Listes!$S$10,
IF(AND((SUMPRODUCT(($CC35:$DA35="X")*$CC$18:$DA$18))&gt;=Listes!$Q$9,(SUMPRODUCT(($CC35:$DA35="X")*$CC$18:$DA$18))&lt;Listes!$R$9),BX35-Listes!$S$9,
IF(AND((SUMPRODUCT(($CC35:$DA35="X")*$CC$18:$DA$18))&gt;=Listes!$Q$8,(SUMPRODUCT(($CC35:$DA35="X")*$CC$18:$DA$18))&lt;Listes!$R$8),BX35-Listes!$S$8,
IF(AND((SUMPRODUCT(($CC35:$DA35="X")*$CC$18:$DA$18))&gt;=Listes!$Q$7),BX35-Listes!$S$7,
"Erreur"))))))))</f>
        <v/>
      </c>
      <c r="DD35" s="321" t="str">
        <f>IF(BY35="","",IF(IF((SUMPRODUCT(($CC35:$DA35="X")*$CC$19:$DA$19))&lt;Listes!$R$12,BY35-Listes!$S$12,
IF(AND((SUMPRODUCT(($CC35:$DA35="X")*$CC$19:$DA$19))&gt;=Listes!$Q$11,(SUMPRODUCT(($CC35:$DA35="X")*$CC$19:$DA$19))&lt;Listes!$R$11),BY35-Listes!$S$11,
IF(AND((SUMPRODUCT(($CC35:$DA35="X")*$CC$19:$DA$19))&gt;=Listes!$Q$10,(SUMPRODUCT(($CC35:$DA35="X")*$CC$19:$DA$19))&lt;Listes!$R$10),BY35-Listes!$S$10,
IF(AND((SUMPRODUCT(($CC35:$DA35="X")*$CC$19:$DA$19))&gt;=Listes!$Q$9,(SUMPRODUCT(($CC35:$DA35="X")*$CC$19:$DA$19))&lt;Listes!$R$9),BY35-Listes!$S$9,
IF(AND((SUMPRODUCT(($CC35:$DA35="X")*$CC$19:$DA$19))&gt;=Listes!$Q$8,(SUMPRODUCT(($CC35:$DA35="X")*$CC$19:$DA$19))&lt;Listes!$R$8),BY35-Listes!$S$8,
IF(AND((SUMPRODUCT(($CC35:$DA35="X")*$CC$19:$DA$19))&gt;=Listes!$Q$7),BY35-Listes!$S$7,
"Erreur"))))))&lt;1,1,
IF((SUMPRODUCT(($CC35:$DA35="X")*$CC$19:$DA$19))&lt;Listes!$R$12,BY35-Listes!$S$12,
IF(AND((SUMPRODUCT(($CC35:$DA35="X")*$CC$19:$DA$19))&gt;=Listes!$Q$11,(SUMPRODUCT(($CC35:$DA35="X")*$CC$19:$DA$19))&lt;Listes!$R$11),BY35-Listes!$S$11,
IF(AND((SUMPRODUCT(($CC35:$DA35="X")*$CC$19:$DA$19))&gt;=Listes!$Q$10,(SUMPRODUCT(($CC35:$DA35="X")*$CC$19:$DA$19))&lt;Listes!$R$10),BY35-Listes!$S$10,
IF(AND((SUMPRODUCT(($CC35:$DA35="X")*$CC$19:$DA$19))&gt;=Listes!$Q$9,(SUMPRODUCT(($CC35:$DA35="X")*$CC$19:$DA$19))&lt;Listes!$R$9),BY35-Listes!$S$9,
IF(AND((SUMPRODUCT(($CC35:$DA35="X")*$CC$19:$DA$19))&gt;=Listes!$Q$8,(SUMPRODUCT(($CC35:$DA35="X")*$CC$19:$DA$19))&lt;Listes!$R$8),BY35-Listes!$S$8,
IF(AND((SUMPRODUCT(($CC35:$DA35="X")*$CC$19:$DA$19))&gt;=Listes!$Q$7),BY35-Listes!$S$7,
"Erreur"))))))))</f>
        <v/>
      </c>
      <c r="DE35" s="322" t="str">
        <f t="shared" si="51"/>
        <v/>
      </c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</row>
    <row r="36" spans="1:140" s="30" customFormat="1" ht="16.5" customHeight="1" x14ac:dyDescent="0.2">
      <c r="A36" s="9"/>
      <c r="B36" s="9"/>
      <c r="C36" s="433" t="str">
        <f>IF(D36="","",$G$1&amp;"-R"&amp;Listes!A15)</f>
        <v/>
      </c>
      <c r="D36" s="280"/>
      <c r="E36" s="284"/>
      <c r="F36" s="284"/>
      <c r="G36" s="279"/>
      <c r="H36" s="304" t="str">
        <f>IF(G36="","",VLOOKUP(G36,Listes!W17:Y64,2,FALSE))</f>
        <v/>
      </c>
      <c r="I36" s="304" t="str">
        <f>IF(G36="","",VLOOKUP(G36,Listes!W17:Y64,3,FALSE))</f>
        <v/>
      </c>
      <c r="J36" s="282"/>
      <c r="K36" s="283"/>
      <c r="L36" s="283"/>
      <c r="M36" s="283"/>
      <c r="N36" s="283"/>
      <c r="O36" s="318" t="str">
        <f t="shared" si="42"/>
        <v/>
      </c>
      <c r="P36" s="319" t="str">
        <f t="shared" si="49"/>
        <v/>
      </c>
      <c r="Q36" s="194"/>
      <c r="R36" s="9"/>
      <c r="S36" s="79"/>
      <c r="T36" s="273"/>
      <c r="U36" s="273"/>
      <c r="V36" s="273"/>
      <c r="W36" s="273"/>
      <c r="X36" s="273"/>
      <c r="Y36" s="273"/>
      <c r="Z36" s="273"/>
      <c r="AA36" s="273"/>
      <c r="AB36" s="273"/>
      <c r="AC36" s="273"/>
      <c r="AD36" s="273"/>
      <c r="AE36" s="273"/>
      <c r="AF36" s="273"/>
      <c r="AG36" s="273"/>
      <c r="AH36" s="273"/>
      <c r="AI36" s="273"/>
      <c r="AJ36" s="273"/>
      <c r="AK36" s="273"/>
      <c r="AL36" s="273"/>
      <c r="AM36" s="273"/>
      <c r="AN36" s="273"/>
      <c r="AO36" s="273"/>
      <c r="AP36" s="273"/>
      <c r="AQ36" s="273"/>
      <c r="AR36" s="273"/>
      <c r="AS36" s="273"/>
      <c r="AT36" s="273"/>
      <c r="AU36" s="273"/>
      <c r="AV36" s="273"/>
      <c r="AW36" s="273"/>
      <c r="AX36" s="273"/>
      <c r="AY36" s="273"/>
      <c r="AZ36" s="273"/>
      <c r="BA36" s="273"/>
      <c r="BB36" s="273"/>
      <c r="BC36" s="273"/>
      <c r="BD36" s="273"/>
      <c r="BE36" s="273"/>
      <c r="BF36" s="273"/>
      <c r="BG36" s="273"/>
      <c r="BH36" s="273"/>
      <c r="BI36" s="273"/>
      <c r="BJ36" s="273"/>
      <c r="BK36" s="273"/>
      <c r="BL36" s="273"/>
      <c r="BM36" s="273"/>
      <c r="BN36" s="273"/>
      <c r="BO36" s="273"/>
      <c r="BP36" s="273"/>
      <c r="BQ36" s="273"/>
      <c r="BR36" s="273"/>
      <c r="BS36" s="273"/>
      <c r="BT36" s="273"/>
      <c r="BU36" s="273"/>
      <c r="BV36" s="273"/>
      <c r="BW36" s="29"/>
      <c r="BX36" s="320" t="str">
        <f>IF(J36="","",IF(IF((SUMPRODUCT(($T36:$BV36="X")*$T$18:$BV$18))&lt;Listes!$R$12,J36-Listes!$S$12,
IF(AND((SUMPRODUCT(($T36:$BV36="X")*$T$18:$BV$18))&gt;=Listes!$Q$11,(SUMPRODUCT(($T36:$BV36="X")*$T$18:$BV$18))&lt;Listes!$R$11),J36-Listes!$S$11,
IF(AND((SUMPRODUCT(($T36:$BV36="X")*$T$18:$BV$18))&gt;=Listes!$Q$10,(SUMPRODUCT(($T36:$BV36="X")*$T$18:$BV$18))&lt;Listes!$R$10),J36-Listes!$S$10,
IF(AND((SUMPRODUCT(($T36:$BV36="X")*$T$18:$BV$18))&gt;=Listes!$Q$9,(SUMPRODUCT(($T36:$BV36="X")*$T$18:$BV$18))&lt;Listes!$R$9),J36-Listes!$S$9,
IF(AND((SUMPRODUCT(($T36:$BV36="X")*$T$18:$BV$18))&gt;=Listes!$Q$8,(SUMPRODUCT(($T36:$BV36="X")*$T$18:$BV$18))&lt;Listes!$R$8),J36-Listes!$S$8,
IF(AND((SUMPRODUCT(($T36:$BV36="X")*$T$18:$BV$18))&gt;=Listes!$Q$7),J36-Listes!$S$7,
"Erreur"))))))&lt;1,1,
IF((SUMPRODUCT(($T36:$BV36="X")*$T$18:$BV$18))&lt;Listes!$R$12,J36-Listes!$S$12,
IF(AND((SUMPRODUCT(($T36:$BV36="X")*$T$18:$BV$18))&gt;=Listes!$Q$11,(SUMPRODUCT(($T36:$BV36="X")*$T$18:$BV$18))&lt;Listes!$R$11),J36-Listes!$S$11,
IF(AND((SUMPRODUCT(($T36:$BV36="X")*$T$18:$BV$18))&gt;=Listes!$Q$10,(SUMPRODUCT(($T36:$BV36="X")*$T$18:$BV$18))&lt;Listes!$R$10),J36-Listes!$S$10,
IF(AND((SUMPRODUCT(($T36:$BV36="X")*$T$18:$BV$18))&gt;=Listes!$Q$9,(SUMPRODUCT(($T36:$BV36="X")*$T$18:$BV$18))&lt;Listes!$R$9),J36-Listes!$S$9,
IF(AND((SUMPRODUCT(($T36:$BV36="X")*$T$18:$BV$18))&gt;=Listes!$Q$8,(SUMPRODUCT(($T36:$BV36="X")*$T$18:$BV$18))&lt;Listes!$R$8),J36-Listes!$S$8,
IF(AND((SUMPRODUCT(($T36:$BV36="X")*$T$18:$BV$18))&gt;=Listes!$Q$7),J36-Listes!$S$7,
"Erreur"))))))))</f>
        <v/>
      </c>
      <c r="BY36" s="321" t="str">
        <f>IF(O36="","",IF(IF((SUMPRODUCT(($T36:$BV36="X")*$T$19:$BV$19))&lt;Listes!$R$12,O36-Listes!$S$12,
IF(AND((SUMPRODUCT(($T36:$BV36="X")*$T$19:$BV$19))&gt;=Listes!$Q$11,(SUMPRODUCT(($T36:$BV36="X")*$T$19:$BV$19))&lt;Listes!$R$11),O36-Listes!$S$11,
IF(AND((SUMPRODUCT(($T36:$BV36="X")*$T$19:$BV$19))&gt;=Listes!$Q$10,(SUMPRODUCT(($T36:$BV36="X")*$T$19:$BV$19))&lt;Listes!$R$10),O36-Listes!$S$10,
IF(AND((SUMPRODUCT(($T36:$BV36="X")*$T$19:$BV$19))&gt;=Listes!$Q$9,(SUMPRODUCT(($T36:$BV36="X")*$T$19:$BV$19))&lt;Listes!$R$9),O36-Listes!$S$9,
IF(AND((SUMPRODUCT(($T36:$BV36="X")*$T$19:$BV$19))&gt;=Listes!$Q$8,(SUMPRODUCT(($T36:$BV36="X")*$T$19:$BV$19))&lt;Listes!$R$8),O36-Listes!$S$8,
IF(AND((SUMPRODUCT(($T36:$BV36="X")*$T$19:$BV$19))&gt;=Listes!$Q$7),O36-Listes!$S$7,
"Erreur"))))))&lt;1,1,
IF((SUMPRODUCT(($T36:$BV36="X")*$T$19:$BV$19))&lt;Listes!$R$12,O36-Listes!$S$12,
IF(AND((SUMPRODUCT(($T36:$BV36="X")*$T$19:$BV$19))&gt;=Listes!$Q$11,(SUMPRODUCT(($T36:$BV36="X")*$T$19:$BV$19))&lt;Listes!$R$11),O36-Listes!$S$11,
IF(AND((SUMPRODUCT(($T36:$BV36="X")*$T$19:$BV$19))&gt;=Listes!$Q$10,(SUMPRODUCT(($T36:$BV36="X")*$T$19:$BV$19))&lt;Listes!$R$10),O36-Listes!$S$10,
IF(AND((SUMPRODUCT(($T36:$BV36="X")*$T$19:$BV$19))&gt;=Listes!$Q$9,(SUMPRODUCT(($T36:$BV36="X")*$T$19:$BV$19))&lt;Listes!$R$9),O36-Listes!$S$9,
IF(AND((SUMPRODUCT(($T36:$BV36="X")*$T$19:$BV$19))&gt;=Listes!$Q$8,(SUMPRODUCT(($T36:$BV36="X")*$T$19:$BV$19))&lt;Listes!$R$8),O36-Listes!$S$8,
IF(AND((SUMPRODUCT(($T36:$BV36="X")*$T$19:$BV$19))&gt;=Listes!$Q$7),O36-Listes!$S$7,
"Erreur"))))))))</f>
        <v/>
      </c>
      <c r="BZ36" s="322" t="str">
        <f t="shared" si="50"/>
        <v/>
      </c>
      <c r="CA36" s="9"/>
      <c r="CB36" s="9"/>
      <c r="CC36" s="287"/>
      <c r="CD36" s="288"/>
      <c r="CE36" s="289"/>
      <c r="CF36" s="289"/>
      <c r="CG36" s="289"/>
      <c r="CH36" s="289"/>
      <c r="CI36" s="289"/>
      <c r="CJ36" s="289"/>
      <c r="CK36" s="289"/>
      <c r="CL36" s="289"/>
      <c r="CM36" s="288"/>
      <c r="CN36" s="289"/>
      <c r="CO36" s="289"/>
      <c r="CP36" s="289"/>
      <c r="CQ36" s="289"/>
      <c r="CR36" s="289"/>
      <c r="CS36" s="289"/>
      <c r="CT36" s="289"/>
      <c r="CU36" s="289"/>
      <c r="CV36" s="289"/>
      <c r="CW36" s="289"/>
      <c r="CX36" s="289"/>
      <c r="CY36" s="289"/>
      <c r="CZ36" s="289"/>
      <c r="DA36" s="289"/>
      <c r="DB36" s="272"/>
      <c r="DC36" s="320" t="str">
        <f>IF(BX36="","",IF(IF((SUMPRODUCT(($CC36:$DA36="X")*$CC$18:$DA$18))&lt;Listes!$R$12,BX36-Listes!$S$12,
IF(AND((SUMPRODUCT(($CC36:$DA36="X")*$CC$18:$DA$18))&gt;=Listes!$Q$11,(SUMPRODUCT(($CC36:$DA36="X")*$CC$18:$DA$18))&lt;Listes!$R$11),BX36-Listes!$S$11,
IF(AND((SUMPRODUCT(($CC36:$DA36="X")*$CC$18:$DA$18))&gt;=Listes!$Q$10,(SUMPRODUCT(($CC36:$DA36="X")*$CC$18:$DA$18))&lt;Listes!$R$10),BX36-Listes!$S$10,
IF(AND((SUMPRODUCT(($CC36:$DA36="X")*$CC$18:$DA$18))&gt;=Listes!$Q$9,(SUMPRODUCT(($CC36:$DA36="X")*$CC$18:$DA$18))&lt;Listes!$R$9),BX36-Listes!$S$9,
IF(AND((SUMPRODUCT(($CC36:$DA36="X")*$CC$18:$DA$18))&gt;=Listes!$Q$8,(SUMPRODUCT(($CC36:$DA36="X")*$CC$18:$DA$18))&lt;Listes!$R$8),BX36-Listes!$S$8,
IF(AND((SUMPRODUCT(($CC36:$DA36="X")*$CC$18:$DA$18))&gt;=Listes!$Q$7),BX36-Listes!$S$7,
"Erreur"))))))&lt;1,1,
IF((SUMPRODUCT(($CC36:$DA36="X")*$CC$18:$DA$18))&lt;Listes!$R$12,BX36-Listes!$S$12,
IF(AND((SUMPRODUCT(($CC36:$DA36="X")*$CC$18:$DA$18))&gt;=Listes!$Q$11,(SUMPRODUCT(($CC36:$DA36="X")*$CC$18:$DA$18))&lt;Listes!$R$11),BX36-Listes!$S$11,
IF(AND((SUMPRODUCT(($CC36:$DA36="X")*$CC$18:$DA$18))&gt;=Listes!$Q$10,(SUMPRODUCT(($CC36:$DA36="X")*$CC$18:$DA$18))&lt;Listes!$R$10),BX36-Listes!$S$10,
IF(AND((SUMPRODUCT(($CC36:$DA36="X")*$CC$18:$DA$18))&gt;=Listes!$Q$9,(SUMPRODUCT(($CC36:$DA36="X")*$CC$18:$DA$18))&lt;Listes!$R$9),BX36-Listes!$S$9,
IF(AND((SUMPRODUCT(($CC36:$DA36="X")*$CC$18:$DA$18))&gt;=Listes!$Q$8,(SUMPRODUCT(($CC36:$DA36="X")*$CC$18:$DA$18))&lt;Listes!$R$8),BX36-Listes!$S$8,
IF(AND((SUMPRODUCT(($CC36:$DA36="X")*$CC$18:$DA$18))&gt;=Listes!$Q$7),BX36-Listes!$S$7,
"Erreur"))))))))</f>
        <v/>
      </c>
      <c r="DD36" s="321" t="str">
        <f>IF(BY36="","",IF(IF((SUMPRODUCT(($CC36:$DA36="X")*$CC$19:$DA$19))&lt;Listes!$R$12,BY36-Listes!$S$12,
IF(AND((SUMPRODUCT(($CC36:$DA36="X")*$CC$19:$DA$19))&gt;=Listes!$Q$11,(SUMPRODUCT(($CC36:$DA36="X")*$CC$19:$DA$19))&lt;Listes!$R$11),BY36-Listes!$S$11,
IF(AND((SUMPRODUCT(($CC36:$DA36="X")*$CC$19:$DA$19))&gt;=Listes!$Q$10,(SUMPRODUCT(($CC36:$DA36="X")*$CC$19:$DA$19))&lt;Listes!$R$10),BY36-Listes!$S$10,
IF(AND((SUMPRODUCT(($CC36:$DA36="X")*$CC$19:$DA$19))&gt;=Listes!$Q$9,(SUMPRODUCT(($CC36:$DA36="X")*$CC$19:$DA$19))&lt;Listes!$R$9),BY36-Listes!$S$9,
IF(AND((SUMPRODUCT(($CC36:$DA36="X")*$CC$19:$DA$19))&gt;=Listes!$Q$8,(SUMPRODUCT(($CC36:$DA36="X")*$CC$19:$DA$19))&lt;Listes!$R$8),BY36-Listes!$S$8,
IF(AND((SUMPRODUCT(($CC36:$DA36="X")*$CC$19:$DA$19))&gt;=Listes!$Q$7),BY36-Listes!$S$7,
"Erreur"))))))&lt;1,1,
IF((SUMPRODUCT(($CC36:$DA36="X")*$CC$19:$DA$19))&lt;Listes!$R$12,BY36-Listes!$S$12,
IF(AND((SUMPRODUCT(($CC36:$DA36="X")*$CC$19:$DA$19))&gt;=Listes!$Q$11,(SUMPRODUCT(($CC36:$DA36="X")*$CC$19:$DA$19))&lt;Listes!$R$11),BY36-Listes!$S$11,
IF(AND((SUMPRODUCT(($CC36:$DA36="X")*$CC$19:$DA$19))&gt;=Listes!$Q$10,(SUMPRODUCT(($CC36:$DA36="X")*$CC$19:$DA$19))&lt;Listes!$R$10),BY36-Listes!$S$10,
IF(AND((SUMPRODUCT(($CC36:$DA36="X")*$CC$19:$DA$19))&gt;=Listes!$Q$9,(SUMPRODUCT(($CC36:$DA36="X")*$CC$19:$DA$19))&lt;Listes!$R$9),BY36-Listes!$S$9,
IF(AND((SUMPRODUCT(($CC36:$DA36="X")*$CC$19:$DA$19))&gt;=Listes!$Q$8,(SUMPRODUCT(($CC36:$DA36="X")*$CC$19:$DA$19))&lt;Listes!$R$8),BY36-Listes!$S$8,
IF(AND((SUMPRODUCT(($CC36:$DA36="X")*$CC$19:$DA$19))&gt;=Listes!$Q$7),BY36-Listes!$S$7,
"Erreur"))))))))</f>
        <v/>
      </c>
      <c r="DE36" s="322" t="str">
        <f t="shared" si="51"/>
        <v/>
      </c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</row>
    <row r="37" spans="1:140" s="30" customFormat="1" ht="16.5" customHeight="1" x14ac:dyDescent="0.2">
      <c r="A37" s="9"/>
      <c r="B37" s="9"/>
      <c r="C37" s="433" t="str">
        <f>IF(D37="","",$G$1&amp;"-R"&amp;Listes!A16)</f>
        <v/>
      </c>
      <c r="D37" s="280"/>
      <c r="E37" s="284"/>
      <c r="F37" s="284"/>
      <c r="G37" s="279"/>
      <c r="H37" s="304" t="str">
        <f>IF(G37="","",VLOOKUP(G37,Listes!W18:Y65,2,FALSE))</f>
        <v/>
      </c>
      <c r="I37" s="304" t="str">
        <f>IF(G37="","",VLOOKUP(G37,Listes!W18:Y65,3,FALSE))</f>
        <v/>
      </c>
      <c r="J37" s="282"/>
      <c r="K37" s="283"/>
      <c r="L37" s="283"/>
      <c r="M37" s="283"/>
      <c r="N37" s="283"/>
      <c r="O37" s="318" t="str">
        <f t="shared" si="42"/>
        <v/>
      </c>
      <c r="P37" s="319" t="str">
        <f t="shared" si="49"/>
        <v/>
      </c>
      <c r="Q37" s="194"/>
      <c r="R37" s="9"/>
      <c r="S37" s="79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273"/>
      <c r="AL37" s="273"/>
      <c r="AM37" s="273"/>
      <c r="AN37" s="273"/>
      <c r="AO37" s="273"/>
      <c r="AP37" s="273"/>
      <c r="AQ37" s="273"/>
      <c r="AR37" s="273"/>
      <c r="AS37" s="273"/>
      <c r="AT37" s="273"/>
      <c r="AU37" s="273"/>
      <c r="AV37" s="273"/>
      <c r="AW37" s="273"/>
      <c r="AX37" s="273"/>
      <c r="AY37" s="273"/>
      <c r="AZ37" s="273"/>
      <c r="BA37" s="273"/>
      <c r="BB37" s="273"/>
      <c r="BC37" s="273"/>
      <c r="BD37" s="273"/>
      <c r="BE37" s="273"/>
      <c r="BF37" s="273"/>
      <c r="BG37" s="273"/>
      <c r="BH37" s="273"/>
      <c r="BI37" s="273"/>
      <c r="BJ37" s="273"/>
      <c r="BK37" s="273"/>
      <c r="BL37" s="273"/>
      <c r="BM37" s="273"/>
      <c r="BN37" s="273"/>
      <c r="BO37" s="273"/>
      <c r="BP37" s="273"/>
      <c r="BQ37" s="273"/>
      <c r="BR37" s="273"/>
      <c r="BS37" s="273"/>
      <c r="BT37" s="273"/>
      <c r="BU37" s="273"/>
      <c r="BV37" s="273"/>
      <c r="BW37" s="29"/>
      <c r="BX37" s="320" t="str">
        <f>IF(J37="","",IF(IF((SUMPRODUCT(($T37:$BV37="X")*$T$18:$BV$18))&lt;Listes!$R$12,J37-Listes!$S$12,
IF(AND((SUMPRODUCT(($T37:$BV37="X")*$T$18:$BV$18))&gt;=Listes!$Q$11,(SUMPRODUCT(($T37:$BV37="X")*$T$18:$BV$18))&lt;Listes!$R$11),J37-Listes!$S$11,
IF(AND((SUMPRODUCT(($T37:$BV37="X")*$T$18:$BV$18))&gt;=Listes!$Q$10,(SUMPRODUCT(($T37:$BV37="X")*$T$18:$BV$18))&lt;Listes!$R$10),J37-Listes!$S$10,
IF(AND((SUMPRODUCT(($T37:$BV37="X")*$T$18:$BV$18))&gt;=Listes!$Q$9,(SUMPRODUCT(($T37:$BV37="X")*$T$18:$BV$18))&lt;Listes!$R$9),J37-Listes!$S$9,
IF(AND((SUMPRODUCT(($T37:$BV37="X")*$T$18:$BV$18))&gt;=Listes!$Q$8,(SUMPRODUCT(($T37:$BV37="X")*$T$18:$BV$18))&lt;Listes!$R$8),J37-Listes!$S$8,
IF(AND((SUMPRODUCT(($T37:$BV37="X")*$T$18:$BV$18))&gt;=Listes!$Q$7),J37-Listes!$S$7,
"Erreur"))))))&lt;1,1,
IF((SUMPRODUCT(($T37:$BV37="X")*$T$18:$BV$18))&lt;Listes!$R$12,J37-Listes!$S$12,
IF(AND((SUMPRODUCT(($T37:$BV37="X")*$T$18:$BV$18))&gt;=Listes!$Q$11,(SUMPRODUCT(($T37:$BV37="X")*$T$18:$BV$18))&lt;Listes!$R$11),J37-Listes!$S$11,
IF(AND((SUMPRODUCT(($T37:$BV37="X")*$T$18:$BV$18))&gt;=Listes!$Q$10,(SUMPRODUCT(($T37:$BV37="X")*$T$18:$BV$18))&lt;Listes!$R$10),J37-Listes!$S$10,
IF(AND((SUMPRODUCT(($T37:$BV37="X")*$T$18:$BV$18))&gt;=Listes!$Q$9,(SUMPRODUCT(($T37:$BV37="X")*$T$18:$BV$18))&lt;Listes!$R$9),J37-Listes!$S$9,
IF(AND((SUMPRODUCT(($T37:$BV37="X")*$T$18:$BV$18))&gt;=Listes!$Q$8,(SUMPRODUCT(($T37:$BV37="X")*$T$18:$BV$18))&lt;Listes!$R$8),J37-Listes!$S$8,
IF(AND((SUMPRODUCT(($T37:$BV37="X")*$T$18:$BV$18))&gt;=Listes!$Q$7),J37-Listes!$S$7,
"Erreur"))))))))</f>
        <v/>
      </c>
      <c r="BY37" s="321" t="str">
        <f>IF(O37="","",IF(IF((SUMPRODUCT(($T37:$BV37="X")*$T$19:$BV$19))&lt;Listes!$R$12,O37-Listes!$S$12,
IF(AND((SUMPRODUCT(($T37:$BV37="X")*$T$19:$BV$19))&gt;=Listes!$Q$11,(SUMPRODUCT(($T37:$BV37="X")*$T$19:$BV$19))&lt;Listes!$R$11),O37-Listes!$S$11,
IF(AND((SUMPRODUCT(($T37:$BV37="X")*$T$19:$BV$19))&gt;=Listes!$Q$10,(SUMPRODUCT(($T37:$BV37="X")*$T$19:$BV$19))&lt;Listes!$R$10),O37-Listes!$S$10,
IF(AND((SUMPRODUCT(($T37:$BV37="X")*$T$19:$BV$19))&gt;=Listes!$Q$9,(SUMPRODUCT(($T37:$BV37="X")*$T$19:$BV$19))&lt;Listes!$R$9),O37-Listes!$S$9,
IF(AND((SUMPRODUCT(($T37:$BV37="X")*$T$19:$BV$19))&gt;=Listes!$Q$8,(SUMPRODUCT(($T37:$BV37="X")*$T$19:$BV$19))&lt;Listes!$R$8),O37-Listes!$S$8,
IF(AND((SUMPRODUCT(($T37:$BV37="X")*$T$19:$BV$19))&gt;=Listes!$Q$7),O37-Listes!$S$7,
"Erreur"))))))&lt;1,1,
IF((SUMPRODUCT(($T37:$BV37="X")*$T$19:$BV$19))&lt;Listes!$R$12,O37-Listes!$S$12,
IF(AND((SUMPRODUCT(($T37:$BV37="X")*$T$19:$BV$19))&gt;=Listes!$Q$11,(SUMPRODUCT(($T37:$BV37="X")*$T$19:$BV$19))&lt;Listes!$R$11),O37-Listes!$S$11,
IF(AND((SUMPRODUCT(($T37:$BV37="X")*$T$19:$BV$19))&gt;=Listes!$Q$10,(SUMPRODUCT(($T37:$BV37="X")*$T$19:$BV$19))&lt;Listes!$R$10),O37-Listes!$S$10,
IF(AND((SUMPRODUCT(($T37:$BV37="X")*$T$19:$BV$19))&gt;=Listes!$Q$9,(SUMPRODUCT(($T37:$BV37="X")*$T$19:$BV$19))&lt;Listes!$R$9),O37-Listes!$S$9,
IF(AND((SUMPRODUCT(($T37:$BV37="X")*$T$19:$BV$19))&gt;=Listes!$Q$8,(SUMPRODUCT(($T37:$BV37="X")*$T$19:$BV$19))&lt;Listes!$R$8),O37-Listes!$S$8,
IF(AND((SUMPRODUCT(($T37:$BV37="X")*$T$19:$BV$19))&gt;=Listes!$Q$7),O37-Listes!$S$7,
"Erreur"))))))))</f>
        <v/>
      </c>
      <c r="BZ37" s="322" t="str">
        <f t="shared" si="50"/>
        <v/>
      </c>
      <c r="CA37" s="9"/>
      <c r="CB37" s="9"/>
      <c r="CC37" s="287"/>
      <c r="CD37" s="288"/>
      <c r="CE37" s="289"/>
      <c r="CF37" s="289"/>
      <c r="CG37" s="289"/>
      <c r="CH37" s="289"/>
      <c r="CI37" s="289"/>
      <c r="CJ37" s="289"/>
      <c r="CK37" s="289"/>
      <c r="CL37" s="289"/>
      <c r="CM37" s="288"/>
      <c r="CN37" s="289"/>
      <c r="CO37" s="289"/>
      <c r="CP37" s="289"/>
      <c r="CQ37" s="289"/>
      <c r="CR37" s="289"/>
      <c r="CS37" s="289"/>
      <c r="CT37" s="289"/>
      <c r="CU37" s="289"/>
      <c r="CV37" s="289"/>
      <c r="CW37" s="289"/>
      <c r="CX37" s="289"/>
      <c r="CY37" s="289"/>
      <c r="CZ37" s="289"/>
      <c r="DA37" s="289"/>
      <c r="DB37" s="272"/>
      <c r="DC37" s="320" t="str">
        <f>IF(BX37="","",IF(IF((SUMPRODUCT(($CC37:$DA37="X")*$CC$18:$DA$18))&lt;Listes!$R$12,BX37-Listes!$S$12,
IF(AND((SUMPRODUCT(($CC37:$DA37="X")*$CC$18:$DA$18))&gt;=Listes!$Q$11,(SUMPRODUCT(($CC37:$DA37="X")*$CC$18:$DA$18))&lt;Listes!$R$11),BX37-Listes!$S$11,
IF(AND((SUMPRODUCT(($CC37:$DA37="X")*$CC$18:$DA$18))&gt;=Listes!$Q$10,(SUMPRODUCT(($CC37:$DA37="X")*$CC$18:$DA$18))&lt;Listes!$R$10),BX37-Listes!$S$10,
IF(AND((SUMPRODUCT(($CC37:$DA37="X")*$CC$18:$DA$18))&gt;=Listes!$Q$9,(SUMPRODUCT(($CC37:$DA37="X")*$CC$18:$DA$18))&lt;Listes!$R$9),BX37-Listes!$S$9,
IF(AND((SUMPRODUCT(($CC37:$DA37="X")*$CC$18:$DA$18))&gt;=Listes!$Q$8,(SUMPRODUCT(($CC37:$DA37="X")*$CC$18:$DA$18))&lt;Listes!$R$8),BX37-Listes!$S$8,
IF(AND((SUMPRODUCT(($CC37:$DA37="X")*$CC$18:$DA$18))&gt;=Listes!$Q$7),BX37-Listes!$S$7,
"Erreur"))))))&lt;1,1,
IF((SUMPRODUCT(($CC37:$DA37="X")*$CC$18:$DA$18))&lt;Listes!$R$12,BX37-Listes!$S$12,
IF(AND((SUMPRODUCT(($CC37:$DA37="X")*$CC$18:$DA$18))&gt;=Listes!$Q$11,(SUMPRODUCT(($CC37:$DA37="X")*$CC$18:$DA$18))&lt;Listes!$R$11),BX37-Listes!$S$11,
IF(AND((SUMPRODUCT(($CC37:$DA37="X")*$CC$18:$DA$18))&gt;=Listes!$Q$10,(SUMPRODUCT(($CC37:$DA37="X")*$CC$18:$DA$18))&lt;Listes!$R$10),BX37-Listes!$S$10,
IF(AND((SUMPRODUCT(($CC37:$DA37="X")*$CC$18:$DA$18))&gt;=Listes!$Q$9,(SUMPRODUCT(($CC37:$DA37="X")*$CC$18:$DA$18))&lt;Listes!$R$9),BX37-Listes!$S$9,
IF(AND((SUMPRODUCT(($CC37:$DA37="X")*$CC$18:$DA$18))&gt;=Listes!$Q$8,(SUMPRODUCT(($CC37:$DA37="X")*$CC$18:$DA$18))&lt;Listes!$R$8),BX37-Listes!$S$8,
IF(AND((SUMPRODUCT(($CC37:$DA37="X")*$CC$18:$DA$18))&gt;=Listes!$Q$7),BX37-Listes!$S$7,
"Erreur"))))))))</f>
        <v/>
      </c>
      <c r="DD37" s="321" t="str">
        <f>IF(BY37="","",IF(IF((SUMPRODUCT(($CC37:$DA37="X")*$CC$19:$DA$19))&lt;Listes!$R$12,BY37-Listes!$S$12,
IF(AND((SUMPRODUCT(($CC37:$DA37="X")*$CC$19:$DA$19))&gt;=Listes!$Q$11,(SUMPRODUCT(($CC37:$DA37="X")*$CC$19:$DA$19))&lt;Listes!$R$11),BY37-Listes!$S$11,
IF(AND((SUMPRODUCT(($CC37:$DA37="X")*$CC$19:$DA$19))&gt;=Listes!$Q$10,(SUMPRODUCT(($CC37:$DA37="X")*$CC$19:$DA$19))&lt;Listes!$R$10),BY37-Listes!$S$10,
IF(AND((SUMPRODUCT(($CC37:$DA37="X")*$CC$19:$DA$19))&gt;=Listes!$Q$9,(SUMPRODUCT(($CC37:$DA37="X")*$CC$19:$DA$19))&lt;Listes!$R$9),BY37-Listes!$S$9,
IF(AND((SUMPRODUCT(($CC37:$DA37="X")*$CC$19:$DA$19))&gt;=Listes!$Q$8,(SUMPRODUCT(($CC37:$DA37="X")*$CC$19:$DA$19))&lt;Listes!$R$8),BY37-Listes!$S$8,
IF(AND((SUMPRODUCT(($CC37:$DA37="X")*$CC$19:$DA$19))&gt;=Listes!$Q$7),BY37-Listes!$S$7,
"Erreur"))))))&lt;1,1,
IF((SUMPRODUCT(($CC37:$DA37="X")*$CC$19:$DA$19))&lt;Listes!$R$12,BY37-Listes!$S$12,
IF(AND((SUMPRODUCT(($CC37:$DA37="X")*$CC$19:$DA$19))&gt;=Listes!$Q$11,(SUMPRODUCT(($CC37:$DA37="X")*$CC$19:$DA$19))&lt;Listes!$R$11),BY37-Listes!$S$11,
IF(AND((SUMPRODUCT(($CC37:$DA37="X")*$CC$19:$DA$19))&gt;=Listes!$Q$10,(SUMPRODUCT(($CC37:$DA37="X")*$CC$19:$DA$19))&lt;Listes!$R$10),BY37-Listes!$S$10,
IF(AND((SUMPRODUCT(($CC37:$DA37="X")*$CC$19:$DA$19))&gt;=Listes!$Q$9,(SUMPRODUCT(($CC37:$DA37="X")*$CC$19:$DA$19))&lt;Listes!$R$9),BY37-Listes!$S$9,
IF(AND((SUMPRODUCT(($CC37:$DA37="X")*$CC$19:$DA$19))&gt;=Listes!$Q$8,(SUMPRODUCT(($CC37:$DA37="X")*$CC$19:$DA$19))&lt;Listes!$R$8),BY37-Listes!$S$8,
IF(AND((SUMPRODUCT(($CC37:$DA37="X")*$CC$19:$DA$19))&gt;=Listes!$Q$7),BY37-Listes!$S$7,
"Erreur"))))))))</f>
        <v/>
      </c>
      <c r="DE37" s="322" t="str">
        <f t="shared" si="51"/>
        <v/>
      </c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</row>
    <row r="38" spans="1:140" s="30" customFormat="1" ht="16.5" customHeight="1" x14ac:dyDescent="0.2">
      <c r="A38" s="9"/>
      <c r="B38" s="9"/>
      <c r="C38" s="433" t="str">
        <f>IF(D38="","",$G$1&amp;"-R"&amp;Listes!A17)</f>
        <v/>
      </c>
      <c r="D38" s="280"/>
      <c r="E38" s="284"/>
      <c r="F38" s="284"/>
      <c r="G38" s="279"/>
      <c r="H38" s="304" t="str">
        <f>IF(G38="","",VLOOKUP(G38,Listes!W19:Y66,2,FALSE))</f>
        <v/>
      </c>
      <c r="I38" s="304" t="str">
        <f>IF(G38="","",VLOOKUP(G38,Listes!W19:Y66,3,FALSE))</f>
        <v/>
      </c>
      <c r="J38" s="282"/>
      <c r="K38" s="283"/>
      <c r="L38" s="283"/>
      <c r="M38" s="283"/>
      <c r="N38" s="283"/>
      <c r="O38" s="318" t="str">
        <f t="shared" si="42"/>
        <v/>
      </c>
      <c r="P38" s="319" t="str">
        <f t="shared" si="49"/>
        <v/>
      </c>
      <c r="Q38" s="194"/>
      <c r="R38" s="9"/>
      <c r="S38" s="79"/>
      <c r="T38" s="273"/>
      <c r="U38" s="273"/>
      <c r="V38" s="273"/>
      <c r="W38" s="273"/>
      <c r="X38" s="273"/>
      <c r="Y38" s="273"/>
      <c r="Z38" s="273"/>
      <c r="AA38" s="273"/>
      <c r="AB38" s="273"/>
      <c r="AC38" s="273"/>
      <c r="AD38" s="273"/>
      <c r="AE38" s="273"/>
      <c r="AF38" s="273"/>
      <c r="AG38" s="273"/>
      <c r="AH38" s="273"/>
      <c r="AI38" s="273"/>
      <c r="AJ38" s="273"/>
      <c r="AK38" s="273"/>
      <c r="AL38" s="273"/>
      <c r="AM38" s="273"/>
      <c r="AN38" s="273"/>
      <c r="AO38" s="273"/>
      <c r="AP38" s="273"/>
      <c r="AQ38" s="273"/>
      <c r="AR38" s="273"/>
      <c r="AS38" s="273"/>
      <c r="AT38" s="273"/>
      <c r="AU38" s="273"/>
      <c r="AV38" s="273"/>
      <c r="AW38" s="273"/>
      <c r="AX38" s="273"/>
      <c r="AY38" s="273"/>
      <c r="AZ38" s="273"/>
      <c r="BA38" s="273"/>
      <c r="BB38" s="273"/>
      <c r="BC38" s="273"/>
      <c r="BD38" s="273"/>
      <c r="BE38" s="273"/>
      <c r="BF38" s="273"/>
      <c r="BG38" s="273"/>
      <c r="BH38" s="273"/>
      <c r="BI38" s="273"/>
      <c r="BJ38" s="273"/>
      <c r="BK38" s="273"/>
      <c r="BL38" s="273"/>
      <c r="BM38" s="273"/>
      <c r="BN38" s="273"/>
      <c r="BO38" s="273"/>
      <c r="BP38" s="273"/>
      <c r="BQ38" s="273"/>
      <c r="BR38" s="273"/>
      <c r="BS38" s="273"/>
      <c r="BT38" s="273"/>
      <c r="BU38" s="273"/>
      <c r="BV38" s="273"/>
      <c r="BW38" s="29"/>
      <c r="BX38" s="320" t="str">
        <f>IF(J38="","",IF(IF((SUMPRODUCT(($T38:$BV38="X")*$T$18:$BV$18))&lt;Listes!$R$12,J38-Listes!$S$12,
IF(AND((SUMPRODUCT(($T38:$BV38="X")*$T$18:$BV$18))&gt;=Listes!$Q$11,(SUMPRODUCT(($T38:$BV38="X")*$T$18:$BV$18))&lt;Listes!$R$11),J38-Listes!$S$11,
IF(AND((SUMPRODUCT(($T38:$BV38="X")*$T$18:$BV$18))&gt;=Listes!$Q$10,(SUMPRODUCT(($T38:$BV38="X")*$T$18:$BV$18))&lt;Listes!$R$10),J38-Listes!$S$10,
IF(AND((SUMPRODUCT(($T38:$BV38="X")*$T$18:$BV$18))&gt;=Listes!$Q$9,(SUMPRODUCT(($T38:$BV38="X")*$T$18:$BV$18))&lt;Listes!$R$9),J38-Listes!$S$9,
IF(AND((SUMPRODUCT(($T38:$BV38="X")*$T$18:$BV$18))&gt;=Listes!$Q$8,(SUMPRODUCT(($T38:$BV38="X")*$T$18:$BV$18))&lt;Listes!$R$8),J38-Listes!$S$8,
IF(AND((SUMPRODUCT(($T38:$BV38="X")*$T$18:$BV$18))&gt;=Listes!$Q$7),J38-Listes!$S$7,
"Erreur"))))))&lt;1,1,
IF((SUMPRODUCT(($T38:$BV38="X")*$T$18:$BV$18))&lt;Listes!$R$12,J38-Listes!$S$12,
IF(AND((SUMPRODUCT(($T38:$BV38="X")*$T$18:$BV$18))&gt;=Listes!$Q$11,(SUMPRODUCT(($T38:$BV38="X")*$T$18:$BV$18))&lt;Listes!$R$11),J38-Listes!$S$11,
IF(AND((SUMPRODUCT(($T38:$BV38="X")*$T$18:$BV$18))&gt;=Listes!$Q$10,(SUMPRODUCT(($T38:$BV38="X")*$T$18:$BV$18))&lt;Listes!$R$10),J38-Listes!$S$10,
IF(AND((SUMPRODUCT(($T38:$BV38="X")*$T$18:$BV$18))&gt;=Listes!$Q$9,(SUMPRODUCT(($T38:$BV38="X")*$T$18:$BV$18))&lt;Listes!$R$9),J38-Listes!$S$9,
IF(AND((SUMPRODUCT(($T38:$BV38="X")*$T$18:$BV$18))&gt;=Listes!$Q$8,(SUMPRODUCT(($T38:$BV38="X")*$T$18:$BV$18))&lt;Listes!$R$8),J38-Listes!$S$8,
IF(AND((SUMPRODUCT(($T38:$BV38="X")*$T$18:$BV$18))&gt;=Listes!$Q$7),J38-Listes!$S$7,
"Erreur"))))))))</f>
        <v/>
      </c>
      <c r="BY38" s="321" t="str">
        <f>IF(O38="","",IF(IF((SUMPRODUCT(($T38:$BV38="X")*$T$19:$BV$19))&lt;Listes!$R$12,O38-Listes!$S$12,
IF(AND((SUMPRODUCT(($T38:$BV38="X")*$T$19:$BV$19))&gt;=Listes!$Q$11,(SUMPRODUCT(($T38:$BV38="X")*$T$19:$BV$19))&lt;Listes!$R$11),O38-Listes!$S$11,
IF(AND((SUMPRODUCT(($T38:$BV38="X")*$T$19:$BV$19))&gt;=Listes!$Q$10,(SUMPRODUCT(($T38:$BV38="X")*$T$19:$BV$19))&lt;Listes!$R$10),O38-Listes!$S$10,
IF(AND((SUMPRODUCT(($T38:$BV38="X")*$T$19:$BV$19))&gt;=Listes!$Q$9,(SUMPRODUCT(($T38:$BV38="X")*$T$19:$BV$19))&lt;Listes!$R$9),O38-Listes!$S$9,
IF(AND((SUMPRODUCT(($T38:$BV38="X")*$T$19:$BV$19))&gt;=Listes!$Q$8,(SUMPRODUCT(($T38:$BV38="X")*$T$19:$BV$19))&lt;Listes!$R$8),O38-Listes!$S$8,
IF(AND((SUMPRODUCT(($T38:$BV38="X")*$T$19:$BV$19))&gt;=Listes!$Q$7),O38-Listes!$S$7,
"Erreur"))))))&lt;1,1,
IF((SUMPRODUCT(($T38:$BV38="X")*$T$19:$BV$19))&lt;Listes!$R$12,O38-Listes!$S$12,
IF(AND((SUMPRODUCT(($T38:$BV38="X")*$T$19:$BV$19))&gt;=Listes!$Q$11,(SUMPRODUCT(($T38:$BV38="X")*$T$19:$BV$19))&lt;Listes!$R$11),O38-Listes!$S$11,
IF(AND((SUMPRODUCT(($T38:$BV38="X")*$T$19:$BV$19))&gt;=Listes!$Q$10,(SUMPRODUCT(($T38:$BV38="X")*$T$19:$BV$19))&lt;Listes!$R$10),O38-Listes!$S$10,
IF(AND((SUMPRODUCT(($T38:$BV38="X")*$T$19:$BV$19))&gt;=Listes!$Q$9,(SUMPRODUCT(($T38:$BV38="X")*$T$19:$BV$19))&lt;Listes!$R$9),O38-Listes!$S$9,
IF(AND((SUMPRODUCT(($T38:$BV38="X")*$T$19:$BV$19))&gt;=Listes!$Q$8,(SUMPRODUCT(($T38:$BV38="X")*$T$19:$BV$19))&lt;Listes!$R$8),O38-Listes!$S$8,
IF(AND((SUMPRODUCT(($T38:$BV38="X")*$T$19:$BV$19))&gt;=Listes!$Q$7),O38-Listes!$S$7,
"Erreur"))))))))</f>
        <v/>
      </c>
      <c r="BZ38" s="322" t="str">
        <f t="shared" si="50"/>
        <v/>
      </c>
      <c r="CA38" s="9"/>
      <c r="CB38" s="9"/>
      <c r="CC38" s="287"/>
      <c r="CD38" s="288"/>
      <c r="CE38" s="289"/>
      <c r="CF38" s="289"/>
      <c r="CG38" s="289"/>
      <c r="CH38" s="289"/>
      <c r="CI38" s="289"/>
      <c r="CJ38" s="289"/>
      <c r="CK38" s="289"/>
      <c r="CL38" s="289"/>
      <c r="CM38" s="288"/>
      <c r="CN38" s="289"/>
      <c r="CO38" s="289"/>
      <c r="CP38" s="289"/>
      <c r="CQ38" s="289"/>
      <c r="CR38" s="289"/>
      <c r="CS38" s="289"/>
      <c r="CT38" s="289"/>
      <c r="CU38" s="289"/>
      <c r="CV38" s="289"/>
      <c r="CW38" s="289"/>
      <c r="CX38" s="289"/>
      <c r="CY38" s="289"/>
      <c r="CZ38" s="289"/>
      <c r="DA38" s="289"/>
      <c r="DB38" s="272"/>
      <c r="DC38" s="320" t="str">
        <f>IF(BX38="","",IF(IF((SUMPRODUCT(($CC38:$DA38="X")*$CC$18:$DA$18))&lt;Listes!$R$12,BX38-Listes!$S$12,
IF(AND((SUMPRODUCT(($CC38:$DA38="X")*$CC$18:$DA$18))&gt;=Listes!$Q$11,(SUMPRODUCT(($CC38:$DA38="X")*$CC$18:$DA$18))&lt;Listes!$R$11),BX38-Listes!$S$11,
IF(AND((SUMPRODUCT(($CC38:$DA38="X")*$CC$18:$DA$18))&gt;=Listes!$Q$10,(SUMPRODUCT(($CC38:$DA38="X")*$CC$18:$DA$18))&lt;Listes!$R$10),BX38-Listes!$S$10,
IF(AND((SUMPRODUCT(($CC38:$DA38="X")*$CC$18:$DA$18))&gt;=Listes!$Q$9,(SUMPRODUCT(($CC38:$DA38="X")*$CC$18:$DA$18))&lt;Listes!$R$9),BX38-Listes!$S$9,
IF(AND((SUMPRODUCT(($CC38:$DA38="X")*$CC$18:$DA$18))&gt;=Listes!$Q$8,(SUMPRODUCT(($CC38:$DA38="X")*$CC$18:$DA$18))&lt;Listes!$R$8),BX38-Listes!$S$8,
IF(AND((SUMPRODUCT(($CC38:$DA38="X")*$CC$18:$DA$18))&gt;=Listes!$Q$7),BX38-Listes!$S$7,
"Erreur"))))))&lt;1,1,
IF((SUMPRODUCT(($CC38:$DA38="X")*$CC$18:$DA$18))&lt;Listes!$R$12,BX38-Listes!$S$12,
IF(AND((SUMPRODUCT(($CC38:$DA38="X")*$CC$18:$DA$18))&gt;=Listes!$Q$11,(SUMPRODUCT(($CC38:$DA38="X")*$CC$18:$DA$18))&lt;Listes!$R$11),BX38-Listes!$S$11,
IF(AND((SUMPRODUCT(($CC38:$DA38="X")*$CC$18:$DA$18))&gt;=Listes!$Q$10,(SUMPRODUCT(($CC38:$DA38="X")*$CC$18:$DA$18))&lt;Listes!$R$10),BX38-Listes!$S$10,
IF(AND((SUMPRODUCT(($CC38:$DA38="X")*$CC$18:$DA$18))&gt;=Listes!$Q$9,(SUMPRODUCT(($CC38:$DA38="X")*$CC$18:$DA$18))&lt;Listes!$R$9),BX38-Listes!$S$9,
IF(AND((SUMPRODUCT(($CC38:$DA38="X")*$CC$18:$DA$18))&gt;=Listes!$Q$8,(SUMPRODUCT(($CC38:$DA38="X")*$CC$18:$DA$18))&lt;Listes!$R$8),BX38-Listes!$S$8,
IF(AND((SUMPRODUCT(($CC38:$DA38="X")*$CC$18:$DA$18))&gt;=Listes!$Q$7),BX38-Listes!$S$7,
"Erreur"))))))))</f>
        <v/>
      </c>
      <c r="DD38" s="321" t="str">
        <f>IF(BY38="","",IF(IF((SUMPRODUCT(($CC38:$DA38="X")*$CC$19:$DA$19))&lt;Listes!$R$12,BY38-Listes!$S$12,
IF(AND((SUMPRODUCT(($CC38:$DA38="X")*$CC$19:$DA$19))&gt;=Listes!$Q$11,(SUMPRODUCT(($CC38:$DA38="X")*$CC$19:$DA$19))&lt;Listes!$R$11),BY38-Listes!$S$11,
IF(AND((SUMPRODUCT(($CC38:$DA38="X")*$CC$19:$DA$19))&gt;=Listes!$Q$10,(SUMPRODUCT(($CC38:$DA38="X")*$CC$19:$DA$19))&lt;Listes!$R$10),BY38-Listes!$S$10,
IF(AND((SUMPRODUCT(($CC38:$DA38="X")*$CC$19:$DA$19))&gt;=Listes!$Q$9,(SUMPRODUCT(($CC38:$DA38="X")*$CC$19:$DA$19))&lt;Listes!$R$9),BY38-Listes!$S$9,
IF(AND((SUMPRODUCT(($CC38:$DA38="X")*$CC$19:$DA$19))&gt;=Listes!$Q$8,(SUMPRODUCT(($CC38:$DA38="X")*$CC$19:$DA$19))&lt;Listes!$R$8),BY38-Listes!$S$8,
IF(AND((SUMPRODUCT(($CC38:$DA38="X")*$CC$19:$DA$19))&gt;=Listes!$Q$7),BY38-Listes!$S$7,
"Erreur"))))))&lt;1,1,
IF((SUMPRODUCT(($CC38:$DA38="X")*$CC$19:$DA$19))&lt;Listes!$R$12,BY38-Listes!$S$12,
IF(AND((SUMPRODUCT(($CC38:$DA38="X")*$CC$19:$DA$19))&gt;=Listes!$Q$11,(SUMPRODUCT(($CC38:$DA38="X")*$CC$19:$DA$19))&lt;Listes!$R$11),BY38-Listes!$S$11,
IF(AND((SUMPRODUCT(($CC38:$DA38="X")*$CC$19:$DA$19))&gt;=Listes!$Q$10,(SUMPRODUCT(($CC38:$DA38="X")*$CC$19:$DA$19))&lt;Listes!$R$10),BY38-Listes!$S$10,
IF(AND((SUMPRODUCT(($CC38:$DA38="X")*$CC$19:$DA$19))&gt;=Listes!$Q$9,(SUMPRODUCT(($CC38:$DA38="X")*$CC$19:$DA$19))&lt;Listes!$R$9),BY38-Listes!$S$9,
IF(AND((SUMPRODUCT(($CC38:$DA38="X")*$CC$19:$DA$19))&gt;=Listes!$Q$8,(SUMPRODUCT(($CC38:$DA38="X")*$CC$19:$DA$19))&lt;Listes!$R$8),BY38-Listes!$S$8,
IF(AND((SUMPRODUCT(($CC38:$DA38="X")*$CC$19:$DA$19))&gt;=Listes!$Q$7),BY38-Listes!$S$7,
"Erreur"))))))))</f>
        <v/>
      </c>
      <c r="DE38" s="322" t="str">
        <f t="shared" si="51"/>
        <v/>
      </c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</row>
    <row r="39" spans="1:140" s="30" customFormat="1" ht="16.5" customHeight="1" x14ac:dyDescent="0.2">
      <c r="A39" s="9"/>
      <c r="B39" s="9"/>
      <c r="C39" s="433" t="str">
        <f>IF(D39="","",$G$1&amp;"-R"&amp;Listes!A18)</f>
        <v/>
      </c>
      <c r="D39" s="280"/>
      <c r="E39" s="284"/>
      <c r="F39" s="284"/>
      <c r="G39" s="279"/>
      <c r="H39" s="304" t="str">
        <f>IF(G39="","",VLOOKUP(G39,Listes!W20:Y67,2,FALSE))</f>
        <v/>
      </c>
      <c r="I39" s="304" t="str">
        <f>IF(G39="","",VLOOKUP(G39,Listes!W20:Y67,3,FALSE))</f>
        <v/>
      </c>
      <c r="J39" s="282"/>
      <c r="K39" s="283"/>
      <c r="L39" s="283"/>
      <c r="M39" s="283"/>
      <c r="N39" s="283"/>
      <c r="O39" s="318" t="str">
        <f t="shared" si="42"/>
        <v/>
      </c>
      <c r="P39" s="319" t="str">
        <f t="shared" si="49"/>
        <v/>
      </c>
      <c r="Q39" s="194"/>
      <c r="R39" s="9"/>
      <c r="S39" s="79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3"/>
      <c r="AG39" s="273"/>
      <c r="AH39" s="273"/>
      <c r="AI39" s="273"/>
      <c r="AJ39" s="273"/>
      <c r="AK39" s="273"/>
      <c r="AL39" s="273"/>
      <c r="AM39" s="273"/>
      <c r="AN39" s="273"/>
      <c r="AO39" s="273"/>
      <c r="AP39" s="273"/>
      <c r="AQ39" s="273"/>
      <c r="AR39" s="273"/>
      <c r="AS39" s="273"/>
      <c r="AT39" s="273"/>
      <c r="AU39" s="273"/>
      <c r="AV39" s="273"/>
      <c r="AW39" s="273"/>
      <c r="AX39" s="273"/>
      <c r="AY39" s="273"/>
      <c r="AZ39" s="273"/>
      <c r="BA39" s="273"/>
      <c r="BB39" s="273"/>
      <c r="BC39" s="273"/>
      <c r="BD39" s="273"/>
      <c r="BE39" s="273"/>
      <c r="BF39" s="273"/>
      <c r="BG39" s="273"/>
      <c r="BH39" s="273"/>
      <c r="BI39" s="273"/>
      <c r="BJ39" s="273"/>
      <c r="BK39" s="273"/>
      <c r="BL39" s="273"/>
      <c r="BM39" s="273"/>
      <c r="BN39" s="273"/>
      <c r="BO39" s="273"/>
      <c r="BP39" s="273"/>
      <c r="BQ39" s="273"/>
      <c r="BR39" s="273"/>
      <c r="BS39" s="273"/>
      <c r="BT39" s="273"/>
      <c r="BU39" s="273"/>
      <c r="BV39" s="273"/>
      <c r="BW39" s="29"/>
      <c r="BX39" s="320" t="str">
        <f>IF(J39="","",IF(IF((SUMPRODUCT(($T39:$BV39="X")*$T$18:$BV$18))&lt;Listes!$R$12,J39-Listes!$S$12,
IF(AND((SUMPRODUCT(($T39:$BV39="X")*$T$18:$BV$18))&gt;=Listes!$Q$11,(SUMPRODUCT(($T39:$BV39="X")*$T$18:$BV$18))&lt;Listes!$R$11),J39-Listes!$S$11,
IF(AND((SUMPRODUCT(($T39:$BV39="X")*$T$18:$BV$18))&gt;=Listes!$Q$10,(SUMPRODUCT(($T39:$BV39="X")*$T$18:$BV$18))&lt;Listes!$R$10),J39-Listes!$S$10,
IF(AND((SUMPRODUCT(($T39:$BV39="X")*$T$18:$BV$18))&gt;=Listes!$Q$9,(SUMPRODUCT(($T39:$BV39="X")*$T$18:$BV$18))&lt;Listes!$R$9),J39-Listes!$S$9,
IF(AND((SUMPRODUCT(($T39:$BV39="X")*$T$18:$BV$18))&gt;=Listes!$Q$8,(SUMPRODUCT(($T39:$BV39="X")*$T$18:$BV$18))&lt;Listes!$R$8),J39-Listes!$S$8,
IF(AND((SUMPRODUCT(($T39:$BV39="X")*$T$18:$BV$18))&gt;=Listes!$Q$7),J39-Listes!$S$7,
"Erreur"))))))&lt;1,1,
IF((SUMPRODUCT(($T39:$BV39="X")*$T$18:$BV$18))&lt;Listes!$R$12,J39-Listes!$S$12,
IF(AND((SUMPRODUCT(($T39:$BV39="X")*$T$18:$BV$18))&gt;=Listes!$Q$11,(SUMPRODUCT(($T39:$BV39="X")*$T$18:$BV$18))&lt;Listes!$R$11),J39-Listes!$S$11,
IF(AND((SUMPRODUCT(($T39:$BV39="X")*$T$18:$BV$18))&gt;=Listes!$Q$10,(SUMPRODUCT(($T39:$BV39="X")*$T$18:$BV$18))&lt;Listes!$R$10),J39-Listes!$S$10,
IF(AND((SUMPRODUCT(($T39:$BV39="X")*$T$18:$BV$18))&gt;=Listes!$Q$9,(SUMPRODUCT(($T39:$BV39="X")*$T$18:$BV$18))&lt;Listes!$R$9),J39-Listes!$S$9,
IF(AND((SUMPRODUCT(($T39:$BV39="X")*$T$18:$BV$18))&gt;=Listes!$Q$8,(SUMPRODUCT(($T39:$BV39="X")*$T$18:$BV$18))&lt;Listes!$R$8),J39-Listes!$S$8,
IF(AND((SUMPRODUCT(($T39:$BV39="X")*$T$18:$BV$18))&gt;=Listes!$Q$7),J39-Listes!$S$7,
"Erreur"))))))))</f>
        <v/>
      </c>
      <c r="BY39" s="321" t="str">
        <f>IF(O39="","",IF(IF((SUMPRODUCT(($T39:$BV39="X")*$T$19:$BV$19))&lt;Listes!$R$12,O39-Listes!$S$12,
IF(AND((SUMPRODUCT(($T39:$BV39="X")*$T$19:$BV$19))&gt;=Listes!$Q$11,(SUMPRODUCT(($T39:$BV39="X")*$T$19:$BV$19))&lt;Listes!$R$11),O39-Listes!$S$11,
IF(AND((SUMPRODUCT(($T39:$BV39="X")*$T$19:$BV$19))&gt;=Listes!$Q$10,(SUMPRODUCT(($T39:$BV39="X")*$T$19:$BV$19))&lt;Listes!$R$10),O39-Listes!$S$10,
IF(AND((SUMPRODUCT(($T39:$BV39="X")*$T$19:$BV$19))&gt;=Listes!$Q$9,(SUMPRODUCT(($T39:$BV39="X")*$T$19:$BV$19))&lt;Listes!$R$9),O39-Listes!$S$9,
IF(AND((SUMPRODUCT(($T39:$BV39="X")*$T$19:$BV$19))&gt;=Listes!$Q$8,(SUMPRODUCT(($T39:$BV39="X")*$T$19:$BV$19))&lt;Listes!$R$8),O39-Listes!$S$8,
IF(AND((SUMPRODUCT(($T39:$BV39="X")*$T$19:$BV$19))&gt;=Listes!$Q$7),O39-Listes!$S$7,
"Erreur"))))))&lt;1,1,
IF((SUMPRODUCT(($T39:$BV39="X")*$T$19:$BV$19))&lt;Listes!$R$12,O39-Listes!$S$12,
IF(AND((SUMPRODUCT(($T39:$BV39="X")*$T$19:$BV$19))&gt;=Listes!$Q$11,(SUMPRODUCT(($T39:$BV39="X")*$T$19:$BV$19))&lt;Listes!$R$11),O39-Listes!$S$11,
IF(AND((SUMPRODUCT(($T39:$BV39="X")*$T$19:$BV$19))&gt;=Listes!$Q$10,(SUMPRODUCT(($T39:$BV39="X")*$T$19:$BV$19))&lt;Listes!$R$10),O39-Listes!$S$10,
IF(AND((SUMPRODUCT(($T39:$BV39="X")*$T$19:$BV$19))&gt;=Listes!$Q$9,(SUMPRODUCT(($T39:$BV39="X")*$T$19:$BV$19))&lt;Listes!$R$9),O39-Listes!$S$9,
IF(AND((SUMPRODUCT(($T39:$BV39="X")*$T$19:$BV$19))&gt;=Listes!$Q$8,(SUMPRODUCT(($T39:$BV39="X")*$T$19:$BV$19))&lt;Listes!$R$8),O39-Listes!$S$8,
IF(AND((SUMPRODUCT(($T39:$BV39="X")*$T$19:$BV$19))&gt;=Listes!$Q$7),O39-Listes!$S$7,
"Erreur"))))))))</f>
        <v/>
      </c>
      <c r="BZ39" s="322" t="str">
        <f t="shared" si="50"/>
        <v/>
      </c>
      <c r="CA39" s="9"/>
      <c r="CB39" s="9"/>
      <c r="CC39" s="287"/>
      <c r="CD39" s="288"/>
      <c r="CE39" s="289"/>
      <c r="CF39" s="289"/>
      <c r="CG39" s="289"/>
      <c r="CH39" s="289"/>
      <c r="CI39" s="289"/>
      <c r="CJ39" s="289"/>
      <c r="CK39" s="289"/>
      <c r="CL39" s="289"/>
      <c r="CM39" s="288"/>
      <c r="CN39" s="289"/>
      <c r="CO39" s="289"/>
      <c r="CP39" s="289"/>
      <c r="CQ39" s="289"/>
      <c r="CR39" s="289"/>
      <c r="CS39" s="289"/>
      <c r="CT39" s="289"/>
      <c r="CU39" s="289"/>
      <c r="CV39" s="289"/>
      <c r="CW39" s="289"/>
      <c r="CX39" s="289"/>
      <c r="CY39" s="289"/>
      <c r="CZ39" s="289"/>
      <c r="DA39" s="289"/>
      <c r="DB39" s="272"/>
      <c r="DC39" s="320" t="str">
        <f>IF(BX39="","",IF(IF((SUMPRODUCT(($CC39:$DA39="X")*$CC$18:$DA$18))&lt;Listes!$R$12,BX39-Listes!$S$12,
IF(AND((SUMPRODUCT(($CC39:$DA39="X")*$CC$18:$DA$18))&gt;=Listes!$Q$11,(SUMPRODUCT(($CC39:$DA39="X")*$CC$18:$DA$18))&lt;Listes!$R$11),BX39-Listes!$S$11,
IF(AND((SUMPRODUCT(($CC39:$DA39="X")*$CC$18:$DA$18))&gt;=Listes!$Q$10,(SUMPRODUCT(($CC39:$DA39="X")*$CC$18:$DA$18))&lt;Listes!$R$10),BX39-Listes!$S$10,
IF(AND((SUMPRODUCT(($CC39:$DA39="X")*$CC$18:$DA$18))&gt;=Listes!$Q$9,(SUMPRODUCT(($CC39:$DA39="X")*$CC$18:$DA$18))&lt;Listes!$R$9),BX39-Listes!$S$9,
IF(AND((SUMPRODUCT(($CC39:$DA39="X")*$CC$18:$DA$18))&gt;=Listes!$Q$8,(SUMPRODUCT(($CC39:$DA39="X")*$CC$18:$DA$18))&lt;Listes!$R$8),BX39-Listes!$S$8,
IF(AND((SUMPRODUCT(($CC39:$DA39="X")*$CC$18:$DA$18))&gt;=Listes!$Q$7),BX39-Listes!$S$7,
"Erreur"))))))&lt;1,1,
IF((SUMPRODUCT(($CC39:$DA39="X")*$CC$18:$DA$18))&lt;Listes!$R$12,BX39-Listes!$S$12,
IF(AND((SUMPRODUCT(($CC39:$DA39="X")*$CC$18:$DA$18))&gt;=Listes!$Q$11,(SUMPRODUCT(($CC39:$DA39="X")*$CC$18:$DA$18))&lt;Listes!$R$11),BX39-Listes!$S$11,
IF(AND((SUMPRODUCT(($CC39:$DA39="X")*$CC$18:$DA$18))&gt;=Listes!$Q$10,(SUMPRODUCT(($CC39:$DA39="X")*$CC$18:$DA$18))&lt;Listes!$R$10),BX39-Listes!$S$10,
IF(AND((SUMPRODUCT(($CC39:$DA39="X")*$CC$18:$DA$18))&gt;=Listes!$Q$9,(SUMPRODUCT(($CC39:$DA39="X")*$CC$18:$DA$18))&lt;Listes!$R$9),BX39-Listes!$S$9,
IF(AND((SUMPRODUCT(($CC39:$DA39="X")*$CC$18:$DA$18))&gt;=Listes!$Q$8,(SUMPRODUCT(($CC39:$DA39="X")*$CC$18:$DA$18))&lt;Listes!$R$8),BX39-Listes!$S$8,
IF(AND((SUMPRODUCT(($CC39:$DA39="X")*$CC$18:$DA$18))&gt;=Listes!$Q$7),BX39-Listes!$S$7,
"Erreur"))))))))</f>
        <v/>
      </c>
      <c r="DD39" s="321" t="str">
        <f>IF(BY39="","",IF(IF((SUMPRODUCT(($CC39:$DA39="X")*$CC$19:$DA$19))&lt;Listes!$R$12,BY39-Listes!$S$12,
IF(AND((SUMPRODUCT(($CC39:$DA39="X")*$CC$19:$DA$19))&gt;=Listes!$Q$11,(SUMPRODUCT(($CC39:$DA39="X")*$CC$19:$DA$19))&lt;Listes!$R$11),BY39-Listes!$S$11,
IF(AND((SUMPRODUCT(($CC39:$DA39="X")*$CC$19:$DA$19))&gt;=Listes!$Q$10,(SUMPRODUCT(($CC39:$DA39="X")*$CC$19:$DA$19))&lt;Listes!$R$10),BY39-Listes!$S$10,
IF(AND((SUMPRODUCT(($CC39:$DA39="X")*$CC$19:$DA$19))&gt;=Listes!$Q$9,(SUMPRODUCT(($CC39:$DA39="X")*$CC$19:$DA$19))&lt;Listes!$R$9),BY39-Listes!$S$9,
IF(AND((SUMPRODUCT(($CC39:$DA39="X")*$CC$19:$DA$19))&gt;=Listes!$Q$8,(SUMPRODUCT(($CC39:$DA39="X")*$CC$19:$DA$19))&lt;Listes!$R$8),BY39-Listes!$S$8,
IF(AND((SUMPRODUCT(($CC39:$DA39="X")*$CC$19:$DA$19))&gt;=Listes!$Q$7),BY39-Listes!$S$7,
"Erreur"))))))&lt;1,1,
IF((SUMPRODUCT(($CC39:$DA39="X")*$CC$19:$DA$19))&lt;Listes!$R$12,BY39-Listes!$S$12,
IF(AND((SUMPRODUCT(($CC39:$DA39="X")*$CC$19:$DA$19))&gt;=Listes!$Q$11,(SUMPRODUCT(($CC39:$DA39="X")*$CC$19:$DA$19))&lt;Listes!$R$11),BY39-Listes!$S$11,
IF(AND((SUMPRODUCT(($CC39:$DA39="X")*$CC$19:$DA$19))&gt;=Listes!$Q$10,(SUMPRODUCT(($CC39:$DA39="X")*$CC$19:$DA$19))&lt;Listes!$R$10),BY39-Listes!$S$10,
IF(AND((SUMPRODUCT(($CC39:$DA39="X")*$CC$19:$DA$19))&gt;=Listes!$Q$9,(SUMPRODUCT(($CC39:$DA39="X")*$CC$19:$DA$19))&lt;Listes!$R$9),BY39-Listes!$S$9,
IF(AND((SUMPRODUCT(($CC39:$DA39="X")*$CC$19:$DA$19))&gt;=Listes!$Q$8,(SUMPRODUCT(($CC39:$DA39="X")*$CC$19:$DA$19))&lt;Listes!$R$8),BY39-Listes!$S$8,
IF(AND((SUMPRODUCT(($CC39:$DA39="X")*$CC$19:$DA$19))&gt;=Listes!$Q$7),BY39-Listes!$S$7,
"Erreur"))))))))</f>
        <v/>
      </c>
      <c r="DE39" s="322" t="str">
        <f t="shared" si="51"/>
        <v/>
      </c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</row>
    <row r="40" spans="1:140" s="30" customFormat="1" ht="16.5" customHeight="1" x14ac:dyDescent="0.2">
      <c r="A40" s="9"/>
      <c r="B40" s="9"/>
      <c r="C40" s="433" t="str">
        <f>IF(D40="","",$G$1&amp;"-R"&amp;Listes!A19)</f>
        <v/>
      </c>
      <c r="D40" s="280"/>
      <c r="E40" s="284"/>
      <c r="F40" s="284"/>
      <c r="G40" s="279"/>
      <c r="H40" s="304" t="str">
        <f>IF(G40="","",VLOOKUP(G40,Listes!W21:Y68,2,FALSE))</f>
        <v/>
      </c>
      <c r="I40" s="304" t="str">
        <f>IF(G40="","",VLOOKUP(G40,Listes!W21:Y68,3,FALSE))</f>
        <v/>
      </c>
      <c r="J40" s="282"/>
      <c r="K40" s="283"/>
      <c r="L40" s="283"/>
      <c r="M40" s="283"/>
      <c r="N40" s="283"/>
      <c r="O40" s="318" t="str">
        <f t="shared" ref="O40:O47" si="52">IF(AND(K40="",L40="",M40="",N40=""),"",MAX(K40:N40))</f>
        <v/>
      </c>
      <c r="P40" s="319" t="str">
        <f t="shared" ref="P40:P47" si="53">IF(OR(J40="",O40=""),"",IF((O40+J40)&lt;4,"Très faible",IF((J40+O40)=4,"Faible",IF((O40+J40)=6,"Moyenne",IF((J40+O40)=7,"Forte",IF((O40+J40)&gt;=8,"Majeure",IF(OR(AND(J40=4,O40=1),AND(J40=1,O40=4)),"Faible",IF(OR(AND(J40=3,O40=2),AND(J40=2,O40=3)),"Moyenne",""))))))))</f>
        <v/>
      </c>
      <c r="Q40" s="194"/>
      <c r="R40" s="9"/>
      <c r="S40" s="79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273"/>
      <c r="AE40" s="273"/>
      <c r="AF40" s="273"/>
      <c r="AG40" s="273"/>
      <c r="AH40" s="273"/>
      <c r="AI40" s="273"/>
      <c r="AJ40" s="273"/>
      <c r="AK40" s="273"/>
      <c r="AL40" s="273"/>
      <c r="AM40" s="273"/>
      <c r="AN40" s="273"/>
      <c r="AO40" s="273"/>
      <c r="AP40" s="273"/>
      <c r="AQ40" s="273"/>
      <c r="AR40" s="273"/>
      <c r="AS40" s="273"/>
      <c r="AT40" s="273"/>
      <c r="AU40" s="273"/>
      <c r="AV40" s="273"/>
      <c r="AW40" s="273"/>
      <c r="AX40" s="273"/>
      <c r="AY40" s="273"/>
      <c r="AZ40" s="273"/>
      <c r="BA40" s="273"/>
      <c r="BB40" s="273"/>
      <c r="BC40" s="273"/>
      <c r="BD40" s="273"/>
      <c r="BE40" s="273"/>
      <c r="BF40" s="273"/>
      <c r="BG40" s="273"/>
      <c r="BH40" s="273"/>
      <c r="BI40" s="273"/>
      <c r="BJ40" s="273"/>
      <c r="BK40" s="273"/>
      <c r="BL40" s="273"/>
      <c r="BM40" s="273"/>
      <c r="BN40" s="273"/>
      <c r="BO40" s="273"/>
      <c r="BP40" s="273"/>
      <c r="BQ40" s="273"/>
      <c r="BR40" s="273"/>
      <c r="BS40" s="273"/>
      <c r="BT40" s="273"/>
      <c r="BU40" s="273"/>
      <c r="BV40" s="273"/>
      <c r="BW40" s="29"/>
      <c r="BX40" s="320" t="str">
        <f>IF(J40="","",IF(IF((SUMPRODUCT(($T40:$BV40="X")*$T$18:$BV$18))&lt;Listes!$R$12,J40-Listes!$S$12,
IF(AND((SUMPRODUCT(($T40:$BV40="X")*$T$18:$BV$18))&gt;=Listes!$Q$11,(SUMPRODUCT(($T40:$BV40="X")*$T$18:$BV$18))&lt;Listes!$R$11),J40-Listes!$S$11,
IF(AND((SUMPRODUCT(($T40:$BV40="X")*$T$18:$BV$18))&gt;=Listes!$Q$10,(SUMPRODUCT(($T40:$BV40="X")*$T$18:$BV$18))&lt;Listes!$R$10),J40-Listes!$S$10,
IF(AND((SUMPRODUCT(($T40:$BV40="X")*$T$18:$BV$18))&gt;=Listes!$Q$9,(SUMPRODUCT(($T40:$BV40="X")*$T$18:$BV$18))&lt;Listes!$R$9),J40-Listes!$S$9,
IF(AND((SUMPRODUCT(($T40:$BV40="X")*$T$18:$BV$18))&gt;=Listes!$Q$8,(SUMPRODUCT(($T40:$BV40="X")*$T$18:$BV$18))&lt;Listes!$R$8),J40-Listes!$S$8,
IF(AND((SUMPRODUCT(($T40:$BV40="X")*$T$18:$BV$18))&gt;=Listes!$Q$7),J40-Listes!$S$7,
"Erreur"))))))&lt;1,1,
IF((SUMPRODUCT(($T40:$BV40="X")*$T$18:$BV$18))&lt;Listes!$R$12,J40-Listes!$S$12,
IF(AND((SUMPRODUCT(($T40:$BV40="X")*$T$18:$BV$18))&gt;=Listes!$Q$11,(SUMPRODUCT(($T40:$BV40="X")*$T$18:$BV$18))&lt;Listes!$R$11),J40-Listes!$S$11,
IF(AND((SUMPRODUCT(($T40:$BV40="X")*$T$18:$BV$18))&gt;=Listes!$Q$10,(SUMPRODUCT(($T40:$BV40="X")*$T$18:$BV$18))&lt;Listes!$R$10),J40-Listes!$S$10,
IF(AND((SUMPRODUCT(($T40:$BV40="X")*$T$18:$BV$18))&gt;=Listes!$Q$9,(SUMPRODUCT(($T40:$BV40="X")*$T$18:$BV$18))&lt;Listes!$R$9),J40-Listes!$S$9,
IF(AND((SUMPRODUCT(($T40:$BV40="X")*$T$18:$BV$18))&gt;=Listes!$Q$8,(SUMPRODUCT(($T40:$BV40="X")*$T$18:$BV$18))&lt;Listes!$R$8),J40-Listes!$S$8,
IF(AND((SUMPRODUCT(($T40:$BV40="X")*$T$18:$BV$18))&gt;=Listes!$Q$7),J40-Listes!$S$7,
"Erreur"))))))))</f>
        <v/>
      </c>
      <c r="BY40" s="321" t="str">
        <f>IF(O40="","",IF(IF((SUMPRODUCT(($T40:$BV40="X")*$T$19:$BV$19))&lt;Listes!$R$12,O40-Listes!$S$12,
IF(AND((SUMPRODUCT(($T40:$BV40="X")*$T$19:$BV$19))&gt;=Listes!$Q$11,(SUMPRODUCT(($T40:$BV40="X")*$T$19:$BV$19))&lt;Listes!$R$11),O40-Listes!$S$11,
IF(AND((SUMPRODUCT(($T40:$BV40="X")*$T$19:$BV$19))&gt;=Listes!$Q$10,(SUMPRODUCT(($T40:$BV40="X")*$T$19:$BV$19))&lt;Listes!$R$10),O40-Listes!$S$10,
IF(AND((SUMPRODUCT(($T40:$BV40="X")*$T$19:$BV$19))&gt;=Listes!$Q$9,(SUMPRODUCT(($T40:$BV40="X")*$T$19:$BV$19))&lt;Listes!$R$9),O40-Listes!$S$9,
IF(AND((SUMPRODUCT(($T40:$BV40="X")*$T$19:$BV$19))&gt;=Listes!$Q$8,(SUMPRODUCT(($T40:$BV40="X")*$T$19:$BV$19))&lt;Listes!$R$8),O40-Listes!$S$8,
IF(AND((SUMPRODUCT(($T40:$BV40="X")*$T$19:$BV$19))&gt;=Listes!$Q$7),O40-Listes!$S$7,
"Erreur"))))))&lt;1,1,
IF((SUMPRODUCT(($T40:$BV40="X")*$T$19:$BV$19))&lt;Listes!$R$12,O40-Listes!$S$12,
IF(AND((SUMPRODUCT(($T40:$BV40="X")*$T$19:$BV$19))&gt;=Listes!$Q$11,(SUMPRODUCT(($T40:$BV40="X")*$T$19:$BV$19))&lt;Listes!$R$11),O40-Listes!$S$11,
IF(AND((SUMPRODUCT(($T40:$BV40="X")*$T$19:$BV$19))&gt;=Listes!$Q$10,(SUMPRODUCT(($T40:$BV40="X")*$T$19:$BV$19))&lt;Listes!$R$10),O40-Listes!$S$10,
IF(AND((SUMPRODUCT(($T40:$BV40="X")*$T$19:$BV$19))&gt;=Listes!$Q$9,(SUMPRODUCT(($T40:$BV40="X")*$T$19:$BV$19))&lt;Listes!$R$9),O40-Listes!$S$9,
IF(AND((SUMPRODUCT(($T40:$BV40="X")*$T$19:$BV$19))&gt;=Listes!$Q$8,(SUMPRODUCT(($T40:$BV40="X")*$T$19:$BV$19))&lt;Listes!$R$8),O40-Listes!$S$8,
IF(AND((SUMPRODUCT(($T40:$BV40="X")*$T$19:$BV$19))&gt;=Listes!$Q$7),O40-Listes!$S$7,
"Erreur"))))))))</f>
        <v/>
      </c>
      <c r="BZ40" s="322" t="str">
        <f t="shared" ref="BZ40:BZ47" si="54">IF(OR(BX40=0,BY40=0),"",IF(OR(BX40="",BY40=""),"",IF((BY40+BX40)&lt;4,"Très faible",IF((BX40+BY40)=4,"Faible",IF((BY40+BX40)=6,"Moyenne",IF((BX40+BY40)=7,"Forte",IF((BY40+BX40)&gt;=8,"Majeure",IF(OR(AND(BX40=4,BY40=1),AND(BX40=1,BY40=4)),"Faible",IF(OR(AND(BX40=3,BY40=2),AND(BX40=2,BY40=3)),"Moyenne","")))))))))</f>
        <v/>
      </c>
      <c r="CA40" s="9"/>
      <c r="CB40" s="9"/>
      <c r="CC40" s="287"/>
      <c r="CD40" s="288"/>
      <c r="CE40" s="289"/>
      <c r="CF40" s="289"/>
      <c r="CG40" s="289"/>
      <c r="CH40" s="289"/>
      <c r="CI40" s="289"/>
      <c r="CJ40" s="289"/>
      <c r="CK40" s="289"/>
      <c r="CL40" s="289"/>
      <c r="CM40" s="288"/>
      <c r="CN40" s="289"/>
      <c r="CO40" s="289"/>
      <c r="CP40" s="289"/>
      <c r="CQ40" s="289"/>
      <c r="CR40" s="289"/>
      <c r="CS40" s="289"/>
      <c r="CT40" s="289"/>
      <c r="CU40" s="289"/>
      <c r="CV40" s="289"/>
      <c r="CW40" s="289"/>
      <c r="CX40" s="289"/>
      <c r="CY40" s="289"/>
      <c r="CZ40" s="289"/>
      <c r="DA40" s="289"/>
      <c r="DB40" s="272"/>
      <c r="DC40" s="320" t="str">
        <f>IF(BX40="","",IF(IF((SUMPRODUCT(($CC40:$DA40="X")*$CC$18:$DA$18))&lt;Listes!$R$12,BX40-Listes!$S$12,
IF(AND((SUMPRODUCT(($CC40:$DA40="X")*$CC$18:$DA$18))&gt;=Listes!$Q$11,(SUMPRODUCT(($CC40:$DA40="X")*$CC$18:$DA$18))&lt;Listes!$R$11),BX40-Listes!$S$11,
IF(AND((SUMPRODUCT(($CC40:$DA40="X")*$CC$18:$DA$18))&gt;=Listes!$Q$10,(SUMPRODUCT(($CC40:$DA40="X")*$CC$18:$DA$18))&lt;Listes!$R$10),BX40-Listes!$S$10,
IF(AND((SUMPRODUCT(($CC40:$DA40="X")*$CC$18:$DA$18))&gt;=Listes!$Q$9,(SUMPRODUCT(($CC40:$DA40="X")*$CC$18:$DA$18))&lt;Listes!$R$9),BX40-Listes!$S$9,
IF(AND((SUMPRODUCT(($CC40:$DA40="X")*$CC$18:$DA$18))&gt;=Listes!$Q$8,(SUMPRODUCT(($CC40:$DA40="X")*$CC$18:$DA$18))&lt;Listes!$R$8),BX40-Listes!$S$8,
IF(AND((SUMPRODUCT(($CC40:$DA40="X")*$CC$18:$DA$18))&gt;=Listes!$Q$7),BX40-Listes!$S$7,
"Erreur"))))))&lt;1,1,
IF((SUMPRODUCT(($CC40:$DA40="X")*$CC$18:$DA$18))&lt;Listes!$R$12,BX40-Listes!$S$12,
IF(AND((SUMPRODUCT(($CC40:$DA40="X")*$CC$18:$DA$18))&gt;=Listes!$Q$11,(SUMPRODUCT(($CC40:$DA40="X")*$CC$18:$DA$18))&lt;Listes!$R$11),BX40-Listes!$S$11,
IF(AND((SUMPRODUCT(($CC40:$DA40="X")*$CC$18:$DA$18))&gt;=Listes!$Q$10,(SUMPRODUCT(($CC40:$DA40="X")*$CC$18:$DA$18))&lt;Listes!$R$10),BX40-Listes!$S$10,
IF(AND((SUMPRODUCT(($CC40:$DA40="X")*$CC$18:$DA$18))&gt;=Listes!$Q$9,(SUMPRODUCT(($CC40:$DA40="X")*$CC$18:$DA$18))&lt;Listes!$R$9),BX40-Listes!$S$9,
IF(AND((SUMPRODUCT(($CC40:$DA40="X")*$CC$18:$DA$18))&gt;=Listes!$Q$8,(SUMPRODUCT(($CC40:$DA40="X")*$CC$18:$DA$18))&lt;Listes!$R$8),BX40-Listes!$S$8,
IF(AND((SUMPRODUCT(($CC40:$DA40="X")*$CC$18:$DA$18))&gt;=Listes!$Q$7),BX40-Listes!$S$7,
"Erreur"))))))))</f>
        <v/>
      </c>
      <c r="DD40" s="321" t="str">
        <f>IF(BY40="","",IF(IF((SUMPRODUCT(($CC40:$DA40="X")*$CC$19:$DA$19))&lt;Listes!$R$12,BY40-Listes!$S$12,
IF(AND((SUMPRODUCT(($CC40:$DA40="X")*$CC$19:$DA$19))&gt;=Listes!$Q$11,(SUMPRODUCT(($CC40:$DA40="X")*$CC$19:$DA$19))&lt;Listes!$R$11),BY40-Listes!$S$11,
IF(AND((SUMPRODUCT(($CC40:$DA40="X")*$CC$19:$DA$19))&gt;=Listes!$Q$10,(SUMPRODUCT(($CC40:$DA40="X")*$CC$19:$DA$19))&lt;Listes!$R$10),BY40-Listes!$S$10,
IF(AND((SUMPRODUCT(($CC40:$DA40="X")*$CC$19:$DA$19))&gt;=Listes!$Q$9,(SUMPRODUCT(($CC40:$DA40="X")*$CC$19:$DA$19))&lt;Listes!$R$9),BY40-Listes!$S$9,
IF(AND((SUMPRODUCT(($CC40:$DA40="X")*$CC$19:$DA$19))&gt;=Listes!$Q$8,(SUMPRODUCT(($CC40:$DA40="X")*$CC$19:$DA$19))&lt;Listes!$R$8),BY40-Listes!$S$8,
IF(AND((SUMPRODUCT(($CC40:$DA40="X")*$CC$19:$DA$19))&gt;=Listes!$Q$7),BY40-Listes!$S$7,
"Erreur"))))))&lt;1,1,
IF((SUMPRODUCT(($CC40:$DA40="X")*$CC$19:$DA$19))&lt;Listes!$R$12,BY40-Listes!$S$12,
IF(AND((SUMPRODUCT(($CC40:$DA40="X")*$CC$19:$DA$19))&gt;=Listes!$Q$11,(SUMPRODUCT(($CC40:$DA40="X")*$CC$19:$DA$19))&lt;Listes!$R$11),BY40-Listes!$S$11,
IF(AND((SUMPRODUCT(($CC40:$DA40="X")*$CC$19:$DA$19))&gt;=Listes!$Q$10,(SUMPRODUCT(($CC40:$DA40="X")*$CC$19:$DA$19))&lt;Listes!$R$10),BY40-Listes!$S$10,
IF(AND((SUMPRODUCT(($CC40:$DA40="X")*$CC$19:$DA$19))&gt;=Listes!$Q$9,(SUMPRODUCT(($CC40:$DA40="X")*$CC$19:$DA$19))&lt;Listes!$R$9),BY40-Listes!$S$9,
IF(AND((SUMPRODUCT(($CC40:$DA40="X")*$CC$19:$DA$19))&gt;=Listes!$Q$8,(SUMPRODUCT(($CC40:$DA40="X")*$CC$19:$DA$19))&lt;Listes!$R$8),BY40-Listes!$S$8,
IF(AND((SUMPRODUCT(($CC40:$DA40="X")*$CC$19:$DA$19))&gt;=Listes!$Q$7),BY40-Listes!$S$7,
"Erreur"))))))))</f>
        <v/>
      </c>
      <c r="DE40" s="322" t="str">
        <f t="shared" ref="DE40:DE47" si="55">IF(OR(DC40=0,DD40=0),"",IF(OR(DC40="",DD40=""),"",IF((DD40+DC40)&lt;4,"Très faible",IF((DC40+DD40)=4,"Faible",IF((DD40+DC40)=6,"Moyenne",IF((DC40+DD40)=7,"Forte",IF((DD40+DC40)&gt;=8,"Majeure",IF(OR(AND(DC40=4,DD40=1),AND(DC40=1,DD40=4)),"Faible",IF(OR(AND(DC40=3,DD40=2),AND(DC40=2,DD40=3)),"Moyenne","")))))))))</f>
        <v/>
      </c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</row>
    <row r="41" spans="1:140" s="30" customFormat="1" ht="16.5" customHeight="1" x14ac:dyDescent="0.2">
      <c r="A41" s="9"/>
      <c r="B41" s="9"/>
      <c r="C41" s="433" t="str">
        <f>IF(D41="","",$G$1&amp;"-R"&amp;Listes!A20)</f>
        <v/>
      </c>
      <c r="D41" s="280"/>
      <c r="E41" s="284"/>
      <c r="F41" s="284"/>
      <c r="G41" s="279"/>
      <c r="H41" s="304" t="str">
        <f>IF(G41="","",VLOOKUP(G41,Listes!W22:Y69,2,FALSE))</f>
        <v/>
      </c>
      <c r="I41" s="304" t="str">
        <f>IF(G41="","",VLOOKUP(G41,Listes!W22:Y69,3,FALSE))</f>
        <v/>
      </c>
      <c r="J41" s="282"/>
      <c r="K41" s="283"/>
      <c r="L41" s="283"/>
      <c r="M41" s="283"/>
      <c r="N41" s="283"/>
      <c r="O41" s="318" t="str">
        <f t="shared" si="52"/>
        <v/>
      </c>
      <c r="P41" s="319" t="str">
        <f t="shared" si="53"/>
        <v/>
      </c>
      <c r="Q41" s="194"/>
      <c r="R41" s="9"/>
      <c r="S41" s="79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  <c r="AJ41" s="273"/>
      <c r="AK41" s="273"/>
      <c r="AL41" s="273"/>
      <c r="AM41" s="273"/>
      <c r="AN41" s="273"/>
      <c r="AO41" s="273"/>
      <c r="AP41" s="273"/>
      <c r="AQ41" s="273"/>
      <c r="AR41" s="273"/>
      <c r="AS41" s="273"/>
      <c r="AT41" s="273"/>
      <c r="AU41" s="273"/>
      <c r="AV41" s="273"/>
      <c r="AW41" s="273"/>
      <c r="AX41" s="273"/>
      <c r="AY41" s="273"/>
      <c r="AZ41" s="273"/>
      <c r="BA41" s="273"/>
      <c r="BB41" s="273"/>
      <c r="BC41" s="273"/>
      <c r="BD41" s="273"/>
      <c r="BE41" s="273"/>
      <c r="BF41" s="273"/>
      <c r="BG41" s="273"/>
      <c r="BH41" s="273"/>
      <c r="BI41" s="273"/>
      <c r="BJ41" s="273"/>
      <c r="BK41" s="273"/>
      <c r="BL41" s="273"/>
      <c r="BM41" s="273"/>
      <c r="BN41" s="273"/>
      <c r="BO41" s="273"/>
      <c r="BP41" s="273"/>
      <c r="BQ41" s="273"/>
      <c r="BR41" s="273"/>
      <c r="BS41" s="273"/>
      <c r="BT41" s="273"/>
      <c r="BU41" s="273"/>
      <c r="BV41" s="273"/>
      <c r="BW41" s="29"/>
      <c r="BX41" s="320" t="str">
        <f>IF(J41="","",IF(IF((SUMPRODUCT(($T41:$BV41="X")*$T$18:$BV$18))&lt;Listes!$R$12,J41-Listes!$S$12,
IF(AND((SUMPRODUCT(($T41:$BV41="X")*$T$18:$BV$18))&gt;=Listes!$Q$11,(SUMPRODUCT(($T41:$BV41="X")*$T$18:$BV$18))&lt;Listes!$R$11),J41-Listes!$S$11,
IF(AND((SUMPRODUCT(($T41:$BV41="X")*$T$18:$BV$18))&gt;=Listes!$Q$10,(SUMPRODUCT(($T41:$BV41="X")*$T$18:$BV$18))&lt;Listes!$R$10),J41-Listes!$S$10,
IF(AND((SUMPRODUCT(($T41:$BV41="X")*$T$18:$BV$18))&gt;=Listes!$Q$9,(SUMPRODUCT(($T41:$BV41="X")*$T$18:$BV$18))&lt;Listes!$R$9),J41-Listes!$S$9,
IF(AND((SUMPRODUCT(($T41:$BV41="X")*$T$18:$BV$18))&gt;=Listes!$Q$8,(SUMPRODUCT(($T41:$BV41="X")*$T$18:$BV$18))&lt;Listes!$R$8),J41-Listes!$S$8,
IF(AND((SUMPRODUCT(($T41:$BV41="X")*$T$18:$BV$18))&gt;=Listes!$Q$7),J41-Listes!$S$7,
"Erreur"))))))&lt;1,1,
IF((SUMPRODUCT(($T41:$BV41="X")*$T$18:$BV$18))&lt;Listes!$R$12,J41-Listes!$S$12,
IF(AND((SUMPRODUCT(($T41:$BV41="X")*$T$18:$BV$18))&gt;=Listes!$Q$11,(SUMPRODUCT(($T41:$BV41="X")*$T$18:$BV$18))&lt;Listes!$R$11),J41-Listes!$S$11,
IF(AND((SUMPRODUCT(($T41:$BV41="X")*$T$18:$BV$18))&gt;=Listes!$Q$10,(SUMPRODUCT(($T41:$BV41="X")*$T$18:$BV$18))&lt;Listes!$R$10),J41-Listes!$S$10,
IF(AND((SUMPRODUCT(($T41:$BV41="X")*$T$18:$BV$18))&gt;=Listes!$Q$9,(SUMPRODUCT(($T41:$BV41="X")*$T$18:$BV$18))&lt;Listes!$R$9),J41-Listes!$S$9,
IF(AND((SUMPRODUCT(($T41:$BV41="X")*$T$18:$BV$18))&gt;=Listes!$Q$8,(SUMPRODUCT(($T41:$BV41="X")*$T$18:$BV$18))&lt;Listes!$R$8),J41-Listes!$S$8,
IF(AND((SUMPRODUCT(($T41:$BV41="X")*$T$18:$BV$18))&gt;=Listes!$Q$7),J41-Listes!$S$7,
"Erreur"))))))))</f>
        <v/>
      </c>
      <c r="BY41" s="321" t="str">
        <f>IF(O41="","",IF(IF((SUMPRODUCT(($T41:$BV41="X")*$T$19:$BV$19))&lt;Listes!$R$12,O41-Listes!$S$12,
IF(AND((SUMPRODUCT(($T41:$BV41="X")*$T$19:$BV$19))&gt;=Listes!$Q$11,(SUMPRODUCT(($T41:$BV41="X")*$T$19:$BV$19))&lt;Listes!$R$11),O41-Listes!$S$11,
IF(AND((SUMPRODUCT(($T41:$BV41="X")*$T$19:$BV$19))&gt;=Listes!$Q$10,(SUMPRODUCT(($T41:$BV41="X")*$T$19:$BV$19))&lt;Listes!$R$10),O41-Listes!$S$10,
IF(AND((SUMPRODUCT(($T41:$BV41="X")*$T$19:$BV$19))&gt;=Listes!$Q$9,(SUMPRODUCT(($T41:$BV41="X")*$T$19:$BV$19))&lt;Listes!$R$9),O41-Listes!$S$9,
IF(AND((SUMPRODUCT(($T41:$BV41="X")*$T$19:$BV$19))&gt;=Listes!$Q$8,(SUMPRODUCT(($T41:$BV41="X")*$T$19:$BV$19))&lt;Listes!$R$8),O41-Listes!$S$8,
IF(AND((SUMPRODUCT(($T41:$BV41="X")*$T$19:$BV$19))&gt;=Listes!$Q$7),O41-Listes!$S$7,
"Erreur"))))))&lt;1,1,
IF((SUMPRODUCT(($T41:$BV41="X")*$T$19:$BV$19))&lt;Listes!$R$12,O41-Listes!$S$12,
IF(AND((SUMPRODUCT(($T41:$BV41="X")*$T$19:$BV$19))&gt;=Listes!$Q$11,(SUMPRODUCT(($T41:$BV41="X")*$T$19:$BV$19))&lt;Listes!$R$11),O41-Listes!$S$11,
IF(AND((SUMPRODUCT(($T41:$BV41="X")*$T$19:$BV$19))&gt;=Listes!$Q$10,(SUMPRODUCT(($T41:$BV41="X")*$T$19:$BV$19))&lt;Listes!$R$10),O41-Listes!$S$10,
IF(AND((SUMPRODUCT(($T41:$BV41="X")*$T$19:$BV$19))&gt;=Listes!$Q$9,(SUMPRODUCT(($T41:$BV41="X")*$T$19:$BV$19))&lt;Listes!$R$9),O41-Listes!$S$9,
IF(AND((SUMPRODUCT(($T41:$BV41="X")*$T$19:$BV$19))&gt;=Listes!$Q$8,(SUMPRODUCT(($T41:$BV41="X")*$T$19:$BV$19))&lt;Listes!$R$8),O41-Listes!$S$8,
IF(AND((SUMPRODUCT(($T41:$BV41="X")*$T$19:$BV$19))&gt;=Listes!$Q$7),O41-Listes!$S$7,
"Erreur"))))))))</f>
        <v/>
      </c>
      <c r="BZ41" s="322" t="str">
        <f t="shared" si="54"/>
        <v/>
      </c>
      <c r="CA41" s="9"/>
      <c r="CB41" s="9"/>
      <c r="CC41" s="287"/>
      <c r="CD41" s="288"/>
      <c r="CE41" s="289"/>
      <c r="CF41" s="289"/>
      <c r="CG41" s="289"/>
      <c r="CH41" s="289"/>
      <c r="CI41" s="289"/>
      <c r="CJ41" s="289"/>
      <c r="CK41" s="289"/>
      <c r="CL41" s="289"/>
      <c r="CM41" s="288"/>
      <c r="CN41" s="289"/>
      <c r="CO41" s="289"/>
      <c r="CP41" s="289"/>
      <c r="CQ41" s="289"/>
      <c r="CR41" s="289"/>
      <c r="CS41" s="289"/>
      <c r="CT41" s="289"/>
      <c r="CU41" s="289"/>
      <c r="CV41" s="289"/>
      <c r="CW41" s="289"/>
      <c r="CX41" s="289"/>
      <c r="CY41" s="289"/>
      <c r="CZ41" s="289"/>
      <c r="DA41" s="289"/>
      <c r="DB41" s="272"/>
      <c r="DC41" s="320" t="str">
        <f>IF(BX41="","",IF(IF((SUMPRODUCT(($CC41:$DA41="X")*$CC$18:$DA$18))&lt;Listes!$R$12,BX41-Listes!$S$12,
IF(AND((SUMPRODUCT(($CC41:$DA41="X")*$CC$18:$DA$18))&gt;=Listes!$Q$11,(SUMPRODUCT(($CC41:$DA41="X")*$CC$18:$DA$18))&lt;Listes!$R$11),BX41-Listes!$S$11,
IF(AND((SUMPRODUCT(($CC41:$DA41="X")*$CC$18:$DA$18))&gt;=Listes!$Q$10,(SUMPRODUCT(($CC41:$DA41="X")*$CC$18:$DA$18))&lt;Listes!$R$10),BX41-Listes!$S$10,
IF(AND((SUMPRODUCT(($CC41:$DA41="X")*$CC$18:$DA$18))&gt;=Listes!$Q$9,(SUMPRODUCT(($CC41:$DA41="X")*$CC$18:$DA$18))&lt;Listes!$R$9),BX41-Listes!$S$9,
IF(AND((SUMPRODUCT(($CC41:$DA41="X")*$CC$18:$DA$18))&gt;=Listes!$Q$8,(SUMPRODUCT(($CC41:$DA41="X")*$CC$18:$DA$18))&lt;Listes!$R$8),BX41-Listes!$S$8,
IF(AND((SUMPRODUCT(($CC41:$DA41="X")*$CC$18:$DA$18))&gt;=Listes!$Q$7),BX41-Listes!$S$7,
"Erreur"))))))&lt;1,1,
IF((SUMPRODUCT(($CC41:$DA41="X")*$CC$18:$DA$18))&lt;Listes!$R$12,BX41-Listes!$S$12,
IF(AND((SUMPRODUCT(($CC41:$DA41="X")*$CC$18:$DA$18))&gt;=Listes!$Q$11,(SUMPRODUCT(($CC41:$DA41="X")*$CC$18:$DA$18))&lt;Listes!$R$11),BX41-Listes!$S$11,
IF(AND((SUMPRODUCT(($CC41:$DA41="X")*$CC$18:$DA$18))&gt;=Listes!$Q$10,(SUMPRODUCT(($CC41:$DA41="X")*$CC$18:$DA$18))&lt;Listes!$R$10),BX41-Listes!$S$10,
IF(AND((SUMPRODUCT(($CC41:$DA41="X")*$CC$18:$DA$18))&gt;=Listes!$Q$9,(SUMPRODUCT(($CC41:$DA41="X")*$CC$18:$DA$18))&lt;Listes!$R$9),BX41-Listes!$S$9,
IF(AND((SUMPRODUCT(($CC41:$DA41="X")*$CC$18:$DA$18))&gt;=Listes!$Q$8,(SUMPRODUCT(($CC41:$DA41="X")*$CC$18:$DA$18))&lt;Listes!$R$8),BX41-Listes!$S$8,
IF(AND((SUMPRODUCT(($CC41:$DA41="X")*$CC$18:$DA$18))&gt;=Listes!$Q$7),BX41-Listes!$S$7,
"Erreur"))))))))</f>
        <v/>
      </c>
      <c r="DD41" s="321" t="str">
        <f>IF(BY41="","",IF(IF((SUMPRODUCT(($CC41:$DA41="X")*$CC$19:$DA$19))&lt;Listes!$R$12,BY41-Listes!$S$12,
IF(AND((SUMPRODUCT(($CC41:$DA41="X")*$CC$19:$DA$19))&gt;=Listes!$Q$11,(SUMPRODUCT(($CC41:$DA41="X")*$CC$19:$DA$19))&lt;Listes!$R$11),BY41-Listes!$S$11,
IF(AND((SUMPRODUCT(($CC41:$DA41="X")*$CC$19:$DA$19))&gt;=Listes!$Q$10,(SUMPRODUCT(($CC41:$DA41="X")*$CC$19:$DA$19))&lt;Listes!$R$10),BY41-Listes!$S$10,
IF(AND((SUMPRODUCT(($CC41:$DA41="X")*$CC$19:$DA$19))&gt;=Listes!$Q$9,(SUMPRODUCT(($CC41:$DA41="X")*$CC$19:$DA$19))&lt;Listes!$R$9),BY41-Listes!$S$9,
IF(AND((SUMPRODUCT(($CC41:$DA41="X")*$CC$19:$DA$19))&gt;=Listes!$Q$8,(SUMPRODUCT(($CC41:$DA41="X")*$CC$19:$DA$19))&lt;Listes!$R$8),BY41-Listes!$S$8,
IF(AND((SUMPRODUCT(($CC41:$DA41="X")*$CC$19:$DA$19))&gt;=Listes!$Q$7),BY41-Listes!$S$7,
"Erreur"))))))&lt;1,1,
IF((SUMPRODUCT(($CC41:$DA41="X")*$CC$19:$DA$19))&lt;Listes!$R$12,BY41-Listes!$S$12,
IF(AND((SUMPRODUCT(($CC41:$DA41="X")*$CC$19:$DA$19))&gt;=Listes!$Q$11,(SUMPRODUCT(($CC41:$DA41="X")*$CC$19:$DA$19))&lt;Listes!$R$11),BY41-Listes!$S$11,
IF(AND((SUMPRODUCT(($CC41:$DA41="X")*$CC$19:$DA$19))&gt;=Listes!$Q$10,(SUMPRODUCT(($CC41:$DA41="X")*$CC$19:$DA$19))&lt;Listes!$R$10),BY41-Listes!$S$10,
IF(AND((SUMPRODUCT(($CC41:$DA41="X")*$CC$19:$DA$19))&gt;=Listes!$Q$9,(SUMPRODUCT(($CC41:$DA41="X")*$CC$19:$DA$19))&lt;Listes!$R$9),BY41-Listes!$S$9,
IF(AND((SUMPRODUCT(($CC41:$DA41="X")*$CC$19:$DA$19))&gt;=Listes!$Q$8,(SUMPRODUCT(($CC41:$DA41="X")*$CC$19:$DA$19))&lt;Listes!$R$8),BY41-Listes!$S$8,
IF(AND((SUMPRODUCT(($CC41:$DA41="X")*$CC$19:$DA$19))&gt;=Listes!$Q$7),BY41-Listes!$S$7,
"Erreur"))))))))</f>
        <v/>
      </c>
      <c r="DE41" s="322" t="str">
        <f t="shared" si="55"/>
        <v/>
      </c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</row>
    <row r="42" spans="1:140" s="30" customFormat="1" ht="16.5" customHeight="1" x14ac:dyDescent="0.2">
      <c r="A42" s="9"/>
      <c r="B42" s="9"/>
      <c r="C42" s="433" t="str">
        <f>IF(D42="","",$G$1&amp;"-R"&amp;Listes!A21)</f>
        <v/>
      </c>
      <c r="D42" s="280"/>
      <c r="E42" s="284"/>
      <c r="F42" s="284"/>
      <c r="G42" s="279"/>
      <c r="H42" s="304" t="str">
        <f>IF(G42="","",VLOOKUP(G42,Listes!W23:Y70,2,FALSE))</f>
        <v/>
      </c>
      <c r="I42" s="304" t="str">
        <f>IF(G42="","",VLOOKUP(G42,Listes!W23:Y70,3,FALSE))</f>
        <v/>
      </c>
      <c r="J42" s="282"/>
      <c r="K42" s="283"/>
      <c r="L42" s="283"/>
      <c r="M42" s="283"/>
      <c r="N42" s="283"/>
      <c r="O42" s="318" t="str">
        <f t="shared" si="52"/>
        <v/>
      </c>
      <c r="P42" s="319" t="str">
        <f t="shared" si="53"/>
        <v/>
      </c>
      <c r="Q42" s="194"/>
      <c r="R42" s="9"/>
      <c r="S42" s="79"/>
      <c r="T42" s="273"/>
      <c r="U42" s="273"/>
      <c r="V42" s="273"/>
      <c r="W42" s="273"/>
      <c r="X42" s="273"/>
      <c r="Y42" s="273"/>
      <c r="Z42" s="273"/>
      <c r="AA42" s="273"/>
      <c r="AB42" s="273"/>
      <c r="AC42" s="273"/>
      <c r="AD42" s="273"/>
      <c r="AE42" s="273"/>
      <c r="AF42" s="273"/>
      <c r="AG42" s="273"/>
      <c r="AH42" s="273"/>
      <c r="AI42" s="273"/>
      <c r="AJ42" s="273"/>
      <c r="AK42" s="273"/>
      <c r="AL42" s="273"/>
      <c r="AM42" s="273"/>
      <c r="AN42" s="273"/>
      <c r="AO42" s="273"/>
      <c r="AP42" s="273"/>
      <c r="AQ42" s="273"/>
      <c r="AR42" s="273"/>
      <c r="AS42" s="273"/>
      <c r="AT42" s="273"/>
      <c r="AU42" s="273"/>
      <c r="AV42" s="273"/>
      <c r="AW42" s="273"/>
      <c r="AX42" s="273"/>
      <c r="AY42" s="273"/>
      <c r="AZ42" s="273"/>
      <c r="BA42" s="273"/>
      <c r="BB42" s="273"/>
      <c r="BC42" s="273"/>
      <c r="BD42" s="273"/>
      <c r="BE42" s="273"/>
      <c r="BF42" s="273"/>
      <c r="BG42" s="273"/>
      <c r="BH42" s="273"/>
      <c r="BI42" s="273"/>
      <c r="BJ42" s="273"/>
      <c r="BK42" s="273"/>
      <c r="BL42" s="273"/>
      <c r="BM42" s="273"/>
      <c r="BN42" s="273"/>
      <c r="BO42" s="273"/>
      <c r="BP42" s="273"/>
      <c r="BQ42" s="273"/>
      <c r="BR42" s="273"/>
      <c r="BS42" s="273"/>
      <c r="BT42" s="273"/>
      <c r="BU42" s="273"/>
      <c r="BV42" s="273"/>
      <c r="BW42" s="29"/>
      <c r="BX42" s="320" t="str">
        <f>IF(J42="","",IF(IF((SUMPRODUCT(($T42:$BV42="X")*$T$18:$BV$18))&lt;Listes!$R$12,J42-Listes!$S$12,
IF(AND((SUMPRODUCT(($T42:$BV42="X")*$T$18:$BV$18))&gt;=Listes!$Q$11,(SUMPRODUCT(($T42:$BV42="X")*$T$18:$BV$18))&lt;Listes!$R$11),J42-Listes!$S$11,
IF(AND((SUMPRODUCT(($T42:$BV42="X")*$T$18:$BV$18))&gt;=Listes!$Q$10,(SUMPRODUCT(($T42:$BV42="X")*$T$18:$BV$18))&lt;Listes!$R$10),J42-Listes!$S$10,
IF(AND((SUMPRODUCT(($T42:$BV42="X")*$T$18:$BV$18))&gt;=Listes!$Q$9,(SUMPRODUCT(($T42:$BV42="X")*$T$18:$BV$18))&lt;Listes!$R$9),J42-Listes!$S$9,
IF(AND((SUMPRODUCT(($T42:$BV42="X")*$T$18:$BV$18))&gt;=Listes!$Q$8,(SUMPRODUCT(($T42:$BV42="X")*$T$18:$BV$18))&lt;Listes!$R$8),J42-Listes!$S$8,
IF(AND((SUMPRODUCT(($T42:$BV42="X")*$T$18:$BV$18))&gt;=Listes!$Q$7),J42-Listes!$S$7,
"Erreur"))))))&lt;1,1,
IF((SUMPRODUCT(($T42:$BV42="X")*$T$18:$BV$18))&lt;Listes!$R$12,J42-Listes!$S$12,
IF(AND((SUMPRODUCT(($T42:$BV42="X")*$T$18:$BV$18))&gt;=Listes!$Q$11,(SUMPRODUCT(($T42:$BV42="X")*$T$18:$BV$18))&lt;Listes!$R$11),J42-Listes!$S$11,
IF(AND((SUMPRODUCT(($T42:$BV42="X")*$T$18:$BV$18))&gt;=Listes!$Q$10,(SUMPRODUCT(($T42:$BV42="X")*$T$18:$BV$18))&lt;Listes!$R$10),J42-Listes!$S$10,
IF(AND((SUMPRODUCT(($T42:$BV42="X")*$T$18:$BV$18))&gt;=Listes!$Q$9,(SUMPRODUCT(($T42:$BV42="X")*$T$18:$BV$18))&lt;Listes!$R$9),J42-Listes!$S$9,
IF(AND((SUMPRODUCT(($T42:$BV42="X")*$T$18:$BV$18))&gt;=Listes!$Q$8,(SUMPRODUCT(($T42:$BV42="X")*$T$18:$BV$18))&lt;Listes!$R$8),J42-Listes!$S$8,
IF(AND((SUMPRODUCT(($T42:$BV42="X")*$T$18:$BV$18))&gt;=Listes!$Q$7),J42-Listes!$S$7,
"Erreur"))))))))</f>
        <v/>
      </c>
      <c r="BY42" s="321" t="str">
        <f>IF(O42="","",IF(IF((SUMPRODUCT(($T42:$BV42="X")*$T$19:$BV$19))&lt;Listes!$R$12,O42-Listes!$S$12,
IF(AND((SUMPRODUCT(($T42:$BV42="X")*$T$19:$BV$19))&gt;=Listes!$Q$11,(SUMPRODUCT(($T42:$BV42="X")*$T$19:$BV$19))&lt;Listes!$R$11),O42-Listes!$S$11,
IF(AND((SUMPRODUCT(($T42:$BV42="X")*$T$19:$BV$19))&gt;=Listes!$Q$10,(SUMPRODUCT(($T42:$BV42="X")*$T$19:$BV$19))&lt;Listes!$R$10),O42-Listes!$S$10,
IF(AND((SUMPRODUCT(($T42:$BV42="X")*$T$19:$BV$19))&gt;=Listes!$Q$9,(SUMPRODUCT(($T42:$BV42="X")*$T$19:$BV$19))&lt;Listes!$R$9),O42-Listes!$S$9,
IF(AND((SUMPRODUCT(($T42:$BV42="X")*$T$19:$BV$19))&gt;=Listes!$Q$8,(SUMPRODUCT(($T42:$BV42="X")*$T$19:$BV$19))&lt;Listes!$R$8),O42-Listes!$S$8,
IF(AND((SUMPRODUCT(($T42:$BV42="X")*$T$19:$BV$19))&gt;=Listes!$Q$7),O42-Listes!$S$7,
"Erreur"))))))&lt;1,1,
IF((SUMPRODUCT(($T42:$BV42="X")*$T$19:$BV$19))&lt;Listes!$R$12,O42-Listes!$S$12,
IF(AND((SUMPRODUCT(($T42:$BV42="X")*$T$19:$BV$19))&gt;=Listes!$Q$11,(SUMPRODUCT(($T42:$BV42="X")*$T$19:$BV$19))&lt;Listes!$R$11),O42-Listes!$S$11,
IF(AND((SUMPRODUCT(($T42:$BV42="X")*$T$19:$BV$19))&gt;=Listes!$Q$10,(SUMPRODUCT(($T42:$BV42="X")*$T$19:$BV$19))&lt;Listes!$R$10),O42-Listes!$S$10,
IF(AND((SUMPRODUCT(($T42:$BV42="X")*$T$19:$BV$19))&gt;=Listes!$Q$9,(SUMPRODUCT(($T42:$BV42="X")*$T$19:$BV$19))&lt;Listes!$R$9),O42-Listes!$S$9,
IF(AND((SUMPRODUCT(($T42:$BV42="X")*$T$19:$BV$19))&gt;=Listes!$Q$8,(SUMPRODUCT(($T42:$BV42="X")*$T$19:$BV$19))&lt;Listes!$R$8),O42-Listes!$S$8,
IF(AND((SUMPRODUCT(($T42:$BV42="X")*$T$19:$BV$19))&gt;=Listes!$Q$7),O42-Listes!$S$7,
"Erreur"))))))))</f>
        <v/>
      </c>
      <c r="BZ42" s="322" t="str">
        <f t="shared" si="54"/>
        <v/>
      </c>
      <c r="CA42" s="9"/>
      <c r="CB42" s="9"/>
      <c r="CC42" s="287"/>
      <c r="CD42" s="288"/>
      <c r="CE42" s="289"/>
      <c r="CF42" s="289"/>
      <c r="CG42" s="289"/>
      <c r="CH42" s="289"/>
      <c r="CI42" s="289"/>
      <c r="CJ42" s="289"/>
      <c r="CK42" s="289"/>
      <c r="CL42" s="289"/>
      <c r="CM42" s="288"/>
      <c r="CN42" s="289"/>
      <c r="CO42" s="289"/>
      <c r="CP42" s="289"/>
      <c r="CQ42" s="289"/>
      <c r="CR42" s="289"/>
      <c r="CS42" s="289"/>
      <c r="CT42" s="289"/>
      <c r="CU42" s="289"/>
      <c r="CV42" s="289"/>
      <c r="CW42" s="289"/>
      <c r="CX42" s="289"/>
      <c r="CY42" s="289"/>
      <c r="CZ42" s="289"/>
      <c r="DA42" s="289"/>
      <c r="DB42" s="272"/>
      <c r="DC42" s="320" t="str">
        <f>IF(BX42="","",IF(IF((SUMPRODUCT(($CC42:$DA42="X")*$CC$18:$DA$18))&lt;Listes!$R$12,BX42-Listes!$S$12,
IF(AND((SUMPRODUCT(($CC42:$DA42="X")*$CC$18:$DA$18))&gt;=Listes!$Q$11,(SUMPRODUCT(($CC42:$DA42="X")*$CC$18:$DA$18))&lt;Listes!$R$11),BX42-Listes!$S$11,
IF(AND((SUMPRODUCT(($CC42:$DA42="X")*$CC$18:$DA$18))&gt;=Listes!$Q$10,(SUMPRODUCT(($CC42:$DA42="X")*$CC$18:$DA$18))&lt;Listes!$R$10),BX42-Listes!$S$10,
IF(AND((SUMPRODUCT(($CC42:$DA42="X")*$CC$18:$DA$18))&gt;=Listes!$Q$9,(SUMPRODUCT(($CC42:$DA42="X")*$CC$18:$DA$18))&lt;Listes!$R$9),BX42-Listes!$S$9,
IF(AND((SUMPRODUCT(($CC42:$DA42="X")*$CC$18:$DA$18))&gt;=Listes!$Q$8,(SUMPRODUCT(($CC42:$DA42="X")*$CC$18:$DA$18))&lt;Listes!$R$8),BX42-Listes!$S$8,
IF(AND((SUMPRODUCT(($CC42:$DA42="X")*$CC$18:$DA$18))&gt;=Listes!$Q$7),BX42-Listes!$S$7,
"Erreur"))))))&lt;1,1,
IF((SUMPRODUCT(($CC42:$DA42="X")*$CC$18:$DA$18))&lt;Listes!$R$12,BX42-Listes!$S$12,
IF(AND((SUMPRODUCT(($CC42:$DA42="X")*$CC$18:$DA$18))&gt;=Listes!$Q$11,(SUMPRODUCT(($CC42:$DA42="X")*$CC$18:$DA$18))&lt;Listes!$R$11),BX42-Listes!$S$11,
IF(AND((SUMPRODUCT(($CC42:$DA42="X")*$CC$18:$DA$18))&gt;=Listes!$Q$10,(SUMPRODUCT(($CC42:$DA42="X")*$CC$18:$DA$18))&lt;Listes!$R$10),BX42-Listes!$S$10,
IF(AND((SUMPRODUCT(($CC42:$DA42="X")*$CC$18:$DA$18))&gt;=Listes!$Q$9,(SUMPRODUCT(($CC42:$DA42="X")*$CC$18:$DA$18))&lt;Listes!$R$9),BX42-Listes!$S$9,
IF(AND((SUMPRODUCT(($CC42:$DA42="X")*$CC$18:$DA$18))&gt;=Listes!$Q$8,(SUMPRODUCT(($CC42:$DA42="X")*$CC$18:$DA$18))&lt;Listes!$R$8),BX42-Listes!$S$8,
IF(AND((SUMPRODUCT(($CC42:$DA42="X")*$CC$18:$DA$18))&gt;=Listes!$Q$7),BX42-Listes!$S$7,
"Erreur"))))))))</f>
        <v/>
      </c>
      <c r="DD42" s="321" t="str">
        <f>IF(BY42="","",IF(IF((SUMPRODUCT(($CC42:$DA42="X")*$CC$19:$DA$19))&lt;Listes!$R$12,BY42-Listes!$S$12,
IF(AND((SUMPRODUCT(($CC42:$DA42="X")*$CC$19:$DA$19))&gt;=Listes!$Q$11,(SUMPRODUCT(($CC42:$DA42="X")*$CC$19:$DA$19))&lt;Listes!$R$11),BY42-Listes!$S$11,
IF(AND((SUMPRODUCT(($CC42:$DA42="X")*$CC$19:$DA$19))&gt;=Listes!$Q$10,(SUMPRODUCT(($CC42:$DA42="X")*$CC$19:$DA$19))&lt;Listes!$R$10),BY42-Listes!$S$10,
IF(AND((SUMPRODUCT(($CC42:$DA42="X")*$CC$19:$DA$19))&gt;=Listes!$Q$9,(SUMPRODUCT(($CC42:$DA42="X")*$CC$19:$DA$19))&lt;Listes!$R$9),BY42-Listes!$S$9,
IF(AND((SUMPRODUCT(($CC42:$DA42="X")*$CC$19:$DA$19))&gt;=Listes!$Q$8,(SUMPRODUCT(($CC42:$DA42="X")*$CC$19:$DA$19))&lt;Listes!$R$8),BY42-Listes!$S$8,
IF(AND((SUMPRODUCT(($CC42:$DA42="X")*$CC$19:$DA$19))&gt;=Listes!$Q$7),BY42-Listes!$S$7,
"Erreur"))))))&lt;1,1,
IF((SUMPRODUCT(($CC42:$DA42="X")*$CC$19:$DA$19))&lt;Listes!$R$12,BY42-Listes!$S$12,
IF(AND((SUMPRODUCT(($CC42:$DA42="X")*$CC$19:$DA$19))&gt;=Listes!$Q$11,(SUMPRODUCT(($CC42:$DA42="X")*$CC$19:$DA$19))&lt;Listes!$R$11),BY42-Listes!$S$11,
IF(AND((SUMPRODUCT(($CC42:$DA42="X")*$CC$19:$DA$19))&gt;=Listes!$Q$10,(SUMPRODUCT(($CC42:$DA42="X")*$CC$19:$DA$19))&lt;Listes!$R$10),BY42-Listes!$S$10,
IF(AND((SUMPRODUCT(($CC42:$DA42="X")*$CC$19:$DA$19))&gt;=Listes!$Q$9,(SUMPRODUCT(($CC42:$DA42="X")*$CC$19:$DA$19))&lt;Listes!$R$9),BY42-Listes!$S$9,
IF(AND((SUMPRODUCT(($CC42:$DA42="X")*$CC$19:$DA$19))&gt;=Listes!$Q$8,(SUMPRODUCT(($CC42:$DA42="X")*$CC$19:$DA$19))&lt;Listes!$R$8),BY42-Listes!$S$8,
IF(AND((SUMPRODUCT(($CC42:$DA42="X")*$CC$19:$DA$19))&gt;=Listes!$Q$7),BY42-Listes!$S$7,
"Erreur"))))))))</f>
        <v/>
      </c>
      <c r="DE42" s="322" t="str">
        <f t="shared" si="55"/>
        <v/>
      </c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</row>
    <row r="43" spans="1:140" s="30" customFormat="1" ht="16.5" customHeight="1" x14ac:dyDescent="0.2">
      <c r="A43" s="9"/>
      <c r="B43" s="9"/>
      <c r="C43" s="433" t="str">
        <f>IF(D43="","",$G$1&amp;"-R"&amp;Listes!A22)</f>
        <v/>
      </c>
      <c r="D43" s="280"/>
      <c r="E43" s="284"/>
      <c r="F43" s="284"/>
      <c r="G43" s="279"/>
      <c r="H43" s="304" t="str">
        <f>IF(G43="","",VLOOKUP(G43,Listes!W24:Y71,2,FALSE))</f>
        <v/>
      </c>
      <c r="I43" s="304" t="str">
        <f>IF(G43="","",VLOOKUP(G43,Listes!W24:Y71,3,FALSE))</f>
        <v/>
      </c>
      <c r="J43" s="282"/>
      <c r="K43" s="283"/>
      <c r="L43" s="283"/>
      <c r="M43" s="283"/>
      <c r="N43" s="283"/>
      <c r="O43" s="318" t="str">
        <f t="shared" si="52"/>
        <v/>
      </c>
      <c r="P43" s="319" t="str">
        <f t="shared" si="53"/>
        <v/>
      </c>
      <c r="Q43" s="194"/>
      <c r="R43" s="9"/>
      <c r="S43" s="79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3"/>
      <c r="AE43" s="273"/>
      <c r="AF43" s="273"/>
      <c r="AG43" s="273"/>
      <c r="AH43" s="273"/>
      <c r="AI43" s="273"/>
      <c r="AJ43" s="273"/>
      <c r="AK43" s="273"/>
      <c r="AL43" s="273"/>
      <c r="AM43" s="273"/>
      <c r="AN43" s="273"/>
      <c r="AO43" s="273"/>
      <c r="AP43" s="273"/>
      <c r="AQ43" s="273"/>
      <c r="AR43" s="273"/>
      <c r="AS43" s="273"/>
      <c r="AT43" s="273"/>
      <c r="AU43" s="273"/>
      <c r="AV43" s="273"/>
      <c r="AW43" s="273"/>
      <c r="AX43" s="273"/>
      <c r="AY43" s="273"/>
      <c r="AZ43" s="273"/>
      <c r="BA43" s="273"/>
      <c r="BB43" s="273"/>
      <c r="BC43" s="273"/>
      <c r="BD43" s="273"/>
      <c r="BE43" s="273"/>
      <c r="BF43" s="273"/>
      <c r="BG43" s="273"/>
      <c r="BH43" s="273"/>
      <c r="BI43" s="273"/>
      <c r="BJ43" s="273"/>
      <c r="BK43" s="273"/>
      <c r="BL43" s="273"/>
      <c r="BM43" s="273"/>
      <c r="BN43" s="273"/>
      <c r="BO43" s="273"/>
      <c r="BP43" s="273"/>
      <c r="BQ43" s="273"/>
      <c r="BR43" s="273"/>
      <c r="BS43" s="273"/>
      <c r="BT43" s="273"/>
      <c r="BU43" s="273"/>
      <c r="BV43" s="273"/>
      <c r="BW43" s="29"/>
      <c r="BX43" s="320" t="str">
        <f>IF(J43="","",IF(IF((SUMPRODUCT(($T43:$BV43="X")*$T$18:$BV$18))&lt;Listes!$R$12,J43-Listes!$S$12,
IF(AND((SUMPRODUCT(($T43:$BV43="X")*$T$18:$BV$18))&gt;=Listes!$Q$11,(SUMPRODUCT(($T43:$BV43="X")*$T$18:$BV$18))&lt;Listes!$R$11),J43-Listes!$S$11,
IF(AND((SUMPRODUCT(($T43:$BV43="X")*$T$18:$BV$18))&gt;=Listes!$Q$10,(SUMPRODUCT(($T43:$BV43="X")*$T$18:$BV$18))&lt;Listes!$R$10),J43-Listes!$S$10,
IF(AND((SUMPRODUCT(($T43:$BV43="X")*$T$18:$BV$18))&gt;=Listes!$Q$9,(SUMPRODUCT(($T43:$BV43="X")*$T$18:$BV$18))&lt;Listes!$R$9),J43-Listes!$S$9,
IF(AND((SUMPRODUCT(($T43:$BV43="X")*$T$18:$BV$18))&gt;=Listes!$Q$8,(SUMPRODUCT(($T43:$BV43="X")*$T$18:$BV$18))&lt;Listes!$R$8),J43-Listes!$S$8,
IF(AND((SUMPRODUCT(($T43:$BV43="X")*$T$18:$BV$18))&gt;=Listes!$Q$7),J43-Listes!$S$7,
"Erreur"))))))&lt;1,1,
IF((SUMPRODUCT(($T43:$BV43="X")*$T$18:$BV$18))&lt;Listes!$R$12,J43-Listes!$S$12,
IF(AND((SUMPRODUCT(($T43:$BV43="X")*$T$18:$BV$18))&gt;=Listes!$Q$11,(SUMPRODUCT(($T43:$BV43="X")*$T$18:$BV$18))&lt;Listes!$R$11),J43-Listes!$S$11,
IF(AND((SUMPRODUCT(($T43:$BV43="X")*$T$18:$BV$18))&gt;=Listes!$Q$10,(SUMPRODUCT(($T43:$BV43="X")*$T$18:$BV$18))&lt;Listes!$R$10),J43-Listes!$S$10,
IF(AND((SUMPRODUCT(($T43:$BV43="X")*$T$18:$BV$18))&gt;=Listes!$Q$9,(SUMPRODUCT(($T43:$BV43="X")*$T$18:$BV$18))&lt;Listes!$R$9),J43-Listes!$S$9,
IF(AND((SUMPRODUCT(($T43:$BV43="X")*$T$18:$BV$18))&gt;=Listes!$Q$8,(SUMPRODUCT(($T43:$BV43="X")*$T$18:$BV$18))&lt;Listes!$R$8),J43-Listes!$S$8,
IF(AND((SUMPRODUCT(($T43:$BV43="X")*$T$18:$BV$18))&gt;=Listes!$Q$7),J43-Listes!$S$7,
"Erreur"))))))))</f>
        <v/>
      </c>
      <c r="BY43" s="321" t="str">
        <f>IF(O43="","",IF(IF((SUMPRODUCT(($T43:$BV43="X")*$T$19:$BV$19))&lt;Listes!$R$12,O43-Listes!$S$12,
IF(AND((SUMPRODUCT(($T43:$BV43="X")*$T$19:$BV$19))&gt;=Listes!$Q$11,(SUMPRODUCT(($T43:$BV43="X")*$T$19:$BV$19))&lt;Listes!$R$11),O43-Listes!$S$11,
IF(AND((SUMPRODUCT(($T43:$BV43="X")*$T$19:$BV$19))&gt;=Listes!$Q$10,(SUMPRODUCT(($T43:$BV43="X")*$T$19:$BV$19))&lt;Listes!$R$10),O43-Listes!$S$10,
IF(AND((SUMPRODUCT(($T43:$BV43="X")*$T$19:$BV$19))&gt;=Listes!$Q$9,(SUMPRODUCT(($T43:$BV43="X")*$T$19:$BV$19))&lt;Listes!$R$9),O43-Listes!$S$9,
IF(AND((SUMPRODUCT(($T43:$BV43="X")*$T$19:$BV$19))&gt;=Listes!$Q$8,(SUMPRODUCT(($T43:$BV43="X")*$T$19:$BV$19))&lt;Listes!$R$8),O43-Listes!$S$8,
IF(AND((SUMPRODUCT(($T43:$BV43="X")*$T$19:$BV$19))&gt;=Listes!$Q$7),O43-Listes!$S$7,
"Erreur"))))))&lt;1,1,
IF((SUMPRODUCT(($T43:$BV43="X")*$T$19:$BV$19))&lt;Listes!$R$12,O43-Listes!$S$12,
IF(AND((SUMPRODUCT(($T43:$BV43="X")*$T$19:$BV$19))&gt;=Listes!$Q$11,(SUMPRODUCT(($T43:$BV43="X")*$T$19:$BV$19))&lt;Listes!$R$11),O43-Listes!$S$11,
IF(AND((SUMPRODUCT(($T43:$BV43="X")*$T$19:$BV$19))&gt;=Listes!$Q$10,(SUMPRODUCT(($T43:$BV43="X")*$T$19:$BV$19))&lt;Listes!$R$10),O43-Listes!$S$10,
IF(AND((SUMPRODUCT(($T43:$BV43="X")*$T$19:$BV$19))&gt;=Listes!$Q$9,(SUMPRODUCT(($T43:$BV43="X")*$T$19:$BV$19))&lt;Listes!$R$9),O43-Listes!$S$9,
IF(AND((SUMPRODUCT(($T43:$BV43="X")*$T$19:$BV$19))&gt;=Listes!$Q$8,(SUMPRODUCT(($T43:$BV43="X")*$T$19:$BV$19))&lt;Listes!$R$8),O43-Listes!$S$8,
IF(AND((SUMPRODUCT(($T43:$BV43="X")*$T$19:$BV$19))&gt;=Listes!$Q$7),O43-Listes!$S$7,
"Erreur"))))))))</f>
        <v/>
      </c>
      <c r="BZ43" s="322" t="str">
        <f t="shared" si="54"/>
        <v/>
      </c>
      <c r="CA43" s="9"/>
      <c r="CB43" s="9"/>
      <c r="CC43" s="287"/>
      <c r="CD43" s="288"/>
      <c r="CE43" s="289"/>
      <c r="CF43" s="289"/>
      <c r="CG43" s="289"/>
      <c r="CH43" s="289"/>
      <c r="CI43" s="289"/>
      <c r="CJ43" s="289"/>
      <c r="CK43" s="289"/>
      <c r="CL43" s="289"/>
      <c r="CM43" s="288"/>
      <c r="CN43" s="289"/>
      <c r="CO43" s="289"/>
      <c r="CP43" s="289"/>
      <c r="CQ43" s="289"/>
      <c r="CR43" s="289"/>
      <c r="CS43" s="289"/>
      <c r="CT43" s="289"/>
      <c r="CU43" s="289"/>
      <c r="CV43" s="289"/>
      <c r="CW43" s="289"/>
      <c r="CX43" s="289"/>
      <c r="CY43" s="289"/>
      <c r="CZ43" s="289"/>
      <c r="DA43" s="289"/>
      <c r="DB43" s="272"/>
      <c r="DC43" s="320" t="str">
        <f>IF(BX43="","",IF(IF((SUMPRODUCT(($CC43:$DA43="X")*$CC$18:$DA$18))&lt;Listes!$R$12,BX43-Listes!$S$12,
IF(AND((SUMPRODUCT(($CC43:$DA43="X")*$CC$18:$DA$18))&gt;=Listes!$Q$11,(SUMPRODUCT(($CC43:$DA43="X")*$CC$18:$DA$18))&lt;Listes!$R$11),BX43-Listes!$S$11,
IF(AND((SUMPRODUCT(($CC43:$DA43="X")*$CC$18:$DA$18))&gt;=Listes!$Q$10,(SUMPRODUCT(($CC43:$DA43="X")*$CC$18:$DA$18))&lt;Listes!$R$10),BX43-Listes!$S$10,
IF(AND((SUMPRODUCT(($CC43:$DA43="X")*$CC$18:$DA$18))&gt;=Listes!$Q$9,(SUMPRODUCT(($CC43:$DA43="X")*$CC$18:$DA$18))&lt;Listes!$R$9),BX43-Listes!$S$9,
IF(AND((SUMPRODUCT(($CC43:$DA43="X")*$CC$18:$DA$18))&gt;=Listes!$Q$8,(SUMPRODUCT(($CC43:$DA43="X")*$CC$18:$DA$18))&lt;Listes!$R$8),BX43-Listes!$S$8,
IF(AND((SUMPRODUCT(($CC43:$DA43="X")*$CC$18:$DA$18))&gt;=Listes!$Q$7),BX43-Listes!$S$7,
"Erreur"))))))&lt;1,1,
IF((SUMPRODUCT(($CC43:$DA43="X")*$CC$18:$DA$18))&lt;Listes!$R$12,BX43-Listes!$S$12,
IF(AND((SUMPRODUCT(($CC43:$DA43="X")*$CC$18:$DA$18))&gt;=Listes!$Q$11,(SUMPRODUCT(($CC43:$DA43="X")*$CC$18:$DA$18))&lt;Listes!$R$11),BX43-Listes!$S$11,
IF(AND((SUMPRODUCT(($CC43:$DA43="X")*$CC$18:$DA$18))&gt;=Listes!$Q$10,(SUMPRODUCT(($CC43:$DA43="X")*$CC$18:$DA$18))&lt;Listes!$R$10),BX43-Listes!$S$10,
IF(AND((SUMPRODUCT(($CC43:$DA43="X")*$CC$18:$DA$18))&gt;=Listes!$Q$9,(SUMPRODUCT(($CC43:$DA43="X")*$CC$18:$DA$18))&lt;Listes!$R$9),BX43-Listes!$S$9,
IF(AND((SUMPRODUCT(($CC43:$DA43="X")*$CC$18:$DA$18))&gt;=Listes!$Q$8,(SUMPRODUCT(($CC43:$DA43="X")*$CC$18:$DA$18))&lt;Listes!$R$8),BX43-Listes!$S$8,
IF(AND((SUMPRODUCT(($CC43:$DA43="X")*$CC$18:$DA$18))&gt;=Listes!$Q$7),BX43-Listes!$S$7,
"Erreur"))))))))</f>
        <v/>
      </c>
      <c r="DD43" s="321" t="str">
        <f>IF(BY43="","",IF(IF((SUMPRODUCT(($CC43:$DA43="X")*$CC$19:$DA$19))&lt;Listes!$R$12,BY43-Listes!$S$12,
IF(AND((SUMPRODUCT(($CC43:$DA43="X")*$CC$19:$DA$19))&gt;=Listes!$Q$11,(SUMPRODUCT(($CC43:$DA43="X")*$CC$19:$DA$19))&lt;Listes!$R$11),BY43-Listes!$S$11,
IF(AND((SUMPRODUCT(($CC43:$DA43="X")*$CC$19:$DA$19))&gt;=Listes!$Q$10,(SUMPRODUCT(($CC43:$DA43="X")*$CC$19:$DA$19))&lt;Listes!$R$10),BY43-Listes!$S$10,
IF(AND((SUMPRODUCT(($CC43:$DA43="X")*$CC$19:$DA$19))&gt;=Listes!$Q$9,(SUMPRODUCT(($CC43:$DA43="X")*$CC$19:$DA$19))&lt;Listes!$R$9),BY43-Listes!$S$9,
IF(AND((SUMPRODUCT(($CC43:$DA43="X")*$CC$19:$DA$19))&gt;=Listes!$Q$8,(SUMPRODUCT(($CC43:$DA43="X")*$CC$19:$DA$19))&lt;Listes!$R$8),BY43-Listes!$S$8,
IF(AND((SUMPRODUCT(($CC43:$DA43="X")*$CC$19:$DA$19))&gt;=Listes!$Q$7),BY43-Listes!$S$7,
"Erreur"))))))&lt;1,1,
IF((SUMPRODUCT(($CC43:$DA43="X")*$CC$19:$DA$19))&lt;Listes!$R$12,BY43-Listes!$S$12,
IF(AND((SUMPRODUCT(($CC43:$DA43="X")*$CC$19:$DA$19))&gt;=Listes!$Q$11,(SUMPRODUCT(($CC43:$DA43="X")*$CC$19:$DA$19))&lt;Listes!$R$11),BY43-Listes!$S$11,
IF(AND((SUMPRODUCT(($CC43:$DA43="X")*$CC$19:$DA$19))&gt;=Listes!$Q$10,(SUMPRODUCT(($CC43:$DA43="X")*$CC$19:$DA$19))&lt;Listes!$R$10),BY43-Listes!$S$10,
IF(AND((SUMPRODUCT(($CC43:$DA43="X")*$CC$19:$DA$19))&gt;=Listes!$Q$9,(SUMPRODUCT(($CC43:$DA43="X")*$CC$19:$DA$19))&lt;Listes!$R$9),BY43-Listes!$S$9,
IF(AND((SUMPRODUCT(($CC43:$DA43="X")*$CC$19:$DA$19))&gt;=Listes!$Q$8,(SUMPRODUCT(($CC43:$DA43="X")*$CC$19:$DA$19))&lt;Listes!$R$8),BY43-Listes!$S$8,
IF(AND((SUMPRODUCT(($CC43:$DA43="X")*$CC$19:$DA$19))&gt;=Listes!$Q$7),BY43-Listes!$S$7,
"Erreur"))))))))</f>
        <v/>
      </c>
      <c r="DE43" s="322" t="str">
        <f t="shared" si="55"/>
        <v/>
      </c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</row>
    <row r="44" spans="1:140" s="30" customFormat="1" ht="16.5" customHeight="1" x14ac:dyDescent="0.2">
      <c r="A44" s="9"/>
      <c r="B44" s="9"/>
      <c r="C44" s="433" t="str">
        <f>IF(D44="","",$G$1&amp;"-R"&amp;Listes!A23)</f>
        <v/>
      </c>
      <c r="D44" s="280"/>
      <c r="E44" s="284"/>
      <c r="F44" s="284"/>
      <c r="G44" s="279"/>
      <c r="H44" s="304" t="str">
        <f>IF(G44="","",VLOOKUP(G44,Listes!W25:Y72,2,FALSE))</f>
        <v/>
      </c>
      <c r="I44" s="304" t="str">
        <f>IF(G44="","",VLOOKUP(G44,Listes!W25:Y72,3,FALSE))</f>
        <v/>
      </c>
      <c r="J44" s="282"/>
      <c r="K44" s="283"/>
      <c r="L44" s="283"/>
      <c r="M44" s="283"/>
      <c r="N44" s="283"/>
      <c r="O44" s="318" t="str">
        <f t="shared" si="52"/>
        <v/>
      </c>
      <c r="P44" s="319" t="str">
        <f t="shared" si="53"/>
        <v/>
      </c>
      <c r="Q44" s="194"/>
      <c r="R44" s="9"/>
      <c r="S44" s="79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3"/>
      <c r="AE44" s="273"/>
      <c r="AF44" s="273"/>
      <c r="AG44" s="273"/>
      <c r="AH44" s="273"/>
      <c r="AI44" s="273"/>
      <c r="AJ44" s="273"/>
      <c r="AK44" s="273"/>
      <c r="AL44" s="273"/>
      <c r="AM44" s="273"/>
      <c r="AN44" s="273"/>
      <c r="AO44" s="273"/>
      <c r="AP44" s="273"/>
      <c r="AQ44" s="273"/>
      <c r="AR44" s="273"/>
      <c r="AS44" s="273"/>
      <c r="AT44" s="273"/>
      <c r="AU44" s="273"/>
      <c r="AV44" s="273"/>
      <c r="AW44" s="273"/>
      <c r="AX44" s="273"/>
      <c r="AY44" s="273"/>
      <c r="AZ44" s="273"/>
      <c r="BA44" s="273"/>
      <c r="BB44" s="273"/>
      <c r="BC44" s="273"/>
      <c r="BD44" s="273"/>
      <c r="BE44" s="273"/>
      <c r="BF44" s="273"/>
      <c r="BG44" s="273"/>
      <c r="BH44" s="273"/>
      <c r="BI44" s="273"/>
      <c r="BJ44" s="273"/>
      <c r="BK44" s="273"/>
      <c r="BL44" s="273"/>
      <c r="BM44" s="273"/>
      <c r="BN44" s="273"/>
      <c r="BO44" s="273"/>
      <c r="BP44" s="273"/>
      <c r="BQ44" s="273"/>
      <c r="BR44" s="273"/>
      <c r="BS44" s="273"/>
      <c r="BT44" s="273"/>
      <c r="BU44" s="273"/>
      <c r="BV44" s="273"/>
      <c r="BW44" s="29"/>
      <c r="BX44" s="320" t="str">
        <f>IF(J44="","",IF(IF((SUMPRODUCT(($T44:$BV44="X")*$T$18:$BV$18))&lt;Listes!$R$12,J44-Listes!$S$12,
IF(AND((SUMPRODUCT(($T44:$BV44="X")*$T$18:$BV$18))&gt;=Listes!$Q$11,(SUMPRODUCT(($T44:$BV44="X")*$T$18:$BV$18))&lt;Listes!$R$11),J44-Listes!$S$11,
IF(AND((SUMPRODUCT(($T44:$BV44="X")*$T$18:$BV$18))&gt;=Listes!$Q$10,(SUMPRODUCT(($T44:$BV44="X")*$T$18:$BV$18))&lt;Listes!$R$10),J44-Listes!$S$10,
IF(AND((SUMPRODUCT(($T44:$BV44="X")*$T$18:$BV$18))&gt;=Listes!$Q$9,(SUMPRODUCT(($T44:$BV44="X")*$T$18:$BV$18))&lt;Listes!$R$9),J44-Listes!$S$9,
IF(AND((SUMPRODUCT(($T44:$BV44="X")*$T$18:$BV$18))&gt;=Listes!$Q$8,(SUMPRODUCT(($T44:$BV44="X")*$T$18:$BV$18))&lt;Listes!$R$8),J44-Listes!$S$8,
IF(AND((SUMPRODUCT(($T44:$BV44="X")*$T$18:$BV$18))&gt;=Listes!$Q$7),J44-Listes!$S$7,
"Erreur"))))))&lt;1,1,
IF((SUMPRODUCT(($T44:$BV44="X")*$T$18:$BV$18))&lt;Listes!$R$12,J44-Listes!$S$12,
IF(AND((SUMPRODUCT(($T44:$BV44="X")*$T$18:$BV$18))&gt;=Listes!$Q$11,(SUMPRODUCT(($T44:$BV44="X")*$T$18:$BV$18))&lt;Listes!$R$11),J44-Listes!$S$11,
IF(AND((SUMPRODUCT(($T44:$BV44="X")*$T$18:$BV$18))&gt;=Listes!$Q$10,(SUMPRODUCT(($T44:$BV44="X")*$T$18:$BV$18))&lt;Listes!$R$10),J44-Listes!$S$10,
IF(AND((SUMPRODUCT(($T44:$BV44="X")*$T$18:$BV$18))&gt;=Listes!$Q$9,(SUMPRODUCT(($T44:$BV44="X")*$T$18:$BV$18))&lt;Listes!$R$9),J44-Listes!$S$9,
IF(AND((SUMPRODUCT(($T44:$BV44="X")*$T$18:$BV$18))&gt;=Listes!$Q$8,(SUMPRODUCT(($T44:$BV44="X")*$T$18:$BV$18))&lt;Listes!$R$8),J44-Listes!$S$8,
IF(AND((SUMPRODUCT(($T44:$BV44="X")*$T$18:$BV$18))&gt;=Listes!$Q$7),J44-Listes!$S$7,
"Erreur"))))))))</f>
        <v/>
      </c>
      <c r="BY44" s="321" t="str">
        <f>IF(O44="","",IF(IF((SUMPRODUCT(($T44:$BV44="X")*$T$19:$BV$19))&lt;Listes!$R$12,O44-Listes!$S$12,
IF(AND((SUMPRODUCT(($T44:$BV44="X")*$T$19:$BV$19))&gt;=Listes!$Q$11,(SUMPRODUCT(($T44:$BV44="X")*$T$19:$BV$19))&lt;Listes!$R$11),O44-Listes!$S$11,
IF(AND((SUMPRODUCT(($T44:$BV44="X")*$T$19:$BV$19))&gt;=Listes!$Q$10,(SUMPRODUCT(($T44:$BV44="X")*$T$19:$BV$19))&lt;Listes!$R$10),O44-Listes!$S$10,
IF(AND((SUMPRODUCT(($T44:$BV44="X")*$T$19:$BV$19))&gt;=Listes!$Q$9,(SUMPRODUCT(($T44:$BV44="X")*$T$19:$BV$19))&lt;Listes!$R$9),O44-Listes!$S$9,
IF(AND((SUMPRODUCT(($T44:$BV44="X")*$T$19:$BV$19))&gt;=Listes!$Q$8,(SUMPRODUCT(($T44:$BV44="X")*$T$19:$BV$19))&lt;Listes!$R$8),O44-Listes!$S$8,
IF(AND((SUMPRODUCT(($T44:$BV44="X")*$T$19:$BV$19))&gt;=Listes!$Q$7),O44-Listes!$S$7,
"Erreur"))))))&lt;1,1,
IF((SUMPRODUCT(($T44:$BV44="X")*$T$19:$BV$19))&lt;Listes!$R$12,O44-Listes!$S$12,
IF(AND((SUMPRODUCT(($T44:$BV44="X")*$T$19:$BV$19))&gt;=Listes!$Q$11,(SUMPRODUCT(($T44:$BV44="X")*$T$19:$BV$19))&lt;Listes!$R$11),O44-Listes!$S$11,
IF(AND((SUMPRODUCT(($T44:$BV44="X")*$T$19:$BV$19))&gt;=Listes!$Q$10,(SUMPRODUCT(($T44:$BV44="X")*$T$19:$BV$19))&lt;Listes!$R$10),O44-Listes!$S$10,
IF(AND((SUMPRODUCT(($T44:$BV44="X")*$T$19:$BV$19))&gt;=Listes!$Q$9,(SUMPRODUCT(($T44:$BV44="X")*$T$19:$BV$19))&lt;Listes!$R$9),O44-Listes!$S$9,
IF(AND((SUMPRODUCT(($T44:$BV44="X")*$T$19:$BV$19))&gt;=Listes!$Q$8,(SUMPRODUCT(($T44:$BV44="X")*$T$19:$BV$19))&lt;Listes!$R$8),O44-Listes!$S$8,
IF(AND((SUMPRODUCT(($T44:$BV44="X")*$T$19:$BV$19))&gt;=Listes!$Q$7),O44-Listes!$S$7,
"Erreur"))))))))</f>
        <v/>
      </c>
      <c r="BZ44" s="322" t="str">
        <f t="shared" si="54"/>
        <v/>
      </c>
      <c r="CA44" s="9"/>
      <c r="CB44" s="9"/>
      <c r="CC44" s="287"/>
      <c r="CD44" s="288"/>
      <c r="CE44" s="289"/>
      <c r="CF44" s="289"/>
      <c r="CG44" s="289"/>
      <c r="CH44" s="289"/>
      <c r="CI44" s="289"/>
      <c r="CJ44" s="289"/>
      <c r="CK44" s="289"/>
      <c r="CL44" s="289"/>
      <c r="CM44" s="288"/>
      <c r="CN44" s="289"/>
      <c r="CO44" s="289"/>
      <c r="CP44" s="289"/>
      <c r="CQ44" s="289"/>
      <c r="CR44" s="289"/>
      <c r="CS44" s="289"/>
      <c r="CT44" s="289"/>
      <c r="CU44" s="289"/>
      <c r="CV44" s="289"/>
      <c r="CW44" s="289"/>
      <c r="CX44" s="289"/>
      <c r="CY44" s="289"/>
      <c r="CZ44" s="289"/>
      <c r="DA44" s="289"/>
      <c r="DB44" s="272"/>
      <c r="DC44" s="320" t="str">
        <f>IF(BX44="","",IF(IF((SUMPRODUCT(($CC44:$DA44="X")*$CC$18:$DA$18))&lt;Listes!$R$12,BX44-Listes!$S$12,
IF(AND((SUMPRODUCT(($CC44:$DA44="X")*$CC$18:$DA$18))&gt;=Listes!$Q$11,(SUMPRODUCT(($CC44:$DA44="X")*$CC$18:$DA$18))&lt;Listes!$R$11),BX44-Listes!$S$11,
IF(AND((SUMPRODUCT(($CC44:$DA44="X")*$CC$18:$DA$18))&gt;=Listes!$Q$10,(SUMPRODUCT(($CC44:$DA44="X")*$CC$18:$DA$18))&lt;Listes!$R$10),BX44-Listes!$S$10,
IF(AND((SUMPRODUCT(($CC44:$DA44="X")*$CC$18:$DA$18))&gt;=Listes!$Q$9,(SUMPRODUCT(($CC44:$DA44="X")*$CC$18:$DA$18))&lt;Listes!$R$9),BX44-Listes!$S$9,
IF(AND((SUMPRODUCT(($CC44:$DA44="X")*$CC$18:$DA$18))&gt;=Listes!$Q$8,(SUMPRODUCT(($CC44:$DA44="X")*$CC$18:$DA$18))&lt;Listes!$R$8),BX44-Listes!$S$8,
IF(AND((SUMPRODUCT(($CC44:$DA44="X")*$CC$18:$DA$18))&gt;=Listes!$Q$7),BX44-Listes!$S$7,
"Erreur"))))))&lt;1,1,
IF((SUMPRODUCT(($CC44:$DA44="X")*$CC$18:$DA$18))&lt;Listes!$R$12,BX44-Listes!$S$12,
IF(AND((SUMPRODUCT(($CC44:$DA44="X")*$CC$18:$DA$18))&gt;=Listes!$Q$11,(SUMPRODUCT(($CC44:$DA44="X")*$CC$18:$DA$18))&lt;Listes!$R$11),BX44-Listes!$S$11,
IF(AND((SUMPRODUCT(($CC44:$DA44="X")*$CC$18:$DA$18))&gt;=Listes!$Q$10,(SUMPRODUCT(($CC44:$DA44="X")*$CC$18:$DA$18))&lt;Listes!$R$10),BX44-Listes!$S$10,
IF(AND((SUMPRODUCT(($CC44:$DA44="X")*$CC$18:$DA$18))&gt;=Listes!$Q$9,(SUMPRODUCT(($CC44:$DA44="X")*$CC$18:$DA$18))&lt;Listes!$R$9),BX44-Listes!$S$9,
IF(AND((SUMPRODUCT(($CC44:$DA44="X")*$CC$18:$DA$18))&gt;=Listes!$Q$8,(SUMPRODUCT(($CC44:$DA44="X")*$CC$18:$DA$18))&lt;Listes!$R$8),BX44-Listes!$S$8,
IF(AND((SUMPRODUCT(($CC44:$DA44="X")*$CC$18:$DA$18))&gt;=Listes!$Q$7),BX44-Listes!$S$7,
"Erreur"))))))))</f>
        <v/>
      </c>
      <c r="DD44" s="321" t="str">
        <f>IF(BY44="","",IF(IF((SUMPRODUCT(($CC44:$DA44="X")*$CC$19:$DA$19))&lt;Listes!$R$12,BY44-Listes!$S$12,
IF(AND((SUMPRODUCT(($CC44:$DA44="X")*$CC$19:$DA$19))&gt;=Listes!$Q$11,(SUMPRODUCT(($CC44:$DA44="X")*$CC$19:$DA$19))&lt;Listes!$R$11),BY44-Listes!$S$11,
IF(AND((SUMPRODUCT(($CC44:$DA44="X")*$CC$19:$DA$19))&gt;=Listes!$Q$10,(SUMPRODUCT(($CC44:$DA44="X")*$CC$19:$DA$19))&lt;Listes!$R$10),BY44-Listes!$S$10,
IF(AND((SUMPRODUCT(($CC44:$DA44="X")*$CC$19:$DA$19))&gt;=Listes!$Q$9,(SUMPRODUCT(($CC44:$DA44="X")*$CC$19:$DA$19))&lt;Listes!$R$9),BY44-Listes!$S$9,
IF(AND((SUMPRODUCT(($CC44:$DA44="X")*$CC$19:$DA$19))&gt;=Listes!$Q$8,(SUMPRODUCT(($CC44:$DA44="X")*$CC$19:$DA$19))&lt;Listes!$R$8),BY44-Listes!$S$8,
IF(AND((SUMPRODUCT(($CC44:$DA44="X")*$CC$19:$DA$19))&gt;=Listes!$Q$7),BY44-Listes!$S$7,
"Erreur"))))))&lt;1,1,
IF((SUMPRODUCT(($CC44:$DA44="X")*$CC$19:$DA$19))&lt;Listes!$R$12,BY44-Listes!$S$12,
IF(AND((SUMPRODUCT(($CC44:$DA44="X")*$CC$19:$DA$19))&gt;=Listes!$Q$11,(SUMPRODUCT(($CC44:$DA44="X")*$CC$19:$DA$19))&lt;Listes!$R$11),BY44-Listes!$S$11,
IF(AND((SUMPRODUCT(($CC44:$DA44="X")*$CC$19:$DA$19))&gt;=Listes!$Q$10,(SUMPRODUCT(($CC44:$DA44="X")*$CC$19:$DA$19))&lt;Listes!$R$10),BY44-Listes!$S$10,
IF(AND((SUMPRODUCT(($CC44:$DA44="X")*$CC$19:$DA$19))&gt;=Listes!$Q$9,(SUMPRODUCT(($CC44:$DA44="X")*$CC$19:$DA$19))&lt;Listes!$R$9),BY44-Listes!$S$9,
IF(AND((SUMPRODUCT(($CC44:$DA44="X")*$CC$19:$DA$19))&gt;=Listes!$Q$8,(SUMPRODUCT(($CC44:$DA44="X")*$CC$19:$DA$19))&lt;Listes!$R$8),BY44-Listes!$S$8,
IF(AND((SUMPRODUCT(($CC44:$DA44="X")*$CC$19:$DA$19))&gt;=Listes!$Q$7),BY44-Listes!$S$7,
"Erreur"))))))))</f>
        <v/>
      </c>
      <c r="DE44" s="322" t="str">
        <f t="shared" si="55"/>
        <v/>
      </c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</row>
    <row r="45" spans="1:140" s="30" customFormat="1" ht="16.5" customHeight="1" x14ac:dyDescent="0.2">
      <c r="A45" s="9"/>
      <c r="B45" s="9"/>
      <c r="C45" s="433" t="str">
        <f>IF(D45="","",$G$1&amp;"-R"&amp;Listes!A24)</f>
        <v/>
      </c>
      <c r="D45" s="280"/>
      <c r="E45" s="284"/>
      <c r="F45" s="284"/>
      <c r="G45" s="279"/>
      <c r="H45" s="304" t="str">
        <f>IF(G45="","",VLOOKUP(G45,Listes!W26:Y73,2,FALSE))</f>
        <v/>
      </c>
      <c r="I45" s="304" t="str">
        <f>IF(G45="","",VLOOKUP(G45,Listes!W26:Y73,3,FALSE))</f>
        <v/>
      </c>
      <c r="J45" s="282"/>
      <c r="K45" s="283"/>
      <c r="L45" s="283"/>
      <c r="M45" s="283"/>
      <c r="N45" s="283"/>
      <c r="O45" s="318" t="str">
        <f t="shared" si="52"/>
        <v/>
      </c>
      <c r="P45" s="319" t="str">
        <f t="shared" si="53"/>
        <v/>
      </c>
      <c r="Q45" s="194"/>
      <c r="R45" s="9"/>
      <c r="S45" s="79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3"/>
      <c r="AE45" s="273"/>
      <c r="AF45" s="273"/>
      <c r="AG45" s="273"/>
      <c r="AH45" s="273"/>
      <c r="AI45" s="273"/>
      <c r="AJ45" s="273"/>
      <c r="AK45" s="273"/>
      <c r="AL45" s="273"/>
      <c r="AM45" s="273"/>
      <c r="AN45" s="273"/>
      <c r="AO45" s="273"/>
      <c r="AP45" s="273"/>
      <c r="AQ45" s="273"/>
      <c r="AR45" s="273"/>
      <c r="AS45" s="273"/>
      <c r="AT45" s="273"/>
      <c r="AU45" s="273"/>
      <c r="AV45" s="273"/>
      <c r="AW45" s="273"/>
      <c r="AX45" s="273"/>
      <c r="AY45" s="273"/>
      <c r="AZ45" s="273"/>
      <c r="BA45" s="273"/>
      <c r="BB45" s="273"/>
      <c r="BC45" s="273"/>
      <c r="BD45" s="273"/>
      <c r="BE45" s="273"/>
      <c r="BF45" s="273"/>
      <c r="BG45" s="273"/>
      <c r="BH45" s="273"/>
      <c r="BI45" s="273"/>
      <c r="BJ45" s="273"/>
      <c r="BK45" s="273"/>
      <c r="BL45" s="273"/>
      <c r="BM45" s="273"/>
      <c r="BN45" s="273"/>
      <c r="BO45" s="273"/>
      <c r="BP45" s="273"/>
      <c r="BQ45" s="273"/>
      <c r="BR45" s="273"/>
      <c r="BS45" s="273"/>
      <c r="BT45" s="273"/>
      <c r="BU45" s="273"/>
      <c r="BV45" s="273"/>
      <c r="BW45" s="29"/>
      <c r="BX45" s="320" t="str">
        <f>IF(J45="","",IF(IF((SUMPRODUCT(($T45:$BV45="X")*$T$18:$BV$18))&lt;Listes!$R$12,J45-Listes!$S$12,
IF(AND((SUMPRODUCT(($T45:$BV45="X")*$T$18:$BV$18))&gt;=Listes!$Q$11,(SUMPRODUCT(($T45:$BV45="X")*$T$18:$BV$18))&lt;Listes!$R$11),J45-Listes!$S$11,
IF(AND((SUMPRODUCT(($T45:$BV45="X")*$T$18:$BV$18))&gt;=Listes!$Q$10,(SUMPRODUCT(($T45:$BV45="X")*$T$18:$BV$18))&lt;Listes!$R$10),J45-Listes!$S$10,
IF(AND((SUMPRODUCT(($T45:$BV45="X")*$T$18:$BV$18))&gt;=Listes!$Q$9,(SUMPRODUCT(($T45:$BV45="X")*$T$18:$BV$18))&lt;Listes!$R$9),J45-Listes!$S$9,
IF(AND((SUMPRODUCT(($T45:$BV45="X")*$T$18:$BV$18))&gt;=Listes!$Q$8,(SUMPRODUCT(($T45:$BV45="X")*$T$18:$BV$18))&lt;Listes!$R$8),J45-Listes!$S$8,
IF(AND((SUMPRODUCT(($T45:$BV45="X")*$T$18:$BV$18))&gt;=Listes!$Q$7),J45-Listes!$S$7,
"Erreur"))))))&lt;1,1,
IF((SUMPRODUCT(($T45:$BV45="X")*$T$18:$BV$18))&lt;Listes!$R$12,J45-Listes!$S$12,
IF(AND((SUMPRODUCT(($T45:$BV45="X")*$T$18:$BV$18))&gt;=Listes!$Q$11,(SUMPRODUCT(($T45:$BV45="X")*$T$18:$BV$18))&lt;Listes!$R$11),J45-Listes!$S$11,
IF(AND((SUMPRODUCT(($T45:$BV45="X")*$T$18:$BV$18))&gt;=Listes!$Q$10,(SUMPRODUCT(($T45:$BV45="X")*$T$18:$BV$18))&lt;Listes!$R$10),J45-Listes!$S$10,
IF(AND((SUMPRODUCT(($T45:$BV45="X")*$T$18:$BV$18))&gt;=Listes!$Q$9,(SUMPRODUCT(($T45:$BV45="X")*$T$18:$BV$18))&lt;Listes!$R$9),J45-Listes!$S$9,
IF(AND((SUMPRODUCT(($T45:$BV45="X")*$T$18:$BV$18))&gt;=Listes!$Q$8,(SUMPRODUCT(($T45:$BV45="X")*$T$18:$BV$18))&lt;Listes!$R$8),J45-Listes!$S$8,
IF(AND((SUMPRODUCT(($T45:$BV45="X")*$T$18:$BV$18))&gt;=Listes!$Q$7),J45-Listes!$S$7,
"Erreur"))))))))</f>
        <v/>
      </c>
      <c r="BY45" s="321" t="str">
        <f>IF(O45="","",IF(IF((SUMPRODUCT(($T45:$BV45="X")*$T$19:$BV$19))&lt;Listes!$R$12,O45-Listes!$S$12,
IF(AND((SUMPRODUCT(($T45:$BV45="X")*$T$19:$BV$19))&gt;=Listes!$Q$11,(SUMPRODUCT(($T45:$BV45="X")*$T$19:$BV$19))&lt;Listes!$R$11),O45-Listes!$S$11,
IF(AND((SUMPRODUCT(($T45:$BV45="X")*$T$19:$BV$19))&gt;=Listes!$Q$10,(SUMPRODUCT(($T45:$BV45="X")*$T$19:$BV$19))&lt;Listes!$R$10),O45-Listes!$S$10,
IF(AND((SUMPRODUCT(($T45:$BV45="X")*$T$19:$BV$19))&gt;=Listes!$Q$9,(SUMPRODUCT(($T45:$BV45="X")*$T$19:$BV$19))&lt;Listes!$R$9),O45-Listes!$S$9,
IF(AND((SUMPRODUCT(($T45:$BV45="X")*$T$19:$BV$19))&gt;=Listes!$Q$8,(SUMPRODUCT(($T45:$BV45="X")*$T$19:$BV$19))&lt;Listes!$R$8),O45-Listes!$S$8,
IF(AND((SUMPRODUCT(($T45:$BV45="X")*$T$19:$BV$19))&gt;=Listes!$Q$7),O45-Listes!$S$7,
"Erreur"))))))&lt;1,1,
IF((SUMPRODUCT(($T45:$BV45="X")*$T$19:$BV$19))&lt;Listes!$R$12,O45-Listes!$S$12,
IF(AND((SUMPRODUCT(($T45:$BV45="X")*$T$19:$BV$19))&gt;=Listes!$Q$11,(SUMPRODUCT(($T45:$BV45="X")*$T$19:$BV$19))&lt;Listes!$R$11),O45-Listes!$S$11,
IF(AND((SUMPRODUCT(($T45:$BV45="X")*$T$19:$BV$19))&gt;=Listes!$Q$10,(SUMPRODUCT(($T45:$BV45="X")*$T$19:$BV$19))&lt;Listes!$R$10),O45-Listes!$S$10,
IF(AND((SUMPRODUCT(($T45:$BV45="X")*$T$19:$BV$19))&gt;=Listes!$Q$9,(SUMPRODUCT(($T45:$BV45="X")*$T$19:$BV$19))&lt;Listes!$R$9),O45-Listes!$S$9,
IF(AND((SUMPRODUCT(($T45:$BV45="X")*$T$19:$BV$19))&gt;=Listes!$Q$8,(SUMPRODUCT(($T45:$BV45="X")*$T$19:$BV$19))&lt;Listes!$R$8),O45-Listes!$S$8,
IF(AND((SUMPRODUCT(($T45:$BV45="X")*$T$19:$BV$19))&gt;=Listes!$Q$7),O45-Listes!$S$7,
"Erreur"))))))))</f>
        <v/>
      </c>
      <c r="BZ45" s="322" t="str">
        <f t="shared" si="54"/>
        <v/>
      </c>
      <c r="CA45" s="9"/>
      <c r="CB45" s="9"/>
      <c r="CC45" s="287"/>
      <c r="CD45" s="288"/>
      <c r="CE45" s="289"/>
      <c r="CF45" s="289"/>
      <c r="CG45" s="289"/>
      <c r="CH45" s="289"/>
      <c r="CI45" s="289"/>
      <c r="CJ45" s="289"/>
      <c r="CK45" s="289"/>
      <c r="CL45" s="289"/>
      <c r="CM45" s="288"/>
      <c r="CN45" s="289"/>
      <c r="CO45" s="289"/>
      <c r="CP45" s="289"/>
      <c r="CQ45" s="289"/>
      <c r="CR45" s="289"/>
      <c r="CS45" s="289"/>
      <c r="CT45" s="289"/>
      <c r="CU45" s="289"/>
      <c r="CV45" s="289"/>
      <c r="CW45" s="289"/>
      <c r="CX45" s="289"/>
      <c r="CY45" s="289"/>
      <c r="CZ45" s="289"/>
      <c r="DA45" s="289"/>
      <c r="DB45" s="272"/>
      <c r="DC45" s="320" t="str">
        <f>IF(BX45="","",IF(IF((SUMPRODUCT(($CC45:$DA45="X")*$CC$18:$DA$18))&lt;Listes!$R$12,BX45-Listes!$S$12,
IF(AND((SUMPRODUCT(($CC45:$DA45="X")*$CC$18:$DA$18))&gt;=Listes!$Q$11,(SUMPRODUCT(($CC45:$DA45="X")*$CC$18:$DA$18))&lt;Listes!$R$11),BX45-Listes!$S$11,
IF(AND((SUMPRODUCT(($CC45:$DA45="X")*$CC$18:$DA$18))&gt;=Listes!$Q$10,(SUMPRODUCT(($CC45:$DA45="X")*$CC$18:$DA$18))&lt;Listes!$R$10),BX45-Listes!$S$10,
IF(AND((SUMPRODUCT(($CC45:$DA45="X")*$CC$18:$DA$18))&gt;=Listes!$Q$9,(SUMPRODUCT(($CC45:$DA45="X")*$CC$18:$DA$18))&lt;Listes!$R$9),BX45-Listes!$S$9,
IF(AND((SUMPRODUCT(($CC45:$DA45="X")*$CC$18:$DA$18))&gt;=Listes!$Q$8,(SUMPRODUCT(($CC45:$DA45="X")*$CC$18:$DA$18))&lt;Listes!$R$8),BX45-Listes!$S$8,
IF(AND((SUMPRODUCT(($CC45:$DA45="X")*$CC$18:$DA$18))&gt;=Listes!$Q$7),BX45-Listes!$S$7,
"Erreur"))))))&lt;1,1,
IF((SUMPRODUCT(($CC45:$DA45="X")*$CC$18:$DA$18))&lt;Listes!$R$12,BX45-Listes!$S$12,
IF(AND((SUMPRODUCT(($CC45:$DA45="X")*$CC$18:$DA$18))&gt;=Listes!$Q$11,(SUMPRODUCT(($CC45:$DA45="X")*$CC$18:$DA$18))&lt;Listes!$R$11),BX45-Listes!$S$11,
IF(AND((SUMPRODUCT(($CC45:$DA45="X")*$CC$18:$DA$18))&gt;=Listes!$Q$10,(SUMPRODUCT(($CC45:$DA45="X")*$CC$18:$DA$18))&lt;Listes!$R$10),BX45-Listes!$S$10,
IF(AND((SUMPRODUCT(($CC45:$DA45="X")*$CC$18:$DA$18))&gt;=Listes!$Q$9,(SUMPRODUCT(($CC45:$DA45="X")*$CC$18:$DA$18))&lt;Listes!$R$9),BX45-Listes!$S$9,
IF(AND((SUMPRODUCT(($CC45:$DA45="X")*$CC$18:$DA$18))&gt;=Listes!$Q$8,(SUMPRODUCT(($CC45:$DA45="X")*$CC$18:$DA$18))&lt;Listes!$R$8),BX45-Listes!$S$8,
IF(AND((SUMPRODUCT(($CC45:$DA45="X")*$CC$18:$DA$18))&gt;=Listes!$Q$7),BX45-Listes!$S$7,
"Erreur"))))))))</f>
        <v/>
      </c>
      <c r="DD45" s="321" t="str">
        <f>IF(BY45="","",IF(IF((SUMPRODUCT(($CC45:$DA45="X")*$CC$19:$DA$19))&lt;Listes!$R$12,BY45-Listes!$S$12,
IF(AND((SUMPRODUCT(($CC45:$DA45="X")*$CC$19:$DA$19))&gt;=Listes!$Q$11,(SUMPRODUCT(($CC45:$DA45="X")*$CC$19:$DA$19))&lt;Listes!$R$11),BY45-Listes!$S$11,
IF(AND((SUMPRODUCT(($CC45:$DA45="X")*$CC$19:$DA$19))&gt;=Listes!$Q$10,(SUMPRODUCT(($CC45:$DA45="X")*$CC$19:$DA$19))&lt;Listes!$R$10),BY45-Listes!$S$10,
IF(AND((SUMPRODUCT(($CC45:$DA45="X")*$CC$19:$DA$19))&gt;=Listes!$Q$9,(SUMPRODUCT(($CC45:$DA45="X")*$CC$19:$DA$19))&lt;Listes!$R$9),BY45-Listes!$S$9,
IF(AND((SUMPRODUCT(($CC45:$DA45="X")*$CC$19:$DA$19))&gt;=Listes!$Q$8,(SUMPRODUCT(($CC45:$DA45="X")*$CC$19:$DA$19))&lt;Listes!$R$8),BY45-Listes!$S$8,
IF(AND((SUMPRODUCT(($CC45:$DA45="X")*$CC$19:$DA$19))&gt;=Listes!$Q$7),BY45-Listes!$S$7,
"Erreur"))))))&lt;1,1,
IF((SUMPRODUCT(($CC45:$DA45="X")*$CC$19:$DA$19))&lt;Listes!$R$12,BY45-Listes!$S$12,
IF(AND((SUMPRODUCT(($CC45:$DA45="X")*$CC$19:$DA$19))&gt;=Listes!$Q$11,(SUMPRODUCT(($CC45:$DA45="X")*$CC$19:$DA$19))&lt;Listes!$R$11),BY45-Listes!$S$11,
IF(AND((SUMPRODUCT(($CC45:$DA45="X")*$CC$19:$DA$19))&gt;=Listes!$Q$10,(SUMPRODUCT(($CC45:$DA45="X")*$CC$19:$DA$19))&lt;Listes!$R$10),BY45-Listes!$S$10,
IF(AND((SUMPRODUCT(($CC45:$DA45="X")*$CC$19:$DA$19))&gt;=Listes!$Q$9,(SUMPRODUCT(($CC45:$DA45="X")*$CC$19:$DA$19))&lt;Listes!$R$9),BY45-Listes!$S$9,
IF(AND((SUMPRODUCT(($CC45:$DA45="X")*$CC$19:$DA$19))&gt;=Listes!$Q$8,(SUMPRODUCT(($CC45:$DA45="X")*$CC$19:$DA$19))&lt;Listes!$R$8),BY45-Listes!$S$8,
IF(AND((SUMPRODUCT(($CC45:$DA45="X")*$CC$19:$DA$19))&gt;=Listes!$Q$7),BY45-Listes!$S$7,
"Erreur"))))))))</f>
        <v/>
      </c>
      <c r="DE45" s="322" t="str">
        <f t="shared" si="55"/>
        <v/>
      </c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</row>
    <row r="46" spans="1:140" s="30" customFormat="1" ht="16.5" customHeight="1" x14ac:dyDescent="0.2">
      <c r="A46" s="9"/>
      <c r="B46" s="9"/>
      <c r="C46" s="433" t="str">
        <f>IF(D46="","",$G$1&amp;"-R"&amp;Listes!A25)</f>
        <v/>
      </c>
      <c r="D46" s="280"/>
      <c r="E46" s="284"/>
      <c r="F46" s="284"/>
      <c r="G46" s="279"/>
      <c r="H46" s="304" t="str">
        <f>IF(G46="","",VLOOKUP(G46,Listes!W27:Y74,2,FALSE))</f>
        <v/>
      </c>
      <c r="I46" s="304" t="str">
        <f>IF(G46="","",VLOOKUP(G46,Listes!W27:Y74,3,FALSE))</f>
        <v/>
      </c>
      <c r="J46" s="282"/>
      <c r="K46" s="283"/>
      <c r="L46" s="283"/>
      <c r="M46" s="283"/>
      <c r="N46" s="283"/>
      <c r="O46" s="318" t="str">
        <f t="shared" si="52"/>
        <v/>
      </c>
      <c r="P46" s="319" t="str">
        <f t="shared" si="53"/>
        <v/>
      </c>
      <c r="Q46" s="194"/>
      <c r="R46" s="9"/>
      <c r="S46" s="79"/>
      <c r="T46" s="273"/>
      <c r="U46" s="273"/>
      <c r="V46" s="273"/>
      <c r="W46" s="273"/>
      <c r="X46" s="273"/>
      <c r="Y46" s="273"/>
      <c r="Z46" s="273"/>
      <c r="AA46" s="273"/>
      <c r="AB46" s="273"/>
      <c r="AC46" s="273"/>
      <c r="AD46" s="273"/>
      <c r="AE46" s="273"/>
      <c r="AF46" s="273"/>
      <c r="AG46" s="273"/>
      <c r="AH46" s="273"/>
      <c r="AI46" s="273"/>
      <c r="AJ46" s="273"/>
      <c r="AK46" s="273"/>
      <c r="AL46" s="273"/>
      <c r="AM46" s="273"/>
      <c r="AN46" s="273"/>
      <c r="AO46" s="273"/>
      <c r="AP46" s="273"/>
      <c r="AQ46" s="273"/>
      <c r="AR46" s="273"/>
      <c r="AS46" s="273"/>
      <c r="AT46" s="273"/>
      <c r="AU46" s="273"/>
      <c r="AV46" s="273"/>
      <c r="AW46" s="273"/>
      <c r="AX46" s="273"/>
      <c r="AY46" s="273"/>
      <c r="AZ46" s="273"/>
      <c r="BA46" s="273"/>
      <c r="BB46" s="273"/>
      <c r="BC46" s="273"/>
      <c r="BD46" s="273"/>
      <c r="BE46" s="273"/>
      <c r="BF46" s="273"/>
      <c r="BG46" s="273"/>
      <c r="BH46" s="273"/>
      <c r="BI46" s="273"/>
      <c r="BJ46" s="273"/>
      <c r="BK46" s="273"/>
      <c r="BL46" s="273"/>
      <c r="BM46" s="273"/>
      <c r="BN46" s="273"/>
      <c r="BO46" s="273"/>
      <c r="BP46" s="273"/>
      <c r="BQ46" s="273"/>
      <c r="BR46" s="273"/>
      <c r="BS46" s="273"/>
      <c r="BT46" s="273"/>
      <c r="BU46" s="273"/>
      <c r="BV46" s="273"/>
      <c r="BW46" s="29"/>
      <c r="BX46" s="320" t="str">
        <f>IF(J46="","",IF(IF((SUMPRODUCT(($T46:$BV46="X")*$T$18:$BV$18))&lt;Listes!$R$12,J46-Listes!$S$12,
IF(AND((SUMPRODUCT(($T46:$BV46="X")*$T$18:$BV$18))&gt;=Listes!$Q$11,(SUMPRODUCT(($T46:$BV46="X")*$T$18:$BV$18))&lt;Listes!$R$11),J46-Listes!$S$11,
IF(AND((SUMPRODUCT(($T46:$BV46="X")*$T$18:$BV$18))&gt;=Listes!$Q$10,(SUMPRODUCT(($T46:$BV46="X")*$T$18:$BV$18))&lt;Listes!$R$10),J46-Listes!$S$10,
IF(AND((SUMPRODUCT(($T46:$BV46="X")*$T$18:$BV$18))&gt;=Listes!$Q$9,(SUMPRODUCT(($T46:$BV46="X")*$T$18:$BV$18))&lt;Listes!$R$9),J46-Listes!$S$9,
IF(AND((SUMPRODUCT(($T46:$BV46="X")*$T$18:$BV$18))&gt;=Listes!$Q$8,(SUMPRODUCT(($T46:$BV46="X")*$T$18:$BV$18))&lt;Listes!$R$8),J46-Listes!$S$8,
IF(AND((SUMPRODUCT(($T46:$BV46="X")*$T$18:$BV$18))&gt;=Listes!$Q$7),J46-Listes!$S$7,
"Erreur"))))))&lt;1,1,
IF((SUMPRODUCT(($T46:$BV46="X")*$T$18:$BV$18))&lt;Listes!$R$12,J46-Listes!$S$12,
IF(AND((SUMPRODUCT(($T46:$BV46="X")*$T$18:$BV$18))&gt;=Listes!$Q$11,(SUMPRODUCT(($T46:$BV46="X")*$T$18:$BV$18))&lt;Listes!$R$11),J46-Listes!$S$11,
IF(AND((SUMPRODUCT(($T46:$BV46="X")*$T$18:$BV$18))&gt;=Listes!$Q$10,(SUMPRODUCT(($T46:$BV46="X")*$T$18:$BV$18))&lt;Listes!$R$10),J46-Listes!$S$10,
IF(AND((SUMPRODUCT(($T46:$BV46="X")*$T$18:$BV$18))&gt;=Listes!$Q$9,(SUMPRODUCT(($T46:$BV46="X")*$T$18:$BV$18))&lt;Listes!$R$9),J46-Listes!$S$9,
IF(AND((SUMPRODUCT(($T46:$BV46="X")*$T$18:$BV$18))&gt;=Listes!$Q$8,(SUMPRODUCT(($T46:$BV46="X")*$T$18:$BV$18))&lt;Listes!$R$8),J46-Listes!$S$8,
IF(AND((SUMPRODUCT(($T46:$BV46="X")*$T$18:$BV$18))&gt;=Listes!$Q$7),J46-Listes!$S$7,
"Erreur"))))))))</f>
        <v/>
      </c>
      <c r="BY46" s="321" t="str">
        <f>IF(O46="","",IF(IF((SUMPRODUCT(($T46:$BV46="X")*$T$19:$BV$19))&lt;Listes!$R$12,O46-Listes!$S$12,
IF(AND((SUMPRODUCT(($T46:$BV46="X")*$T$19:$BV$19))&gt;=Listes!$Q$11,(SUMPRODUCT(($T46:$BV46="X")*$T$19:$BV$19))&lt;Listes!$R$11),O46-Listes!$S$11,
IF(AND((SUMPRODUCT(($T46:$BV46="X")*$T$19:$BV$19))&gt;=Listes!$Q$10,(SUMPRODUCT(($T46:$BV46="X")*$T$19:$BV$19))&lt;Listes!$R$10),O46-Listes!$S$10,
IF(AND((SUMPRODUCT(($T46:$BV46="X")*$T$19:$BV$19))&gt;=Listes!$Q$9,(SUMPRODUCT(($T46:$BV46="X")*$T$19:$BV$19))&lt;Listes!$R$9),O46-Listes!$S$9,
IF(AND((SUMPRODUCT(($T46:$BV46="X")*$T$19:$BV$19))&gt;=Listes!$Q$8,(SUMPRODUCT(($T46:$BV46="X")*$T$19:$BV$19))&lt;Listes!$R$8),O46-Listes!$S$8,
IF(AND((SUMPRODUCT(($T46:$BV46="X")*$T$19:$BV$19))&gt;=Listes!$Q$7),O46-Listes!$S$7,
"Erreur"))))))&lt;1,1,
IF((SUMPRODUCT(($T46:$BV46="X")*$T$19:$BV$19))&lt;Listes!$R$12,O46-Listes!$S$12,
IF(AND((SUMPRODUCT(($T46:$BV46="X")*$T$19:$BV$19))&gt;=Listes!$Q$11,(SUMPRODUCT(($T46:$BV46="X")*$T$19:$BV$19))&lt;Listes!$R$11),O46-Listes!$S$11,
IF(AND((SUMPRODUCT(($T46:$BV46="X")*$T$19:$BV$19))&gt;=Listes!$Q$10,(SUMPRODUCT(($T46:$BV46="X")*$T$19:$BV$19))&lt;Listes!$R$10),O46-Listes!$S$10,
IF(AND((SUMPRODUCT(($T46:$BV46="X")*$T$19:$BV$19))&gt;=Listes!$Q$9,(SUMPRODUCT(($T46:$BV46="X")*$T$19:$BV$19))&lt;Listes!$R$9),O46-Listes!$S$9,
IF(AND((SUMPRODUCT(($T46:$BV46="X")*$T$19:$BV$19))&gt;=Listes!$Q$8,(SUMPRODUCT(($T46:$BV46="X")*$T$19:$BV$19))&lt;Listes!$R$8),O46-Listes!$S$8,
IF(AND((SUMPRODUCT(($T46:$BV46="X")*$T$19:$BV$19))&gt;=Listes!$Q$7),O46-Listes!$S$7,
"Erreur"))))))))</f>
        <v/>
      </c>
      <c r="BZ46" s="322" t="str">
        <f t="shared" si="54"/>
        <v/>
      </c>
      <c r="CA46" s="9"/>
      <c r="CB46" s="9"/>
      <c r="CC46" s="287"/>
      <c r="CD46" s="288"/>
      <c r="CE46" s="289"/>
      <c r="CF46" s="289"/>
      <c r="CG46" s="289"/>
      <c r="CH46" s="289"/>
      <c r="CI46" s="289"/>
      <c r="CJ46" s="289"/>
      <c r="CK46" s="289"/>
      <c r="CL46" s="289"/>
      <c r="CM46" s="288"/>
      <c r="CN46" s="289"/>
      <c r="CO46" s="289"/>
      <c r="CP46" s="289"/>
      <c r="CQ46" s="289"/>
      <c r="CR46" s="289"/>
      <c r="CS46" s="289"/>
      <c r="CT46" s="289"/>
      <c r="CU46" s="289"/>
      <c r="CV46" s="289"/>
      <c r="CW46" s="289"/>
      <c r="CX46" s="289"/>
      <c r="CY46" s="289"/>
      <c r="CZ46" s="289"/>
      <c r="DA46" s="289"/>
      <c r="DB46" s="272"/>
      <c r="DC46" s="320" t="str">
        <f>IF(BX46="","",IF(IF((SUMPRODUCT(($CC46:$DA46="X")*$CC$18:$DA$18))&lt;Listes!$R$12,BX46-Listes!$S$12,
IF(AND((SUMPRODUCT(($CC46:$DA46="X")*$CC$18:$DA$18))&gt;=Listes!$Q$11,(SUMPRODUCT(($CC46:$DA46="X")*$CC$18:$DA$18))&lt;Listes!$R$11),BX46-Listes!$S$11,
IF(AND((SUMPRODUCT(($CC46:$DA46="X")*$CC$18:$DA$18))&gt;=Listes!$Q$10,(SUMPRODUCT(($CC46:$DA46="X")*$CC$18:$DA$18))&lt;Listes!$R$10),BX46-Listes!$S$10,
IF(AND((SUMPRODUCT(($CC46:$DA46="X")*$CC$18:$DA$18))&gt;=Listes!$Q$9,(SUMPRODUCT(($CC46:$DA46="X")*$CC$18:$DA$18))&lt;Listes!$R$9),BX46-Listes!$S$9,
IF(AND((SUMPRODUCT(($CC46:$DA46="X")*$CC$18:$DA$18))&gt;=Listes!$Q$8,(SUMPRODUCT(($CC46:$DA46="X")*$CC$18:$DA$18))&lt;Listes!$R$8),BX46-Listes!$S$8,
IF(AND((SUMPRODUCT(($CC46:$DA46="X")*$CC$18:$DA$18))&gt;=Listes!$Q$7),BX46-Listes!$S$7,
"Erreur"))))))&lt;1,1,
IF((SUMPRODUCT(($CC46:$DA46="X")*$CC$18:$DA$18))&lt;Listes!$R$12,BX46-Listes!$S$12,
IF(AND((SUMPRODUCT(($CC46:$DA46="X")*$CC$18:$DA$18))&gt;=Listes!$Q$11,(SUMPRODUCT(($CC46:$DA46="X")*$CC$18:$DA$18))&lt;Listes!$R$11),BX46-Listes!$S$11,
IF(AND((SUMPRODUCT(($CC46:$DA46="X")*$CC$18:$DA$18))&gt;=Listes!$Q$10,(SUMPRODUCT(($CC46:$DA46="X")*$CC$18:$DA$18))&lt;Listes!$R$10),BX46-Listes!$S$10,
IF(AND((SUMPRODUCT(($CC46:$DA46="X")*$CC$18:$DA$18))&gt;=Listes!$Q$9,(SUMPRODUCT(($CC46:$DA46="X")*$CC$18:$DA$18))&lt;Listes!$R$9),BX46-Listes!$S$9,
IF(AND((SUMPRODUCT(($CC46:$DA46="X")*$CC$18:$DA$18))&gt;=Listes!$Q$8,(SUMPRODUCT(($CC46:$DA46="X")*$CC$18:$DA$18))&lt;Listes!$R$8),BX46-Listes!$S$8,
IF(AND((SUMPRODUCT(($CC46:$DA46="X")*$CC$18:$DA$18))&gt;=Listes!$Q$7),BX46-Listes!$S$7,
"Erreur"))))))))</f>
        <v/>
      </c>
      <c r="DD46" s="321" t="str">
        <f>IF(BY46="","",IF(IF((SUMPRODUCT(($CC46:$DA46="X")*$CC$19:$DA$19))&lt;Listes!$R$12,BY46-Listes!$S$12,
IF(AND((SUMPRODUCT(($CC46:$DA46="X")*$CC$19:$DA$19))&gt;=Listes!$Q$11,(SUMPRODUCT(($CC46:$DA46="X")*$CC$19:$DA$19))&lt;Listes!$R$11),BY46-Listes!$S$11,
IF(AND((SUMPRODUCT(($CC46:$DA46="X")*$CC$19:$DA$19))&gt;=Listes!$Q$10,(SUMPRODUCT(($CC46:$DA46="X")*$CC$19:$DA$19))&lt;Listes!$R$10),BY46-Listes!$S$10,
IF(AND((SUMPRODUCT(($CC46:$DA46="X")*$CC$19:$DA$19))&gt;=Listes!$Q$9,(SUMPRODUCT(($CC46:$DA46="X")*$CC$19:$DA$19))&lt;Listes!$R$9),BY46-Listes!$S$9,
IF(AND((SUMPRODUCT(($CC46:$DA46="X")*$CC$19:$DA$19))&gt;=Listes!$Q$8,(SUMPRODUCT(($CC46:$DA46="X")*$CC$19:$DA$19))&lt;Listes!$R$8),BY46-Listes!$S$8,
IF(AND((SUMPRODUCT(($CC46:$DA46="X")*$CC$19:$DA$19))&gt;=Listes!$Q$7),BY46-Listes!$S$7,
"Erreur"))))))&lt;1,1,
IF((SUMPRODUCT(($CC46:$DA46="X")*$CC$19:$DA$19))&lt;Listes!$R$12,BY46-Listes!$S$12,
IF(AND((SUMPRODUCT(($CC46:$DA46="X")*$CC$19:$DA$19))&gt;=Listes!$Q$11,(SUMPRODUCT(($CC46:$DA46="X")*$CC$19:$DA$19))&lt;Listes!$R$11),BY46-Listes!$S$11,
IF(AND((SUMPRODUCT(($CC46:$DA46="X")*$CC$19:$DA$19))&gt;=Listes!$Q$10,(SUMPRODUCT(($CC46:$DA46="X")*$CC$19:$DA$19))&lt;Listes!$R$10),BY46-Listes!$S$10,
IF(AND((SUMPRODUCT(($CC46:$DA46="X")*$CC$19:$DA$19))&gt;=Listes!$Q$9,(SUMPRODUCT(($CC46:$DA46="X")*$CC$19:$DA$19))&lt;Listes!$R$9),BY46-Listes!$S$9,
IF(AND((SUMPRODUCT(($CC46:$DA46="X")*$CC$19:$DA$19))&gt;=Listes!$Q$8,(SUMPRODUCT(($CC46:$DA46="X")*$CC$19:$DA$19))&lt;Listes!$R$8),BY46-Listes!$S$8,
IF(AND((SUMPRODUCT(($CC46:$DA46="X")*$CC$19:$DA$19))&gt;=Listes!$Q$7),BY46-Listes!$S$7,
"Erreur"))))))))</f>
        <v/>
      </c>
      <c r="DE46" s="322" t="str">
        <f t="shared" si="55"/>
        <v/>
      </c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</row>
    <row r="47" spans="1:140" s="30" customFormat="1" ht="16.5" customHeight="1" x14ac:dyDescent="0.2">
      <c r="A47" s="9"/>
      <c r="B47" s="9"/>
      <c r="C47" s="433" t="str">
        <f>IF(D47="","",$G$1&amp;"-R"&amp;Listes!A26)</f>
        <v/>
      </c>
      <c r="D47" s="280"/>
      <c r="E47" s="284"/>
      <c r="F47" s="284"/>
      <c r="G47" s="279"/>
      <c r="H47" s="304" t="str">
        <f>IF(G47="","",VLOOKUP(G47,Listes!W28:Y75,2,FALSE))</f>
        <v/>
      </c>
      <c r="I47" s="304" t="str">
        <f>IF(G47="","",VLOOKUP(G47,Listes!W28:Y75,3,FALSE))</f>
        <v/>
      </c>
      <c r="J47" s="282"/>
      <c r="K47" s="283"/>
      <c r="L47" s="283"/>
      <c r="M47" s="283"/>
      <c r="N47" s="283"/>
      <c r="O47" s="318" t="str">
        <f t="shared" si="52"/>
        <v/>
      </c>
      <c r="P47" s="319" t="str">
        <f t="shared" si="53"/>
        <v/>
      </c>
      <c r="Q47" s="194"/>
      <c r="R47" s="9"/>
      <c r="S47" s="79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3"/>
      <c r="AM47" s="273"/>
      <c r="AN47" s="273"/>
      <c r="AO47" s="273"/>
      <c r="AP47" s="273"/>
      <c r="AQ47" s="273"/>
      <c r="AR47" s="273"/>
      <c r="AS47" s="273"/>
      <c r="AT47" s="273"/>
      <c r="AU47" s="273"/>
      <c r="AV47" s="273"/>
      <c r="AW47" s="273"/>
      <c r="AX47" s="273"/>
      <c r="AY47" s="273"/>
      <c r="AZ47" s="273"/>
      <c r="BA47" s="273"/>
      <c r="BB47" s="273"/>
      <c r="BC47" s="273"/>
      <c r="BD47" s="273"/>
      <c r="BE47" s="273"/>
      <c r="BF47" s="273"/>
      <c r="BG47" s="273"/>
      <c r="BH47" s="273"/>
      <c r="BI47" s="273"/>
      <c r="BJ47" s="273"/>
      <c r="BK47" s="273"/>
      <c r="BL47" s="273"/>
      <c r="BM47" s="273"/>
      <c r="BN47" s="273"/>
      <c r="BO47" s="273"/>
      <c r="BP47" s="273"/>
      <c r="BQ47" s="273"/>
      <c r="BR47" s="273"/>
      <c r="BS47" s="273"/>
      <c r="BT47" s="273"/>
      <c r="BU47" s="273"/>
      <c r="BV47" s="273"/>
      <c r="BW47" s="29"/>
      <c r="BX47" s="320" t="str">
        <f>IF(J47="","",IF(IF((SUMPRODUCT(($T47:$BV47="X")*$T$18:$BV$18))&lt;Listes!$R$12,J47-Listes!$S$12,
IF(AND((SUMPRODUCT(($T47:$BV47="X")*$T$18:$BV$18))&gt;=Listes!$Q$11,(SUMPRODUCT(($T47:$BV47="X")*$T$18:$BV$18))&lt;Listes!$R$11),J47-Listes!$S$11,
IF(AND((SUMPRODUCT(($T47:$BV47="X")*$T$18:$BV$18))&gt;=Listes!$Q$10,(SUMPRODUCT(($T47:$BV47="X")*$T$18:$BV$18))&lt;Listes!$R$10),J47-Listes!$S$10,
IF(AND((SUMPRODUCT(($T47:$BV47="X")*$T$18:$BV$18))&gt;=Listes!$Q$9,(SUMPRODUCT(($T47:$BV47="X")*$T$18:$BV$18))&lt;Listes!$R$9),J47-Listes!$S$9,
IF(AND((SUMPRODUCT(($T47:$BV47="X")*$T$18:$BV$18))&gt;=Listes!$Q$8,(SUMPRODUCT(($T47:$BV47="X")*$T$18:$BV$18))&lt;Listes!$R$8),J47-Listes!$S$8,
IF(AND((SUMPRODUCT(($T47:$BV47="X")*$T$18:$BV$18))&gt;=Listes!$Q$7),J47-Listes!$S$7,
"Erreur"))))))&lt;1,1,
IF((SUMPRODUCT(($T47:$BV47="X")*$T$18:$BV$18))&lt;Listes!$R$12,J47-Listes!$S$12,
IF(AND((SUMPRODUCT(($T47:$BV47="X")*$T$18:$BV$18))&gt;=Listes!$Q$11,(SUMPRODUCT(($T47:$BV47="X")*$T$18:$BV$18))&lt;Listes!$R$11),J47-Listes!$S$11,
IF(AND((SUMPRODUCT(($T47:$BV47="X")*$T$18:$BV$18))&gt;=Listes!$Q$10,(SUMPRODUCT(($T47:$BV47="X")*$T$18:$BV$18))&lt;Listes!$R$10),J47-Listes!$S$10,
IF(AND((SUMPRODUCT(($T47:$BV47="X")*$T$18:$BV$18))&gt;=Listes!$Q$9,(SUMPRODUCT(($T47:$BV47="X")*$T$18:$BV$18))&lt;Listes!$R$9),J47-Listes!$S$9,
IF(AND((SUMPRODUCT(($T47:$BV47="X")*$T$18:$BV$18))&gt;=Listes!$Q$8,(SUMPRODUCT(($T47:$BV47="X")*$T$18:$BV$18))&lt;Listes!$R$8),J47-Listes!$S$8,
IF(AND((SUMPRODUCT(($T47:$BV47="X")*$T$18:$BV$18))&gt;=Listes!$Q$7),J47-Listes!$S$7,
"Erreur"))))))))</f>
        <v/>
      </c>
      <c r="BY47" s="321" t="str">
        <f>IF(O47="","",IF(IF((SUMPRODUCT(($T47:$BV47="X")*$T$19:$BV$19))&lt;Listes!$R$12,O47-Listes!$S$12,
IF(AND((SUMPRODUCT(($T47:$BV47="X")*$T$19:$BV$19))&gt;=Listes!$Q$11,(SUMPRODUCT(($T47:$BV47="X")*$T$19:$BV$19))&lt;Listes!$R$11),O47-Listes!$S$11,
IF(AND((SUMPRODUCT(($T47:$BV47="X")*$T$19:$BV$19))&gt;=Listes!$Q$10,(SUMPRODUCT(($T47:$BV47="X")*$T$19:$BV$19))&lt;Listes!$R$10),O47-Listes!$S$10,
IF(AND((SUMPRODUCT(($T47:$BV47="X")*$T$19:$BV$19))&gt;=Listes!$Q$9,(SUMPRODUCT(($T47:$BV47="X")*$T$19:$BV$19))&lt;Listes!$R$9),O47-Listes!$S$9,
IF(AND((SUMPRODUCT(($T47:$BV47="X")*$T$19:$BV$19))&gt;=Listes!$Q$8,(SUMPRODUCT(($T47:$BV47="X")*$T$19:$BV$19))&lt;Listes!$R$8),O47-Listes!$S$8,
IF(AND((SUMPRODUCT(($T47:$BV47="X")*$T$19:$BV$19))&gt;=Listes!$Q$7),O47-Listes!$S$7,
"Erreur"))))))&lt;1,1,
IF((SUMPRODUCT(($T47:$BV47="X")*$T$19:$BV$19))&lt;Listes!$R$12,O47-Listes!$S$12,
IF(AND((SUMPRODUCT(($T47:$BV47="X")*$T$19:$BV$19))&gt;=Listes!$Q$11,(SUMPRODUCT(($T47:$BV47="X")*$T$19:$BV$19))&lt;Listes!$R$11),O47-Listes!$S$11,
IF(AND((SUMPRODUCT(($T47:$BV47="X")*$T$19:$BV$19))&gt;=Listes!$Q$10,(SUMPRODUCT(($T47:$BV47="X")*$T$19:$BV$19))&lt;Listes!$R$10),O47-Listes!$S$10,
IF(AND((SUMPRODUCT(($T47:$BV47="X")*$T$19:$BV$19))&gt;=Listes!$Q$9,(SUMPRODUCT(($T47:$BV47="X")*$T$19:$BV$19))&lt;Listes!$R$9),O47-Listes!$S$9,
IF(AND((SUMPRODUCT(($T47:$BV47="X")*$T$19:$BV$19))&gt;=Listes!$Q$8,(SUMPRODUCT(($T47:$BV47="X")*$T$19:$BV$19))&lt;Listes!$R$8),O47-Listes!$S$8,
IF(AND((SUMPRODUCT(($T47:$BV47="X")*$T$19:$BV$19))&gt;=Listes!$Q$7),O47-Listes!$S$7,
"Erreur"))))))))</f>
        <v/>
      </c>
      <c r="BZ47" s="322" t="str">
        <f t="shared" si="54"/>
        <v/>
      </c>
      <c r="CA47" s="9"/>
      <c r="CB47" s="9"/>
      <c r="CC47" s="287"/>
      <c r="CD47" s="288"/>
      <c r="CE47" s="289"/>
      <c r="CF47" s="289"/>
      <c r="CG47" s="289"/>
      <c r="CH47" s="289"/>
      <c r="CI47" s="289"/>
      <c r="CJ47" s="289"/>
      <c r="CK47" s="289"/>
      <c r="CL47" s="289"/>
      <c r="CM47" s="288"/>
      <c r="CN47" s="289"/>
      <c r="CO47" s="289"/>
      <c r="CP47" s="289"/>
      <c r="CQ47" s="289"/>
      <c r="CR47" s="289"/>
      <c r="CS47" s="289"/>
      <c r="CT47" s="289"/>
      <c r="CU47" s="289"/>
      <c r="CV47" s="289"/>
      <c r="CW47" s="289"/>
      <c r="CX47" s="289"/>
      <c r="CY47" s="289"/>
      <c r="CZ47" s="289"/>
      <c r="DA47" s="289"/>
      <c r="DB47" s="272"/>
      <c r="DC47" s="320" t="str">
        <f>IF(BX47="","",IF(IF((SUMPRODUCT(($CC47:$DA47="X")*$CC$18:$DA$18))&lt;Listes!$R$12,BX47-Listes!$S$12,
IF(AND((SUMPRODUCT(($CC47:$DA47="X")*$CC$18:$DA$18))&gt;=Listes!$Q$11,(SUMPRODUCT(($CC47:$DA47="X")*$CC$18:$DA$18))&lt;Listes!$R$11),BX47-Listes!$S$11,
IF(AND((SUMPRODUCT(($CC47:$DA47="X")*$CC$18:$DA$18))&gt;=Listes!$Q$10,(SUMPRODUCT(($CC47:$DA47="X")*$CC$18:$DA$18))&lt;Listes!$R$10),BX47-Listes!$S$10,
IF(AND((SUMPRODUCT(($CC47:$DA47="X")*$CC$18:$DA$18))&gt;=Listes!$Q$9,(SUMPRODUCT(($CC47:$DA47="X")*$CC$18:$DA$18))&lt;Listes!$R$9),BX47-Listes!$S$9,
IF(AND((SUMPRODUCT(($CC47:$DA47="X")*$CC$18:$DA$18))&gt;=Listes!$Q$8,(SUMPRODUCT(($CC47:$DA47="X")*$CC$18:$DA$18))&lt;Listes!$R$8),BX47-Listes!$S$8,
IF(AND((SUMPRODUCT(($CC47:$DA47="X")*$CC$18:$DA$18))&gt;=Listes!$Q$7),BX47-Listes!$S$7,
"Erreur"))))))&lt;1,1,
IF((SUMPRODUCT(($CC47:$DA47="X")*$CC$18:$DA$18))&lt;Listes!$R$12,BX47-Listes!$S$12,
IF(AND((SUMPRODUCT(($CC47:$DA47="X")*$CC$18:$DA$18))&gt;=Listes!$Q$11,(SUMPRODUCT(($CC47:$DA47="X")*$CC$18:$DA$18))&lt;Listes!$R$11),BX47-Listes!$S$11,
IF(AND((SUMPRODUCT(($CC47:$DA47="X")*$CC$18:$DA$18))&gt;=Listes!$Q$10,(SUMPRODUCT(($CC47:$DA47="X")*$CC$18:$DA$18))&lt;Listes!$R$10),BX47-Listes!$S$10,
IF(AND((SUMPRODUCT(($CC47:$DA47="X")*$CC$18:$DA$18))&gt;=Listes!$Q$9,(SUMPRODUCT(($CC47:$DA47="X")*$CC$18:$DA$18))&lt;Listes!$R$9),BX47-Listes!$S$9,
IF(AND((SUMPRODUCT(($CC47:$DA47="X")*$CC$18:$DA$18))&gt;=Listes!$Q$8,(SUMPRODUCT(($CC47:$DA47="X")*$CC$18:$DA$18))&lt;Listes!$R$8),BX47-Listes!$S$8,
IF(AND((SUMPRODUCT(($CC47:$DA47="X")*$CC$18:$DA$18))&gt;=Listes!$Q$7),BX47-Listes!$S$7,
"Erreur"))))))))</f>
        <v/>
      </c>
      <c r="DD47" s="321" t="str">
        <f>IF(BY47="","",IF(IF((SUMPRODUCT(($CC47:$DA47="X")*$CC$19:$DA$19))&lt;Listes!$R$12,BY47-Listes!$S$12,
IF(AND((SUMPRODUCT(($CC47:$DA47="X")*$CC$19:$DA$19))&gt;=Listes!$Q$11,(SUMPRODUCT(($CC47:$DA47="X")*$CC$19:$DA$19))&lt;Listes!$R$11),BY47-Listes!$S$11,
IF(AND((SUMPRODUCT(($CC47:$DA47="X")*$CC$19:$DA$19))&gt;=Listes!$Q$10,(SUMPRODUCT(($CC47:$DA47="X")*$CC$19:$DA$19))&lt;Listes!$R$10),BY47-Listes!$S$10,
IF(AND((SUMPRODUCT(($CC47:$DA47="X")*$CC$19:$DA$19))&gt;=Listes!$Q$9,(SUMPRODUCT(($CC47:$DA47="X")*$CC$19:$DA$19))&lt;Listes!$R$9),BY47-Listes!$S$9,
IF(AND((SUMPRODUCT(($CC47:$DA47="X")*$CC$19:$DA$19))&gt;=Listes!$Q$8,(SUMPRODUCT(($CC47:$DA47="X")*$CC$19:$DA$19))&lt;Listes!$R$8),BY47-Listes!$S$8,
IF(AND((SUMPRODUCT(($CC47:$DA47="X")*$CC$19:$DA$19))&gt;=Listes!$Q$7),BY47-Listes!$S$7,
"Erreur"))))))&lt;1,1,
IF((SUMPRODUCT(($CC47:$DA47="X")*$CC$19:$DA$19))&lt;Listes!$R$12,BY47-Listes!$S$12,
IF(AND((SUMPRODUCT(($CC47:$DA47="X")*$CC$19:$DA$19))&gt;=Listes!$Q$11,(SUMPRODUCT(($CC47:$DA47="X")*$CC$19:$DA$19))&lt;Listes!$R$11),BY47-Listes!$S$11,
IF(AND((SUMPRODUCT(($CC47:$DA47="X")*$CC$19:$DA$19))&gt;=Listes!$Q$10,(SUMPRODUCT(($CC47:$DA47="X")*$CC$19:$DA$19))&lt;Listes!$R$10),BY47-Listes!$S$10,
IF(AND((SUMPRODUCT(($CC47:$DA47="X")*$CC$19:$DA$19))&gt;=Listes!$Q$9,(SUMPRODUCT(($CC47:$DA47="X")*$CC$19:$DA$19))&lt;Listes!$R$9),BY47-Listes!$S$9,
IF(AND((SUMPRODUCT(($CC47:$DA47="X")*$CC$19:$DA$19))&gt;=Listes!$Q$8,(SUMPRODUCT(($CC47:$DA47="X")*$CC$19:$DA$19))&lt;Listes!$R$8),BY47-Listes!$S$8,
IF(AND((SUMPRODUCT(($CC47:$DA47="X")*$CC$19:$DA$19))&gt;=Listes!$Q$7),BY47-Listes!$S$7,
"Erreur"))))))))</f>
        <v/>
      </c>
      <c r="DE47" s="322" t="str">
        <f t="shared" si="55"/>
        <v/>
      </c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</row>
  </sheetData>
  <sheetProtection formatColumns="0" formatRows="0" selectLockedCells="1" sort="0" autoFilter="0"/>
  <autoFilter ref="C22:DE22"/>
  <mergeCells count="8">
    <mergeCell ref="DC18:DE18"/>
    <mergeCell ref="DC19:DE19"/>
    <mergeCell ref="K20:O20"/>
    <mergeCell ref="C18:P18"/>
    <mergeCell ref="C19:D19"/>
    <mergeCell ref="J19:P19"/>
    <mergeCell ref="BX19:BZ19"/>
    <mergeCell ref="BX18:BZ18"/>
  </mergeCells>
  <conditionalFormatting sqref="BZ23:BZ47 P23:Q47 DE23:DE47">
    <cfRule type="cellIs" dxfId="291" priority="1147" operator="equal">
      <formula>"Majeure"</formula>
    </cfRule>
    <cfRule type="cellIs" dxfId="290" priority="1148" operator="equal">
      <formula>"Forte"</formula>
    </cfRule>
    <cfRule type="cellIs" dxfId="289" priority="1149" operator="equal">
      <formula>"Moyenne"</formula>
    </cfRule>
    <cfRule type="cellIs" dxfId="288" priority="1150" operator="equal">
      <formula>"Très faible"</formula>
    </cfRule>
    <cfRule type="cellIs" dxfId="287" priority="1151" operator="equal">
      <formula>"Faible"</formula>
    </cfRule>
  </conditionalFormatting>
  <conditionalFormatting sqref="T5:T8 AR5:AT8 CC5:CC8 CM5:CO8 CV5:DA8 AO5:AP8 BI5:BV8">
    <cfRule type="expression" dxfId="286" priority="911">
      <formula>T$4="C"</formula>
    </cfRule>
  </conditionalFormatting>
  <conditionalFormatting sqref="CN9:CO9 CY13:DA14 T9 CM13:CO14 CY9:DA9 AR9:AT9 CV13:CV14 CV9 AO9:AP9 BI9:BV9">
    <cfRule type="expression" dxfId="285" priority="845">
      <formula>T$3="Hors processus"</formula>
    </cfRule>
    <cfRule type="expression" dxfId="284" priority="846">
      <formula>T$3="A initier"</formula>
    </cfRule>
    <cfRule type="expression" dxfId="283" priority="847">
      <formula>T$3="En cours"</formula>
    </cfRule>
    <cfRule type="expression" dxfId="282" priority="849">
      <formula>T$3="En place"</formula>
    </cfRule>
  </conditionalFormatting>
  <conditionalFormatting sqref="BV23:BV47">
    <cfRule type="expression" dxfId="281" priority="844">
      <formula>BV$3="En place"</formula>
    </cfRule>
  </conditionalFormatting>
  <conditionalFormatting sqref="BX23:BX47">
    <cfRule type="expression" dxfId="280" priority="729">
      <formula>BX23&lt;J23</formula>
    </cfRule>
  </conditionalFormatting>
  <conditionalFormatting sqref="CV4 CX4:DA4 BV21 BS4:BV4">
    <cfRule type="expression" dxfId="279" priority="553">
      <formula>BS$3="En place"</formula>
    </cfRule>
  </conditionalFormatting>
  <conditionalFormatting sqref="CV4 CX4:DA4">
    <cfRule type="expression" dxfId="278" priority="550">
      <formula>CV$3="Hors processus"</formula>
    </cfRule>
    <cfRule type="expression" dxfId="277" priority="551">
      <formula>CV$3="A initier"</formula>
    </cfRule>
    <cfRule type="expression" dxfId="276" priority="552">
      <formula>CV$3="En cours"</formula>
    </cfRule>
  </conditionalFormatting>
  <conditionalFormatting sqref="BY23:BY47">
    <cfRule type="expression" dxfId="275" priority="549">
      <formula>BY23&lt;O23</formula>
    </cfRule>
  </conditionalFormatting>
  <conditionalFormatting sqref="CM9 BV13:BV14">
    <cfRule type="expression" dxfId="274" priority="503">
      <formula>BV$3="Hors processus"</formula>
    </cfRule>
    <cfRule type="expression" dxfId="273" priority="504">
      <formula>BV$3="A initier"</formula>
    </cfRule>
    <cfRule type="expression" dxfId="272" priority="505">
      <formula>BV$3="En cours"</formula>
    </cfRule>
    <cfRule type="expression" dxfId="271" priority="506">
      <formula>BV$3="En place"</formula>
    </cfRule>
  </conditionalFormatting>
  <conditionalFormatting sqref="CX9 CX13:CX14">
    <cfRule type="expression" dxfId="270" priority="431">
      <formula>CX$3="Hors processus"</formula>
    </cfRule>
    <cfRule type="expression" dxfId="269" priority="432">
      <formula>CX$3="A initier"</formula>
    </cfRule>
    <cfRule type="expression" dxfId="268" priority="433">
      <formula>CX$3="En cours"</formula>
    </cfRule>
    <cfRule type="expression" dxfId="267" priority="434">
      <formula>CX$3="En place"</formula>
    </cfRule>
  </conditionalFormatting>
  <conditionalFormatting sqref="CW9 CW13:CW14">
    <cfRule type="expression" dxfId="266" priority="361">
      <formula>CW$3="Hors processus"</formula>
    </cfRule>
    <cfRule type="expression" dxfId="265" priority="362">
      <formula>CW$3="A initier"</formula>
    </cfRule>
    <cfRule type="expression" dxfId="264" priority="363">
      <formula>CW$3="En cours"</formula>
    </cfRule>
    <cfRule type="expression" dxfId="263" priority="364">
      <formula>CW$3="En place"</formula>
    </cfRule>
  </conditionalFormatting>
  <conditionalFormatting sqref="CW4">
    <cfRule type="expression" dxfId="262" priority="359">
      <formula>CW$3="En place"</formula>
    </cfRule>
  </conditionalFormatting>
  <conditionalFormatting sqref="CW4">
    <cfRule type="expression" dxfId="261" priority="356">
      <formula>CW$3="En attente"</formula>
    </cfRule>
    <cfRule type="expression" dxfId="260" priority="357">
      <formula>CW$3="A initier"</formula>
    </cfRule>
    <cfRule type="expression" dxfId="259" priority="358">
      <formula>CW$3="En cours"</formula>
    </cfRule>
  </conditionalFormatting>
  <conditionalFormatting sqref="CC3 CM3:CO3 CV3:DA3">
    <cfRule type="cellIs" dxfId="258" priority="352" operator="equal">
      <formula>"En place"</formula>
    </cfRule>
  </conditionalFormatting>
  <conditionalFormatting sqref="CC3 CM3:CO3 CV3:DA3">
    <cfRule type="cellIs" dxfId="257" priority="349" operator="equal">
      <formula>"Hors processus"</formula>
    </cfRule>
    <cfRule type="cellIs" dxfId="256" priority="351" operator="equal">
      <formula>"En cours"</formula>
    </cfRule>
  </conditionalFormatting>
  <conditionalFormatting sqref="CC9 CC13:CC14">
    <cfRule type="expression" dxfId="255" priority="345">
      <formula>CC$3="Hors processus"</formula>
    </cfRule>
    <cfRule type="expression" dxfId="254" priority="346">
      <formula>CC$3="A initier"</formula>
    </cfRule>
    <cfRule type="expression" dxfId="253" priority="347">
      <formula>CC$3="En cours"</formula>
    </cfRule>
    <cfRule type="expression" dxfId="252" priority="348">
      <formula>CC$3="En place"</formula>
    </cfRule>
  </conditionalFormatting>
  <conditionalFormatting sqref="CC4 CM4:CO4">
    <cfRule type="expression" dxfId="251" priority="343">
      <formula>CC$3="En place"</formula>
    </cfRule>
  </conditionalFormatting>
  <conditionalFormatting sqref="CC4 CM4:CO4">
    <cfRule type="expression" dxfId="250" priority="340">
      <formula>CC$3="Hors processus"</formula>
    </cfRule>
    <cfRule type="expression" dxfId="249" priority="341">
      <formula>CC$3="A initier"</formula>
    </cfRule>
    <cfRule type="expression" dxfId="248" priority="342">
      <formula>CC$3="En cours"</formula>
    </cfRule>
  </conditionalFormatting>
  <conditionalFormatting sqref="AQ5:AQ8">
    <cfRule type="expression" dxfId="247" priority="335">
      <formula>AQ$4="C"</formula>
    </cfRule>
  </conditionalFormatting>
  <conditionalFormatting sqref="AQ9">
    <cfRule type="expression" dxfId="246" priority="327">
      <formula>AQ$3="En attente"</formula>
    </cfRule>
    <cfRule type="expression" dxfId="245" priority="328">
      <formula>AQ$3="A initier"</formula>
    </cfRule>
    <cfRule type="expression" dxfId="244" priority="329">
      <formula>AQ$3="En cours"</formula>
    </cfRule>
    <cfRule type="expression" dxfId="243" priority="330">
      <formula>AQ$3="En place"</formula>
    </cfRule>
  </conditionalFormatting>
  <conditionalFormatting sqref="BV21 BS4:BV4">
    <cfRule type="expression" dxfId="242" priority="317">
      <formula>BS$3="En attente"</formula>
    </cfRule>
    <cfRule type="expression" dxfId="241" priority="318">
      <formula>BS$3="A initier"</formula>
    </cfRule>
    <cfRule type="expression" dxfId="240" priority="319">
      <formula>BS$3="En cours"</formula>
    </cfRule>
  </conditionalFormatting>
  <conditionalFormatting sqref="BV23:BV47">
    <cfRule type="cellIs" dxfId="239" priority="311" operator="equal">
      <formula>"X"</formula>
    </cfRule>
  </conditionalFormatting>
  <conditionalFormatting sqref="T23:T47 AO23:AT47 BI23:BU47 U23:X23">
    <cfRule type="expression" dxfId="238" priority="234">
      <formula>T$3="En place"</formula>
    </cfRule>
  </conditionalFormatting>
  <conditionalFormatting sqref="T21 AO21:AT21 BI21:BU21">
    <cfRule type="expression" dxfId="237" priority="235">
      <formula>T$3="En attente"</formula>
    </cfRule>
    <cfRule type="expression" dxfId="236" priority="236">
      <formula>T$3="A initier"</formula>
    </cfRule>
    <cfRule type="expression" dxfId="235" priority="237">
      <formula>T$3="En cours"</formula>
    </cfRule>
    <cfRule type="expression" dxfId="234" priority="238">
      <formula>T$3="En place"</formula>
    </cfRule>
  </conditionalFormatting>
  <conditionalFormatting sqref="T13:T14 AO13:AT14 BI13:BR14">
    <cfRule type="expression" dxfId="233" priority="230">
      <formula>T$3="En attente"</formula>
    </cfRule>
    <cfRule type="expression" dxfId="232" priority="231">
      <formula>T$3="A initier"</formula>
    </cfRule>
    <cfRule type="expression" dxfId="231" priority="232">
      <formula>T$3="En cours"</formula>
    </cfRule>
    <cfRule type="expression" dxfId="230" priority="233">
      <formula>T$3="En place"</formula>
    </cfRule>
  </conditionalFormatting>
  <conditionalFormatting sqref="T4 AO4:AT4 BI4:BR4">
    <cfRule type="expression" dxfId="229" priority="222">
      <formula>T$3="En attente"</formula>
    </cfRule>
    <cfRule type="expression" dxfId="228" priority="223">
      <formula>T$3="A initier"</formula>
    </cfRule>
    <cfRule type="expression" dxfId="227" priority="224">
      <formula>T$3="En cours"</formula>
    </cfRule>
    <cfRule type="expression" dxfId="226" priority="225">
      <formula>T$3="En place"</formula>
    </cfRule>
  </conditionalFormatting>
  <conditionalFormatting sqref="CX23:DB47">
    <cfRule type="expression" dxfId="225" priority="217">
      <formula>#REF!="En place"</formula>
    </cfRule>
  </conditionalFormatting>
  <conditionalFormatting sqref="CW21">
    <cfRule type="expression" dxfId="224" priority="213">
      <formula>CW$3="Hors processus"</formula>
    </cfRule>
    <cfRule type="expression" dxfId="223" priority="214">
      <formula>CW$3="A initier"</formula>
    </cfRule>
    <cfRule type="expression" dxfId="222" priority="215">
      <formula>CW$3="En cours"</formula>
    </cfRule>
    <cfRule type="expression" dxfId="221" priority="216">
      <formula>CW$3="En place"</formula>
    </cfRule>
  </conditionalFormatting>
  <conditionalFormatting sqref="CW23:CW47">
    <cfRule type="expression" dxfId="220" priority="212">
      <formula>CW$3="En place"</formula>
    </cfRule>
  </conditionalFormatting>
  <conditionalFormatting sqref="CC23:CC47 CM23:CO47 CV23:CV47">
    <cfRule type="expression" dxfId="219" priority="211">
      <formula>#REF!="En place"</formula>
    </cfRule>
  </conditionalFormatting>
  <conditionalFormatting sqref="CC21 CM21:CO21 CV21:CY21">
    <cfRule type="expression" dxfId="218" priority="218">
      <formula>CC$3="Hors processus"</formula>
    </cfRule>
    <cfRule type="expression" dxfId="217" priority="219">
      <formula>CC$3="A initier"</formula>
    </cfRule>
    <cfRule type="expression" dxfId="216" priority="220">
      <formula>CC$3="En cours"</formula>
    </cfRule>
    <cfRule type="expression" dxfId="215" priority="221">
      <formula>CC$3="En place"</formula>
    </cfRule>
  </conditionalFormatting>
  <conditionalFormatting sqref="CZ21:DA21">
    <cfRule type="expression" dxfId="214" priority="207">
      <formula>CZ$3="Hors processus"</formula>
    </cfRule>
    <cfRule type="expression" dxfId="213" priority="208">
      <formula>CZ$3="A initier"</formula>
    </cfRule>
    <cfRule type="expression" dxfId="212" priority="209">
      <formula>CZ$3="En cours"</formula>
    </cfRule>
    <cfRule type="expression" dxfId="211" priority="210">
      <formula>CZ$3="En place"</formula>
    </cfRule>
  </conditionalFormatting>
  <conditionalFormatting sqref="CC23:CC47 T23:T47 CM23:CO47 CV23:DA47 AO23:AT47 BI23:BV47 U23:X23">
    <cfRule type="cellIs" dxfId="210" priority="206" operator="equal">
      <formula>"X"</formula>
    </cfRule>
  </conditionalFormatting>
  <conditionalFormatting sqref="BS13:BT14">
    <cfRule type="expression" dxfId="209" priority="202">
      <formula>BS$3="En attente"</formula>
    </cfRule>
    <cfRule type="expression" dxfId="208" priority="203">
      <formula>BS$3="A initier"</formula>
    </cfRule>
    <cfRule type="expression" dxfId="207" priority="204">
      <formula>BS$3="En cours"</formula>
    </cfRule>
    <cfRule type="expression" dxfId="206" priority="205">
      <formula>BS$3="En place"</formula>
    </cfRule>
  </conditionalFormatting>
  <conditionalFormatting sqref="BU13:BU14">
    <cfRule type="expression" dxfId="205" priority="198">
      <formula>BU$3="En attente"</formula>
    </cfRule>
    <cfRule type="expression" dxfId="204" priority="199">
      <formula>BU$3="A initier"</formula>
    </cfRule>
    <cfRule type="expression" dxfId="203" priority="200">
      <formula>BU$3="En cours"</formula>
    </cfRule>
    <cfRule type="expression" dxfId="202" priority="201">
      <formula>BU$3="En place"</formula>
    </cfRule>
  </conditionalFormatting>
  <conditionalFormatting sqref="AO3:AT3 BI3:BV3 T3:X3">
    <cfRule type="cellIs" dxfId="201" priority="197" operator="equal">
      <formula>"En place"</formula>
    </cfRule>
  </conditionalFormatting>
  <conditionalFormatting sqref="AO3:AT3 BI3:BV3 T3:X3">
    <cfRule type="cellIs" dxfId="200" priority="194" operator="equal">
      <formula>"En attente"</formula>
    </cfRule>
    <cfRule type="cellIs" dxfId="199" priority="195" operator="equal">
      <formula>"A initier"</formula>
    </cfRule>
    <cfRule type="cellIs" dxfId="198" priority="196" operator="equal">
      <formula>"En cours"</formula>
    </cfRule>
  </conditionalFormatting>
  <conditionalFormatting sqref="CD5:CL8">
    <cfRule type="expression" dxfId="197" priority="193">
      <formula>CD$4="C"</formula>
    </cfRule>
  </conditionalFormatting>
  <conditionalFormatting sqref="CE9:CG9 CJ13:CL14 CD13:CG14 CJ9:CL9">
    <cfRule type="expression" dxfId="196" priority="189">
      <formula>CD$3="Hors processus"</formula>
    </cfRule>
    <cfRule type="expression" dxfId="195" priority="190">
      <formula>CD$3="A initier"</formula>
    </cfRule>
    <cfRule type="expression" dxfId="194" priority="191">
      <formula>CD$3="En cours"</formula>
    </cfRule>
    <cfRule type="expression" dxfId="193" priority="192">
      <formula>CD$3="En place"</formula>
    </cfRule>
  </conditionalFormatting>
  <conditionalFormatting sqref="CG4 CI4:CL4">
    <cfRule type="expression" dxfId="192" priority="188">
      <formula>CG$3="En place"</formula>
    </cfRule>
  </conditionalFormatting>
  <conditionalFormatting sqref="CG4 CI4:CL4">
    <cfRule type="expression" dxfId="191" priority="185">
      <formula>CG$3="Hors processus"</formula>
    </cfRule>
    <cfRule type="expression" dxfId="190" priority="186">
      <formula>CG$3="A initier"</formula>
    </cfRule>
    <cfRule type="expression" dxfId="189" priority="187">
      <formula>CG$3="En cours"</formula>
    </cfRule>
  </conditionalFormatting>
  <conditionalFormatting sqref="CD9">
    <cfRule type="expression" dxfId="188" priority="181">
      <formula>CD$3="Hors processus"</formula>
    </cfRule>
    <cfRule type="expression" dxfId="187" priority="182">
      <formula>CD$3="A initier"</formula>
    </cfRule>
    <cfRule type="expression" dxfId="186" priority="183">
      <formula>CD$3="En cours"</formula>
    </cfRule>
    <cfRule type="expression" dxfId="185" priority="184">
      <formula>CD$3="En place"</formula>
    </cfRule>
  </conditionalFormatting>
  <conditionalFormatting sqref="CI9 CI13:CI14">
    <cfRule type="expression" dxfId="184" priority="177">
      <formula>CI$3="Hors processus"</formula>
    </cfRule>
    <cfRule type="expression" dxfId="183" priority="178">
      <formula>CI$3="A initier"</formula>
    </cfRule>
    <cfRule type="expression" dxfId="182" priority="179">
      <formula>CI$3="En cours"</formula>
    </cfRule>
    <cfRule type="expression" dxfId="181" priority="180">
      <formula>CI$3="En place"</formula>
    </cfRule>
  </conditionalFormatting>
  <conditionalFormatting sqref="CH9 CH13:CH14">
    <cfRule type="expression" dxfId="180" priority="173">
      <formula>CH$3="Hors processus"</formula>
    </cfRule>
    <cfRule type="expression" dxfId="179" priority="174">
      <formula>CH$3="A initier"</formula>
    </cfRule>
    <cfRule type="expression" dxfId="178" priority="175">
      <formula>CH$3="En cours"</formula>
    </cfRule>
    <cfRule type="expression" dxfId="177" priority="176">
      <formula>CH$3="En place"</formula>
    </cfRule>
  </conditionalFormatting>
  <conditionalFormatting sqref="CH4">
    <cfRule type="expression" dxfId="176" priority="172">
      <formula>CH$3="En place"</formula>
    </cfRule>
  </conditionalFormatting>
  <conditionalFormatting sqref="CH4">
    <cfRule type="expression" dxfId="175" priority="169">
      <formula>CH$3="Hors processus"</formula>
    </cfRule>
    <cfRule type="expression" dxfId="174" priority="170">
      <formula>CH$3="A initier"</formula>
    </cfRule>
    <cfRule type="expression" dxfId="173" priority="171">
      <formula>CH$3="En cours"</formula>
    </cfRule>
  </conditionalFormatting>
  <conditionalFormatting sqref="CD3:CL3">
    <cfRule type="cellIs" dxfId="172" priority="168" operator="equal">
      <formula>"En place"</formula>
    </cfRule>
  </conditionalFormatting>
  <conditionalFormatting sqref="CD3:CL3">
    <cfRule type="cellIs" dxfId="171" priority="165" operator="equal">
      <formula>"Hors processus"</formula>
    </cfRule>
    <cfRule type="cellIs" dxfId="170" priority="166" operator="equal">
      <formula>"A initier"</formula>
    </cfRule>
    <cfRule type="cellIs" dxfId="169" priority="167" operator="equal">
      <formula>"En cours"</formula>
    </cfRule>
  </conditionalFormatting>
  <conditionalFormatting sqref="CD4:CF4">
    <cfRule type="expression" dxfId="168" priority="164">
      <formula>CD$3="En place"</formula>
    </cfRule>
  </conditionalFormatting>
  <conditionalFormatting sqref="CD4:CF4">
    <cfRule type="expression" dxfId="167" priority="161">
      <formula>CD$3="Hors processus"</formula>
    </cfRule>
    <cfRule type="expression" dxfId="166" priority="162">
      <formula>CD$3="A initier"</formula>
    </cfRule>
    <cfRule type="expression" dxfId="165" priority="163">
      <formula>CD$3="En cours"</formula>
    </cfRule>
  </conditionalFormatting>
  <conditionalFormatting sqref="CI23:CL47">
    <cfRule type="expression" dxfId="164" priority="156">
      <formula>#REF!="En place"</formula>
    </cfRule>
  </conditionalFormatting>
  <conditionalFormatting sqref="CH21">
    <cfRule type="expression" dxfId="163" priority="152">
      <formula>CH$3="Hors processus"</formula>
    </cfRule>
    <cfRule type="expression" dxfId="162" priority="153">
      <formula>CH$3="A initier"</formula>
    </cfRule>
    <cfRule type="expression" dxfId="161" priority="154">
      <formula>CH$3="En cours"</formula>
    </cfRule>
    <cfRule type="expression" dxfId="160" priority="155">
      <formula>CH$3="En place"</formula>
    </cfRule>
  </conditionalFormatting>
  <conditionalFormatting sqref="CH23:CH47">
    <cfRule type="expression" dxfId="159" priority="151">
      <formula>CH$3="En place"</formula>
    </cfRule>
  </conditionalFormatting>
  <conditionalFormatting sqref="CD23:CG47">
    <cfRule type="expression" dxfId="158" priority="150">
      <formula>#REF!="En place"</formula>
    </cfRule>
  </conditionalFormatting>
  <conditionalFormatting sqref="CD21:CJ21">
    <cfRule type="expression" dxfId="157" priority="157">
      <formula>CD$3="Hors processus"</formula>
    </cfRule>
    <cfRule type="expression" dxfId="156" priority="158">
      <formula>CD$3="A initier"</formula>
    </cfRule>
    <cfRule type="expression" dxfId="155" priority="159">
      <formula>CD$3="En cours"</formula>
    </cfRule>
    <cfRule type="expression" dxfId="154" priority="160">
      <formula>CD$3="En place"</formula>
    </cfRule>
  </conditionalFormatting>
  <conditionalFormatting sqref="CK21:CL21">
    <cfRule type="expression" dxfId="153" priority="146">
      <formula>CK$3="Hors processus"</formula>
    </cfRule>
    <cfRule type="expression" dxfId="152" priority="147">
      <formula>CK$3="A initier"</formula>
    </cfRule>
    <cfRule type="expression" dxfId="151" priority="148">
      <formula>CK$3="En cours"</formula>
    </cfRule>
    <cfRule type="expression" dxfId="150" priority="149">
      <formula>CK$3="En place"</formula>
    </cfRule>
  </conditionalFormatting>
  <conditionalFormatting sqref="CD23:CL47">
    <cfRule type="cellIs" dxfId="149" priority="145" operator="equal">
      <formula>"X"</formula>
    </cfRule>
  </conditionalFormatting>
  <conditionalFormatting sqref="DC23:DD47">
    <cfRule type="expression" dxfId="148" priority="1884">
      <formula>DD23&lt;BY23</formula>
    </cfRule>
  </conditionalFormatting>
  <conditionalFormatting sqref="CP5:CU8">
    <cfRule type="expression" dxfId="147" priority="144">
      <formula>CP$4="C"</formula>
    </cfRule>
  </conditionalFormatting>
  <conditionalFormatting sqref="CS13:CU14 CS9:CU9 CP13:CP14 CP9">
    <cfRule type="expression" dxfId="146" priority="140">
      <formula>CP$3="Hors processus"</formula>
    </cfRule>
    <cfRule type="expression" dxfId="145" priority="141">
      <formula>CP$3="A initier"</formula>
    </cfRule>
    <cfRule type="expression" dxfId="144" priority="142">
      <formula>CP$3="En cours"</formula>
    </cfRule>
    <cfRule type="expression" dxfId="143" priority="143">
      <formula>CP$3="En place"</formula>
    </cfRule>
  </conditionalFormatting>
  <conditionalFormatting sqref="CP4 CR4:CU4">
    <cfRule type="expression" dxfId="142" priority="139">
      <formula>CP$3="En place"</formula>
    </cfRule>
  </conditionalFormatting>
  <conditionalFormatting sqref="CP4 CR4:CU4">
    <cfRule type="expression" dxfId="141" priority="136">
      <formula>CP$3="Hors processus"</formula>
    </cfRule>
    <cfRule type="expression" dxfId="140" priority="137">
      <formula>CP$3="A initier"</formula>
    </cfRule>
    <cfRule type="expression" dxfId="139" priority="138">
      <formula>CP$3="En cours"</formula>
    </cfRule>
  </conditionalFormatting>
  <conditionalFormatting sqref="CR9 CR13:CR14">
    <cfRule type="expression" dxfId="138" priority="132">
      <formula>CR$3="Hors processus"</formula>
    </cfRule>
    <cfRule type="expression" dxfId="137" priority="133">
      <formula>CR$3="A initier"</formula>
    </cfRule>
    <cfRule type="expression" dxfId="136" priority="134">
      <formula>CR$3="En cours"</formula>
    </cfRule>
    <cfRule type="expression" dxfId="135" priority="135">
      <formula>CR$3="En place"</formula>
    </cfRule>
  </conditionalFormatting>
  <conditionalFormatting sqref="CQ9 CQ13:CQ14">
    <cfRule type="expression" dxfId="134" priority="128">
      <formula>CQ$3="Hors processus"</formula>
    </cfRule>
    <cfRule type="expression" dxfId="133" priority="129">
      <formula>CQ$3="A initier"</formula>
    </cfRule>
    <cfRule type="expression" dxfId="132" priority="130">
      <formula>CQ$3="En cours"</formula>
    </cfRule>
    <cfRule type="expression" dxfId="131" priority="131">
      <formula>CQ$3="En place"</formula>
    </cfRule>
  </conditionalFormatting>
  <conditionalFormatting sqref="CQ4">
    <cfRule type="expression" dxfId="130" priority="127">
      <formula>CQ$3="En place"</formula>
    </cfRule>
  </conditionalFormatting>
  <conditionalFormatting sqref="CQ4">
    <cfRule type="expression" dxfId="129" priority="124">
      <formula>CQ$3="Hors processus"</formula>
    </cfRule>
    <cfRule type="expression" dxfId="128" priority="125">
      <formula>CQ$3="A initier"</formula>
    </cfRule>
    <cfRule type="expression" dxfId="127" priority="126">
      <formula>CQ$3="En cours"</formula>
    </cfRule>
  </conditionalFormatting>
  <conditionalFormatting sqref="CP3:CU3">
    <cfRule type="cellIs" dxfId="126" priority="123" operator="equal">
      <formula>"En place"</formula>
    </cfRule>
  </conditionalFormatting>
  <conditionalFormatting sqref="CP3:CU3">
    <cfRule type="cellIs" dxfId="125" priority="120" operator="equal">
      <formula>"Hors processus"</formula>
    </cfRule>
    <cfRule type="cellIs" dxfId="124" priority="121" operator="equal">
      <formula>"A initier"</formula>
    </cfRule>
    <cfRule type="cellIs" dxfId="123" priority="122" operator="equal">
      <formula>"En cours"</formula>
    </cfRule>
  </conditionalFormatting>
  <conditionalFormatting sqref="CR23:CU47">
    <cfRule type="expression" dxfId="122" priority="115">
      <formula>#REF!="En place"</formula>
    </cfRule>
  </conditionalFormatting>
  <conditionalFormatting sqref="CQ21">
    <cfRule type="expression" dxfId="121" priority="111">
      <formula>CQ$3="Hors processus"</formula>
    </cfRule>
    <cfRule type="expression" dxfId="120" priority="112">
      <formula>CQ$3="A initier"</formula>
    </cfRule>
    <cfRule type="expression" dxfId="119" priority="113">
      <formula>CQ$3="En cours"</formula>
    </cfRule>
    <cfRule type="expression" dxfId="118" priority="114">
      <formula>CQ$3="En place"</formula>
    </cfRule>
  </conditionalFormatting>
  <conditionalFormatting sqref="CQ23:CQ47">
    <cfRule type="expression" dxfId="117" priority="110">
      <formula>CQ$3="En place"</formula>
    </cfRule>
  </conditionalFormatting>
  <conditionalFormatting sqref="CP23:CP47">
    <cfRule type="expression" dxfId="116" priority="109">
      <formula>#REF!="En place"</formula>
    </cfRule>
  </conditionalFormatting>
  <conditionalFormatting sqref="CP21:CS21">
    <cfRule type="expression" dxfId="115" priority="116">
      <formula>CP$3="Hors processus"</formula>
    </cfRule>
    <cfRule type="expression" dxfId="114" priority="117">
      <formula>CP$3="A initier"</formula>
    </cfRule>
    <cfRule type="expression" dxfId="113" priority="118">
      <formula>CP$3="En cours"</formula>
    </cfRule>
    <cfRule type="expression" dxfId="112" priority="119">
      <formula>CP$3="En place"</formula>
    </cfRule>
  </conditionalFormatting>
  <conditionalFormatting sqref="CT21:CU21">
    <cfRule type="expression" dxfId="111" priority="105">
      <formula>CT$3="Hors processus"</formula>
    </cfRule>
    <cfRule type="expression" dxfId="110" priority="106">
      <formula>CT$3="A initier"</formula>
    </cfRule>
    <cfRule type="expression" dxfId="109" priority="107">
      <formula>CT$3="En cours"</formula>
    </cfRule>
    <cfRule type="expression" dxfId="108" priority="108">
      <formula>CT$3="En place"</formula>
    </cfRule>
  </conditionalFormatting>
  <conditionalFormatting sqref="CP23:CU47">
    <cfRule type="cellIs" dxfId="107" priority="104" operator="equal">
      <formula>"X"</formula>
    </cfRule>
  </conditionalFormatting>
  <conditionalFormatting sqref="X5:AN8 U5:V8">
    <cfRule type="expression" dxfId="106" priority="103">
      <formula>U$4="C"</formula>
    </cfRule>
  </conditionalFormatting>
  <conditionalFormatting sqref="X9:AN9 U9:V9">
    <cfRule type="expression" dxfId="105" priority="99">
      <formula>U$3="En attente"</formula>
    </cfRule>
    <cfRule type="expression" dxfId="104" priority="100">
      <formula>U$3="A initier"</formula>
    </cfRule>
    <cfRule type="expression" dxfId="103" priority="101">
      <formula>U$3="En cours"</formula>
    </cfRule>
    <cfRule type="expression" dxfId="102" priority="102">
      <formula>U$3="En place"</formula>
    </cfRule>
  </conditionalFormatting>
  <conditionalFormatting sqref="AN23:AN47">
    <cfRule type="expression" dxfId="101" priority="98">
      <formula>AN$3="En place"</formula>
    </cfRule>
  </conditionalFormatting>
  <conditionalFormatting sqref="AN21 AK4:AN4">
    <cfRule type="expression" dxfId="100" priority="97">
      <formula>AK$3="En place"</formula>
    </cfRule>
  </conditionalFormatting>
  <conditionalFormatting sqref="AN13:AN14">
    <cfRule type="expression" dxfId="99" priority="93">
      <formula>AN$3="En attente"</formula>
    </cfRule>
    <cfRule type="expression" dxfId="98" priority="94">
      <formula>AN$3="A initier"</formula>
    </cfRule>
    <cfRule type="expression" dxfId="97" priority="95">
      <formula>AN$3="En cours"</formula>
    </cfRule>
    <cfRule type="expression" dxfId="96" priority="96">
      <formula>AN$3="En place"</formula>
    </cfRule>
  </conditionalFormatting>
  <conditionalFormatting sqref="W5:W8">
    <cfRule type="expression" dxfId="95" priority="92">
      <formula>W$4="C"</formula>
    </cfRule>
  </conditionalFormatting>
  <conditionalFormatting sqref="W9">
    <cfRule type="expression" dxfId="94" priority="88">
      <formula>W$3="En attente"</formula>
    </cfRule>
    <cfRule type="expression" dxfId="93" priority="89">
      <formula>W$3="A initier"</formula>
    </cfRule>
    <cfRule type="expression" dxfId="92" priority="90">
      <formula>W$3="En cours"</formula>
    </cfRule>
    <cfRule type="expression" dxfId="91" priority="91">
      <formula>W$3="En place"</formula>
    </cfRule>
  </conditionalFormatting>
  <conditionalFormatting sqref="AN21 AK4:AN4">
    <cfRule type="expression" dxfId="90" priority="85">
      <formula>AK$3="En attente"</formula>
    </cfRule>
    <cfRule type="expression" dxfId="89" priority="86">
      <formula>AK$3="A initier"</formula>
    </cfRule>
    <cfRule type="expression" dxfId="88" priority="87">
      <formula>AK$3="En cours"</formula>
    </cfRule>
  </conditionalFormatting>
  <conditionalFormatting sqref="AN23:AN47">
    <cfRule type="cellIs" dxfId="87" priority="84" operator="equal">
      <formula>"X"</formula>
    </cfRule>
  </conditionalFormatting>
  <conditionalFormatting sqref="U24:AM47 Y23:AM23">
    <cfRule type="expression" dxfId="86" priority="79">
      <formula>U$3="En place"</formula>
    </cfRule>
  </conditionalFormatting>
  <conditionalFormatting sqref="U21:AM21">
    <cfRule type="expression" dxfId="85" priority="80">
      <formula>U$3="En attente"</formula>
    </cfRule>
    <cfRule type="expression" dxfId="84" priority="81">
      <formula>U$3="A initier"</formula>
    </cfRule>
    <cfRule type="expression" dxfId="83" priority="82">
      <formula>U$3="En cours"</formula>
    </cfRule>
    <cfRule type="expression" dxfId="82" priority="83">
      <formula>U$3="En place"</formula>
    </cfRule>
  </conditionalFormatting>
  <conditionalFormatting sqref="Y13:AJ14">
    <cfRule type="expression" dxfId="81" priority="75">
      <formula>Y$3="En attente"</formula>
    </cfRule>
    <cfRule type="expression" dxfId="80" priority="76">
      <formula>Y$3="A initier"</formula>
    </cfRule>
    <cfRule type="expression" dxfId="79" priority="77">
      <formula>Y$3="En cours"</formula>
    </cfRule>
    <cfRule type="expression" dxfId="78" priority="78">
      <formula>Y$3="En place"</formula>
    </cfRule>
  </conditionalFormatting>
  <conditionalFormatting sqref="U4:AJ4">
    <cfRule type="expression" dxfId="77" priority="71">
      <formula>U$3="En attente"</formula>
    </cfRule>
    <cfRule type="expression" dxfId="76" priority="72">
      <formula>U$3="A initier"</formula>
    </cfRule>
    <cfRule type="expression" dxfId="75" priority="73">
      <formula>U$3="En cours"</formula>
    </cfRule>
    <cfRule type="expression" dxfId="74" priority="74">
      <formula>U$3="En place"</formula>
    </cfRule>
  </conditionalFormatting>
  <conditionalFormatting sqref="U24:AN47 Y23:AN23">
    <cfRule type="cellIs" dxfId="73" priority="70" operator="equal">
      <formula>"X"</formula>
    </cfRule>
  </conditionalFormatting>
  <conditionalFormatting sqref="AK13:AL14">
    <cfRule type="expression" dxfId="72" priority="66">
      <formula>AK$3="En attente"</formula>
    </cfRule>
    <cfRule type="expression" dxfId="71" priority="67">
      <formula>AK$3="A initier"</formula>
    </cfRule>
    <cfRule type="expression" dxfId="70" priority="68">
      <formula>AK$3="En cours"</formula>
    </cfRule>
    <cfRule type="expression" dxfId="69" priority="69">
      <formula>AK$3="En place"</formula>
    </cfRule>
  </conditionalFormatting>
  <conditionalFormatting sqref="AM13:AM14">
    <cfRule type="expression" dxfId="68" priority="62">
      <formula>AM$3="En attente"</formula>
    </cfRule>
    <cfRule type="expression" dxfId="67" priority="63">
      <formula>AM$3="A initier"</formula>
    </cfRule>
    <cfRule type="expression" dxfId="66" priority="64">
      <formula>AM$3="En cours"</formula>
    </cfRule>
    <cfRule type="expression" dxfId="65" priority="65">
      <formula>AM$3="En place"</formula>
    </cfRule>
  </conditionalFormatting>
  <conditionalFormatting sqref="Y3:AN3">
    <cfRule type="cellIs" dxfId="64" priority="61" operator="equal">
      <formula>"En place"</formula>
    </cfRule>
  </conditionalFormatting>
  <conditionalFormatting sqref="Y3:AN3">
    <cfRule type="cellIs" dxfId="63" priority="58" operator="equal">
      <formula>"En attente"</formula>
    </cfRule>
    <cfRule type="cellIs" dxfId="62" priority="59" operator="equal">
      <formula>"A initier"</formula>
    </cfRule>
    <cfRule type="cellIs" dxfId="61" priority="60" operator="equal">
      <formula>"En cours"</formula>
    </cfRule>
  </conditionalFormatting>
  <conditionalFormatting sqref="AU5:BH8">
    <cfRule type="expression" dxfId="60" priority="57">
      <formula>AU$4="C"</formula>
    </cfRule>
  </conditionalFormatting>
  <conditionalFormatting sqref="AU9:BH9">
    <cfRule type="expression" dxfId="59" priority="53">
      <formula>AU$3="En attente"</formula>
    </cfRule>
    <cfRule type="expression" dxfId="58" priority="54">
      <formula>AU$3="A initier"</formula>
    </cfRule>
    <cfRule type="expression" dxfId="57" priority="55">
      <formula>AU$3="En cours"</formula>
    </cfRule>
    <cfRule type="expression" dxfId="56" priority="56">
      <formula>AU$3="En place"</formula>
    </cfRule>
  </conditionalFormatting>
  <conditionalFormatting sqref="BH23:BH47">
    <cfRule type="expression" dxfId="55" priority="52">
      <formula>BH$3="En place"</formula>
    </cfRule>
  </conditionalFormatting>
  <conditionalFormatting sqref="BH21 BE4:BH4">
    <cfRule type="expression" dxfId="54" priority="51">
      <formula>BE$3="En place"</formula>
    </cfRule>
  </conditionalFormatting>
  <conditionalFormatting sqref="BH13:BH14">
    <cfRule type="expression" dxfId="53" priority="47">
      <formula>BH$3="En attente"</formula>
    </cfRule>
    <cfRule type="expression" dxfId="52" priority="48">
      <formula>BH$3="A initier"</formula>
    </cfRule>
    <cfRule type="expression" dxfId="51" priority="49">
      <formula>BH$3="En cours"</formula>
    </cfRule>
    <cfRule type="expression" dxfId="50" priority="50">
      <formula>BH$3="En place"</formula>
    </cfRule>
  </conditionalFormatting>
  <conditionalFormatting sqref="BH21 BE4:BH4">
    <cfRule type="expression" dxfId="49" priority="44">
      <formula>BE$3="En attente"</formula>
    </cfRule>
    <cfRule type="expression" dxfId="48" priority="45">
      <formula>BE$3="A initier"</formula>
    </cfRule>
    <cfRule type="expression" dxfId="47" priority="46">
      <formula>BE$3="En cours"</formula>
    </cfRule>
  </conditionalFormatting>
  <conditionalFormatting sqref="BH23:BH47">
    <cfRule type="cellIs" dxfId="46" priority="43" operator="equal">
      <formula>"X"</formula>
    </cfRule>
  </conditionalFormatting>
  <conditionalFormatting sqref="AU23:BG47">
    <cfRule type="expression" dxfId="45" priority="38">
      <formula>AU$3="En place"</formula>
    </cfRule>
  </conditionalFormatting>
  <conditionalFormatting sqref="AU21:BG21">
    <cfRule type="expression" dxfId="44" priority="39">
      <formula>AU$3="En attente"</formula>
    </cfRule>
    <cfRule type="expression" dxfId="43" priority="40">
      <formula>AU$3="A initier"</formula>
    </cfRule>
    <cfRule type="expression" dxfId="42" priority="41">
      <formula>AU$3="En cours"</formula>
    </cfRule>
    <cfRule type="expression" dxfId="41" priority="42">
      <formula>AU$3="En place"</formula>
    </cfRule>
  </conditionalFormatting>
  <conditionalFormatting sqref="AU13:BD14">
    <cfRule type="expression" dxfId="40" priority="34">
      <formula>AU$3="En attente"</formula>
    </cfRule>
    <cfRule type="expression" dxfId="39" priority="35">
      <formula>AU$3="A initier"</formula>
    </cfRule>
    <cfRule type="expression" dxfId="38" priority="36">
      <formula>AU$3="En cours"</formula>
    </cfRule>
    <cfRule type="expression" dxfId="37" priority="37">
      <formula>AU$3="En place"</formula>
    </cfRule>
  </conditionalFormatting>
  <conditionalFormatting sqref="AU4:BD4">
    <cfRule type="expression" dxfId="36" priority="30">
      <formula>AU$3="En attente"</formula>
    </cfRule>
    <cfRule type="expression" dxfId="35" priority="31">
      <formula>AU$3="A initier"</formula>
    </cfRule>
    <cfRule type="expression" dxfId="34" priority="32">
      <formula>AU$3="En cours"</formula>
    </cfRule>
    <cfRule type="expression" dxfId="33" priority="33">
      <formula>AU$3="En place"</formula>
    </cfRule>
  </conditionalFormatting>
  <conditionalFormatting sqref="AU23:BH47">
    <cfRule type="cellIs" dxfId="32" priority="29" operator="equal">
      <formula>"X"</formula>
    </cfRule>
  </conditionalFormatting>
  <conditionalFormatting sqref="BE13:BF14">
    <cfRule type="expression" dxfId="31" priority="25">
      <formula>BE$3="En attente"</formula>
    </cfRule>
    <cfRule type="expression" dxfId="30" priority="26">
      <formula>BE$3="A initier"</formula>
    </cfRule>
    <cfRule type="expression" dxfId="29" priority="27">
      <formula>BE$3="En cours"</formula>
    </cfRule>
    <cfRule type="expression" dxfId="28" priority="28">
      <formula>BE$3="En place"</formula>
    </cfRule>
  </conditionalFormatting>
  <conditionalFormatting sqref="BG13:BG14">
    <cfRule type="expression" dxfId="27" priority="21">
      <formula>BG$3="En attente"</formula>
    </cfRule>
    <cfRule type="expression" dxfId="26" priority="22">
      <formula>BG$3="A initier"</formula>
    </cfRule>
    <cfRule type="expression" dxfId="25" priority="23">
      <formula>BG$3="En cours"</formula>
    </cfRule>
    <cfRule type="expression" dxfId="24" priority="24">
      <formula>BG$3="En place"</formula>
    </cfRule>
  </conditionalFormatting>
  <conditionalFormatting sqref="AU3:BH3">
    <cfRule type="cellIs" dxfId="23" priority="20" operator="equal">
      <formula>"En place"</formula>
    </cfRule>
  </conditionalFormatting>
  <conditionalFormatting sqref="AU3:BH3">
    <cfRule type="cellIs" dxfId="22" priority="17" operator="equal">
      <formula>"En attente"</formula>
    </cfRule>
    <cfRule type="cellIs" dxfId="21" priority="18" operator="equal">
      <formula>"A initier"</formula>
    </cfRule>
    <cfRule type="cellIs" dxfId="20" priority="19" operator="equal">
      <formula>"En cours"</formula>
    </cfRule>
  </conditionalFormatting>
  <conditionalFormatting sqref="V13:V14">
    <cfRule type="expression" dxfId="19" priority="9">
      <formula>V$3="En attente"</formula>
    </cfRule>
    <cfRule type="expression" dxfId="18" priority="10">
      <formula>V$3="A initier"</formula>
    </cfRule>
    <cfRule type="expression" dxfId="17" priority="11">
      <formula>V$3="En cours"</formula>
    </cfRule>
    <cfRule type="expression" dxfId="16" priority="12">
      <formula>V$3="En place"</formula>
    </cfRule>
  </conditionalFormatting>
  <conditionalFormatting sqref="W13:W14">
    <cfRule type="expression" dxfId="15" priority="5">
      <formula>W$3="En attente"</formula>
    </cfRule>
    <cfRule type="expression" dxfId="14" priority="6">
      <formula>W$3="A initier"</formula>
    </cfRule>
    <cfRule type="expression" dxfId="13" priority="7">
      <formula>W$3="En cours"</formula>
    </cfRule>
    <cfRule type="expression" dxfId="12" priority="8">
      <formula>W$3="En place"</formula>
    </cfRule>
  </conditionalFormatting>
  <conditionalFormatting sqref="X13:X14">
    <cfRule type="expression" dxfId="11" priority="1">
      <formula>X$3="En attente"</formula>
    </cfRule>
    <cfRule type="expression" dxfId="10" priority="2">
      <formula>X$3="A initier"</formula>
    </cfRule>
    <cfRule type="expression" dxfId="9" priority="3">
      <formula>X$3="En cours"</formula>
    </cfRule>
    <cfRule type="expression" dxfId="8" priority="4">
      <formula>X$3="En place"</formula>
    </cfRule>
  </conditionalFormatting>
  <conditionalFormatting sqref="U13:U14">
    <cfRule type="expression" dxfId="7" priority="13">
      <formula>U$3="En attente"</formula>
    </cfRule>
    <cfRule type="expression" dxfId="6" priority="14">
      <formula>U$3="A initier"</formula>
    </cfRule>
    <cfRule type="expression" dxfId="5" priority="15">
      <formula>U$3="En cours"</formula>
    </cfRule>
    <cfRule type="expression" dxfId="4" priority="16">
      <formula>U$3="En place"</formula>
    </cfRule>
  </conditionalFormatting>
  <pageMargins left="0.23622047244094491" right="0.23622047244094491" top="0.74803149606299213" bottom="0.74803149606299213" header="0.31496062992125984" footer="0.31496062992125984"/>
  <pageSetup paperSize="8" scale="40" fitToHeight="0" orientation="landscape" r:id="rId1"/>
  <headerFooter>
    <oddHeader>&amp;L Document imprimé le &amp;D à &amp;T&amp;CProjet SMI&amp;RVIASANTE Mutuelle</oddHeader>
    <oddFooter>&amp;L&amp;F&amp;C&amp;A&amp;R&amp;P / &amp;N</oddFooter>
  </headerFooter>
  <ignoredErrors>
    <ignoredError sqref="T15:BV15 CD15:DA15 CC2:DA2 T2:BV2 C23:C47 H23:H47 I23:I47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50" operator="equal" id="{301B842C-7CBA-4D65-891D-ABDF420EB658}">
            <xm:f>Listes!$D$6</xm:f>
            <x14:dxf>
              <font>
                <b/>
                <i val="0"/>
                <color theme="0"/>
              </font>
              <fill>
                <patternFill>
                  <bgColor theme="9" tint="0.39994506668294322"/>
                </patternFill>
              </fill>
            </x14:dxf>
          </x14:cfRule>
          <xm:sqref>CC3 CM3:CO3 CV3:DA3</xm:sqref>
        </x14:conditionalFormatting>
        <x14:conditionalFormatting xmlns:xm="http://schemas.microsoft.com/office/excel/2006/main">
          <x14:cfRule type="expression" priority="239" id="{89C46BEA-F232-4677-94A4-8F52AC337F35}">
            <xm:f>$I23=Listes!$AA$6</xm:f>
            <x14:dxf>
              <font>
                <b/>
                <i val="0"/>
                <color theme="2" tint="-0.24994659260841701"/>
              </font>
            </x14:dxf>
          </x14:cfRule>
          <x14:cfRule type="expression" priority="240" id="{C142C8D8-8ECA-43E4-A316-23D0FEB2DFE7}">
            <xm:f>$I23=Listes!$AA$4</xm:f>
            <x14:dxf>
              <font>
                <b/>
                <i val="0"/>
                <color theme="9" tint="-0.24994659260841701"/>
              </font>
            </x14:dxf>
          </x14:cfRule>
          <x14:cfRule type="expression" priority="241" id="{C871ECFC-6687-4A07-959C-0EFB95AA1266}">
            <xm:f>$I23=Listes!$AA$5</xm:f>
            <x14:dxf>
              <font>
                <b/>
                <i val="0"/>
                <color theme="9" tint="0.39994506668294322"/>
              </font>
            </x14:dxf>
          </x14:cfRule>
          <xm:sqref>G23:G47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Listes!$D$4:$D$7</xm:f>
          </x14:formula1>
          <xm:sqref>CC3:DA3 T3:BV3</xm:sqref>
        </x14:dataValidation>
        <x14:dataValidation type="list" allowBlank="1" showInputMessage="1" showErrorMessage="1">
          <x14:formula1>
            <xm:f>Listes!$B$4:$B$5</xm:f>
          </x14:formula1>
          <xm:sqref>T10:BV12 CC10:DA12 CC23:DA47 T23:BV47</xm:sqref>
        </x14:dataValidation>
        <x14:dataValidation type="list" allowBlank="1" showInputMessage="1" showErrorMessage="1">
          <x14:formula1>
            <xm:f>Listes!$C$4:$C$6</xm:f>
          </x14:formula1>
          <xm:sqref>T13:BV14 CC13:DA14</xm:sqref>
        </x14:dataValidation>
        <x14:dataValidation type="list" allowBlank="1" showInputMessage="1" showErrorMessage="1">
          <x14:formula1>
            <xm:f>Listes!$H$4:$H$51</xm:f>
          </x14:formula1>
          <xm:sqref>G23:G47</xm:sqref>
        </x14:dataValidation>
        <x14:dataValidation type="list" allowBlank="1" showInputMessage="1" showErrorMessage="1">
          <x14:formula1>
            <xm:f>Listes!$C$5:$C$9</xm:f>
          </x14:formula1>
          <xm:sqref>J23:N47</xm:sqref>
        </x14:dataValidation>
        <x14:dataValidation type="list" allowBlank="1" showInputMessage="1" showErrorMessage="1">
          <x14:formula1>
            <xm:f>Listes!$F$4:$F$5</xm:f>
          </x14:formula1>
          <xm:sqref>CC5:DA5 T5:BV5</xm:sqref>
        </x14:dataValidation>
        <x14:dataValidation type="list" allowBlank="1" showInputMessage="1" showErrorMessage="1">
          <x14:formula1>
            <xm:f>Listes!$F$7:$F$9</xm:f>
          </x14:formula1>
          <xm:sqref>CC6:DA6 T6:BV6</xm:sqref>
        </x14:dataValidation>
        <x14:dataValidation type="list" allowBlank="1" showInputMessage="1" showErrorMessage="1">
          <x14:formula1>
            <xm:f>Listes!$E$4:$E$7</xm:f>
          </x14:formula1>
          <xm:sqref>CC4:DA4 T4:BV4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ET135"/>
  <sheetViews>
    <sheetView topLeftCell="P1" workbookViewId="0">
      <selection activeCell="R6" sqref="R6"/>
    </sheetView>
  </sheetViews>
  <sheetFormatPr baseColWidth="10" defaultRowHeight="12.75" x14ac:dyDescent="0.2"/>
  <cols>
    <col min="4" max="4" width="19.1640625" customWidth="1"/>
    <col min="6" max="6" width="31.33203125" customWidth="1"/>
    <col min="7" max="7" width="3" customWidth="1"/>
    <col min="8" max="8" width="37.83203125" customWidth="1"/>
    <col min="9" max="9" width="26" customWidth="1"/>
    <col min="10" max="10" width="47.6640625" customWidth="1"/>
    <col min="23" max="23" width="35.1640625" style="208" customWidth="1"/>
    <col min="24" max="24" width="28.83203125" style="208" customWidth="1"/>
    <col min="25" max="25" width="15.1640625" style="208" customWidth="1"/>
    <col min="31" max="31" width="19.33203125" customWidth="1"/>
  </cols>
  <sheetData>
    <row r="2" spans="1:150" x14ac:dyDescent="0.2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S2">
        <v>45</v>
      </c>
      <c r="AT2">
        <v>46</v>
      </c>
      <c r="AU2">
        <v>47</v>
      </c>
      <c r="AV2">
        <v>48</v>
      </c>
      <c r="AW2">
        <v>49</v>
      </c>
      <c r="AX2">
        <v>50</v>
      </c>
      <c r="AY2">
        <v>51</v>
      </c>
      <c r="AZ2">
        <v>52</v>
      </c>
      <c r="BA2">
        <v>53</v>
      </c>
      <c r="BB2">
        <v>54</v>
      </c>
      <c r="BC2">
        <v>55</v>
      </c>
      <c r="BD2">
        <v>56</v>
      </c>
      <c r="BE2">
        <v>57</v>
      </c>
      <c r="BF2">
        <v>58</v>
      </c>
      <c r="BG2">
        <v>59</v>
      </c>
      <c r="BH2">
        <v>60</v>
      </c>
      <c r="BI2">
        <v>61</v>
      </c>
      <c r="BJ2">
        <v>62</v>
      </c>
      <c r="BK2">
        <v>63</v>
      </c>
      <c r="BL2">
        <v>64</v>
      </c>
      <c r="BM2">
        <v>65</v>
      </c>
      <c r="BN2">
        <v>66</v>
      </c>
      <c r="BO2">
        <v>67</v>
      </c>
      <c r="BP2">
        <v>68</v>
      </c>
      <c r="BQ2">
        <v>69</v>
      </c>
      <c r="BR2">
        <v>70</v>
      </c>
      <c r="BS2">
        <v>71</v>
      </c>
      <c r="BT2">
        <v>72</v>
      </c>
      <c r="BU2">
        <v>73</v>
      </c>
      <c r="BV2">
        <v>74</v>
      </c>
      <c r="BW2">
        <v>75</v>
      </c>
      <c r="BX2">
        <v>76</v>
      </c>
      <c r="BY2">
        <v>77</v>
      </c>
      <c r="BZ2">
        <v>78</v>
      </c>
      <c r="CA2">
        <v>79</v>
      </c>
      <c r="CB2">
        <v>80</v>
      </c>
      <c r="CC2">
        <v>81</v>
      </c>
      <c r="CD2">
        <v>82</v>
      </c>
      <c r="CE2">
        <v>83</v>
      </c>
      <c r="CF2">
        <v>84</v>
      </c>
      <c r="CG2">
        <v>85</v>
      </c>
      <c r="CH2">
        <v>86</v>
      </c>
      <c r="CI2">
        <v>87</v>
      </c>
      <c r="CJ2">
        <v>88</v>
      </c>
      <c r="CK2">
        <v>89</v>
      </c>
      <c r="CL2">
        <v>90</v>
      </c>
      <c r="CM2">
        <v>91</v>
      </c>
      <c r="CN2">
        <v>92</v>
      </c>
      <c r="CO2">
        <v>93</v>
      </c>
      <c r="CP2">
        <v>94</v>
      </c>
      <c r="CQ2">
        <v>95</v>
      </c>
      <c r="CR2">
        <v>96</v>
      </c>
      <c r="CS2">
        <v>97</v>
      </c>
      <c r="CT2">
        <v>98</v>
      </c>
      <c r="CU2">
        <v>99</v>
      </c>
      <c r="CV2">
        <v>100</v>
      </c>
      <c r="CW2">
        <v>101</v>
      </c>
      <c r="CX2">
        <v>102</v>
      </c>
      <c r="CY2">
        <v>103</v>
      </c>
      <c r="CZ2">
        <v>104</v>
      </c>
      <c r="DA2">
        <v>105</v>
      </c>
      <c r="DB2">
        <v>106</v>
      </c>
      <c r="DC2">
        <v>107</v>
      </c>
      <c r="DD2">
        <v>108</v>
      </c>
      <c r="DE2">
        <v>109</v>
      </c>
      <c r="DF2">
        <v>110</v>
      </c>
      <c r="DG2">
        <v>111</v>
      </c>
      <c r="DH2">
        <v>112</v>
      </c>
      <c r="DI2">
        <v>113</v>
      </c>
      <c r="DJ2">
        <v>114</v>
      </c>
      <c r="DK2">
        <v>115</v>
      </c>
      <c r="DL2">
        <v>116</v>
      </c>
      <c r="DM2">
        <v>117</v>
      </c>
      <c r="DN2">
        <v>118</v>
      </c>
      <c r="DO2">
        <v>119</v>
      </c>
      <c r="DP2">
        <v>120</v>
      </c>
      <c r="DQ2">
        <v>121</v>
      </c>
      <c r="DR2">
        <v>122</v>
      </c>
      <c r="DS2">
        <v>123</v>
      </c>
      <c r="DT2">
        <v>124</v>
      </c>
      <c r="DU2">
        <v>125</v>
      </c>
      <c r="DV2">
        <v>126</v>
      </c>
      <c r="DW2">
        <v>127</v>
      </c>
      <c r="DX2">
        <v>128</v>
      </c>
      <c r="DY2">
        <v>129</v>
      </c>
      <c r="DZ2">
        <v>130</v>
      </c>
      <c r="EA2">
        <v>131</v>
      </c>
      <c r="EB2">
        <v>132</v>
      </c>
      <c r="EC2">
        <v>133</v>
      </c>
      <c r="ED2">
        <v>134</v>
      </c>
      <c r="EE2">
        <v>135</v>
      </c>
      <c r="EF2">
        <v>136</v>
      </c>
      <c r="EG2">
        <v>137</v>
      </c>
      <c r="EH2">
        <v>138</v>
      </c>
      <c r="EI2">
        <v>139</v>
      </c>
      <c r="EJ2">
        <v>140</v>
      </c>
      <c r="EK2">
        <v>141</v>
      </c>
      <c r="EL2">
        <v>142</v>
      </c>
      <c r="EM2">
        <v>143</v>
      </c>
      <c r="EN2">
        <v>144</v>
      </c>
      <c r="EO2">
        <v>145</v>
      </c>
      <c r="EP2">
        <v>146</v>
      </c>
      <c r="EQ2">
        <v>147</v>
      </c>
      <c r="ER2">
        <v>148</v>
      </c>
      <c r="ES2">
        <v>149</v>
      </c>
      <c r="ET2">
        <v>150</v>
      </c>
    </row>
    <row r="3" spans="1:150" x14ac:dyDescent="0.2">
      <c r="A3">
        <v>2</v>
      </c>
    </row>
    <row r="4" spans="1:150" x14ac:dyDescent="0.2">
      <c r="A4">
        <v>3</v>
      </c>
      <c r="B4" s="83" t="s">
        <v>23</v>
      </c>
      <c r="C4">
        <v>0</v>
      </c>
      <c r="D4" s="83" t="s">
        <v>44</v>
      </c>
      <c r="E4" s="83" t="s">
        <v>28</v>
      </c>
      <c r="F4" s="83" t="s">
        <v>37</v>
      </c>
      <c r="H4" s="93" t="s">
        <v>133</v>
      </c>
      <c r="I4" s="93" t="s">
        <v>82</v>
      </c>
      <c r="J4" s="93" t="s">
        <v>89</v>
      </c>
      <c r="K4" s="93" t="s">
        <v>97</v>
      </c>
      <c r="Q4" s="87" t="s">
        <v>55</v>
      </c>
      <c r="R4" s="15"/>
      <c r="S4" s="15"/>
      <c r="W4" s="208" t="s">
        <v>133</v>
      </c>
      <c r="X4" s="208" t="s">
        <v>181</v>
      </c>
      <c r="Y4" s="93" t="s">
        <v>131</v>
      </c>
      <c r="AA4" s="93" t="s">
        <v>130</v>
      </c>
      <c r="AC4" s="307" t="s">
        <v>230</v>
      </c>
      <c r="AE4" s="307"/>
    </row>
    <row r="5" spans="1:150" ht="11.25" customHeight="1" x14ac:dyDescent="0.2">
      <c r="A5">
        <v>4</v>
      </c>
      <c r="C5">
        <v>1</v>
      </c>
      <c r="D5" s="83" t="s">
        <v>32</v>
      </c>
      <c r="E5" s="83" t="s">
        <v>19</v>
      </c>
      <c r="F5" s="83" t="s">
        <v>43</v>
      </c>
      <c r="H5" s="93" t="s">
        <v>134</v>
      </c>
      <c r="I5" s="93" t="s">
        <v>83</v>
      </c>
      <c r="J5" s="93" t="s">
        <v>90</v>
      </c>
      <c r="K5" s="93" t="s">
        <v>98</v>
      </c>
      <c r="Q5" s="15"/>
      <c r="R5" s="86">
        <v>100</v>
      </c>
      <c r="S5" s="15"/>
      <c r="W5" s="208" t="s">
        <v>134</v>
      </c>
      <c r="X5" s="208" t="s">
        <v>181</v>
      </c>
      <c r="Y5" s="93" t="s">
        <v>131</v>
      </c>
      <c r="AA5" s="93" t="s">
        <v>132</v>
      </c>
      <c r="AC5" s="307" t="s">
        <v>231</v>
      </c>
      <c r="AE5" s="307"/>
    </row>
    <row r="6" spans="1:150" ht="11.25" customHeight="1" x14ac:dyDescent="0.2">
      <c r="A6">
        <v>5</v>
      </c>
      <c r="C6">
        <v>2</v>
      </c>
      <c r="D6" s="83" t="s">
        <v>45</v>
      </c>
      <c r="E6" s="83" t="s">
        <v>21</v>
      </c>
      <c r="H6" s="93" t="s">
        <v>135</v>
      </c>
      <c r="I6" s="93" t="s">
        <v>84</v>
      </c>
      <c r="J6" s="93" t="s">
        <v>91</v>
      </c>
      <c r="K6" s="93" t="s">
        <v>99</v>
      </c>
      <c r="Q6" s="6" t="s">
        <v>52</v>
      </c>
      <c r="R6" s="6" t="s">
        <v>53</v>
      </c>
      <c r="S6" s="6" t="s">
        <v>54</v>
      </c>
      <c r="W6" s="208" t="s">
        <v>135</v>
      </c>
      <c r="X6" s="208" t="s">
        <v>182</v>
      </c>
      <c r="Y6" s="93" t="s">
        <v>131</v>
      </c>
      <c r="AA6" s="93" t="s">
        <v>131</v>
      </c>
    </row>
    <row r="7" spans="1:150" ht="11.25" customHeight="1" x14ac:dyDescent="0.2">
      <c r="A7">
        <v>6</v>
      </c>
      <c r="C7">
        <v>3</v>
      </c>
      <c r="D7" s="307" t="s">
        <v>232</v>
      </c>
      <c r="E7" s="83" t="s">
        <v>20</v>
      </c>
      <c r="F7" s="242" t="s">
        <v>206</v>
      </c>
      <c r="H7" s="93" t="s">
        <v>136</v>
      </c>
      <c r="I7" s="93" t="s">
        <v>85</v>
      </c>
      <c r="J7" s="93" t="s">
        <v>92</v>
      </c>
      <c r="K7" s="93" t="s">
        <v>100</v>
      </c>
      <c r="Q7" s="88">
        <f>$R$5/(COUNTA($S$7:$S$11)/S7)</f>
        <v>100</v>
      </c>
      <c r="R7" s="89" t="s">
        <v>51</v>
      </c>
      <c r="S7" s="88">
        <v>5</v>
      </c>
      <c r="W7" s="208" t="s">
        <v>136</v>
      </c>
      <c r="X7" s="208" t="s">
        <v>182</v>
      </c>
      <c r="Y7" s="93" t="s">
        <v>131</v>
      </c>
    </row>
    <row r="8" spans="1:150" ht="11.25" customHeight="1" x14ac:dyDescent="0.2">
      <c r="A8">
        <v>7</v>
      </c>
      <c r="C8">
        <v>4</v>
      </c>
      <c r="D8" s="307"/>
      <c r="F8" s="243" t="s">
        <v>207</v>
      </c>
      <c r="H8" s="93" t="s">
        <v>137</v>
      </c>
      <c r="I8" s="93" t="s">
        <v>86</v>
      </c>
      <c r="J8" s="93" t="s">
        <v>93</v>
      </c>
      <c r="K8" s="93" t="s">
        <v>101</v>
      </c>
      <c r="Q8" s="88">
        <f>$R$5/(COUNTA($S$7:$S$11)/S8)</f>
        <v>80</v>
      </c>
      <c r="R8" s="88">
        <f>Q7</f>
        <v>100</v>
      </c>
      <c r="S8" s="88">
        <v>4</v>
      </c>
      <c r="W8" s="208" t="s">
        <v>137</v>
      </c>
      <c r="X8" s="208" t="s">
        <v>182</v>
      </c>
      <c r="Y8" s="93" t="s">
        <v>131</v>
      </c>
    </row>
    <row r="9" spans="1:150" ht="11.25" customHeight="1" x14ac:dyDescent="0.2">
      <c r="A9">
        <v>8</v>
      </c>
      <c r="C9">
        <v>5</v>
      </c>
      <c r="F9" s="244" t="s">
        <v>208</v>
      </c>
      <c r="H9" s="93" t="s">
        <v>138</v>
      </c>
      <c r="I9" s="93" t="s">
        <v>87</v>
      </c>
      <c r="J9" s="93" t="s">
        <v>94</v>
      </c>
      <c r="K9" s="93" t="s">
        <v>102</v>
      </c>
      <c r="Q9" s="88">
        <f>$R$5/(COUNTA($S$7:$S$11)/S9)</f>
        <v>60</v>
      </c>
      <c r="R9" s="88">
        <f>Q8</f>
        <v>80</v>
      </c>
      <c r="S9" s="88">
        <v>3</v>
      </c>
      <c r="W9" s="208" t="s">
        <v>138</v>
      </c>
      <c r="X9" s="208" t="s">
        <v>182</v>
      </c>
      <c r="Y9" s="93" t="s">
        <v>131</v>
      </c>
    </row>
    <row r="10" spans="1:150" ht="11.25" customHeight="1" x14ac:dyDescent="0.2">
      <c r="A10">
        <v>9</v>
      </c>
      <c r="H10" s="93" t="s">
        <v>139</v>
      </c>
      <c r="I10" s="93" t="s">
        <v>88</v>
      </c>
      <c r="J10" s="93" t="s">
        <v>95</v>
      </c>
      <c r="K10" s="93" t="s">
        <v>103</v>
      </c>
      <c r="Q10" s="88">
        <f>$R$5/(COUNTA($S$7:$S$11)/S10)</f>
        <v>40</v>
      </c>
      <c r="R10" s="88">
        <f>Q9</f>
        <v>60</v>
      </c>
      <c r="S10" s="88">
        <v>2</v>
      </c>
      <c r="W10" s="208" t="s">
        <v>139</v>
      </c>
      <c r="X10" s="208" t="s">
        <v>182</v>
      </c>
      <c r="Y10" s="93" t="s">
        <v>131</v>
      </c>
    </row>
    <row r="11" spans="1:150" ht="11.25" customHeight="1" x14ac:dyDescent="0.2">
      <c r="A11">
        <v>10</v>
      </c>
      <c r="D11" s="307" t="s">
        <v>225</v>
      </c>
      <c r="H11" s="93" t="s">
        <v>140</v>
      </c>
      <c r="I11" s="93" t="s">
        <v>89</v>
      </c>
      <c r="J11" s="93" t="s">
        <v>96</v>
      </c>
      <c r="K11" s="93" t="s">
        <v>104</v>
      </c>
      <c r="Q11" s="88">
        <f>$R$5/(COUNTA($S$7:$S$11)/S11)</f>
        <v>20</v>
      </c>
      <c r="R11" s="88">
        <f>Q10</f>
        <v>40</v>
      </c>
      <c r="S11" s="88">
        <v>1</v>
      </c>
      <c r="W11" s="208" t="s">
        <v>140</v>
      </c>
      <c r="X11" s="208" t="s">
        <v>183</v>
      </c>
      <c r="Y11" s="93" t="s">
        <v>130</v>
      </c>
    </row>
    <row r="12" spans="1:150" ht="11.25" customHeight="1" x14ac:dyDescent="0.2">
      <c r="A12">
        <v>11</v>
      </c>
      <c r="D12" s="307" t="s">
        <v>226</v>
      </c>
      <c r="H12" s="93" t="s">
        <v>141</v>
      </c>
      <c r="I12" s="93" t="s">
        <v>90</v>
      </c>
      <c r="K12" s="93" t="s">
        <v>105</v>
      </c>
      <c r="Q12" s="88" t="s">
        <v>51</v>
      </c>
      <c r="R12" s="88">
        <f>Q11</f>
        <v>20</v>
      </c>
      <c r="S12" s="88">
        <v>0</v>
      </c>
      <c r="W12" s="208" t="s">
        <v>141</v>
      </c>
      <c r="X12" s="208" t="s">
        <v>183</v>
      </c>
      <c r="Y12" s="93" t="s">
        <v>130</v>
      </c>
    </row>
    <row r="13" spans="1:150" ht="11.25" customHeight="1" x14ac:dyDescent="0.2">
      <c r="A13">
        <v>12</v>
      </c>
      <c r="D13" s="307" t="s">
        <v>227</v>
      </c>
      <c r="H13" s="93" t="s">
        <v>142</v>
      </c>
      <c r="I13" s="93" t="s">
        <v>91</v>
      </c>
      <c r="K13" s="93" t="s">
        <v>106</v>
      </c>
      <c r="W13" s="208" t="s">
        <v>142</v>
      </c>
      <c r="X13" s="208" t="s">
        <v>183</v>
      </c>
      <c r="Y13" s="93" t="s">
        <v>130</v>
      </c>
    </row>
    <row r="14" spans="1:150" ht="11.25" customHeight="1" x14ac:dyDescent="0.2">
      <c r="A14">
        <v>13</v>
      </c>
      <c r="D14" s="307" t="s">
        <v>224</v>
      </c>
      <c r="H14" s="93" t="s">
        <v>143</v>
      </c>
      <c r="I14" s="93" t="s">
        <v>92</v>
      </c>
      <c r="K14" s="93" t="s">
        <v>107</v>
      </c>
      <c r="M14" s="92"/>
      <c r="N14" s="92"/>
      <c r="O14" s="92"/>
      <c r="P14" s="92"/>
      <c r="Q14" s="92"/>
      <c r="W14" s="208" t="s">
        <v>143</v>
      </c>
      <c r="X14" s="208" t="s">
        <v>183</v>
      </c>
      <c r="Y14" s="93" t="s">
        <v>130</v>
      </c>
    </row>
    <row r="15" spans="1:150" ht="11.25" customHeight="1" x14ac:dyDescent="0.2">
      <c r="A15">
        <v>14</v>
      </c>
      <c r="D15" s="307" t="s">
        <v>228</v>
      </c>
      <c r="H15" s="93" t="s">
        <v>144</v>
      </c>
      <c r="I15" s="93" t="s">
        <v>93</v>
      </c>
      <c r="K15" s="93" t="s">
        <v>108</v>
      </c>
      <c r="N15" s="92"/>
      <c r="P15" s="92"/>
      <c r="Q15" s="92"/>
      <c r="W15" s="208" t="s">
        <v>144</v>
      </c>
      <c r="X15" s="208" t="s">
        <v>184</v>
      </c>
      <c r="Y15" s="93" t="s">
        <v>130</v>
      </c>
    </row>
    <row r="16" spans="1:150" ht="11.25" customHeight="1" x14ac:dyDescent="0.2">
      <c r="A16">
        <v>15</v>
      </c>
      <c r="H16" s="93" t="s">
        <v>145</v>
      </c>
      <c r="I16" s="93" t="s">
        <v>94</v>
      </c>
      <c r="K16" s="93" t="s">
        <v>109</v>
      </c>
      <c r="N16" s="92"/>
      <c r="P16" s="92"/>
      <c r="Q16" s="92"/>
      <c r="W16" s="208" t="s">
        <v>145</v>
      </c>
      <c r="X16" s="208" t="s">
        <v>184</v>
      </c>
      <c r="Y16" s="93" t="s">
        <v>130</v>
      </c>
    </row>
    <row r="17" spans="1:25" ht="11.25" customHeight="1" x14ac:dyDescent="0.2">
      <c r="A17">
        <v>16</v>
      </c>
      <c r="H17" s="93" t="s">
        <v>146</v>
      </c>
      <c r="I17" s="93" t="s">
        <v>95</v>
      </c>
      <c r="K17" s="93" t="s">
        <v>110</v>
      </c>
      <c r="N17" s="92"/>
      <c r="P17" s="92"/>
      <c r="Q17" s="92"/>
      <c r="W17" s="208" t="s">
        <v>146</v>
      </c>
      <c r="X17" s="208" t="s">
        <v>184</v>
      </c>
      <c r="Y17" s="93" t="s">
        <v>130</v>
      </c>
    </row>
    <row r="18" spans="1:25" ht="11.25" customHeight="1" x14ac:dyDescent="0.2">
      <c r="A18">
        <v>17</v>
      </c>
      <c r="H18" s="93" t="s">
        <v>147</v>
      </c>
      <c r="I18" s="93" t="s">
        <v>96</v>
      </c>
      <c r="K18" s="93" t="s">
        <v>111</v>
      </c>
      <c r="N18" s="92"/>
      <c r="P18" s="92"/>
      <c r="Q18" s="92"/>
      <c r="W18" s="208" t="s">
        <v>147</v>
      </c>
      <c r="X18" s="208" t="s">
        <v>184</v>
      </c>
      <c r="Y18" s="93" t="s">
        <v>130</v>
      </c>
    </row>
    <row r="19" spans="1:25" ht="11.25" customHeight="1" x14ac:dyDescent="0.2">
      <c r="A19">
        <v>18</v>
      </c>
      <c r="H19" s="93" t="s">
        <v>148</v>
      </c>
      <c r="I19" s="93" t="s">
        <v>97</v>
      </c>
      <c r="K19" s="93" t="s">
        <v>112</v>
      </c>
      <c r="N19" s="92"/>
      <c r="P19" s="92"/>
      <c r="Q19" s="92"/>
      <c r="W19" s="208" t="s">
        <v>148</v>
      </c>
      <c r="X19" s="208" t="s">
        <v>185</v>
      </c>
      <c r="Y19" s="93" t="s">
        <v>132</v>
      </c>
    </row>
    <row r="20" spans="1:25" ht="11.25" customHeight="1" x14ac:dyDescent="0.2">
      <c r="A20">
        <v>19</v>
      </c>
      <c r="H20" s="93" t="s">
        <v>149</v>
      </c>
      <c r="I20" s="93" t="s">
        <v>98</v>
      </c>
      <c r="K20" s="93" t="s">
        <v>113</v>
      </c>
      <c r="N20" s="92"/>
      <c r="P20" s="92"/>
      <c r="Q20" s="92"/>
      <c r="W20" s="208" t="s">
        <v>149</v>
      </c>
      <c r="X20" s="208" t="s">
        <v>185</v>
      </c>
      <c r="Y20" s="93" t="s">
        <v>132</v>
      </c>
    </row>
    <row r="21" spans="1:25" ht="11.25" customHeight="1" x14ac:dyDescent="0.2">
      <c r="A21">
        <v>20</v>
      </c>
      <c r="H21" s="93" t="s">
        <v>150</v>
      </c>
      <c r="I21" s="93" t="s">
        <v>99</v>
      </c>
      <c r="K21" s="93" t="s">
        <v>114</v>
      </c>
      <c r="N21" s="92"/>
      <c r="P21" s="92"/>
      <c r="Q21" s="92"/>
      <c r="W21" s="208" t="s">
        <v>150</v>
      </c>
      <c r="X21" s="208" t="s">
        <v>185</v>
      </c>
      <c r="Y21" s="93" t="s">
        <v>132</v>
      </c>
    </row>
    <row r="22" spans="1:25" ht="11.25" customHeight="1" x14ac:dyDescent="0.2">
      <c r="A22">
        <v>21</v>
      </c>
      <c r="H22" s="93" t="s">
        <v>151</v>
      </c>
      <c r="I22" s="93" t="s">
        <v>100</v>
      </c>
      <c r="K22" s="93" t="s">
        <v>115</v>
      </c>
      <c r="M22" s="92"/>
      <c r="N22" s="92"/>
      <c r="P22" s="92"/>
      <c r="Q22" s="92"/>
      <c r="W22" s="208" t="s">
        <v>151</v>
      </c>
      <c r="X22" s="208" t="s">
        <v>185</v>
      </c>
      <c r="Y22" s="93" t="s">
        <v>132</v>
      </c>
    </row>
    <row r="23" spans="1:25" ht="11.25" customHeight="1" x14ac:dyDescent="0.2">
      <c r="A23">
        <v>22</v>
      </c>
      <c r="H23" s="93" t="s">
        <v>152</v>
      </c>
      <c r="I23" s="93" t="s">
        <v>101</v>
      </c>
      <c r="K23" s="93" t="s">
        <v>116</v>
      </c>
      <c r="M23" s="92"/>
      <c r="N23" s="92"/>
      <c r="O23" s="92"/>
      <c r="P23" s="92"/>
      <c r="Q23" s="92"/>
      <c r="W23" s="208" t="s">
        <v>152</v>
      </c>
      <c r="X23" s="208" t="s">
        <v>185</v>
      </c>
      <c r="Y23" s="93" t="s">
        <v>132</v>
      </c>
    </row>
    <row r="24" spans="1:25" ht="11.25" customHeight="1" x14ac:dyDescent="0.2">
      <c r="A24">
        <v>23</v>
      </c>
      <c r="H24" s="93" t="s">
        <v>153</v>
      </c>
      <c r="I24" s="93" t="s">
        <v>102</v>
      </c>
      <c r="K24" s="93" t="s">
        <v>117</v>
      </c>
      <c r="M24" s="92"/>
      <c r="N24" s="92"/>
      <c r="O24" s="91"/>
      <c r="P24" s="92"/>
      <c r="Q24" s="92"/>
      <c r="W24" s="208" t="s">
        <v>193</v>
      </c>
      <c r="X24" s="208" t="s">
        <v>185</v>
      </c>
      <c r="Y24" s="93" t="s">
        <v>132</v>
      </c>
    </row>
    <row r="25" spans="1:25" ht="11.25" customHeight="1" x14ac:dyDescent="0.2">
      <c r="A25">
        <v>24</v>
      </c>
      <c r="H25" s="93" t="s">
        <v>154</v>
      </c>
      <c r="I25" s="93" t="s">
        <v>103</v>
      </c>
      <c r="K25" s="93" t="s">
        <v>118</v>
      </c>
      <c r="M25" s="92"/>
      <c r="N25" s="92"/>
      <c r="P25" s="92"/>
      <c r="Q25" s="92"/>
      <c r="W25" s="208" t="s">
        <v>154</v>
      </c>
      <c r="X25" s="208" t="s">
        <v>185</v>
      </c>
      <c r="Y25" s="93" t="s">
        <v>132</v>
      </c>
    </row>
    <row r="26" spans="1:25" ht="11.25" customHeight="1" x14ac:dyDescent="0.2">
      <c r="A26">
        <v>25</v>
      </c>
      <c r="H26" s="93" t="s">
        <v>155</v>
      </c>
      <c r="I26" s="93" t="s">
        <v>104</v>
      </c>
      <c r="K26" s="93" t="s">
        <v>119</v>
      </c>
      <c r="M26" s="92"/>
      <c r="N26" s="92"/>
      <c r="P26" s="92"/>
      <c r="Q26" s="92"/>
      <c r="W26" s="208" t="s">
        <v>155</v>
      </c>
      <c r="X26" s="208" t="s">
        <v>186</v>
      </c>
      <c r="Y26" s="93" t="s">
        <v>132</v>
      </c>
    </row>
    <row r="27" spans="1:25" ht="11.25" customHeight="1" x14ac:dyDescent="0.2">
      <c r="A27">
        <v>26</v>
      </c>
      <c r="H27" s="93" t="s">
        <v>156</v>
      </c>
      <c r="I27" s="93" t="s">
        <v>105</v>
      </c>
      <c r="K27" s="93" t="s">
        <v>120</v>
      </c>
      <c r="M27" s="92"/>
      <c r="N27" s="92"/>
      <c r="P27" s="92"/>
      <c r="Q27" s="92"/>
      <c r="W27" s="208" t="s">
        <v>156</v>
      </c>
      <c r="X27" s="208" t="s">
        <v>186</v>
      </c>
      <c r="Y27" s="93" t="s">
        <v>132</v>
      </c>
    </row>
    <row r="28" spans="1:25" ht="11.25" customHeight="1" x14ac:dyDescent="0.2">
      <c r="A28">
        <v>27</v>
      </c>
      <c r="H28" s="93" t="s">
        <v>157</v>
      </c>
      <c r="I28" s="93" t="s">
        <v>106</v>
      </c>
      <c r="K28" s="93" t="s">
        <v>121</v>
      </c>
      <c r="M28" s="92"/>
      <c r="N28" s="92"/>
      <c r="P28" s="92"/>
      <c r="Q28" s="92"/>
      <c r="W28" s="208" t="s">
        <v>157</v>
      </c>
      <c r="X28" s="208" t="s">
        <v>186</v>
      </c>
      <c r="Y28" s="93" t="s">
        <v>132</v>
      </c>
    </row>
    <row r="29" spans="1:25" ht="11.25" customHeight="1" x14ac:dyDescent="0.2">
      <c r="A29">
        <v>28</v>
      </c>
      <c r="H29" s="93" t="s">
        <v>158</v>
      </c>
      <c r="I29" s="93" t="s">
        <v>107</v>
      </c>
      <c r="K29" s="93" t="s">
        <v>122</v>
      </c>
      <c r="M29" s="92"/>
      <c r="N29" s="92"/>
      <c r="P29" s="92"/>
      <c r="Q29" s="92"/>
      <c r="W29" s="208" t="s">
        <v>158</v>
      </c>
      <c r="X29" s="208" t="s">
        <v>186</v>
      </c>
      <c r="Y29" s="93" t="s">
        <v>132</v>
      </c>
    </row>
    <row r="30" spans="1:25" ht="11.25" customHeight="1" x14ac:dyDescent="0.2">
      <c r="A30">
        <v>29</v>
      </c>
      <c r="H30" s="93" t="s">
        <v>159</v>
      </c>
      <c r="I30" s="93" t="s">
        <v>108</v>
      </c>
      <c r="K30" s="93" t="s">
        <v>123</v>
      </c>
      <c r="M30" s="92"/>
      <c r="N30" s="92"/>
      <c r="P30" s="92"/>
      <c r="Q30" s="92"/>
      <c r="W30" s="208" t="s">
        <v>159</v>
      </c>
      <c r="X30" s="208" t="s">
        <v>187</v>
      </c>
      <c r="Y30" s="93" t="s">
        <v>132</v>
      </c>
    </row>
    <row r="31" spans="1:25" ht="11.25" customHeight="1" x14ac:dyDescent="0.2">
      <c r="A31">
        <v>30</v>
      </c>
      <c r="H31" s="93" t="s">
        <v>160</v>
      </c>
      <c r="I31" s="93" t="s">
        <v>109</v>
      </c>
      <c r="K31" s="93" t="s">
        <v>124</v>
      </c>
      <c r="M31" s="92"/>
      <c r="N31" s="92"/>
      <c r="P31" s="92"/>
      <c r="Q31" s="92"/>
      <c r="W31" s="208" t="s">
        <v>160</v>
      </c>
      <c r="X31" s="208" t="s">
        <v>187</v>
      </c>
      <c r="Y31" s="93" t="s">
        <v>132</v>
      </c>
    </row>
    <row r="32" spans="1:25" ht="11.25" customHeight="1" x14ac:dyDescent="0.2">
      <c r="A32">
        <v>31</v>
      </c>
      <c r="H32" s="93" t="s">
        <v>161</v>
      </c>
      <c r="I32" s="93" t="s">
        <v>110</v>
      </c>
      <c r="K32" s="93" t="s">
        <v>125</v>
      </c>
      <c r="M32" s="92"/>
      <c r="N32" s="92"/>
      <c r="P32" s="94"/>
      <c r="Q32" s="94"/>
      <c r="W32" s="208" t="s">
        <v>161</v>
      </c>
      <c r="X32" s="208" t="s">
        <v>187</v>
      </c>
      <c r="Y32" s="93" t="s">
        <v>132</v>
      </c>
    </row>
    <row r="33" spans="1:25" ht="11.25" customHeight="1" x14ac:dyDescent="0.2">
      <c r="A33">
        <v>32</v>
      </c>
      <c r="H33" s="93" t="s">
        <v>162</v>
      </c>
      <c r="I33" s="93" t="s">
        <v>111</v>
      </c>
      <c r="K33" s="93" t="s">
        <v>126</v>
      </c>
      <c r="M33" s="92"/>
      <c r="N33" s="92"/>
      <c r="P33" s="94"/>
      <c r="Q33" s="94"/>
      <c r="W33" s="208" t="s">
        <v>162</v>
      </c>
      <c r="X33" s="208" t="s">
        <v>188</v>
      </c>
      <c r="Y33" s="93" t="s">
        <v>132</v>
      </c>
    </row>
    <row r="34" spans="1:25" ht="11.25" customHeight="1" x14ac:dyDescent="0.2">
      <c r="A34">
        <v>33</v>
      </c>
      <c r="H34" s="93" t="s">
        <v>163</v>
      </c>
      <c r="I34" s="93" t="s">
        <v>112</v>
      </c>
      <c r="K34" s="93" t="s">
        <v>127</v>
      </c>
      <c r="M34" s="92"/>
      <c r="N34" s="92"/>
      <c r="P34" s="94"/>
      <c r="Q34" s="94"/>
      <c r="W34" s="208" t="s">
        <v>163</v>
      </c>
      <c r="X34" s="208" t="s">
        <v>188</v>
      </c>
      <c r="Y34" s="93" t="s">
        <v>132</v>
      </c>
    </row>
    <row r="35" spans="1:25" ht="11.25" customHeight="1" x14ac:dyDescent="0.2">
      <c r="A35">
        <v>34</v>
      </c>
      <c r="H35" s="93" t="s">
        <v>164</v>
      </c>
      <c r="I35" s="93" t="s">
        <v>113</v>
      </c>
      <c r="K35" s="93" t="s">
        <v>128</v>
      </c>
      <c r="M35" s="92"/>
      <c r="N35" s="92"/>
      <c r="P35" s="94"/>
      <c r="Q35" s="94"/>
      <c r="W35" s="208" t="s">
        <v>164</v>
      </c>
      <c r="X35" s="208" t="s">
        <v>188</v>
      </c>
      <c r="Y35" s="93" t="s">
        <v>132</v>
      </c>
    </row>
    <row r="36" spans="1:25" ht="11.25" customHeight="1" x14ac:dyDescent="0.2">
      <c r="A36">
        <v>35</v>
      </c>
      <c r="H36" s="93" t="s">
        <v>165</v>
      </c>
      <c r="I36" s="93" t="s">
        <v>114</v>
      </c>
      <c r="K36" s="93" t="s">
        <v>129</v>
      </c>
      <c r="M36" s="92"/>
      <c r="N36" s="92"/>
      <c r="P36" s="94"/>
      <c r="Q36" s="94"/>
      <c r="W36" s="208" t="s">
        <v>165</v>
      </c>
      <c r="X36" s="208" t="s">
        <v>188</v>
      </c>
      <c r="Y36" s="93" t="s">
        <v>132</v>
      </c>
    </row>
    <row r="37" spans="1:25" ht="11.25" customHeight="1" x14ac:dyDescent="0.2">
      <c r="A37">
        <v>36</v>
      </c>
      <c r="H37" s="93" t="s">
        <v>166</v>
      </c>
      <c r="I37" s="93" t="s">
        <v>115</v>
      </c>
      <c r="M37" s="92"/>
      <c r="N37" s="92"/>
      <c r="P37" s="94"/>
      <c r="Q37" s="94"/>
      <c r="W37" s="208" t="s">
        <v>166</v>
      </c>
      <c r="X37" s="208" t="s">
        <v>188</v>
      </c>
      <c r="Y37" s="93" t="s">
        <v>132</v>
      </c>
    </row>
    <row r="38" spans="1:25" ht="11.25" customHeight="1" x14ac:dyDescent="0.2">
      <c r="A38">
        <v>37</v>
      </c>
      <c r="H38" s="93" t="s">
        <v>167</v>
      </c>
      <c r="I38" s="93" t="s">
        <v>116</v>
      </c>
      <c r="M38" s="92"/>
      <c r="N38" s="92"/>
      <c r="P38" s="94"/>
      <c r="Q38" s="94"/>
      <c r="W38" s="208" t="s">
        <v>167</v>
      </c>
      <c r="X38" s="208" t="s">
        <v>189</v>
      </c>
      <c r="Y38" s="93" t="s">
        <v>132</v>
      </c>
    </row>
    <row r="39" spans="1:25" ht="11.25" customHeight="1" x14ac:dyDescent="0.2">
      <c r="A39">
        <v>38</v>
      </c>
      <c r="H39" s="93" t="s">
        <v>168</v>
      </c>
      <c r="I39" s="93" t="s">
        <v>117</v>
      </c>
      <c r="M39" s="92"/>
      <c r="N39" s="92"/>
      <c r="P39" s="94"/>
      <c r="Q39" s="94"/>
      <c r="W39" s="208" t="s">
        <v>168</v>
      </c>
      <c r="X39" s="208" t="s">
        <v>189</v>
      </c>
      <c r="Y39" s="93" t="s">
        <v>132</v>
      </c>
    </row>
    <row r="40" spans="1:25" ht="11.25" customHeight="1" x14ac:dyDescent="0.2">
      <c r="A40">
        <v>39</v>
      </c>
      <c r="H40" s="93" t="s">
        <v>169</v>
      </c>
      <c r="I40" s="93" t="s">
        <v>118</v>
      </c>
      <c r="M40" s="92"/>
      <c r="N40" s="92"/>
      <c r="P40" s="94"/>
      <c r="Q40" s="94"/>
      <c r="W40" s="208" t="s">
        <v>169</v>
      </c>
      <c r="X40" s="208" t="s">
        <v>189</v>
      </c>
      <c r="Y40" s="93" t="s">
        <v>132</v>
      </c>
    </row>
    <row r="41" spans="1:25" ht="11.25" customHeight="1" x14ac:dyDescent="0.2">
      <c r="A41">
        <v>40</v>
      </c>
      <c r="H41" s="93" t="s">
        <v>170</v>
      </c>
      <c r="I41" s="93" t="s">
        <v>119</v>
      </c>
      <c r="M41" s="92"/>
      <c r="N41" s="92"/>
      <c r="P41" s="94"/>
      <c r="Q41" s="94"/>
      <c r="W41" s="208" t="s">
        <v>170</v>
      </c>
      <c r="X41" s="208" t="s">
        <v>190</v>
      </c>
      <c r="Y41" s="93" t="s">
        <v>132</v>
      </c>
    </row>
    <row r="42" spans="1:25" ht="11.25" customHeight="1" x14ac:dyDescent="0.2">
      <c r="A42">
        <v>41</v>
      </c>
      <c r="H42" s="93" t="s">
        <v>171</v>
      </c>
      <c r="I42" s="93" t="s">
        <v>120</v>
      </c>
      <c r="M42" s="92"/>
      <c r="N42" s="92"/>
      <c r="P42" s="94"/>
      <c r="Q42" s="94"/>
      <c r="W42" s="208" t="s">
        <v>171</v>
      </c>
      <c r="X42" s="208" t="s">
        <v>190</v>
      </c>
      <c r="Y42" s="93" t="s">
        <v>132</v>
      </c>
    </row>
    <row r="43" spans="1:25" ht="11.25" customHeight="1" x14ac:dyDescent="0.2">
      <c r="A43">
        <v>42</v>
      </c>
      <c r="H43" s="93" t="s">
        <v>172</v>
      </c>
      <c r="I43" s="93" t="s">
        <v>121</v>
      </c>
      <c r="M43" s="92"/>
      <c r="N43" s="92"/>
      <c r="P43" s="94"/>
      <c r="Q43" s="94"/>
      <c r="W43" s="208" t="s">
        <v>172</v>
      </c>
      <c r="X43" s="208" t="s">
        <v>190</v>
      </c>
      <c r="Y43" s="93" t="s">
        <v>132</v>
      </c>
    </row>
    <row r="44" spans="1:25" ht="11.25" customHeight="1" x14ac:dyDescent="0.2">
      <c r="A44">
        <v>43</v>
      </c>
      <c r="H44" s="93" t="s">
        <v>173</v>
      </c>
      <c r="I44" s="93" t="s">
        <v>122</v>
      </c>
      <c r="M44" s="92"/>
      <c r="N44" s="92"/>
      <c r="P44" s="94"/>
      <c r="Q44" s="94"/>
      <c r="W44" s="208" t="s">
        <v>173</v>
      </c>
      <c r="X44" s="208" t="s">
        <v>190</v>
      </c>
      <c r="Y44" s="93" t="s">
        <v>132</v>
      </c>
    </row>
    <row r="45" spans="1:25" ht="11.25" customHeight="1" x14ac:dyDescent="0.2">
      <c r="A45">
        <v>44</v>
      </c>
      <c r="H45" s="93" t="s">
        <v>174</v>
      </c>
      <c r="I45" s="93" t="s">
        <v>123</v>
      </c>
      <c r="M45" s="92"/>
      <c r="N45" s="92"/>
      <c r="P45" s="94"/>
      <c r="Q45" s="94"/>
      <c r="W45" s="208" t="s">
        <v>174</v>
      </c>
      <c r="X45" s="208" t="s">
        <v>190</v>
      </c>
      <c r="Y45" s="93" t="s">
        <v>132</v>
      </c>
    </row>
    <row r="46" spans="1:25" ht="11.25" customHeight="1" x14ac:dyDescent="0.2">
      <c r="A46">
        <v>45</v>
      </c>
      <c r="H46" s="93" t="s">
        <v>175</v>
      </c>
      <c r="I46" s="93" t="s">
        <v>124</v>
      </c>
      <c r="M46" s="92"/>
      <c r="N46" s="92"/>
      <c r="P46" s="94"/>
      <c r="Q46" s="94"/>
      <c r="W46" s="208" t="s">
        <v>175</v>
      </c>
      <c r="X46" s="208" t="s">
        <v>191</v>
      </c>
      <c r="Y46" s="93" t="s">
        <v>132</v>
      </c>
    </row>
    <row r="47" spans="1:25" ht="11.25" customHeight="1" x14ac:dyDescent="0.2">
      <c r="A47">
        <v>46</v>
      </c>
      <c r="H47" s="93" t="s">
        <v>176</v>
      </c>
      <c r="I47" s="93" t="s">
        <v>125</v>
      </c>
      <c r="M47" s="92"/>
      <c r="N47" s="92"/>
      <c r="P47" s="94"/>
      <c r="Q47" s="94"/>
      <c r="W47" s="208" t="s">
        <v>176</v>
      </c>
      <c r="X47" s="208" t="s">
        <v>191</v>
      </c>
      <c r="Y47" s="93" t="s">
        <v>132</v>
      </c>
    </row>
    <row r="48" spans="1:25" ht="11.25" customHeight="1" x14ac:dyDescent="0.2">
      <c r="A48">
        <v>47</v>
      </c>
      <c r="H48" s="93" t="s">
        <v>177</v>
      </c>
      <c r="I48" s="93" t="s">
        <v>126</v>
      </c>
      <c r="M48" s="92"/>
      <c r="N48" s="92"/>
      <c r="P48" s="94"/>
      <c r="Q48" s="94"/>
      <c r="W48" s="208" t="s">
        <v>177</v>
      </c>
      <c r="X48" s="208" t="s">
        <v>191</v>
      </c>
      <c r="Y48" s="93" t="s">
        <v>132</v>
      </c>
    </row>
    <row r="49" spans="1:25" ht="11.25" customHeight="1" x14ac:dyDescent="0.2">
      <c r="A49">
        <v>48</v>
      </c>
      <c r="H49" s="93" t="s">
        <v>178</v>
      </c>
      <c r="I49" s="93" t="s">
        <v>127</v>
      </c>
      <c r="M49" s="92"/>
      <c r="N49" s="92"/>
      <c r="P49" s="92"/>
      <c r="Q49" s="92"/>
      <c r="W49" s="208" t="s">
        <v>178</v>
      </c>
      <c r="X49" s="208" t="s">
        <v>192</v>
      </c>
      <c r="Y49" s="93" t="s">
        <v>132</v>
      </c>
    </row>
    <row r="50" spans="1:25" ht="11.25" customHeight="1" x14ac:dyDescent="0.2">
      <c r="A50">
        <v>49</v>
      </c>
      <c r="H50" s="93" t="s">
        <v>179</v>
      </c>
      <c r="I50" s="93" t="s">
        <v>128</v>
      </c>
      <c r="M50" s="92"/>
      <c r="N50" s="92"/>
      <c r="P50" s="92"/>
      <c r="Q50" s="92"/>
      <c r="W50" s="208" t="s">
        <v>179</v>
      </c>
      <c r="X50" s="208" t="s">
        <v>192</v>
      </c>
      <c r="Y50" s="93" t="s">
        <v>132</v>
      </c>
    </row>
    <row r="51" spans="1:25" ht="11.25" customHeight="1" x14ac:dyDescent="0.2">
      <c r="A51">
        <v>50</v>
      </c>
      <c r="H51" s="93" t="s">
        <v>180</v>
      </c>
      <c r="I51" s="93" t="s">
        <v>129</v>
      </c>
      <c r="M51" s="92"/>
      <c r="N51" s="92"/>
      <c r="P51" s="92"/>
      <c r="Q51" s="92"/>
      <c r="W51" s="208" t="s">
        <v>180</v>
      </c>
      <c r="X51" s="208" t="s">
        <v>192</v>
      </c>
      <c r="Y51" s="93" t="s">
        <v>132</v>
      </c>
    </row>
    <row r="52" spans="1:25" x14ac:dyDescent="0.2">
      <c r="A52">
        <v>51</v>
      </c>
      <c r="M52" s="92"/>
      <c r="N52" s="92"/>
      <c r="P52" s="92"/>
      <c r="Q52" s="92"/>
    </row>
    <row r="53" spans="1:25" x14ac:dyDescent="0.2">
      <c r="A53">
        <v>52</v>
      </c>
      <c r="M53" s="92"/>
      <c r="N53" s="92"/>
      <c r="P53" s="92"/>
      <c r="Q53" s="92"/>
    </row>
    <row r="54" spans="1:25" x14ac:dyDescent="0.2">
      <c r="A54">
        <v>53</v>
      </c>
    </row>
    <row r="55" spans="1:25" x14ac:dyDescent="0.2">
      <c r="A55">
        <v>54</v>
      </c>
      <c r="M55" s="92"/>
      <c r="N55" s="92"/>
      <c r="P55" s="92"/>
      <c r="Q55" s="92"/>
    </row>
    <row r="56" spans="1:25" x14ac:dyDescent="0.2">
      <c r="A56">
        <v>55</v>
      </c>
      <c r="M56" s="92"/>
      <c r="N56" s="92"/>
      <c r="P56" s="92"/>
      <c r="Q56" s="92"/>
    </row>
    <row r="57" spans="1:25" x14ac:dyDescent="0.2">
      <c r="A57">
        <v>56</v>
      </c>
      <c r="M57" s="92"/>
      <c r="N57" s="92"/>
      <c r="P57" s="92"/>
      <c r="Q57" s="92"/>
    </row>
    <row r="58" spans="1:25" x14ac:dyDescent="0.2">
      <c r="A58">
        <v>57</v>
      </c>
      <c r="M58" s="92"/>
      <c r="N58" s="92"/>
      <c r="O58" s="92"/>
      <c r="P58" s="92"/>
      <c r="Q58" s="92"/>
    </row>
    <row r="59" spans="1:25" x14ac:dyDescent="0.2">
      <c r="A59">
        <v>58</v>
      </c>
      <c r="M59" s="92"/>
      <c r="N59" s="92"/>
      <c r="O59" s="92"/>
      <c r="P59" s="92"/>
      <c r="Q59" s="92"/>
    </row>
    <row r="60" spans="1:25" x14ac:dyDescent="0.2">
      <c r="A60">
        <v>59</v>
      </c>
      <c r="M60" s="92"/>
      <c r="N60" s="92"/>
      <c r="O60" s="92"/>
      <c r="P60" s="92"/>
      <c r="Q60" s="92"/>
    </row>
    <row r="61" spans="1:25" x14ac:dyDescent="0.2">
      <c r="A61">
        <v>60</v>
      </c>
      <c r="M61" s="92"/>
      <c r="N61" s="92"/>
      <c r="O61" s="92"/>
      <c r="P61" s="92"/>
      <c r="Q61" s="92"/>
    </row>
    <row r="62" spans="1:25" x14ac:dyDescent="0.2">
      <c r="A62">
        <v>61</v>
      </c>
      <c r="M62" s="92"/>
      <c r="N62" s="92"/>
      <c r="O62" s="92"/>
      <c r="P62" s="92"/>
      <c r="Q62" s="92"/>
    </row>
    <row r="63" spans="1:25" x14ac:dyDescent="0.2">
      <c r="A63">
        <v>62</v>
      </c>
      <c r="M63" s="92"/>
      <c r="N63" s="92"/>
      <c r="O63" s="92"/>
      <c r="P63" s="92"/>
      <c r="Q63" s="92"/>
    </row>
    <row r="64" spans="1:25" x14ac:dyDescent="0.2">
      <c r="A64">
        <v>63</v>
      </c>
      <c r="M64" s="92"/>
      <c r="N64" s="92"/>
      <c r="O64" s="92"/>
      <c r="P64" s="92"/>
      <c r="Q64" s="92"/>
    </row>
    <row r="65" spans="1:17" x14ac:dyDescent="0.2">
      <c r="A65">
        <v>64</v>
      </c>
      <c r="M65" s="92"/>
      <c r="N65" s="92"/>
      <c r="O65" s="92"/>
      <c r="P65" s="92"/>
      <c r="Q65" s="92"/>
    </row>
    <row r="66" spans="1:17" x14ac:dyDescent="0.2">
      <c r="A66">
        <v>65</v>
      </c>
      <c r="M66" s="92"/>
      <c r="N66" s="92"/>
      <c r="O66" s="92"/>
      <c r="P66" s="92"/>
      <c r="Q66" s="92"/>
    </row>
    <row r="67" spans="1:17" x14ac:dyDescent="0.2">
      <c r="A67">
        <v>66</v>
      </c>
      <c r="M67" s="92"/>
      <c r="N67" s="92"/>
      <c r="O67" s="92"/>
      <c r="P67" s="92"/>
      <c r="Q67" s="92"/>
    </row>
    <row r="68" spans="1:17" x14ac:dyDescent="0.2">
      <c r="A68">
        <v>67</v>
      </c>
      <c r="M68" s="92"/>
      <c r="N68" s="92"/>
      <c r="O68" s="92"/>
      <c r="P68" s="92"/>
      <c r="Q68" s="92"/>
    </row>
    <row r="69" spans="1:17" x14ac:dyDescent="0.2">
      <c r="A69">
        <v>68</v>
      </c>
      <c r="M69" s="92"/>
      <c r="N69" s="92"/>
      <c r="O69" s="92"/>
      <c r="P69" s="92"/>
      <c r="Q69" s="92"/>
    </row>
    <row r="70" spans="1:17" x14ac:dyDescent="0.2">
      <c r="A70">
        <v>69</v>
      </c>
      <c r="M70" s="92"/>
      <c r="N70" s="92"/>
      <c r="O70" s="92"/>
      <c r="P70" s="92"/>
      <c r="Q70" s="92"/>
    </row>
    <row r="71" spans="1:17" x14ac:dyDescent="0.2">
      <c r="A71">
        <v>70</v>
      </c>
      <c r="M71" s="92"/>
      <c r="N71" s="92"/>
      <c r="O71" s="92"/>
      <c r="P71" s="92"/>
      <c r="Q71" s="92"/>
    </row>
    <row r="72" spans="1:17" x14ac:dyDescent="0.2">
      <c r="A72">
        <v>71</v>
      </c>
      <c r="M72" s="92"/>
      <c r="N72" s="92"/>
      <c r="O72" s="92"/>
      <c r="P72" s="92"/>
      <c r="Q72" s="92"/>
    </row>
    <row r="73" spans="1:17" x14ac:dyDescent="0.2">
      <c r="A73">
        <v>72</v>
      </c>
      <c r="M73" s="92"/>
      <c r="N73" s="92"/>
      <c r="O73" s="92"/>
      <c r="P73" s="92"/>
      <c r="Q73" s="92"/>
    </row>
    <row r="74" spans="1:17" x14ac:dyDescent="0.2">
      <c r="A74">
        <v>73</v>
      </c>
      <c r="M74" s="92"/>
      <c r="N74" s="92"/>
      <c r="O74" s="92"/>
      <c r="P74" s="92"/>
      <c r="Q74" s="92"/>
    </row>
    <row r="75" spans="1:17" x14ac:dyDescent="0.2">
      <c r="A75">
        <v>74</v>
      </c>
      <c r="M75" s="92"/>
      <c r="N75" s="92"/>
      <c r="O75" s="92"/>
      <c r="P75" s="92"/>
      <c r="Q75" s="92"/>
    </row>
    <row r="76" spans="1:17" x14ac:dyDescent="0.2">
      <c r="A76">
        <v>75</v>
      </c>
      <c r="M76" s="92"/>
      <c r="N76" s="92"/>
      <c r="O76" s="92"/>
      <c r="P76" s="92"/>
      <c r="Q76" s="92"/>
    </row>
    <row r="77" spans="1:17" x14ac:dyDescent="0.2">
      <c r="A77">
        <v>76</v>
      </c>
      <c r="M77" s="92"/>
      <c r="N77" s="92"/>
      <c r="O77" s="92"/>
      <c r="P77" s="92"/>
      <c r="Q77" s="92"/>
    </row>
    <row r="78" spans="1:17" x14ac:dyDescent="0.2">
      <c r="A78">
        <v>77</v>
      </c>
      <c r="M78" s="92"/>
      <c r="N78" s="92"/>
      <c r="O78" s="92"/>
      <c r="P78" s="92"/>
      <c r="Q78" s="92"/>
    </row>
    <row r="79" spans="1:17" x14ac:dyDescent="0.2">
      <c r="A79">
        <v>78</v>
      </c>
      <c r="M79" s="92"/>
      <c r="N79" s="92"/>
      <c r="O79" s="92"/>
      <c r="P79" s="92"/>
      <c r="Q79" s="92"/>
    </row>
    <row r="80" spans="1:17" x14ac:dyDescent="0.2">
      <c r="A80">
        <v>79</v>
      </c>
      <c r="M80" s="92"/>
      <c r="N80" s="92"/>
      <c r="O80" s="92"/>
      <c r="P80" s="92"/>
      <c r="Q80" s="92"/>
    </row>
    <row r="81" spans="1:17" x14ac:dyDescent="0.2">
      <c r="A81">
        <v>80</v>
      </c>
      <c r="M81" s="92"/>
      <c r="N81" s="92"/>
      <c r="O81" s="92"/>
      <c r="P81" s="92"/>
      <c r="Q81" s="92"/>
    </row>
    <row r="82" spans="1:17" x14ac:dyDescent="0.2">
      <c r="A82">
        <v>81</v>
      </c>
      <c r="M82" s="92"/>
      <c r="N82" s="92"/>
      <c r="O82" s="92"/>
      <c r="P82" s="92"/>
      <c r="Q82" s="92"/>
    </row>
    <row r="83" spans="1:17" x14ac:dyDescent="0.2">
      <c r="A83">
        <v>82</v>
      </c>
      <c r="M83" s="92"/>
      <c r="N83" s="92"/>
      <c r="O83" s="92"/>
      <c r="P83" s="92"/>
      <c r="Q83" s="92"/>
    </row>
    <row r="84" spans="1:17" x14ac:dyDescent="0.2">
      <c r="A84">
        <v>83</v>
      </c>
      <c r="M84" s="92"/>
      <c r="N84" s="92"/>
      <c r="O84" s="92"/>
      <c r="P84" s="92"/>
      <c r="Q84" s="92"/>
    </row>
    <row r="85" spans="1:17" x14ac:dyDescent="0.2">
      <c r="A85">
        <v>84</v>
      </c>
      <c r="M85" s="92"/>
      <c r="N85" s="92"/>
      <c r="O85" s="92"/>
      <c r="P85" s="92"/>
      <c r="Q85" s="92"/>
    </row>
    <row r="86" spans="1:17" x14ac:dyDescent="0.2">
      <c r="A86">
        <v>85</v>
      </c>
      <c r="M86" s="92"/>
      <c r="N86" s="92"/>
      <c r="O86" s="92"/>
      <c r="P86" s="92"/>
      <c r="Q86" s="92"/>
    </row>
    <row r="87" spans="1:17" x14ac:dyDescent="0.2">
      <c r="A87">
        <v>86</v>
      </c>
      <c r="M87" s="92"/>
      <c r="N87" s="92"/>
      <c r="O87" s="92"/>
      <c r="P87" s="92"/>
      <c r="Q87" s="92"/>
    </row>
    <row r="88" spans="1:17" x14ac:dyDescent="0.2">
      <c r="A88">
        <v>87</v>
      </c>
      <c r="M88" s="92"/>
      <c r="N88" s="92"/>
      <c r="O88" s="92"/>
      <c r="P88" s="92"/>
      <c r="Q88" s="92"/>
    </row>
    <row r="89" spans="1:17" x14ac:dyDescent="0.2">
      <c r="A89">
        <v>88</v>
      </c>
      <c r="M89" s="92"/>
      <c r="N89" s="92"/>
      <c r="O89" s="92"/>
      <c r="P89" s="92"/>
      <c r="Q89" s="92"/>
    </row>
    <row r="90" spans="1:17" x14ac:dyDescent="0.2">
      <c r="A90">
        <v>89</v>
      </c>
      <c r="M90" s="92"/>
      <c r="N90" s="92"/>
      <c r="O90" s="92"/>
      <c r="P90" s="92"/>
      <c r="Q90" s="92"/>
    </row>
    <row r="91" spans="1:17" x14ac:dyDescent="0.2">
      <c r="A91">
        <v>90</v>
      </c>
      <c r="M91" s="92"/>
      <c r="N91" s="92"/>
      <c r="O91" s="92"/>
      <c r="P91" s="92"/>
      <c r="Q91" s="92"/>
    </row>
    <row r="92" spans="1:17" x14ac:dyDescent="0.2">
      <c r="A92">
        <v>91</v>
      </c>
      <c r="M92" s="92"/>
      <c r="N92" s="92"/>
      <c r="O92" s="92"/>
      <c r="P92" s="92"/>
      <c r="Q92" s="92"/>
    </row>
    <row r="93" spans="1:17" x14ac:dyDescent="0.2">
      <c r="A93">
        <v>92</v>
      </c>
      <c r="M93" s="92"/>
      <c r="N93" s="92"/>
      <c r="O93" s="92"/>
      <c r="P93" s="92"/>
      <c r="Q93" s="92"/>
    </row>
    <row r="94" spans="1:17" x14ac:dyDescent="0.2">
      <c r="A94">
        <v>93</v>
      </c>
      <c r="M94" s="92"/>
      <c r="N94" s="92"/>
      <c r="O94" s="92"/>
      <c r="P94" s="92"/>
      <c r="Q94" s="92"/>
    </row>
    <row r="95" spans="1:17" x14ac:dyDescent="0.2">
      <c r="A95">
        <v>94</v>
      </c>
      <c r="M95" s="92"/>
      <c r="N95" s="92"/>
      <c r="O95" s="92"/>
      <c r="P95" s="92"/>
      <c r="Q95" s="92"/>
    </row>
    <row r="96" spans="1:17" x14ac:dyDescent="0.2">
      <c r="A96">
        <v>95</v>
      </c>
      <c r="M96" s="92"/>
      <c r="N96" s="92"/>
      <c r="O96" s="92"/>
      <c r="P96" s="92"/>
      <c r="Q96" s="92"/>
    </row>
    <row r="97" spans="1:17" x14ac:dyDescent="0.2">
      <c r="A97">
        <v>96</v>
      </c>
      <c r="M97" s="92"/>
      <c r="N97" s="92"/>
      <c r="O97" s="92"/>
      <c r="P97" s="92"/>
      <c r="Q97" s="92"/>
    </row>
    <row r="98" spans="1:17" x14ac:dyDescent="0.2">
      <c r="A98">
        <v>97</v>
      </c>
      <c r="M98" s="92"/>
      <c r="N98" s="92"/>
      <c r="O98" s="92"/>
      <c r="P98" s="92"/>
      <c r="Q98" s="92"/>
    </row>
    <row r="99" spans="1:17" x14ac:dyDescent="0.2">
      <c r="A99">
        <v>98</v>
      </c>
      <c r="M99" s="92"/>
      <c r="N99" s="92"/>
      <c r="O99" s="92"/>
      <c r="P99" s="92"/>
      <c r="Q99" s="92"/>
    </row>
    <row r="100" spans="1:17" x14ac:dyDescent="0.2">
      <c r="A100">
        <v>99</v>
      </c>
      <c r="M100" s="92"/>
      <c r="N100" s="92"/>
      <c r="O100" s="92"/>
      <c r="P100" s="92"/>
      <c r="Q100" s="92"/>
    </row>
    <row r="101" spans="1:17" x14ac:dyDescent="0.2">
      <c r="A101">
        <v>100</v>
      </c>
      <c r="M101" s="92"/>
      <c r="N101" s="92"/>
      <c r="O101" s="92"/>
      <c r="P101" s="92"/>
      <c r="Q101" s="92"/>
    </row>
    <row r="102" spans="1:17" x14ac:dyDescent="0.2">
      <c r="A102">
        <v>101</v>
      </c>
      <c r="M102" s="92"/>
      <c r="N102" s="92"/>
      <c r="O102" s="92"/>
      <c r="P102" s="92"/>
      <c r="Q102" s="92"/>
    </row>
    <row r="103" spans="1:17" x14ac:dyDescent="0.2">
      <c r="A103">
        <v>102</v>
      </c>
      <c r="M103" s="92"/>
      <c r="N103" s="92"/>
      <c r="O103" s="92"/>
      <c r="P103" s="92"/>
      <c r="Q103" s="92"/>
    </row>
    <row r="104" spans="1:17" x14ac:dyDescent="0.2">
      <c r="A104">
        <v>103</v>
      </c>
      <c r="M104" s="92"/>
      <c r="N104" s="92"/>
      <c r="O104" s="92"/>
      <c r="P104" s="92"/>
      <c r="Q104" s="92"/>
    </row>
    <row r="105" spans="1:17" x14ac:dyDescent="0.2">
      <c r="A105">
        <v>104</v>
      </c>
      <c r="M105" s="92"/>
      <c r="N105" s="92"/>
      <c r="O105" s="92"/>
      <c r="P105" s="92"/>
      <c r="Q105" s="92"/>
    </row>
    <row r="106" spans="1:17" x14ac:dyDescent="0.2">
      <c r="A106">
        <v>105</v>
      </c>
      <c r="M106" s="92"/>
      <c r="N106" s="92"/>
      <c r="O106" s="92"/>
      <c r="P106" s="92"/>
      <c r="Q106" s="92"/>
    </row>
    <row r="107" spans="1:17" x14ac:dyDescent="0.2">
      <c r="A107">
        <v>106</v>
      </c>
      <c r="M107" s="92"/>
      <c r="N107" s="92"/>
      <c r="O107" s="92"/>
      <c r="P107" s="92"/>
      <c r="Q107" s="92"/>
    </row>
    <row r="108" spans="1:17" x14ac:dyDescent="0.2">
      <c r="A108">
        <v>107</v>
      </c>
      <c r="M108" s="92"/>
      <c r="N108" s="92"/>
      <c r="O108" s="92"/>
      <c r="P108" s="92"/>
      <c r="Q108" s="92"/>
    </row>
    <row r="109" spans="1:17" x14ac:dyDescent="0.2">
      <c r="A109">
        <v>108</v>
      </c>
      <c r="M109" s="92"/>
      <c r="N109" s="92"/>
      <c r="O109" s="92"/>
      <c r="P109" s="92"/>
      <c r="Q109" s="92"/>
    </row>
    <row r="110" spans="1:17" x14ac:dyDescent="0.2">
      <c r="A110">
        <v>109</v>
      </c>
      <c r="M110" s="92"/>
      <c r="N110" s="92"/>
      <c r="O110" s="92"/>
      <c r="P110" s="92"/>
      <c r="Q110" s="92"/>
    </row>
    <row r="111" spans="1:17" x14ac:dyDescent="0.2">
      <c r="A111">
        <v>110</v>
      </c>
      <c r="M111" s="92"/>
      <c r="N111" s="92"/>
      <c r="O111" s="92"/>
      <c r="P111" s="92"/>
      <c r="Q111" s="92"/>
    </row>
    <row r="112" spans="1:17" x14ac:dyDescent="0.2">
      <c r="A112">
        <v>111</v>
      </c>
      <c r="M112" s="92"/>
      <c r="N112" s="92"/>
      <c r="O112" s="92"/>
      <c r="P112" s="92"/>
      <c r="Q112" s="92"/>
    </row>
    <row r="113" spans="1:17" x14ac:dyDescent="0.2">
      <c r="A113">
        <v>112</v>
      </c>
      <c r="M113" s="92"/>
      <c r="N113" s="92"/>
      <c r="O113" s="92"/>
      <c r="P113" s="92"/>
      <c r="Q113" s="92"/>
    </row>
    <row r="114" spans="1:17" x14ac:dyDescent="0.2">
      <c r="A114">
        <v>113</v>
      </c>
      <c r="M114" s="92"/>
      <c r="N114" s="92"/>
      <c r="O114" s="92"/>
      <c r="P114" s="92"/>
      <c r="Q114" s="92"/>
    </row>
    <row r="115" spans="1:17" x14ac:dyDescent="0.2">
      <c r="A115">
        <v>114</v>
      </c>
      <c r="M115" s="92"/>
      <c r="N115" s="92"/>
      <c r="O115" s="92"/>
      <c r="P115" s="92"/>
      <c r="Q115" s="92"/>
    </row>
    <row r="116" spans="1:17" x14ac:dyDescent="0.2">
      <c r="A116">
        <v>115</v>
      </c>
      <c r="M116" s="92"/>
      <c r="N116" s="92"/>
      <c r="O116" s="92"/>
      <c r="P116" s="92"/>
      <c r="Q116" s="92"/>
    </row>
    <row r="117" spans="1:17" x14ac:dyDescent="0.2">
      <c r="A117">
        <v>116</v>
      </c>
      <c r="M117" s="92"/>
      <c r="N117" s="92"/>
      <c r="O117" s="92"/>
      <c r="P117" s="92"/>
      <c r="Q117" s="92"/>
    </row>
    <row r="118" spans="1:17" x14ac:dyDescent="0.2">
      <c r="A118">
        <v>117</v>
      </c>
      <c r="M118" s="92"/>
      <c r="N118" s="92"/>
      <c r="O118" s="92"/>
      <c r="P118" s="92"/>
      <c r="Q118" s="92"/>
    </row>
    <row r="119" spans="1:17" x14ac:dyDescent="0.2">
      <c r="A119">
        <v>118</v>
      </c>
      <c r="M119" s="92"/>
      <c r="N119" s="92"/>
      <c r="O119" s="92"/>
      <c r="P119" s="92"/>
      <c r="Q119" s="92"/>
    </row>
    <row r="120" spans="1:17" x14ac:dyDescent="0.2">
      <c r="A120">
        <v>119</v>
      </c>
      <c r="M120" s="92"/>
      <c r="N120" s="92"/>
      <c r="O120" s="92"/>
      <c r="P120" s="92"/>
      <c r="Q120" s="92"/>
    </row>
    <row r="121" spans="1:17" x14ac:dyDescent="0.2">
      <c r="A121">
        <v>120</v>
      </c>
      <c r="M121" s="92"/>
      <c r="N121" s="92"/>
      <c r="O121" s="92"/>
      <c r="P121" s="92"/>
      <c r="Q121" s="92"/>
    </row>
    <row r="122" spans="1:17" x14ac:dyDescent="0.2">
      <c r="A122">
        <v>121</v>
      </c>
      <c r="M122" s="92"/>
      <c r="N122" s="92"/>
      <c r="O122" s="92"/>
      <c r="P122" s="92"/>
      <c r="Q122" s="92"/>
    </row>
    <row r="123" spans="1:17" x14ac:dyDescent="0.2">
      <c r="A123">
        <v>122</v>
      </c>
      <c r="M123" s="92"/>
      <c r="N123" s="92"/>
      <c r="O123" s="92"/>
      <c r="P123" s="92"/>
      <c r="Q123" s="92"/>
    </row>
    <row r="124" spans="1:17" x14ac:dyDescent="0.2">
      <c r="A124">
        <v>123</v>
      </c>
      <c r="M124" s="92"/>
      <c r="N124" s="92"/>
      <c r="O124" s="92"/>
      <c r="P124" s="92"/>
      <c r="Q124" s="92"/>
    </row>
    <row r="125" spans="1:17" x14ac:dyDescent="0.2">
      <c r="A125">
        <v>124</v>
      </c>
      <c r="M125" s="92"/>
      <c r="N125" s="92"/>
      <c r="O125" s="92"/>
      <c r="P125" s="92"/>
      <c r="Q125" s="92"/>
    </row>
    <row r="126" spans="1:17" x14ac:dyDescent="0.2">
      <c r="A126">
        <v>125</v>
      </c>
      <c r="M126" s="92"/>
      <c r="N126" s="92"/>
      <c r="O126" s="92"/>
      <c r="P126" s="92"/>
      <c r="Q126" s="92"/>
    </row>
    <row r="127" spans="1:17" x14ac:dyDescent="0.2">
      <c r="A127">
        <v>126</v>
      </c>
      <c r="M127" s="92"/>
      <c r="N127" s="92"/>
      <c r="O127" s="92"/>
      <c r="P127" s="92"/>
      <c r="Q127" s="92"/>
    </row>
    <row r="128" spans="1:17" x14ac:dyDescent="0.2">
      <c r="A128">
        <v>127</v>
      </c>
      <c r="M128" s="92"/>
      <c r="N128" s="92"/>
      <c r="O128" s="92"/>
      <c r="P128" s="92"/>
      <c r="Q128" s="92"/>
    </row>
    <row r="129" spans="1:17" x14ac:dyDescent="0.2">
      <c r="A129">
        <v>128</v>
      </c>
      <c r="M129" s="92"/>
      <c r="N129" s="92"/>
      <c r="O129" s="92"/>
      <c r="P129" s="92"/>
      <c r="Q129" s="92"/>
    </row>
    <row r="130" spans="1:17" x14ac:dyDescent="0.2">
      <c r="A130">
        <v>129</v>
      </c>
      <c r="M130" s="92"/>
      <c r="N130" s="92"/>
      <c r="O130" s="92"/>
      <c r="P130" s="92"/>
      <c r="Q130" s="92"/>
    </row>
    <row r="131" spans="1:17" x14ac:dyDescent="0.2">
      <c r="A131">
        <v>130</v>
      </c>
      <c r="M131" s="92"/>
      <c r="N131" s="92"/>
      <c r="O131" s="92"/>
      <c r="P131" s="92"/>
      <c r="Q131" s="92"/>
    </row>
    <row r="132" spans="1:17" x14ac:dyDescent="0.2">
      <c r="M132" s="92"/>
      <c r="N132" s="92"/>
      <c r="O132" s="92"/>
      <c r="P132" s="92"/>
      <c r="Q132" s="92"/>
    </row>
    <row r="133" spans="1:17" x14ac:dyDescent="0.2">
      <c r="M133" s="92"/>
      <c r="N133" s="92"/>
      <c r="O133" s="92"/>
      <c r="P133" s="92"/>
      <c r="Q133" s="92"/>
    </row>
    <row r="134" spans="1:17" x14ac:dyDescent="0.2">
      <c r="M134" s="92"/>
      <c r="N134" s="92"/>
      <c r="O134" s="92"/>
      <c r="P134" s="92"/>
      <c r="Q134" s="92"/>
    </row>
    <row r="135" spans="1:17" x14ac:dyDescent="0.2">
      <c r="M135" s="92"/>
      <c r="N135" s="92"/>
      <c r="O135" s="92"/>
      <c r="P135" s="92"/>
      <c r="Q135" s="92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C000"/>
  </sheetPr>
  <dimension ref="A1:AI15"/>
  <sheetViews>
    <sheetView showGridLines="0" topLeftCell="A4" zoomScale="70" zoomScaleNormal="70" zoomScaleSheetLayoutView="85" workbookViewId="0">
      <selection activeCell="F9" sqref="F9"/>
    </sheetView>
  </sheetViews>
  <sheetFormatPr baseColWidth="10" defaultRowHeight="12.75" outlineLevelRow="1" x14ac:dyDescent="0.2"/>
  <cols>
    <col min="1" max="1" width="0.83203125" style="119" customWidth="1"/>
    <col min="2" max="2" width="3.1640625" style="119" customWidth="1"/>
    <col min="3" max="7" width="17.5" style="119" customWidth="1"/>
    <col min="8" max="8" width="3.1640625" style="119" customWidth="1"/>
    <col min="9" max="9" width="1.6640625" style="119" customWidth="1"/>
    <col min="10" max="10" width="3.1640625" style="119" customWidth="1"/>
    <col min="11" max="15" width="17.5" style="119" customWidth="1"/>
    <col min="16" max="16" width="3.1640625" style="119" customWidth="1"/>
    <col min="17" max="17" width="12" style="119"/>
    <col min="18" max="18" width="57.33203125" style="119" customWidth="1"/>
    <col min="19" max="16384" width="12" style="119"/>
  </cols>
  <sheetData>
    <row r="1" spans="1:35" ht="30" customHeight="1" x14ac:dyDescent="0.2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35" ht="30" customHeight="1" x14ac:dyDescent="0.2">
      <c r="A2" s="118"/>
      <c r="B2" s="506" t="s">
        <v>64</v>
      </c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</row>
    <row r="3" spans="1:35" s="121" customFormat="1" ht="29.25" customHeight="1" thickBot="1" x14ac:dyDescent="0.25">
      <c r="A3" s="118"/>
      <c r="B3" s="118"/>
      <c r="C3" s="120"/>
      <c r="D3" s="120"/>
      <c r="E3" s="120"/>
      <c r="F3" s="120"/>
      <c r="G3" s="120"/>
      <c r="H3" s="118"/>
      <c r="I3" s="120"/>
      <c r="J3" s="118"/>
      <c r="K3" s="120"/>
      <c r="L3" s="120"/>
      <c r="M3" s="120"/>
      <c r="N3" s="120"/>
      <c r="O3" s="120"/>
      <c r="P3" s="118"/>
    </row>
    <row r="4" spans="1:35" ht="15.75" customHeight="1" x14ac:dyDescent="0.2">
      <c r="A4" s="118"/>
      <c r="B4" s="507" t="s">
        <v>2</v>
      </c>
      <c r="C4" s="508"/>
      <c r="D4" s="508"/>
      <c r="E4" s="508"/>
      <c r="F4" s="509"/>
      <c r="G4" s="122"/>
      <c r="H4" s="122"/>
      <c r="I4" s="118"/>
      <c r="J4" s="507" t="s">
        <v>65</v>
      </c>
      <c r="K4" s="508"/>
      <c r="L4" s="508"/>
      <c r="M4" s="508"/>
      <c r="N4" s="508"/>
      <c r="O4" s="508"/>
      <c r="P4" s="509"/>
      <c r="R4" s="123"/>
      <c r="S4" s="123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</row>
    <row r="5" spans="1:35" outlineLevel="1" x14ac:dyDescent="0.2">
      <c r="A5" s="118"/>
      <c r="B5" s="125"/>
      <c r="C5" s="126"/>
      <c r="D5" s="126"/>
      <c r="E5" s="126"/>
      <c r="F5" s="126"/>
      <c r="G5" s="126"/>
      <c r="H5" s="127"/>
      <c r="I5" s="118"/>
      <c r="J5" s="125"/>
      <c r="K5" s="126"/>
      <c r="L5" s="126"/>
      <c r="M5" s="126"/>
      <c r="N5" s="126"/>
      <c r="O5" s="126"/>
      <c r="P5" s="127"/>
    </row>
    <row r="6" spans="1:35" ht="12" customHeight="1" outlineLevel="1" x14ac:dyDescent="0.2">
      <c r="A6" s="118"/>
      <c r="B6" s="130" t="s">
        <v>16</v>
      </c>
      <c r="C6" s="138"/>
      <c r="D6" s="138"/>
      <c r="E6" s="138"/>
      <c r="F6" s="126"/>
      <c r="G6" s="126"/>
      <c r="H6" s="127"/>
      <c r="I6" s="118"/>
      <c r="J6" s="130" t="s">
        <v>16</v>
      </c>
      <c r="K6" s="138"/>
      <c r="L6" s="138"/>
      <c r="M6" s="138"/>
      <c r="N6" s="126"/>
      <c r="O6" s="126"/>
      <c r="P6" s="127"/>
      <c r="R6" s="128"/>
      <c r="S6" s="128"/>
      <c r="T6" s="510"/>
      <c r="U6" s="510"/>
      <c r="V6" s="510"/>
      <c r="W6" s="128"/>
      <c r="X6" s="128"/>
      <c r="Y6" s="128"/>
      <c r="Z6" s="510"/>
      <c r="AA6" s="510"/>
      <c r="AB6" s="510"/>
      <c r="AC6" s="129"/>
      <c r="AD6" s="128"/>
      <c r="AE6" s="128"/>
      <c r="AF6" s="128"/>
      <c r="AG6" s="510"/>
      <c r="AH6" s="510"/>
      <c r="AI6" s="128"/>
    </row>
    <row r="7" spans="1:35" ht="70.5" customHeight="1" outlineLevel="1" x14ac:dyDescent="0.2">
      <c r="A7" s="118"/>
      <c r="B7" s="131">
        <v>5</v>
      </c>
      <c r="C7" s="139" t="str">
        <f ca="1">'Feuil1 (2)'!F7</f>
        <v/>
      </c>
      <c r="D7" s="140" t="str">
        <f ca="1">'Feuil1 (2)'!F12</f>
        <v/>
      </c>
      <c r="E7" s="141" t="str">
        <f ca="1">'Feuil1 (2)'!F17</f>
        <v/>
      </c>
      <c r="F7" s="141" t="str">
        <f ca="1">'Feuil1 (2)'!F22</f>
        <v/>
      </c>
      <c r="G7" s="141" t="str">
        <f ca="1">'Feuil1 (2)'!F27</f>
        <v/>
      </c>
      <c r="H7" s="133"/>
      <c r="I7" s="118"/>
      <c r="J7" s="131">
        <v>5</v>
      </c>
      <c r="K7" s="139" t="str">
        <f ca="1">'Feuil1 (3)'!F7</f>
        <v/>
      </c>
      <c r="L7" s="140" t="str">
        <f ca="1">'Feuil1 (3)'!F12</f>
        <v/>
      </c>
      <c r="M7" s="141" t="str">
        <f ca="1">'Feuil1 (3)'!F17</f>
        <v/>
      </c>
      <c r="N7" s="141" t="str">
        <f ca="1">'Feuil1 (3)'!F22</f>
        <v/>
      </c>
      <c r="O7" s="141" t="str">
        <f ca="1">'Feuil1 (3)'!F27</f>
        <v/>
      </c>
      <c r="P7" s="133"/>
      <c r="R7" s="128"/>
      <c r="S7" s="128"/>
      <c r="T7" s="511"/>
      <c r="U7" s="511"/>
      <c r="V7" s="511"/>
      <c r="W7" s="128"/>
      <c r="X7" s="128"/>
      <c r="Y7" s="128"/>
      <c r="Z7" s="134"/>
      <c r="AA7" s="134"/>
      <c r="AB7" s="134"/>
      <c r="AC7" s="134"/>
      <c r="AD7" s="128"/>
      <c r="AE7" s="128"/>
      <c r="AF7" s="128"/>
      <c r="AG7" s="128"/>
      <c r="AH7" s="128"/>
      <c r="AI7" s="128"/>
    </row>
    <row r="8" spans="1:35" ht="70.5" customHeight="1" outlineLevel="1" x14ac:dyDescent="0.2">
      <c r="A8" s="118"/>
      <c r="B8" s="131">
        <v>4</v>
      </c>
      <c r="C8" s="142" t="str">
        <f ca="1">'Feuil1 (2)'!F6</f>
        <v/>
      </c>
      <c r="D8" s="139" t="str">
        <f ca="1">'Feuil1 (2)'!F11</f>
        <v/>
      </c>
      <c r="E8" s="140" t="str">
        <f ca="1">'Feuil1 (2)'!F16</f>
        <v/>
      </c>
      <c r="F8" s="141" t="str">
        <f ca="1">'Feuil1 (2)'!F21</f>
        <v/>
      </c>
      <c r="G8" s="141" t="str">
        <f ca="1">'Feuil1 (2)'!F26</f>
        <v/>
      </c>
      <c r="H8" s="133"/>
      <c r="I8" s="118"/>
      <c r="J8" s="131">
        <v>4</v>
      </c>
      <c r="K8" s="142" t="str">
        <f ca="1">'Feuil1 (3)'!F6</f>
        <v/>
      </c>
      <c r="L8" s="139" t="str">
        <f ca="1">'Feuil1 (3)'!F11</f>
        <v/>
      </c>
      <c r="M8" s="140" t="str">
        <f ca="1">'Feuil1 (3)'!F16</f>
        <v/>
      </c>
      <c r="N8" s="141" t="str">
        <f ca="1">'Feuil1 (3)'!F21</f>
        <v/>
      </c>
      <c r="O8" s="141" t="str">
        <f ca="1">'Feuil1 (3)'!F26</f>
        <v/>
      </c>
      <c r="P8" s="133"/>
      <c r="R8" s="128"/>
      <c r="S8" s="128"/>
      <c r="T8" s="511"/>
      <c r="U8" s="511"/>
      <c r="V8" s="511"/>
      <c r="W8" s="128"/>
      <c r="X8" s="128"/>
      <c r="Y8" s="128"/>
      <c r="Z8" s="134"/>
      <c r="AA8" s="134"/>
      <c r="AB8" s="134"/>
      <c r="AC8" s="134"/>
      <c r="AD8" s="128"/>
      <c r="AE8" s="128"/>
      <c r="AF8" s="128"/>
      <c r="AG8" s="128"/>
      <c r="AH8" s="128"/>
      <c r="AI8" s="128"/>
    </row>
    <row r="9" spans="1:35" ht="70.5" customHeight="1" outlineLevel="1" x14ac:dyDescent="0.2">
      <c r="A9" s="118"/>
      <c r="B9" s="131">
        <v>3</v>
      </c>
      <c r="C9" s="142" t="str">
        <f ca="1">'Feuil1 (2)'!F5</f>
        <v/>
      </c>
      <c r="D9" s="139" t="str">
        <f ca="1">'Feuil1 (2)'!F10</f>
        <v/>
      </c>
      <c r="E9" s="139" t="str">
        <f ca="1">'Feuil1 (2)'!F15</f>
        <v/>
      </c>
      <c r="F9" s="140" t="str">
        <f ca="1">'Feuil1 (2)'!F20</f>
        <v/>
      </c>
      <c r="G9" s="141" t="str">
        <f ca="1">'Feuil1 (2)'!F25</f>
        <v/>
      </c>
      <c r="H9" s="133"/>
      <c r="I9" s="118"/>
      <c r="J9" s="131">
        <v>3</v>
      </c>
      <c r="K9" s="142" t="str">
        <f ca="1">'Feuil1 (3)'!F5</f>
        <v/>
      </c>
      <c r="L9" s="139" t="str">
        <f ca="1">'Feuil1 (3)'!F10</f>
        <v/>
      </c>
      <c r="M9" s="139" t="str">
        <f ca="1">'Feuil1 (3)'!F15</f>
        <v/>
      </c>
      <c r="N9" s="140" t="str">
        <f ca="1">'Feuil1 (3)'!F20</f>
        <v/>
      </c>
      <c r="O9" s="141" t="str">
        <f ca="1">'Feuil1 (3)'!F25</f>
        <v/>
      </c>
      <c r="P9" s="133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</row>
    <row r="10" spans="1:35" ht="70.5" customHeight="1" outlineLevel="1" x14ac:dyDescent="0.2">
      <c r="A10" s="118"/>
      <c r="B10" s="131">
        <v>2</v>
      </c>
      <c r="C10" s="143" t="str">
        <f ca="1">'Feuil1 (2)'!F4</f>
        <v/>
      </c>
      <c r="D10" s="142" t="str">
        <f ca="1">'Feuil1 (2)'!F9</f>
        <v/>
      </c>
      <c r="E10" s="139" t="str">
        <f ca="1">'Feuil1 (2)'!F14</f>
        <v/>
      </c>
      <c r="F10" s="139" t="str">
        <f ca="1">'Feuil1 (2)'!F19</f>
        <v/>
      </c>
      <c r="G10" s="140" t="str">
        <f ca="1">'Feuil1 (2)'!F24</f>
        <v/>
      </c>
      <c r="H10" s="512" t="s">
        <v>1</v>
      </c>
      <c r="I10" s="118"/>
      <c r="J10" s="131">
        <v>2</v>
      </c>
      <c r="K10" s="143" t="str">
        <f ca="1">'Feuil1 (3)'!F4</f>
        <v/>
      </c>
      <c r="L10" s="142" t="str">
        <f ca="1">'Feuil1 (3)'!F9</f>
        <v/>
      </c>
      <c r="M10" s="139" t="str">
        <f ca="1">'Feuil1 (3)'!F14</f>
        <v/>
      </c>
      <c r="N10" s="139" t="str">
        <f ca="1">'Feuil1 (3)'!F19</f>
        <v/>
      </c>
      <c r="O10" s="140" t="str">
        <f ca="1">'Feuil1 (3)'!F24</f>
        <v/>
      </c>
      <c r="P10" s="512" t="s">
        <v>1</v>
      </c>
      <c r="R10" s="128"/>
      <c r="S10" s="128"/>
      <c r="T10" s="510"/>
      <c r="U10" s="511"/>
      <c r="V10" s="511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</row>
    <row r="11" spans="1:35" ht="70.5" customHeight="1" outlineLevel="1" x14ac:dyDescent="0.2">
      <c r="A11" s="118"/>
      <c r="B11" s="131">
        <v>1</v>
      </c>
      <c r="C11" s="143" t="str">
        <f ca="1">'Feuil1 (2)'!F3</f>
        <v/>
      </c>
      <c r="D11" s="143" t="str">
        <f ca="1">'Feuil1 (2)'!F8</f>
        <v/>
      </c>
      <c r="E11" s="142" t="str">
        <f ca="1">'Feuil1 (2)'!F13</f>
        <v/>
      </c>
      <c r="F11" s="142" t="str">
        <f ca="1">'Feuil1 (2)'!F18</f>
        <v/>
      </c>
      <c r="G11" s="139" t="str">
        <f ca="1">'Feuil1 (2)'!F23</f>
        <v/>
      </c>
      <c r="H11" s="512"/>
      <c r="I11" s="118"/>
      <c r="J11" s="131">
        <v>1</v>
      </c>
      <c r="K11" s="143" t="str">
        <f ca="1">'Feuil1 (3)'!F3</f>
        <v/>
      </c>
      <c r="L11" s="143" t="str">
        <f ca="1">'Feuil1 (3)'!F8</f>
        <v/>
      </c>
      <c r="M11" s="142" t="str">
        <f ca="1">'Feuil1 (3)'!F13</f>
        <v/>
      </c>
      <c r="N11" s="142" t="str">
        <f ca="1">'Feuil1 (3)'!F18</f>
        <v/>
      </c>
      <c r="O11" s="139" t="str">
        <f ca="1">'Feuil1 (3)'!F23</f>
        <v/>
      </c>
      <c r="P11" s="512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</row>
    <row r="12" spans="1:35" outlineLevel="1" x14ac:dyDescent="0.2">
      <c r="A12" s="118"/>
      <c r="B12" s="125"/>
      <c r="C12" s="132">
        <v>1</v>
      </c>
      <c r="D12" s="132">
        <v>2</v>
      </c>
      <c r="E12" s="132">
        <v>3</v>
      </c>
      <c r="F12" s="132">
        <v>4</v>
      </c>
      <c r="G12" s="132">
        <v>5</v>
      </c>
      <c r="H12" s="512"/>
      <c r="I12" s="118"/>
      <c r="J12" s="125"/>
      <c r="K12" s="132">
        <v>1</v>
      </c>
      <c r="L12" s="132">
        <v>2</v>
      </c>
      <c r="M12" s="132">
        <v>3</v>
      </c>
      <c r="N12" s="132">
        <v>4</v>
      </c>
      <c r="O12" s="132">
        <v>5</v>
      </c>
      <c r="P12" s="512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</row>
    <row r="13" spans="1:35" ht="13.5" outlineLevel="1" thickBot="1" x14ac:dyDescent="0.25">
      <c r="A13" s="118"/>
      <c r="B13" s="135"/>
      <c r="C13" s="136"/>
      <c r="D13" s="136"/>
      <c r="E13" s="136"/>
      <c r="F13" s="137"/>
      <c r="G13" s="137"/>
      <c r="H13" s="513"/>
      <c r="I13" s="118"/>
      <c r="J13" s="135"/>
      <c r="K13" s="136"/>
      <c r="L13" s="136"/>
      <c r="M13" s="136"/>
      <c r="N13" s="137"/>
      <c r="O13" s="137"/>
      <c r="P13" s="513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</row>
    <row r="14" spans="1:35" x14ac:dyDescent="0.2">
      <c r="A14" s="118"/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</row>
    <row r="15" spans="1:35" x14ac:dyDescent="0.2">
      <c r="A15" s="118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</row>
  </sheetData>
  <mergeCells count="11">
    <mergeCell ref="AG6:AH6"/>
    <mergeCell ref="T8:V8"/>
    <mergeCell ref="H10:H13"/>
    <mergeCell ref="T10:V10"/>
    <mergeCell ref="P10:P13"/>
    <mergeCell ref="T7:V7"/>
    <mergeCell ref="B2:P2"/>
    <mergeCell ref="B4:F4"/>
    <mergeCell ref="J4:P4"/>
    <mergeCell ref="T6:V6"/>
    <mergeCell ref="Z6:AB6"/>
  </mergeCells>
  <pageMargins left="0.25" right="0.25" top="0.75" bottom="0.75" header="0.3" footer="0.3"/>
  <pageSetup paperSize="9" scale="8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G72"/>
  <sheetViews>
    <sheetView workbookViewId="0">
      <pane ySplit="2" topLeftCell="A3" activePane="bottomLeft" state="frozen"/>
      <selection activeCell="I10" sqref="I10"/>
      <selection pane="bottomLeft" activeCell="B4" sqref="B4"/>
    </sheetView>
  </sheetViews>
  <sheetFormatPr baseColWidth="10" defaultRowHeight="12.75" x14ac:dyDescent="0.2"/>
  <cols>
    <col min="1" max="1" width="2" style="104" customWidth="1"/>
    <col min="2" max="2" width="10.1640625" style="104" customWidth="1"/>
    <col min="3" max="3" width="7.6640625" style="104" customWidth="1"/>
    <col min="4" max="4" width="2" style="104" customWidth="1"/>
    <col min="5" max="5" width="10.6640625" style="104" customWidth="1"/>
    <col min="6" max="6" width="35.5" style="104" customWidth="1"/>
    <col min="7" max="7" width="2" style="104" customWidth="1"/>
    <col min="8" max="239" width="12" style="104"/>
    <col min="240" max="240" width="2" style="104" customWidth="1"/>
    <col min="241" max="241" width="10.1640625" style="104" customWidth="1"/>
    <col min="242" max="242" width="12" style="104"/>
    <col min="243" max="243" width="2" style="104" customWidth="1"/>
    <col min="244" max="244" width="10.6640625" style="104" customWidth="1"/>
    <col min="245" max="245" width="12" style="104"/>
    <col min="246" max="246" width="2" style="104" customWidth="1"/>
    <col min="247" max="247" width="6" style="104" customWidth="1"/>
    <col min="248" max="250" width="8.5" style="104" customWidth="1"/>
    <col min="251" max="251" width="2" style="104" customWidth="1"/>
    <col min="252" max="252" width="24" style="104" customWidth="1"/>
    <col min="253" max="253" width="2.5" style="104" customWidth="1"/>
    <col min="254" max="254" width="21.1640625" style="104" customWidth="1"/>
    <col min="255" max="495" width="12" style="104"/>
    <col min="496" max="496" width="2" style="104" customWidth="1"/>
    <col min="497" max="497" width="10.1640625" style="104" customWidth="1"/>
    <col min="498" max="498" width="12" style="104"/>
    <col min="499" max="499" width="2" style="104" customWidth="1"/>
    <col min="500" max="500" width="10.6640625" style="104" customWidth="1"/>
    <col min="501" max="501" width="12" style="104"/>
    <col min="502" max="502" width="2" style="104" customWidth="1"/>
    <col min="503" max="503" width="6" style="104" customWidth="1"/>
    <col min="504" max="506" width="8.5" style="104" customWidth="1"/>
    <col min="507" max="507" width="2" style="104" customWidth="1"/>
    <col min="508" max="508" width="24" style="104" customWidth="1"/>
    <col min="509" max="509" width="2.5" style="104" customWidth="1"/>
    <col min="510" max="510" width="21.1640625" style="104" customWidth="1"/>
    <col min="511" max="751" width="12" style="104"/>
    <col min="752" max="752" width="2" style="104" customWidth="1"/>
    <col min="753" max="753" width="10.1640625" style="104" customWidth="1"/>
    <col min="754" max="754" width="12" style="104"/>
    <col min="755" max="755" width="2" style="104" customWidth="1"/>
    <col min="756" max="756" width="10.6640625" style="104" customWidth="1"/>
    <col min="757" max="757" width="12" style="104"/>
    <col min="758" max="758" width="2" style="104" customWidth="1"/>
    <col min="759" max="759" width="6" style="104" customWidth="1"/>
    <col min="760" max="762" width="8.5" style="104" customWidth="1"/>
    <col min="763" max="763" width="2" style="104" customWidth="1"/>
    <col min="764" max="764" width="24" style="104" customWidth="1"/>
    <col min="765" max="765" width="2.5" style="104" customWidth="1"/>
    <col min="766" max="766" width="21.1640625" style="104" customWidth="1"/>
    <col min="767" max="1007" width="12" style="104"/>
    <col min="1008" max="1008" width="2" style="104" customWidth="1"/>
    <col min="1009" max="1009" width="10.1640625" style="104" customWidth="1"/>
    <col min="1010" max="1010" width="12" style="104"/>
    <col min="1011" max="1011" width="2" style="104" customWidth="1"/>
    <col min="1012" max="1012" width="10.6640625" style="104" customWidth="1"/>
    <col min="1013" max="1013" width="12" style="104"/>
    <col min="1014" max="1014" width="2" style="104" customWidth="1"/>
    <col min="1015" max="1015" width="6" style="104" customWidth="1"/>
    <col min="1016" max="1018" width="8.5" style="104" customWidth="1"/>
    <col min="1019" max="1019" width="2" style="104" customWidth="1"/>
    <col min="1020" max="1020" width="24" style="104" customWidth="1"/>
    <col min="1021" max="1021" width="2.5" style="104" customWidth="1"/>
    <col min="1022" max="1022" width="21.1640625" style="104" customWidth="1"/>
    <col min="1023" max="1263" width="12" style="104"/>
    <col min="1264" max="1264" width="2" style="104" customWidth="1"/>
    <col min="1265" max="1265" width="10.1640625" style="104" customWidth="1"/>
    <col min="1266" max="1266" width="12" style="104"/>
    <col min="1267" max="1267" width="2" style="104" customWidth="1"/>
    <col min="1268" max="1268" width="10.6640625" style="104" customWidth="1"/>
    <col min="1269" max="1269" width="12" style="104"/>
    <col min="1270" max="1270" width="2" style="104" customWidth="1"/>
    <col min="1271" max="1271" width="6" style="104" customWidth="1"/>
    <col min="1272" max="1274" width="8.5" style="104" customWidth="1"/>
    <col min="1275" max="1275" width="2" style="104" customWidth="1"/>
    <col min="1276" max="1276" width="24" style="104" customWidth="1"/>
    <col min="1277" max="1277" width="2.5" style="104" customWidth="1"/>
    <col min="1278" max="1278" width="21.1640625" style="104" customWidth="1"/>
    <col min="1279" max="1519" width="12" style="104"/>
    <col min="1520" max="1520" width="2" style="104" customWidth="1"/>
    <col min="1521" max="1521" width="10.1640625" style="104" customWidth="1"/>
    <col min="1522" max="1522" width="12" style="104"/>
    <col min="1523" max="1523" width="2" style="104" customWidth="1"/>
    <col min="1524" max="1524" width="10.6640625" style="104" customWidth="1"/>
    <col min="1525" max="1525" width="12" style="104"/>
    <col min="1526" max="1526" width="2" style="104" customWidth="1"/>
    <col min="1527" max="1527" width="6" style="104" customWidth="1"/>
    <col min="1528" max="1530" width="8.5" style="104" customWidth="1"/>
    <col min="1531" max="1531" width="2" style="104" customWidth="1"/>
    <col min="1532" max="1532" width="24" style="104" customWidth="1"/>
    <col min="1533" max="1533" width="2.5" style="104" customWidth="1"/>
    <col min="1534" max="1534" width="21.1640625" style="104" customWidth="1"/>
    <col min="1535" max="1775" width="12" style="104"/>
    <col min="1776" max="1776" width="2" style="104" customWidth="1"/>
    <col min="1777" max="1777" width="10.1640625" style="104" customWidth="1"/>
    <col min="1778" max="1778" width="12" style="104"/>
    <col min="1779" max="1779" width="2" style="104" customWidth="1"/>
    <col min="1780" max="1780" width="10.6640625" style="104" customWidth="1"/>
    <col min="1781" max="1781" width="12" style="104"/>
    <col min="1782" max="1782" width="2" style="104" customWidth="1"/>
    <col min="1783" max="1783" width="6" style="104" customWidth="1"/>
    <col min="1784" max="1786" width="8.5" style="104" customWidth="1"/>
    <col min="1787" max="1787" width="2" style="104" customWidth="1"/>
    <col min="1788" max="1788" width="24" style="104" customWidth="1"/>
    <col min="1789" max="1789" width="2.5" style="104" customWidth="1"/>
    <col min="1790" max="1790" width="21.1640625" style="104" customWidth="1"/>
    <col min="1791" max="2031" width="12" style="104"/>
    <col min="2032" max="2032" width="2" style="104" customWidth="1"/>
    <col min="2033" max="2033" width="10.1640625" style="104" customWidth="1"/>
    <col min="2034" max="2034" width="12" style="104"/>
    <col min="2035" max="2035" width="2" style="104" customWidth="1"/>
    <col min="2036" max="2036" width="10.6640625" style="104" customWidth="1"/>
    <col min="2037" max="2037" width="12" style="104"/>
    <col min="2038" max="2038" width="2" style="104" customWidth="1"/>
    <col min="2039" max="2039" width="6" style="104" customWidth="1"/>
    <col min="2040" max="2042" width="8.5" style="104" customWidth="1"/>
    <col min="2043" max="2043" width="2" style="104" customWidth="1"/>
    <col min="2044" max="2044" width="24" style="104" customWidth="1"/>
    <col min="2045" max="2045" width="2.5" style="104" customWidth="1"/>
    <col min="2046" max="2046" width="21.1640625" style="104" customWidth="1"/>
    <col min="2047" max="2287" width="12" style="104"/>
    <col min="2288" max="2288" width="2" style="104" customWidth="1"/>
    <col min="2289" max="2289" width="10.1640625" style="104" customWidth="1"/>
    <col min="2290" max="2290" width="12" style="104"/>
    <col min="2291" max="2291" width="2" style="104" customWidth="1"/>
    <col min="2292" max="2292" width="10.6640625" style="104" customWidth="1"/>
    <col min="2293" max="2293" width="12" style="104"/>
    <col min="2294" max="2294" width="2" style="104" customWidth="1"/>
    <col min="2295" max="2295" width="6" style="104" customWidth="1"/>
    <col min="2296" max="2298" width="8.5" style="104" customWidth="1"/>
    <col min="2299" max="2299" width="2" style="104" customWidth="1"/>
    <col min="2300" max="2300" width="24" style="104" customWidth="1"/>
    <col min="2301" max="2301" width="2.5" style="104" customWidth="1"/>
    <col min="2302" max="2302" width="21.1640625" style="104" customWidth="1"/>
    <col min="2303" max="2543" width="12" style="104"/>
    <col min="2544" max="2544" width="2" style="104" customWidth="1"/>
    <col min="2545" max="2545" width="10.1640625" style="104" customWidth="1"/>
    <col min="2546" max="2546" width="12" style="104"/>
    <col min="2547" max="2547" width="2" style="104" customWidth="1"/>
    <col min="2548" max="2548" width="10.6640625" style="104" customWidth="1"/>
    <col min="2549" max="2549" width="12" style="104"/>
    <col min="2550" max="2550" width="2" style="104" customWidth="1"/>
    <col min="2551" max="2551" width="6" style="104" customWidth="1"/>
    <col min="2552" max="2554" width="8.5" style="104" customWidth="1"/>
    <col min="2555" max="2555" width="2" style="104" customWidth="1"/>
    <col min="2556" max="2556" width="24" style="104" customWidth="1"/>
    <col min="2557" max="2557" width="2.5" style="104" customWidth="1"/>
    <col min="2558" max="2558" width="21.1640625" style="104" customWidth="1"/>
    <col min="2559" max="2799" width="12" style="104"/>
    <col min="2800" max="2800" width="2" style="104" customWidth="1"/>
    <col min="2801" max="2801" width="10.1640625" style="104" customWidth="1"/>
    <col min="2802" max="2802" width="12" style="104"/>
    <col min="2803" max="2803" width="2" style="104" customWidth="1"/>
    <col min="2804" max="2804" width="10.6640625" style="104" customWidth="1"/>
    <col min="2805" max="2805" width="12" style="104"/>
    <col min="2806" max="2806" width="2" style="104" customWidth="1"/>
    <col min="2807" max="2807" width="6" style="104" customWidth="1"/>
    <col min="2808" max="2810" width="8.5" style="104" customWidth="1"/>
    <col min="2811" max="2811" width="2" style="104" customWidth="1"/>
    <col min="2812" max="2812" width="24" style="104" customWidth="1"/>
    <col min="2813" max="2813" width="2.5" style="104" customWidth="1"/>
    <col min="2814" max="2814" width="21.1640625" style="104" customWidth="1"/>
    <col min="2815" max="3055" width="12" style="104"/>
    <col min="3056" max="3056" width="2" style="104" customWidth="1"/>
    <col min="3057" max="3057" width="10.1640625" style="104" customWidth="1"/>
    <col min="3058" max="3058" width="12" style="104"/>
    <col min="3059" max="3059" width="2" style="104" customWidth="1"/>
    <col min="3060" max="3060" width="10.6640625" style="104" customWidth="1"/>
    <col min="3061" max="3061" width="12" style="104"/>
    <col min="3062" max="3062" width="2" style="104" customWidth="1"/>
    <col min="3063" max="3063" width="6" style="104" customWidth="1"/>
    <col min="3064" max="3066" width="8.5" style="104" customWidth="1"/>
    <col min="3067" max="3067" width="2" style="104" customWidth="1"/>
    <col min="3068" max="3068" width="24" style="104" customWidth="1"/>
    <col min="3069" max="3069" width="2.5" style="104" customWidth="1"/>
    <col min="3070" max="3070" width="21.1640625" style="104" customWidth="1"/>
    <col min="3071" max="3311" width="12" style="104"/>
    <col min="3312" max="3312" width="2" style="104" customWidth="1"/>
    <col min="3313" max="3313" width="10.1640625" style="104" customWidth="1"/>
    <col min="3314" max="3314" width="12" style="104"/>
    <col min="3315" max="3315" width="2" style="104" customWidth="1"/>
    <col min="3316" max="3316" width="10.6640625" style="104" customWidth="1"/>
    <col min="3317" max="3317" width="12" style="104"/>
    <col min="3318" max="3318" width="2" style="104" customWidth="1"/>
    <col min="3319" max="3319" width="6" style="104" customWidth="1"/>
    <col min="3320" max="3322" width="8.5" style="104" customWidth="1"/>
    <col min="3323" max="3323" width="2" style="104" customWidth="1"/>
    <col min="3324" max="3324" width="24" style="104" customWidth="1"/>
    <col min="3325" max="3325" width="2.5" style="104" customWidth="1"/>
    <col min="3326" max="3326" width="21.1640625" style="104" customWidth="1"/>
    <col min="3327" max="3567" width="12" style="104"/>
    <col min="3568" max="3568" width="2" style="104" customWidth="1"/>
    <col min="3569" max="3569" width="10.1640625" style="104" customWidth="1"/>
    <col min="3570" max="3570" width="12" style="104"/>
    <col min="3571" max="3571" width="2" style="104" customWidth="1"/>
    <col min="3572" max="3572" width="10.6640625" style="104" customWidth="1"/>
    <col min="3573" max="3573" width="12" style="104"/>
    <col min="3574" max="3574" width="2" style="104" customWidth="1"/>
    <col min="3575" max="3575" width="6" style="104" customWidth="1"/>
    <col min="3576" max="3578" width="8.5" style="104" customWidth="1"/>
    <col min="3579" max="3579" width="2" style="104" customWidth="1"/>
    <col min="3580" max="3580" width="24" style="104" customWidth="1"/>
    <col min="3581" max="3581" width="2.5" style="104" customWidth="1"/>
    <col min="3582" max="3582" width="21.1640625" style="104" customWidth="1"/>
    <col min="3583" max="3823" width="12" style="104"/>
    <col min="3824" max="3824" width="2" style="104" customWidth="1"/>
    <col min="3825" max="3825" width="10.1640625" style="104" customWidth="1"/>
    <col min="3826" max="3826" width="12" style="104"/>
    <col min="3827" max="3827" width="2" style="104" customWidth="1"/>
    <col min="3828" max="3828" width="10.6640625" style="104" customWidth="1"/>
    <col min="3829" max="3829" width="12" style="104"/>
    <col min="3830" max="3830" width="2" style="104" customWidth="1"/>
    <col min="3831" max="3831" width="6" style="104" customWidth="1"/>
    <col min="3832" max="3834" width="8.5" style="104" customWidth="1"/>
    <col min="3835" max="3835" width="2" style="104" customWidth="1"/>
    <col min="3836" max="3836" width="24" style="104" customWidth="1"/>
    <col min="3837" max="3837" width="2.5" style="104" customWidth="1"/>
    <col min="3838" max="3838" width="21.1640625" style="104" customWidth="1"/>
    <col min="3839" max="4079" width="12" style="104"/>
    <col min="4080" max="4080" width="2" style="104" customWidth="1"/>
    <col min="4081" max="4081" width="10.1640625" style="104" customWidth="1"/>
    <col min="4082" max="4082" width="12" style="104"/>
    <col min="4083" max="4083" width="2" style="104" customWidth="1"/>
    <col min="4084" max="4084" width="10.6640625" style="104" customWidth="1"/>
    <col min="4085" max="4085" width="12" style="104"/>
    <col min="4086" max="4086" width="2" style="104" customWidth="1"/>
    <col min="4087" max="4087" width="6" style="104" customWidth="1"/>
    <col min="4088" max="4090" width="8.5" style="104" customWidth="1"/>
    <col min="4091" max="4091" width="2" style="104" customWidth="1"/>
    <col min="4092" max="4092" width="24" style="104" customWidth="1"/>
    <col min="4093" max="4093" width="2.5" style="104" customWidth="1"/>
    <col min="4094" max="4094" width="21.1640625" style="104" customWidth="1"/>
    <col min="4095" max="4335" width="12" style="104"/>
    <col min="4336" max="4336" width="2" style="104" customWidth="1"/>
    <col min="4337" max="4337" width="10.1640625" style="104" customWidth="1"/>
    <col min="4338" max="4338" width="12" style="104"/>
    <col min="4339" max="4339" width="2" style="104" customWidth="1"/>
    <col min="4340" max="4340" width="10.6640625" style="104" customWidth="1"/>
    <col min="4341" max="4341" width="12" style="104"/>
    <col min="4342" max="4342" width="2" style="104" customWidth="1"/>
    <col min="4343" max="4343" width="6" style="104" customWidth="1"/>
    <col min="4344" max="4346" width="8.5" style="104" customWidth="1"/>
    <col min="4347" max="4347" width="2" style="104" customWidth="1"/>
    <col min="4348" max="4348" width="24" style="104" customWidth="1"/>
    <col min="4349" max="4349" width="2.5" style="104" customWidth="1"/>
    <col min="4350" max="4350" width="21.1640625" style="104" customWidth="1"/>
    <col min="4351" max="4591" width="12" style="104"/>
    <col min="4592" max="4592" width="2" style="104" customWidth="1"/>
    <col min="4593" max="4593" width="10.1640625" style="104" customWidth="1"/>
    <col min="4594" max="4594" width="12" style="104"/>
    <col min="4595" max="4595" width="2" style="104" customWidth="1"/>
    <col min="4596" max="4596" width="10.6640625" style="104" customWidth="1"/>
    <col min="4597" max="4597" width="12" style="104"/>
    <col min="4598" max="4598" width="2" style="104" customWidth="1"/>
    <col min="4599" max="4599" width="6" style="104" customWidth="1"/>
    <col min="4600" max="4602" width="8.5" style="104" customWidth="1"/>
    <col min="4603" max="4603" width="2" style="104" customWidth="1"/>
    <col min="4604" max="4604" width="24" style="104" customWidth="1"/>
    <col min="4605" max="4605" width="2.5" style="104" customWidth="1"/>
    <col min="4606" max="4606" width="21.1640625" style="104" customWidth="1"/>
    <col min="4607" max="4847" width="12" style="104"/>
    <col min="4848" max="4848" width="2" style="104" customWidth="1"/>
    <col min="4849" max="4849" width="10.1640625" style="104" customWidth="1"/>
    <col min="4850" max="4850" width="12" style="104"/>
    <col min="4851" max="4851" width="2" style="104" customWidth="1"/>
    <col min="4852" max="4852" width="10.6640625" style="104" customWidth="1"/>
    <col min="4853" max="4853" width="12" style="104"/>
    <col min="4854" max="4854" width="2" style="104" customWidth="1"/>
    <col min="4855" max="4855" width="6" style="104" customWidth="1"/>
    <col min="4856" max="4858" width="8.5" style="104" customWidth="1"/>
    <col min="4859" max="4859" width="2" style="104" customWidth="1"/>
    <col min="4860" max="4860" width="24" style="104" customWidth="1"/>
    <col min="4861" max="4861" width="2.5" style="104" customWidth="1"/>
    <col min="4862" max="4862" width="21.1640625" style="104" customWidth="1"/>
    <col min="4863" max="5103" width="12" style="104"/>
    <col min="5104" max="5104" width="2" style="104" customWidth="1"/>
    <col min="5105" max="5105" width="10.1640625" style="104" customWidth="1"/>
    <col min="5106" max="5106" width="12" style="104"/>
    <col min="5107" max="5107" width="2" style="104" customWidth="1"/>
    <col min="5108" max="5108" width="10.6640625" style="104" customWidth="1"/>
    <col min="5109" max="5109" width="12" style="104"/>
    <col min="5110" max="5110" width="2" style="104" customWidth="1"/>
    <col min="5111" max="5111" width="6" style="104" customWidth="1"/>
    <col min="5112" max="5114" width="8.5" style="104" customWidth="1"/>
    <col min="5115" max="5115" width="2" style="104" customWidth="1"/>
    <col min="5116" max="5116" width="24" style="104" customWidth="1"/>
    <col min="5117" max="5117" width="2.5" style="104" customWidth="1"/>
    <col min="5118" max="5118" width="21.1640625" style="104" customWidth="1"/>
    <col min="5119" max="5359" width="12" style="104"/>
    <col min="5360" max="5360" width="2" style="104" customWidth="1"/>
    <col min="5361" max="5361" width="10.1640625" style="104" customWidth="1"/>
    <col min="5362" max="5362" width="12" style="104"/>
    <col min="5363" max="5363" width="2" style="104" customWidth="1"/>
    <col min="5364" max="5364" width="10.6640625" style="104" customWidth="1"/>
    <col min="5365" max="5365" width="12" style="104"/>
    <col min="5366" max="5366" width="2" style="104" customWidth="1"/>
    <col min="5367" max="5367" width="6" style="104" customWidth="1"/>
    <col min="5368" max="5370" width="8.5" style="104" customWidth="1"/>
    <col min="5371" max="5371" width="2" style="104" customWidth="1"/>
    <col min="5372" max="5372" width="24" style="104" customWidth="1"/>
    <col min="5373" max="5373" width="2.5" style="104" customWidth="1"/>
    <col min="5374" max="5374" width="21.1640625" style="104" customWidth="1"/>
    <col min="5375" max="5615" width="12" style="104"/>
    <col min="5616" max="5616" width="2" style="104" customWidth="1"/>
    <col min="5617" max="5617" width="10.1640625" style="104" customWidth="1"/>
    <col min="5618" max="5618" width="12" style="104"/>
    <col min="5619" max="5619" width="2" style="104" customWidth="1"/>
    <col min="5620" max="5620" width="10.6640625" style="104" customWidth="1"/>
    <col min="5621" max="5621" width="12" style="104"/>
    <col min="5622" max="5622" width="2" style="104" customWidth="1"/>
    <col min="5623" max="5623" width="6" style="104" customWidth="1"/>
    <col min="5624" max="5626" width="8.5" style="104" customWidth="1"/>
    <col min="5627" max="5627" width="2" style="104" customWidth="1"/>
    <col min="5628" max="5628" width="24" style="104" customWidth="1"/>
    <col min="5629" max="5629" width="2.5" style="104" customWidth="1"/>
    <col min="5630" max="5630" width="21.1640625" style="104" customWidth="1"/>
    <col min="5631" max="5871" width="12" style="104"/>
    <col min="5872" max="5872" width="2" style="104" customWidth="1"/>
    <col min="5873" max="5873" width="10.1640625" style="104" customWidth="1"/>
    <col min="5874" max="5874" width="12" style="104"/>
    <col min="5875" max="5875" width="2" style="104" customWidth="1"/>
    <col min="5876" max="5876" width="10.6640625" style="104" customWidth="1"/>
    <col min="5877" max="5877" width="12" style="104"/>
    <col min="5878" max="5878" width="2" style="104" customWidth="1"/>
    <col min="5879" max="5879" width="6" style="104" customWidth="1"/>
    <col min="5880" max="5882" width="8.5" style="104" customWidth="1"/>
    <col min="5883" max="5883" width="2" style="104" customWidth="1"/>
    <col min="5884" max="5884" width="24" style="104" customWidth="1"/>
    <col min="5885" max="5885" width="2.5" style="104" customWidth="1"/>
    <col min="5886" max="5886" width="21.1640625" style="104" customWidth="1"/>
    <col min="5887" max="6127" width="12" style="104"/>
    <col min="6128" max="6128" width="2" style="104" customWidth="1"/>
    <col min="6129" max="6129" width="10.1640625" style="104" customWidth="1"/>
    <col min="6130" max="6130" width="12" style="104"/>
    <col min="6131" max="6131" width="2" style="104" customWidth="1"/>
    <col min="6132" max="6132" width="10.6640625" style="104" customWidth="1"/>
    <col min="6133" max="6133" width="12" style="104"/>
    <col min="6134" max="6134" width="2" style="104" customWidth="1"/>
    <col min="6135" max="6135" width="6" style="104" customWidth="1"/>
    <col min="6136" max="6138" width="8.5" style="104" customWidth="1"/>
    <col min="6139" max="6139" width="2" style="104" customWidth="1"/>
    <col min="6140" max="6140" width="24" style="104" customWidth="1"/>
    <col min="6141" max="6141" width="2.5" style="104" customWidth="1"/>
    <col min="6142" max="6142" width="21.1640625" style="104" customWidth="1"/>
    <col min="6143" max="6383" width="12" style="104"/>
    <col min="6384" max="6384" width="2" style="104" customWidth="1"/>
    <col min="6385" max="6385" width="10.1640625" style="104" customWidth="1"/>
    <col min="6386" max="6386" width="12" style="104"/>
    <col min="6387" max="6387" width="2" style="104" customWidth="1"/>
    <col min="6388" max="6388" width="10.6640625" style="104" customWidth="1"/>
    <col min="6389" max="6389" width="12" style="104"/>
    <col min="6390" max="6390" width="2" style="104" customWidth="1"/>
    <col min="6391" max="6391" width="6" style="104" customWidth="1"/>
    <col min="6392" max="6394" width="8.5" style="104" customWidth="1"/>
    <col min="6395" max="6395" width="2" style="104" customWidth="1"/>
    <col min="6396" max="6396" width="24" style="104" customWidth="1"/>
    <col min="6397" max="6397" width="2.5" style="104" customWidth="1"/>
    <col min="6398" max="6398" width="21.1640625" style="104" customWidth="1"/>
    <col min="6399" max="6639" width="12" style="104"/>
    <col min="6640" max="6640" width="2" style="104" customWidth="1"/>
    <col min="6641" max="6641" width="10.1640625" style="104" customWidth="1"/>
    <col min="6642" max="6642" width="12" style="104"/>
    <col min="6643" max="6643" width="2" style="104" customWidth="1"/>
    <col min="6644" max="6644" width="10.6640625" style="104" customWidth="1"/>
    <col min="6645" max="6645" width="12" style="104"/>
    <col min="6646" max="6646" width="2" style="104" customWidth="1"/>
    <col min="6647" max="6647" width="6" style="104" customWidth="1"/>
    <col min="6648" max="6650" width="8.5" style="104" customWidth="1"/>
    <col min="6651" max="6651" width="2" style="104" customWidth="1"/>
    <col min="6652" max="6652" width="24" style="104" customWidth="1"/>
    <col min="6653" max="6653" width="2.5" style="104" customWidth="1"/>
    <col min="6654" max="6654" width="21.1640625" style="104" customWidth="1"/>
    <col min="6655" max="6895" width="12" style="104"/>
    <col min="6896" max="6896" width="2" style="104" customWidth="1"/>
    <col min="6897" max="6897" width="10.1640625" style="104" customWidth="1"/>
    <col min="6898" max="6898" width="12" style="104"/>
    <col min="6899" max="6899" width="2" style="104" customWidth="1"/>
    <col min="6900" max="6900" width="10.6640625" style="104" customWidth="1"/>
    <col min="6901" max="6901" width="12" style="104"/>
    <col min="6902" max="6902" width="2" style="104" customWidth="1"/>
    <col min="6903" max="6903" width="6" style="104" customWidth="1"/>
    <col min="6904" max="6906" width="8.5" style="104" customWidth="1"/>
    <col min="6907" max="6907" width="2" style="104" customWidth="1"/>
    <col min="6908" max="6908" width="24" style="104" customWidth="1"/>
    <col min="6909" max="6909" width="2.5" style="104" customWidth="1"/>
    <col min="6910" max="6910" width="21.1640625" style="104" customWidth="1"/>
    <col min="6911" max="7151" width="12" style="104"/>
    <col min="7152" max="7152" width="2" style="104" customWidth="1"/>
    <col min="7153" max="7153" width="10.1640625" style="104" customWidth="1"/>
    <col min="7154" max="7154" width="12" style="104"/>
    <col min="7155" max="7155" width="2" style="104" customWidth="1"/>
    <col min="7156" max="7156" width="10.6640625" style="104" customWidth="1"/>
    <col min="7157" max="7157" width="12" style="104"/>
    <col min="7158" max="7158" width="2" style="104" customWidth="1"/>
    <col min="7159" max="7159" width="6" style="104" customWidth="1"/>
    <col min="7160" max="7162" width="8.5" style="104" customWidth="1"/>
    <col min="7163" max="7163" width="2" style="104" customWidth="1"/>
    <col min="7164" max="7164" width="24" style="104" customWidth="1"/>
    <col min="7165" max="7165" width="2.5" style="104" customWidth="1"/>
    <col min="7166" max="7166" width="21.1640625" style="104" customWidth="1"/>
    <col min="7167" max="7407" width="12" style="104"/>
    <col min="7408" max="7408" width="2" style="104" customWidth="1"/>
    <col min="7409" max="7409" width="10.1640625" style="104" customWidth="1"/>
    <col min="7410" max="7410" width="12" style="104"/>
    <col min="7411" max="7411" width="2" style="104" customWidth="1"/>
    <col min="7412" max="7412" width="10.6640625" style="104" customWidth="1"/>
    <col min="7413" max="7413" width="12" style="104"/>
    <col min="7414" max="7414" width="2" style="104" customWidth="1"/>
    <col min="7415" max="7415" width="6" style="104" customWidth="1"/>
    <col min="7416" max="7418" width="8.5" style="104" customWidth="1"/>
    <col min="7419" max="7419" width="2" style="104" customWidth="1"/>
    <col min="7420" max="7420" width="24" style="104" customWidth="1"/>
    <col min="7421" max="7421" width="2.5" style="104" customWidth="1"/>
    <col min="7422" max="7422" width="21.1640625" style="104" customWidth="1"/>
    <col min="7423" max="7663" width="12" style="104"/>
    <col min="7664" max="7664" width="2" style="104" customWidth="1"/>
    <col min="7665" max="7665" width="10.1640625" style="104" customWidth="1"/>
    <col min="7666" max="7666" width="12" style="104"/>
    <col min="7667" max="7667" width="2" style="104" customWidth="1"/>
    <col min="7668" max="7668" width="10.6640625" style="104" customWidth="1"/>
    <col min="7669" max="7669" width="12" style="104"/>
    <col min="7670" max="7670" width="2" style="104" customWidth="1"/>
    <col min="7671" max="7671" width="6" style="104" customWidth="1"/>
    <col min="7672" max="7674" width="8.5" style="104" customWidth="1"/>
    <col min="7675" max="7675" width="2" style="104" customWidth="1"/>
    <col min="7676" max="7676" width="24" style="104" customWidth="1"/>
    <col min="7677" max="7677" width="2.5" style="104" customWidth="1"/>
    <col min="7678" max="7678" width="21.1640625" style="104" customWidth="1"/>
    <col min="7679" max="7919" width="12" style="104"/>
    <col min="7920" max="7920" width="2" style="104" customWidth="1"/>
    <col min="7921" max="7921" width="10.1640625" style="104" customWidth="1"/>
    <col min="7922" max="7922" width="12" style="104"/>
    <col min="7923" max="7923" width="2" style="104" customWidth="1"/>
    <col min="7924" max="7924" width="10.6640625" style="104" customWidth="1"/>
    <col min="7925" max="7925" width="12" style="104"/>
    <col min="7926" max="7926" width="2" style="104" customWidth="1"/>
    <col min="7927" max="7927" width="6" style="104" customWidth="1"/>
    <col min="7928" max="7930" width="8.5" style="104" customWidth="1"/>
    <col min="7931" max="7931" width="2" style="104" customWidth="1"/>
    <col min="7932" max="7932" width="24" style="104" customWidth="1"/>
    <col min="7933" max="7933" width="2.5" style="104" customWidth="1"/>
    <col min="7934" max="7934" width="21.1640625" style="104" customWidth="1"/>
    <col min="7935" max="8175" width="12" style="104"/>
    <col min="8176" max="8176" width="2" style="104" customWidth="1"/>
    <col min="8177" max="8177" width="10.1640625" style="104" customWidth="1"/>
    <col min="8178" max="8178" width="12" style="104"/>
    <col min="8179" max="8179" width="2" style="104" customWidth="1"/>
    <col min="8180" max="8180" width="10.6640625" style="104" customWidth="1"/>
    <col min="8181" max="8181" width="12" style="104"/>
    <col min="8182" max="8182" width="2" style="104" customWidth="1"/>
    <col min="8183" max="8183" width="6" style="104" customWidth="1"/>
    <col min="8184" max="8186" width="8.5" style="104" customWidth="1"/>
    <col min="8187" max="8187" width="2" style="104" customWidth="1"/>
    <col min="8188" max="8188" width="24" style="104" customWidth="1"/>
    <col min="8189" max="8189" width="2.5" style="104" customWidth="1"/>
    <col min="8190" max="8190" width="21.1640625" style="104" customWidth="1"/>
    <col min="8191" max="8431" width="12" style="104"/>
    <col min="8432" max="8432" width="2" style="104" customWidth="1"/>
    <col min="8433" max="8433" width="10.1640625" style="104" customWidth="1"/>
    <col min="8434" max="8434" width="12" style="104"/>
    <col min="8435" max="8435" width="2" style="104" customWidth="1"/>
    <col min="8436" max="8436" width="10.6640625" style="104" customWidth="1"/>
    <col min="8437" max="8437" width="12" style="104"/>
    <col min="8438" max="8438" width="2" style="104" customWidth="1"/>
    <col min="8439" max="8439" width="6" style="104" customWidth="1"/>
    <col min="8440" max="8442" width="8.5" style="104" customWidth="1"/>
    <col min="8443" max="8443" width="2" style="104" customWidth="1"/>
    <col min="8444" max="8444" width="24" style="104" customWidth="1"/>
    <col min="8445" max="8445" width="2.5" style="104" customWidth="1"/>
    <col min="8446" max="8446" width="21.1640625" style="104" customWidth="1"/>
    <col min="8447" max="8687" width="12" style="104"/>
    <col min="8688" max="8688" width="2" style="104" customWidth="1"/>
    <col min="8689" max="8689" width="10.1640625" style="104" customWidth="1"/>
    <col min="8690" max="8690" width="12" style="104"/>
    <col min="8691" max="8691" width="2" style="104" customWidth="1"/>
    <col min="8692" max="8692" width="10.6640625" style="104" customWidth="1"/>
    <col min="8693" max="8693" width="12" style="104"/>
    <col min="8694" max="8694" width="2" style="104" customWidth="1"/>
    <col min="8695" max="8695" width="6" style="104" customWidth="1"/>
    <col min="8696" max="8698" width="8.5" style="104" customWidth="1"/>
    <col min="8699" max="8699" width="2" style="104" customWidth="1"/>
    <col min="8700" max="8700" width="24" style="104" customWidth="1"/>
    <col min="8701" max="8701" width="2.5" style="104" customWidth="1"/>
    <col min="8702" max="8702" width="21.1640625" style="104" customWidth="1"/>
    <col min="8703" max="8943" width="12" style="104"/>
    <col min="8944" max="8944" width="2" style="104" customWidth="1"/>
    <col min="8945" max="8945" width="10.1640625" style="104" customWidth="1"/>
    <col min="8946" max="8946" width="12" style="104"/>
    <col min="8947" max="8947" width="2" style="104" customWidth="1"/>
    <col min="8948" max="8948" width="10.6640625" style="104" customWidth="1"/>
    <col min="8949" max="8949" width="12" style="104"/>
    <col min="8950" max="8950" width="2" style="104" customWidth="1"/>
    <col min="8951" max="8951" width="6" style="104" customWidth="1"/>
    <col min="8952" max="8954" width="8.5" style="104" customWidth="1"/>
    <col min="8955" max="8955" width="2" style="104" customWidth="1"/>
    <col min="8956" max="8956" width="24" style="104" customWidth="1"/>
    <col min="8957" max="8957" width="2.5" style="104" customWidth="1"/>
    <col min="8958" max="8958" width="21.1640625" style="104" customWidth="1"/>
    <col min="8959" max="9199" width="12" style="104"/>
    <col min="9200" max="9200" width="2" style="104" customWidth="1"/>
    <col min="9201" max="9201" width="10.1640625" style="104" customWidth="1"/>
    <col min="9202" max="9202" width="12" style="104"/>
    <col min="9203" max="9203" width="2" style="104" customWidth="1"/>
    <col min="9204" max="9204" width="10.6640625" style="104" customWidth="1"/>
    <col min="9205" max="9205" width="12" style="104"/>
    <col min="9206" max="9206" width="2" style="104" customWidth="1"/>
    <col min="9207" max="9207" width="6" style="104" customWidth="1"/>
    <col min="9208" max="9210" width="8.5" style="104" customWidth="1"/>
    <col min="9211" max="9211" width="2" style="104" customWidth="1"/>
    <col min="9212" max="9212" width="24" style="104" customWidth="1"/>
    <col min="9213" max="9213" width="2.5" style="104" customWidth="1"/>
    <col min="9214" max="9214" width="21.1640625" style="104" customWidth="1"/>
    <col min="9215" max="9455" width="12" style="104"/>
    <col min="9456" max="9456" width="2" style="104" customWidth="1"/>
    <col min="9457" max="9457" width="10.1640625" style="104" customWidth="1"/>
    <col min="9458" max="9458" width="12" style="104"/>
    <col min="9459" max="9459" width="2" style="104" customWidth="1"/>
    <col min="9460" max="9460" width="10.6640625" style="104" customWidth="1"/>
    <col min="9461" max="9461" width="12" style="104"/>
    <col min="9462" max="9462" width="2" style="104" customWidth="1"/>
    <col min="9463" max="9463" width="6" style="104" customWidth="1"/>
    <col min="9464" max="9466" width="8.5" style="104" customWidth="1"/>
    <col min="9467" max="9467" width="2" style="104" customWidth="1"/>
    <col min="9468" max="9468" width="24" style="104" customWidth="1"/>
    <col min="9469" max="9469" width="2.5" style="104" customWidth="1"/>
    <col min="9470" max="9470" width="21.1640625" style="104" customWidth="1"/>
    <col min="9471" max="9711" width="12" style="104"/>
    <col min="9712" max="9712" width="2" style="104" customWidth="1"/>
    <col min="9713" max="9713" width="10.1640625" style="104" customWidth="1"/>
    <col min="9714" max="9714" width="12" style="104"/>
    <col min="9715" max="9715" width="2" style="104" customWidth="1"/>
    <col min="9716" max="9716" width="10.6640625" style="104" customWidth="1"/>
    <col min="9717" max="9717" width="12" style="104"/>
    <col min="9718" max="9718" width="2" style="104" customWidth="1"/>
    <col min="9719" max="9719" width="6" style="104" customWidth="1"/>
    <col min="9720" max="9722" width="8.5" style="104" customWidth="1"/>
    <col min="9723" max="9723" width="2" style="104" customWidth="1"/>
    <col min="9724" max="9724" width="24" style="104" customWidth="1"/>
    <col min="9725" max="9725" width="2.5" style="104" customWidth="1"/>
    <col min="9726" max="9726" width="21.1640625" style="104" customWidth="1"/>
    <col min="9727" max="9967" width="12" style="104"/>
    <col min="9968" max="9968" width="2" style="104" customWidth="1"/>
    <col min="9969" max="9969" width="10.1640625" style="104" customWidth="1"/>
    <col min="9970" max="9970" width="12" style="104"/>
    <col min="9971" max="9971" width="2" style="104" customWidth="1"/>
    <col min="9972" max="9972" width="10.6640625" style="104" customWidth="1"/>
    <col min="9973" max="9973" width="12" style="104"/>
    <col min="9974" max="9974" width="2" style="104" customWidth="1"/>
    <col min="9975" max="9975" width="6" style="104" customWidth="1"/>
    <col min="9976" max="9978" width="8.5" style="104" customWidth="1"/>
    <col min="9979" max="9979" width="2" style="104" customWidth="1"/>
    <col min="9980" max="9980" width="24" style="104" customWidth="1"/>
    <col min="9981" max="9981" width="2.5" style="104" customWidth="1"/>
    <col min="9982" max="9982" width="21.1640625" style="104" customWidth="1"/>
    <col min="9983" max="10223" width="12" style="104"/>
    <col min="10224" max="10224" width="2" style="104" customWidth="1"/>
    <col min="10225" max="10225" width="10.1640625" style="104" customWidth="1"/>
    <col min="10226" max="10226" width="12" style="104"/>
    <col min="10227" max="10227" width="2" style="104" customWidth="1"/>
    <col min="10228" max="10228" width="10.6640625" style="104" customWidth="1"/>
    <col min="10229" max="10229" width="12" style="104"/>
    <col min="10230" max="10230" width="2" style="104" customWidth="1"/>
    <col min="10231" max="10231" width="6" style="104" customWidth="1"/>
    <col min="10232" max="10234" width="8.5" style="104" customWidth="1"/>
    <col min="10235" max="10235" width="2" style="104" customWidth="1"/>
    <col min="10236" max="10236" width="24" style="104" customWidth="1"/>
    <col min="10237" max="10237" width="2.5" style="104" customWidth="1"/>
    <col min="10238" max="10238" width="21.1640625" style="104" customWidth="1"/>
    <col min="10239" max="10479" width="12" style="104"/>
    <col min="10480" max="10480" width="2" style="104" customWidth="1"/>
    <col min="10481" max="10481" width="10.1640625" style="104" customWidth="1"/>
    <col min="10482" max="10482" width="12" style="104"/>
    <col min="10483" max="10483" width="2" style="104" customWidth="1"/>
    <col min="10484" max="10484" width="10.6640625" style="104" customWidth="1"/>
    <col min="10485" max="10485" width="12" style="104"/>
    <col min="10486" max="10486" width="2" style="104" customWidth="1"/>
    <col min="10487" max="10487" width="6" style="104" customWidth="1"/>
    <col min="10488" max="10490" width="8.5" style="104" customWidth="1"/>
    <col min="10491" max="10491" width="2" style="104" customWidth="1"/>
    <col min="10492" max="10492" width="24" style="104" customWidth="1"/>
    <col min="10493" max="10493" width="2.5" style="104" customWidth="1"/>
    <col min="10494" max="10494" width="21.1640625" style="104" customWidth="1"/>
    <col min="10495" max="10735" width="12" style="104"/>
    <col min="10736" max="10736" width="2" style="104" customWidth="1"/>
    <col min="10737" max="10737" width="10.1640625" style="104" customWidth="1"/>
    <col min="10738" max="10738" width="12" style="104"/>
    <col min="10739" max="10739" width="2" style="104" customWidth="1"/>
    <col min="10740" max="10740" width="10.6640625" style="104" customWidth="1"/>
    <col min="10741" max="10741" width="12" style="104"/>
    <col min="10742" max="10742" width="2" style="104" customWidth="1"/>
    <col min="10743" max="10743" width="6" style="104" customWidth="1"/>
    <col min="10744" max="10746" width="8.5" style="104" customWidth="1"/>
    <col min="10747" max="10747" width="2" style="104" customWidth="1"/>
    <col min="10748" max="10748" width="24" style="104" customWidth="1"/>
    <col min="10749" max="10749" width="2.5" style="104" customWidth="1"/>
    <col min="10750" max="10750" width="21.1640625" style="104" customWidth="1"/>
    <col min="10751" max="10991" width="12" style="104"/>
    <col min="10992" max="10992" width="2" style="104" customWidth="1"/>
    <col min="10993" max="10993" width="10.1640625" style="104" customWidth="1"/>
    <col min="10994" max="10994" width="12" style="104"/>
    <col min="10995" max="10995" width="2" style="104" customWidth="1"/>
    <col min="10996" max="10996" width="10.6640625" style="104" customWidth="1"/>
    <col min="10997" max="10997" width="12" style="104"/>
    <col min="10998" max="10998" width="2" style="104" customWidth="1"/>
    <col min="10999" max="10999" width="6" style="104" customWidth="1"/>
    <col min="11000" max="11002" width="8.5" style="104" customWidth="1"/>
    <col min="11003" max="11003" width="2" style="104" customWidth="1"/>
    <col min="11004" max="11004" width="24" style="104" customWidth="1"/>
    <col min="11005" max="11005" width="2.5" style="104" customWidth="1"/>
    <col min="11006" max="11006" width="21.1640625" style="104" customWidth="1"/>
    <col min="11007" max="11247" width="12" style="104"/>
    <col min="11248" max="11248" width="2" style="104" customWidth="1"/>
    <col min="11249" max="11249" width="10.1640625" style="104" customWidth="1"/>
    <col min="11250" max="11250" width="12" style="104"/>
    <col min="11251" max="11251" width="2" style="104" customWidth="1"/>
    <col min="11252" max="11252" width="10.6640625" style="104" customWidth="1"/>
    <col min="11253" max="11253" width="12" style="104"/>
    <col min="11254" max="11254" width="2" style="104" customWidth="1"/>
    <col min="11255" max="11255" width="6" style="104" customWidth="1"/>
    <col min="11256" max="11258" width="8.5" style="104" customWidth="1"/>
    <col min="11259" max="11259" width="2" style="104" customWidth="1"/>
    <col min="11260" max="11260" width="24" style="104" customWidth="1"/>
    <col min="11261" max="11261" width="2.5" style="104" customWidth="1"/>
    <col min="11262" max="11262" width="21.1640625" style="104" customWidth="1"/>
    <col min="11263" max="11503" width="12" style="104"/>
    <col min="11504" max="11504" width="2" style="104" customWidth="1"/>
    <col min="11505" max="11505" width="10.1640625" style="104" customWidth="1"/>
    <col min="11506" max="11506" width="12" style="104"/>
    <col min="11507" max="11507" width="2" style="104" customWidth="1"/>
    <col min="11508" max="11508" width="10.6640625" style="104" customWidth="1"/>
    <col min="11509" max="11509" width="12" style="104"/>
    <col min="11510" max="11510" width="2" style="104" customWidth="1"/>
    <col min="11511" max="11511" width="6" style="104" customWidth="1"/>
    <col min="11512" max="11514" width="8.5" style="104" customWidth="1"/>
    <col min="11515" max="11515" width="2" style="104" customWidth="1"/>
    <col min="11516" max="11516" width="24" style="104" customWidth="1"/>
    <col min="11517" max="11517" width="2.5" style="104" customWidth="1"/>
    <col min="11518" max="11518" width="21.1640625" style="104" customWidth="1"/>
    <col min="11519" max="11759" width="12" style="104"/>
    <col min="11760" max="11760" width="2" style="104" customWidth="1"/>
    <col min="11761" max="11761" width="10.1640625" style="104" customWidth="1"/>
    <col min="11762" max="11762" width="12" style="104"/>
    <col min="11763" max="11763" width="2" style="104" customWidth="1"/>
    <col min="11764" max="11764" width="10.6640625" style="104" customWidth="1"/>
    <col min="11765" max="11765" width="12" style="104"/>
    <col min="11766" max="11766" width="2" style="104" customWidth="1"/>
    <col min="11767" max="11767" width="6" style="104" customWidth="1"/>
    <col min="11768" max="11770" width="8.5" style="104" customWidth="1"/>
    <col min="11771" max="11771" width="2" style="104" customWidth="1"/>
    <col min="11772" max="11772" width="24" style="104" customWidth="1"/>
    <col min="11773" max="11773" width="2.5" style="104" customWidth="1"/>
    <col min="11774" max="11774" width="21.1640625" style="104" customWidth="1"/>
    <col min="11775" max="12015" width="12" style="104"/>
    <col min="12016" max="12016" width="2" style="104" customWidth="1"/>
    <col min="12017" max="12017" width="10.1640625" style="104" customWidth="1"/>
    <col min="12018" max="12018" width="12" style="104"/>
    <col min="12019" max="12019" width="2" style="104" customWidth="1"/>
    <col min="12020" max="12020" width="10.6640625" style="104" customWidth="1"/>
    <col min="12021" max="12021" width="12" style="104"/>
    <col min="12022" max="12022" width="2" style="104" customWidth="1"/>
    <col min="12023" max="12023" width="6" style="104" customWidth="1"/>
    <col min="12024" max="12026" width="8.5" style="104" customWidth="1"/>
    <col min="12027" max="12027" width="2" style="104" customWidth="1"/>
    <col min="12028" max="12028" width="24" style="104" customWidth="1"/>
    <col min="12029" max="12029" width="2.5" style="104" customWidth="1"/>
    <col min="12030" max="12030" width="21.1640625" style="104" customWidth="1"/>
    <col min="12031" max="12271" width="12" style="104"/>
    <col min="12272" max="12272" width="2" style="104" customWidth="1"/>
    <col min="12273" max="12273" width="10.1640625" style="104" customWidth="1"/>
    <col min="12274" max="12274" width="12" style="104"/>
    <col min="12275" max="12275" width="2" style="104" customWidth="1"/>
    <col min="12276" max="12276" width="10.6640625" style="104" customWidth="1"/>
    <col min="12277" max="12277" width="12" style="104"/>
    <col min="12278" max="12278" width="2" style="104" customWidth="1"/>
    <col min="12279" max="12279" width="6" style="104" customWidth="1"/>
    <col min="12280" max="12282" width="8.5" style="104" customWidth="1"/>
    <col min="12283" max="12283" width="2" style="104" customWidth="1"/>
    <col min="12284" max="12284" width="24" style="104" customWidth="1"/>
    <col min="12285" max="12285" width="2.5" style="104" customWidth="1"/>
    <col min="12286" max="12286" width="21.1640625" style="104" customWidth="1"/>
    <col min="12287" max="12527" width="12" style="104"/>
    <col min="12528" max="12528" width="2" style="104" customWidth="1"/>
    <col min="12529" max="12529" width="10.1640625" style="104" customWidth="1"/>
    <col min="12530" max="12530" width="12" style="104"/>
    <col min="12531" max="12531" width="2" style="104" customWidth="1"/>
    <col min="12532" max="12532" width="10.6640625" style="104" customWidth="1"/>
    <col min="12533" max="12533" width="12" style="104"/>
    <col min="12534" max="12534" width="2" style="104" customWidth="1"/>
    <col min="12535" max="12535" width="6" style="104" customWidth="1"/>
    <col min="12536" max="12538" width="8.5" style="104" customWidth="1"/>
    <col min="12539" max="12539" width="2" style="104" customWidth="1"/>
    <col min="12540" max="12540" width="24" style="104" customWidth="1"/>
    <col min="12541" max="12541" width="2.5" style="104" customWidth="1"/>
    <col min="12542" max="12542" width="21.1640625" style="104" customWidth="1"/>
    <col min="12543" max="12783" width="12" style="104"/>
    <col min="12784" max="12784" width="2" style="104" customWidth="1"/>
    <col min="12785" max="12785" width="10.1640625" style="104" customWidth="1"/>
    <col min="12786" max="12786" width="12" style="104"/>
    <col min="12787" max="12787" width="2" style="104" customWidth="1"/>
    <col min="12788" max="12788" width="10.6640625" style="104" customWidth="1"/>
    <col min="12789" max="12789" width="12" style="104"/>
    <col min="12790" max="12790" width="2" style="104" customWidth="1"/>
    <col min="12791" max="12791" width="6" style="104" customWidth="1"/>
    <col min="12792" max="12794" width="8.5" style="104" customWidth="1"/>
    <col min="12795" max="12795" width="2" style="104" customWidth="1"/>
    <col min="12796" max="12796" width="24" style="104" customWidth="1"/>
    <col min="12797" max="12797" width="2.5" style="104" customWidth="1"/>
    <col min="12798" max="12798" width="21.1640625" style="104" customWidth="1"/>
    <col min="12799" max="13039" width="12" style="104"/>
    <col min="13040" max="13040" width="2" style="104" customWidth="1"/>
    <col min="13041" max="13041" width="10.1640625" style="104" customWidth="1"/>
    <col min="13042" max="13042" width="12" style="104"/>
    <col min="13043" max="13043" width="2" style="104" customWidth="1"/>
    <col min="13044" max="13044" width="10.6640625" style="104" customWidth="1"/>
    <col min="13045" max="13045" width="12" style="104"/>
    <col min="13046" max="13046" width="2" style="104" customWidth="1"/>
    <col min="13047" max="13047" width="6" style="104" customWidth="1"/>
    <col min="13048" max="13050" width="8.5" style="104" customWidth="1"/>
    <col min="13051" max="13051" width="2" style="104" customWidth="1"/>
    <col min="13052" max="13052" width="24" style="104" customWidth="1"/>
    <col min="13053" max="13053" width="2.5" style="104" customWidth="1"/>
    <col min="13054" max="13054" width="21.1640625" style="104" customWidth="1"/>
    <col min="13055" max="13295" width="12" style="104"/>
    <col min="13296" max="13296" width="2" style="104" customWidth="1"/>
    <col min="13297" max="13297" width="10.1640625" style="104" customWidth="1"/>
    <col min="13298" max="13298" width="12" style="104"/>
    <col min="13299" max="13299" width="2" style="104" customWidth="1"/>
    <col min="13300" max="13300" width="10.6640625" style="104" customWidth="1"/>
    <col min="13301" max="13301" width="12" style="104"/>
    <col min="13302" max="13302" width="2" style="104" customWidth="1"/>
    <col min="13303" max="13303" width="6" style="104" customWidth="1"/>
    <col min="13304" max="13306" width="8.5" style="104" customWidth="1"/>
    <col min="13307" max="13307" width="2" style="104" customWidth="1"/>
    <col min="13308" max="13308" width="24" style="104" customWidth="1"/>
    <col min="13309" max="13309" width="2.5" style="104" customWidth="1"/>
    <col min="13310" max="13310" width="21.1640625" style="104" customWidth="1"/>
    <col min="13311" max="13551" width="12" style="104"/>
    <col min="13552" max="13552" width="2" style="104" customWidth="1"/>
    <col min="13553" max="13553" width="10.1640625" style="104" customWidth="1"/>
    <col min="13554" max="13554" width="12" style="104"/>
    <col min="13555" max="13555" width="2" style="104" customWidth="1"/>
    <col min="13556" max="13556" width="10.6640625" style="104" customWidth="1"/>
    <col min="13557" max="13557" width="12" style="104"/>
    <col min="13558" max="13558" width="2" style="104" customWidth="1"/>
    <col min="13559" max="13559" width="6" style="104" customWidth="1"/>
    <col min="13560" max="13562" width="8.5" style="104" customWidth="1"/>
    <col min="13563" max="13563" width="2" style="104" customWidth="1"/>
    <col min="13564" max="13564" width="24" style="104" customWidth="1"/>
    <col min="13565" max="13565" width="2.5" style="104" customWidth="1"/>
    <col min="13566" max="13566" width="21.1640625" style="104" customWidth="1"/>
    <col min="13567" max="13807" width="12" style="104"/>
    <col min="13808" max="13808" width="2" style="104" customWidth="1"/>
    <col min="13809" max="13809" width="10.1640625" style="104" customWidth="1"/>
    <col min="13810" max="13810" width="12" style="104"/>
    <col min="13811" max="13811" width="2" style="104" customWidth="1"/>
    <col min="13812" max="13812" width="10.6640625" style="104" customWidth="1"/>
    <col min="13813" max="13813" width="12" style="104"/>
    <col min="13814" max="13814" width="2" style="104" customWidth="1"/>
    <col min="13815" max="13815" width="6" style="104" customWidth="1"/>
    <col min="13816" max="13818" width="8.5" style="104" customWidth="1"/>
    <col min="13819" max="13819" width="2" style="104" customWidth="1"/>
    <col min="13820" max="13820" width="24" style="104" customWidth="1"/>
    <col min="13821" max="13821" width="2.5" style="104" customWidth="1"/>
    <col min="13822" max="13822" width="21.1640625" style="104" customWidth="1"/>
    <col min="13823" max="14063" width="12" style="104"/>
    <col min="14064" max="14064" width="2" style="104" customWidth="1"/>
    <col min="14065" max="14065" width="10.1640625" style="104" customWidth="1"/>
    <col min="14066" max="14066" width="12" style="104"/>
    <col min="14067" max="14067" width="2" style="104" customWidth="1"/>
    <col min="14068" max="14068" width="10.6640625" style="104" customWidth="1"/>
    <col min="14069" max="14069" width="12" style="104"/>
    <col min="14070" max="14070" width="2" style="104" customWidth="1"/>
    <col min="14071" max="14071" width="6" style="104" customWidth="1"/>
    <col min="14072" max="14074" width="8.5" style="104" customWidth="1"/>
    <col min="14075" max="14075" width="2" style="104" customWidth="1"/>
    <col min="14076" max="14076" width="24" style="104" customWidth="1"/>
    <col min="14077" max="14077" width="2.5" style="104" customWidth="1"/>
    <col min="14078" max="14078" width="21.1640625" style="104" customWidth="1"/>
    <col min="14079" max="14319" width="12" style="104"/>
    <col min="14320" max="14320" width="2" style="104" customWidth="1"/>
    <col min="14321" max="14321" width="10.1640625" style="104" customWidth="1"/>
    <col min="14322" max="14322" width="12" style="104"/>
    <col min="14323" max="14323" width="2" style="104" customWidth="1"/>
    <col min="14324" max="14324" width="10.6640625" style="104" customWidth="1"/>
    <col min="14325" max="14325" width="12" style="104"/>
    <col min="14326" max="14326" width="2" style="104" customWidth="1"/>
    <col min="14327" max="14327" width="6" style="104" customWidth="1"/>
    <col min="14328" max="14330" width="8.5" style="104" customWidth="1"/>
    <col min="14331" max="14331" width="2" style="104" customWidth="1"/>
    <col min="14332" max="14332" width="24" style="104" customWidth="1"/>
    <col min="14333" max="14333" width="2.5" style="104" customWidth="1"/>
    <col min="14334" max="14334" width="21.1640625" style="104" customWidth="1"/>
    <col min="14335" max="14575" width="12" style="104"/>
    <col min="14576" max="14576" width="2" style="104" customWidth="1"/>
    <col min="14577" max="14577" width="10.1640625" style="104" customWidth="1"/>
    <col min="14578" max="14578" width="12" style="104"/>
    <col min="14579" max="14579" width="2" style="104" customWidth="1"/>
    <col min="14580" max="14580" width="10.6640625" style="104" customWidth="1"/>
    <col min="14581" max="14581" width="12" style="104"/>
    <col min="14582" max="14582" width="2" style="104" customWidth="1"/>
    <col min="14583" max="14583" width="6" style="104" customWidth="1"/>
    <col min="14584" max="14586" width="8.5" style="104" customWidth="1"/>
    <col min="14587" max="14587" width="2" style="104" customWidth="1"/>
    <col min="14588" max="14588" width="24" style="104" customWidth="1"/>
    <col min="14589" max="14589" width="2.5" style="104" customWidth="1"/>
    <col min="14590" max="14590" width="21.1640625" style="104" customWidth="1"/>
    <col min="14591" max="14831" width="12" style="104"/>
    <col min="14832" max="14832" width="2" style="104" customWidth="1"/>
    <col min="14833" max="14833" width="10.1640625" style="104" customWidth="1"/>
    <col min="14834" max="14834" width="12" style="104"/>
    <col min="14835" max="14835" width="2" style="104" customWidth="1"/>
    <col min="14836" max="14836" width="10.6640625" style="104" customWidth="1"/>
    <col min="14837" max="14837" width="12" style="104"/>
    <col min="14838" max="14838" width="2" style="104" customWidth="1"/>
    <col min="14839" max="14839" width="6" style="104" customWidth="1"/>
    <col min="14840" max="14842" width="8.5" style="104" customWidth="1"/>
    <col min="14843" max="14843" width="2" style="104" customWidth="1"/>
    <col min="14844" max="14844" width="24" style="104" customWidth="1"/>
    <col min="14845" max="14845" width="2.5" style="104" customWidth="1"/>
    <col min="14846" max="14846" width="21.1640625" style="104" customWidth="1"/>
    <col min="14847" max="15087" width="12" style="104"/>
    <col min="15088" max="15088" width="2" style="104" customWidth="1"/>
    <col min="15089" max="15089" width="10.1640625" style="104" customWidth="1"/>
    <col min="15090" max="15090" width="12" style="104"/>
    <col min="15091" max="15091" width="2" style="104" customWidth="1"/>
    <col min="15092" max="15092" width="10.6640625" style="104" customWidth="1"/>
    <col min="15093" max="15093" width="12" style="104"/>
    <col min="15094" max="15094" width="2" style="104" customWidth="1"/>
    <col min="15095" max="15095" width="6" style="104" customWidth="1"/>
    <col min="15096" max="15098" width="8.5" style="104" customWidth="1"/>
    <col min="15099" max="15099" width="2" style="104" customWidth="1"/>
    <col min="15100" max="15100" width="24" style="104" customWidth="1"/>
    <col min="15101" max="15101" width="2.5" style="104" customWidth="1"/>
    <col min="15102" max="15102" width="21.1640625" style="104" customWidth="1"/>
    <col min="15103" max="15343" width="12" style="104"/>
    <col min="15344" max="15344" width="2" style="104" customWidth="1"/>
    <col min="15345" max="15345" width="10.1640625" style="104" customWidth="1"/>
    <col min="15346" max="15346" width="12" style="104"/>
    <col min="15347" max="15347" width="2" style="104" customWidth="1"/>
    <col min="15348" max="15348" width="10.6640625" style="104" customWidth="1"/>
    <col min="15349" max="15349" width="12" style="104"/>
    <col min="15350" max="15350" width="2" style="104" customWidth="1"/>
    <col min="15351" max="15351" width="6" style="104" customWidth="1"/>
    <col min="15352" max="15354" width="8.5" style="104" customWidth="1"/>
    <col min="15355" max="15355" width="2" style="104" customWidth="1"/>
    <col min="15356" max="15356" width="24" style="104" customWidth="1"/>
    <col min="15357" max="15357" width="2.5" style="104" customWidth="1"/>
    <col min="15358" max="15358" width="21.1640625" style="104" customWidth="1"/>
    <col min="15359" max="15599" width="12" style="104"/>
    <col min="15600" max="15600" width="2" style="104" customWidth="1"/>
    <col min="15601" max="15601" width="10.1640625" style="104" customWidth="1"/>
    <col min="15602" max="15602" width="12" style="104"/>
    <col min="15603" max="15603" width="2" style="104" customWidth="1"/>
    <col min="15604" max="15604" width="10.6640625" style="104" customWidth="1"/>
    <col min="15605" max="15605" width="12" style="104"/>
    <col min="15606" max="15606" width="2" style="104" customWidth="1"/>
    <col min="15607" max="15607" width="6" style="104" customWidth="1"/>
    <col min="15608" max="15610" width="8.5" style="104" customWidth="1"/>
    <col min="15611" max="15611" width="2" style="104" customWidth="1"/>
    <col min="15612" max="15612" width="24" style="104" customWidth="1"/>
    <col min="15613" max="15613" width="2.5" style="104" customWidth="1"/>
    <col min="15614" max="15614" width="21.1640625" style="104" customWidth="1"/>
    <col min="15615" max="15855" width="12" style="104"/>
    <col min="15856" max="15856" width="2" style="104" customWidth="1"/>
    <col min="15857" max="15857" width="10.1640625" style="104" customWidth="1"/>
    <col min="15858" max="15858" width="12" style="104"/>
    <col min="15859" max="15859" width="2" style="104" customWidth="1"/>
    <col min="15860" max="15860" width="10.6640625" style="104" customWidth="1"/>
    <col min="15861" max="15861" width="12" style="104"/>
    <col min="15862" max="15862" width="2" style="104" customWidth="1"/>
    <col min="15863" max="15863" width="6" style="104" customWidth="1"/>
    <col min="15864" max="15866" width="8.5" style="104" customWidth="1"/>
    <col min="15867" max="15867" width="2" style="104" customWidth="1"/>
    <col min="15868" max="15868" width="24" style="104" customWidth="1"/>
    <col min="15869" max="15869" width="2.5" style="104" customWidth="1"/>
    <col min="15870" max="15870" width="21.1640625" style="104" customWidth="1"/>
    <col min="15871" max="16111" width="12" style="104"/>
    <col min="16112" max="16112" width="2" style="104" customWidth="1"/>
    <col min="16113" max="16113" width="10.1640625" style="104" customWidth="1"/>
    <col min="16114" max="16114" width="12" style="104"/>
    <col min="16115" max="16115" width="2" style="104" customWidth="1"/>
    <col min="16116" max="16116" width="10.6640625" style="104" customWidth="1"/>
    <col min="16117" max="16117" width="12" style="104"/>
    <col min="16118" max="16118" width="2" style="104" customWidth="1"/>
    <col min="16119" max="16119" width="6" style="104" customWidth="1"/>
    <col min="16120" max="16122" width="8.5" style="104" customWidth="1"/>
    <col min="16123" max="16123" width="2" style="104" customWidth="1"/>
    <col min="16124" max="16124" width="24" style="104" customWidth="1"/>
    <col min="16125" max="16125" width="2.5" style="104" customWidth="1"/>
    <col min="16126" max="16126" width="21.1640625" style="104" customWidth="1"/>
    <col min="16127" max="16384" width="12" style="104"/>
  </cols>
  <sheetData>
    <row r="1" spans="2:7" x14ac:dyDescent="0.2">
      <c r="F1" s="105" t="s">
        <v>60</v>
      </c>
      <c r="G1" s="106"/>
    </row>
    <row r="2" spans="2:7" x14ac:dyDescent="0.2">
      <c r="B2" s="107" t="s">
        <v>61</v>
      </c>
      <c r="C2" s="108" t="s">
        <v>62</v>
      </c>
      <c r="E2" s="109" t="s">
        <v>62</v>
      </c>
      <c r="F2" s="110" t="s">
        <v>63</v>
      </c>
      <c r="G2" s="111"/>
    </row>
    <row r="3" spans="2:7" x14ac:dyDescent="0.2">
      <c r="B3" s="109" t="e">
        <f>IF(Matrice!#REF!&lt;&gt;"",Matrice!#REF!,"")</f>
        <v>#REF!</v>
      </c>
      <c r="C3" s="112" t="e">
        <f>CONCATENATE(Matrice!#REF!,Matrice!#REF!)</f>
        <v>#REF!</v>
      </c>
      <c r="E3" s="113" t="str">
        <f>CONCATENATE(1,1)</f>
        <v>11</v>
      </c>
      <c r="F3" s="114" t="str">
        <f t="array" aca="1" ref="F3" ca="1">IF(COUNTIF(Nom,$E3)&gt;0,INDEX(ColRef,SMALL(IF(Nom=$E3,ROW(Ref)),1)),)
&amp;IF(COUNTIF(Nom,$E3)&gt;1," et "&amp;INDEX(ColRef,SMALL(IF(Nom=$E3,ROW(Ref)),2)),"")
&amp;IF(COUNTIF(Nom,$E3)&gt;2," et "&amp;INDEX(ColRef,SMALL(IF(Nom=$E3,ROW(Ref)),3)),"")
&amp;IF(COUNTIF(Nom,$E3)&gt;3," et "&amp;INDEX(ColRef,SMALL(IF(Nom=$E3,ROW(Ref)),4)),"")
&amp;IF(COUNTIF(Nom,$E3)&gt;4," et "&amp;INDEX(ColRef,SMALL(IF(Nom=$E3,ROW(Ref)),5)),"")
&amp;IF(COUNTIF(Nom,$E3)&gt;5," et "&amp;INDEX(ColRef,SMALL(IF(Nom=$E3,ROW(Ref)),6)),"")
&amp;IF(COUNTIF(Nom,$E3)&gt;6," et "&amp;INDEX(ColRef,SMALL(IF(Nom=$E3,ROW(Ref)),7)),"")
&amp;IF(COUNTIF(Nom,$E3)&gt;7," et "&amp;INDEX(ColRef,SMALL(IF(Nom=$E3,ROW(Ref)),8)),"")
&amp;IF(COUNTIF(Nom,$E3)&gt;8," et "&amp;INDEX(ColRef,SMALL(IF(Nom=$E3,ROW(Ref)),9)),"")
&amp;IF(COUNTIF(Nom,$E3)&gt;9," et "&amp;INDEX(ColRef,SMALL(IF(Nom=$E3,ROW(Ref)),10)),"")
&amp;IF(COUNTIF(Nom,$E3)&gt;10," et "&amp;INDEX(ColRef,SMALL(IF(Nom=$E3,ROW(Ref)),11)),"")
&amp;IF(COUNTIF(Nom,$E3)&gt;11," et "&amp;INDEX(ColRef,SMALL(IF(Nom=$E3,ROW(Ref)),12)),"")
&amp;IF(COUNTIF(Nom,$E3)&gt;12," et "&amp;INDEX(ColRef,SMALL(IF(Nom=$E3,ROW(Ref)),13)),"")
&amp;IF(COUNTIF(Nom,$E3)&gt;13," et "&amp;INDEX(ColRef,SMALL(IF(Nom=$E3,ROW(Ref)),14)),"")
&amp;IF(COUNTIF(Nom,$E3)&gt;14," et "&amp;INDEX(ColRef,SMALL(IF(Nom=$E3,ROW(Ref)),15)),"")
&amp;IF(COUNTIF(Nom,$E3)&gt;15," et "&amp;INDEX(ColRef,SMALL(IF(Nom=$E3,ROW(Ref)),16)),"")</f>
        <v/>
      </c>
    </row>
    <row r="4" spans="2:7" x14ac:dyDescent="0.2">
      <c r="B4" s="109" t="e">
        <f>IF(Matrice!#REF!&lt;&gt;"",Matrice!#REF!,"")</f>
        <v>#REF!</v>
      </c>
      <c r="C4" s="112" t="e">
        <f>CONCATENATE(Matrice!#REF!,Matrice!#REF!)</f>
        <v>#REF!</v>
      </c>
      <c r="E4" s="113" t="str">
        <f>CONCATENATE(1,2)</f>
        <v>12</v>
      </c>
      <c r="F4" s="114" t="str">
        <f t="array" aca="1" ref="F4" ca="1">IF(COUNTIF(Nom,$E4)&gt;0,INDEX(ColRef,SMALL(IF(Nom=$E4,ROW(Ref)),1)),)
&amp;IF(COUNTIF(Nom,$E4)&gt;1," et "&amp;INDEX(ColRef,SMALL(IF(Nom=$E4,ROW(Ref)),2)),"")
&amp;IF(COUNTIF(Nom,$E4)&gt;2," et "&amp;INDEX(ColRef,SMALL(IF(Nom=$E4,ROW(Ref)),3)),"")
&amp;IF(COUNTIF(Nom,$E4)&gt;3," et "&amp;INDEX(ColRef,SMALL(IF(Nom=$E4,ROW(Ref)),4)),"")
&amp;IF(COUNTIF(Nom,$E4)&gt;4," et "&amp;INDEX(ColRef,SMALL(IF(Nom=$E4,ROW(Ref)),5)),"")
&amp;IF(COUNTIF(Nom,$E4)&gt;5," et "&amp;INDEX(ColRef,SMALL(IF(Nom=$E4,ROW(Ref)),6)),"")
&amp;IF(COUNTIF(Nom,$E4)&gt;6," et "&amp;INDEX(ColRef,SMALL(IF(Nom=$E4,ROW(Ref)),7)),"")
&amp;IF(COUNTIF(Nom,$E4)&gt;7," et "&amp;INDEX(ColRef,SMALL(IF(Nom=$E4,ROW(Ref)),8)),"")
&amp;IF(COUNTIF(Nom,$E4)&gt;8," et "&amp;INDEX(ColRef,SMALL(IF(Nom=$E4,ROW(Ref)),9)),"")
&amp;IF(COUNTIF(Nom,$E4)&gt;9," et "&amp;INDEX(ColRef,SMALL(IF(Nom=$E4,ROW(Ref)),10)),"")
&amp;IF(COUNTIF(Nom,$E4)&gt;10," et "&amp;INDEX(ColRef,SMALL(IF(Nom=$E4,ROW(Ref)),11)),"")
&amp;IF(COUNTIF(Nom,$E4)&gt;11," et "&amp;INDEX(ColRef,SMALL(IF(Nom=$E4,ROW(Ref)),12)),"")
&amp;IF(COUNTIF(Nom,$E4)&gt;12," et "&amp;INDEX(ColRef,SMALL(IF(Nom=$E4,ROW(Ref)),13)),"")
&amp;IF(COUNTIF(Nom,$E4)&gt;13," et "&amp;INDEX(ColRef,SMALL(IF(Nom=$E4,ROW(Ref)),14)),"")
&amp;IF(COUNTIF(Nom,$E4)&gt;14," et "&amp;INDEX(ColRef,SMALL(IF(Nom=$E4,ROW(Ref)),15)),"")
&amp;IF(COUNTIF(Nom,$E4)&gt;15," et "&amp;INDEX(ColRef,SMALL(IF(Nom=$E4,ROW(Ref)),16)),"")</f>
        <v/>
      </c>
    </row>
    <row r="5" spans="2:7" x14ac:dyDescent="0.2">
      <c r="B5" s="109" t="e">
        <f>IF(Matrice!#REF!&lt;&gt;"",Matrice!#REF!,"")</f>
        <v>#REF!</v>
      </c>
      <c r="C5" s="112" t="e">
        <f>CONCATENATE(Matrice!#REF!,Matrice!#REF!)</f>
        <v>#REF!</v>
      </c>
      <c r="E5" s="113" t="str">
        <f>CONCATENATE(1,3)</f>
        <v>13</v>
      </c>
      <c r="F5" s="114" t="str">
        <f t="array" aca="1" ref="F5" ca="1">IF(COUNTIF(Nom,$E5)&gt;0,INDEX(ColRef,SMALL(IF(Nom=$E5,ROW(Ref)),1)),)
&amp;IF(COUNTIF(Nom,$E5)&gt;1," et "&amp;INDEX(ColRef,SMALL(IF(Nom=$E5,ROW(Ref)),2)),"")
&amp;IF(COUNTIF(Nom,$E5)&gt;2," et "&amp;INDEX(ColRef,SMALL(IF(Nom=$E5,ROW(Ref)),3)),"")
&amp;IF(COUNTIF(Nom,$E5)&gt;3," et "&amp;INDEX(ColRef,SMALL(IF(Nom=$E5,ROW(Ref)),4)),"")
&amp;IF(COUNTIF(Nom,$E5)&gt;4," et "&amp;INDEX(ColRef,SMALL(IF(Nom=$E5,ROW(Ref)),5)),"")
&amp;IF(COUNTIF(Nom,$E5)&gt;5," et "&amp;INDEX(ColRef,SMALL(IF(Nom=$E5,ROW(Ref)),6)),"")
&amp;IF(COUNTIF(Nom,$E5)&gt;6," et "&amp;INDEX(ColRef,SMALL(IF(Nom=$E5,ROW(Ref)),7)),"")
&amp;IF(COUNTIF(Nom,$E5)&gt;7," et "&amp;INDEX(ColRef,SMALL(IF(Nom=$E5,ROW(Ref)),8)),"")
&amp;IF(COUNTIF(Nom,$E5)&gt;8," et "&amp;INDEX(ColRef,SMALL(IF(Nom=$E5,ROW(Ref)),9)),"")
&amp;IF(COUNTIF(Nom,$E5)&gt;9," et "&amp;INDEX(ColRef,SMALL(IF(Nom=$E5,ROW(Ref)),10)),"")
&amp;IF(COUNTIF(Nom,$E5)&gt;10," et "&amp;INDEX(ColRef,SMALL(IF(Nom=$E5,ROW(Ref)),11)),"")
&amp;IF(COUNTIF(Nom,$E5)&gt;11," et "&amp;INDEX(ColRef,SMALL(IF(Nom=$E5,ROW(Ref)),12)),"")
&amp;IF(COUNTIF(Nom,$E5)&gt;12," et "&amp;INDEX(ColRef,SMALL(IF(Nom=$E5,ROW(Ref)),13)),"")
&amp;IF(COUNTIF(Nom,$E5)&gt;13," et "&amp;INDEX(ColRef,SMALL(IF(Nom=$E5,ROW(Ref)),14)),"")
&amp;IF(COUNTIF(Nom,$E5)&gt;14," et "&amp;INDEX(ColRef,SMALL(IF(Nom=$E5,ROW(Ref)),15)),"")
&amp;IF(COUNTIF(Nom,$E5)&gt;15," et "&amp;INDEX(ColRef,SMALL(IF(Nom=$E5,ROW(Ref)),16)),"")</f>
        <v/>
      </c>
    </row>
    <row r="6" spans="2:7" x14ac:dyDescent="0.2">
      <c r="B6" s="109" t="e">
        <f>IF(Matrice!#REF!&lt;&gt;"",Matrice!#REF!,"")</f>
        <v>#REF!</v>
      </c>
      <c r="C6" s="112" t="e">
        <f>CONCATENATE(Matrice!#REF!,Matrice!#REF!)</f>
        <v>#REF!</v>
      </c>
      <c r="E6" s="113" t="str">
        <f>CONCATENATE(1,5)</f>
        <v>15</v>
      </c>
      <c r="F6" s="114" t="str">
        <f t="array" aca="1" ref="F6" ca="1">IF(COUNTIF(Nom,$E6)&gt;0,INDEX(ColRef,SMALL(IF(Nom=$E6,ROW(Ref)),1)),)
&amp;IF(COUNTIF(Nom,$E6)&gt;1," et "&amp;INDEX(ColRef,SMALL(IF(Nom=$E6,ROW(Ref)),2)),"")
&amp;IF(COUNTIF(Nom,$E6)&gt;2," et "&amp;INDEX(ColRef,SMALL(IF(Nom=$E6,ROW(Ref)),3)),"")
&amp;IF(COUNTIF(Nom,$E6)&gt;3," et "&amp;INDEX(ColRef,SMALL(IF(Nom=$E6,ROW(Ref)),4)),"")
&amp;IF(COUNTIF(Nom,$E6)&gt;4," et "&amp;INDEX(ColRef,SMALL(IF(Nom=$E6,ROW(Ref)),5)),"")
&amp;IF(COUNTIF(Nom,$E6)&gt;5," et "&amp;INDEX(ColRef,SMALL(IF(Nom=$E6,ROW(Ref)),6)),"")
&amp;IF(COUNTIF(Nom,$E6)&gt;6," et "&amp;INDEX(ColRef,SMALL(IF(Nom=$E6,ROW(Ref)),7)),"")
&amp;IF(COUNTIF(Nom,$E6)&gt;7," et "&amp;INDEX(ColRef,SMALL(IF(Nom=$E6,ROW(Ref)),8)),"")
&amp;IF(COUNTIF(Nom,$E6)&gt;8," et "&amp;INDEX(ColRef,SMALL(IF(Nom=$E6,ROW(Ref)),9)),"")
&amp;IF(COUNTIF(Nom,$E6)&gt;9," et "&amp;INDEX(ColRef,SMALL(IF(Nom=$E6,ROW(Ref)),10)),"")
&amp;IF(COUNTIF(Nom,$E6)&gt;10," et "&amp;INDEX(ColRef,SMALL(IF(Nom=$E6,ROW(Ref)),11)),"")
&amp;IF(COUNTIF(Nom,$E6)&gt;11," et "&amp;INDEX(ColRef,SMALL(IF(Nom=$E6,ROW(Ref)),12)),"")
&amp;IF(COUNTIF(Nom,$E6)&gt;12," et "&amp;INDEX(ColRef,SMALL(IF(Nom=$E6,ROW(Ref)),13)),"")
&amp;IF(COUNTIF(Nom,$E6)&gt;13," et "&amp;INDEX(ColRef,SMALL(IF(Nom=$E6,ROW(Ref)),14)),"")
&amp;IF(COUNTIF(Nom,$E6)&gt;14," et "&amp;INDEX(ColRef,SMALL(IF(Nom=$E6,ROW(Ref)),15)),"")
&amp;IF(COUNTIF(Nom,$E6)&gt;15," et "&amp;INDEX(ColRef,SMALL(IF(Nom=$E6,ROW(Ref)),16)),"")</f>
        <v/>
      </c>
    </row>
    <row r="7" spans="2:7" x14ac:dyDescent="0.2">
      <c r="B7" s="109" t="e">
        <f>IF(Matrice!#REF!&lt;&gt;"",Matrice!#REF!,"")</f>
        <v>#REF!</v>
      </c>
      <c r="C7" s="112" t="e">
        <f>CONCATENATE(Matrice!#REF!,Matrice!#REF!)</f>
        <v>#REF!</v>
      </c>
      <c r="E7" s="113" t="str">
        <f>CONCATENATE(1,4)</f>
        <v>14</v>
      </c>
      <c r="F7" s="114" t="str">
        <f t="array" aca="1" ref="F7" ca="1">IF(COUNTIF(Nom,$E7)&gt;0,INDEX(ColRef,SMALL(IF(Nom=$E7,ROW(Ref)),1)),)
&amp;IF(COUNTIF(Nom,$E7)&gt;1," et "&amp;INDEX(ColRef,SMALL(IF(Nom=$E7,ROW(Ref)),2)),"")
&amp;IF(COUNTIF(Nom,$E7)&gt;2," et "&amp;INDEX(ColRef,SMALL(IF(Nom=$E7,ROW(Ref)),3)),"")
&amp;IF(COUNTIF(Nom,$E7)&gt;3," et "&amp;INDEX(ColRef,SMALL(IF(Nom=$E7,ROW(Ref)),4)),"")
&amp;IF(COUNTIF(Nom,$E7)&gt;4," et "&amp;INDEX(ColRef,SMALL(IF(Nom=$E7,ROW(Ref)),5)),"")
&amp;IF(COUNTIF(Nom,$E7)&gt;5," et "&amp;INDEX(ColRef,SMALL(IF(Nom=$E7,ROW(Ref)),6)),"")
&amp;IF(COUNTIF(Nom,$E7)&gt;6," et "&amp;INDEX(ColRef,SMALL(IF(Nom=$E7,ROW(Ref)),7)),"")
&amp;IF(COUNTIF(Nom,$E7)&gt;7," et "&amp;INDEX(ColRef,SMALL(IF(Nom=$E7,ROW(Ref)),8)),"")
&amp;IF(COUNTIF(Nom,$E7)&gt;8," et "&amp;INDEX(ColRef,SMALL(IF(Nom=$E7,ROW(Ref)),9)),"")
&amp;IF(COUNTIF(Nom,$E7)&gt;9," et "&amp;INDEX(ColRef,SMALL(IF(Nom=$E7,ROW(Ref)),10)),"")
&amp;IF(COUNTIF(Nom,$E7)&gt;10," et "&amp;INDEX(ColRef,SMALL(IF(Nom=$E7,ROW(Ref)),11)),"")
&amp;IF(COUNTIF(Nom,$E7)&gt;11," et "&amp;INDEX(ColRef,SMALL(IF(Nom=$E7,ROW(Ref)),12)),"")
&amp;IF(COUNTIF(Nom,$E7)&gt;12," et "&amp;INDEX(ColRef,SMALL(IF(Nom=$E7,ROW(Ref)),13)),"")
&amp;IF(COUNTIF(Nom,$E7)&gt;13," et "&amp;INDEX(ColRef,SMALL(IF(Nom=$E7,ROW(Ref)),14)),"")
&amp;IF(COUNTIF(Nom,$E7)&gt;14," et "&amp;INDEX(ColRef,SMALL(IF(Nom=$E7,ROW(Ref)),15)),"")
&amp;IF(COUNTIF(Nom,$E7)&gt;15," et "&amp;INDEX(ColRef,SMALL(IF(Nom=$E7,ROW(Ref)),16)),"")</f>
        <v/>
      </c>
    </row>
    <row r="8" spans="2:7" x14ac:dyDescent="0.2">
      <c r="B8" s="109" t="e">
        <f>IF(Matrice!#REF!&lt;&gt;"",Matrice!#REF!,"")</f>
        <v>#REF!</v>
      </c>
      <c r="C8" s="112" t="e">
        <f>CONCATENATE(Matrice!#REF!,Matrice!#REF!)</f>
        <v>#REF!</v>
      </c>
      <c r="E8" s="113" t="str">
        <f>CONCATENATE(2,1)</f>
        <v>21</v>
      </c>
      <c r="F8" s="114" t="str">
        <f t="array" aca="1" ref="F8" ca="1">IF(COUNTIF(Nom,$E8)&gt;0,INDEX(ColRef,SMALL(IF(Nom=$E8,ROW(Ref)),1)),)
&amp;IF(COUNTIF(Nom,$E8)&gt;1," et "&amp;INDEX(ColRef,SMALL(IF(Nom=$E8,ROW(Ref)),2)),"")
&amp;IF(COUNTIF(Nom,$E8)&gt;2," et "&amp;INDEX(ColRef,SMALL(IF(Nom=$E8,ROW(Ref)),3)),"")
&amp;IF(COUNTIF(Nom,$E8)&gt;3," et "&amp;INDEX(ColRef,SMALL(IF(Nom=$E8,ROW(Ref)),4)),"")
&amp;IF(COUNTIF(Nom,$E8)&gt;4," et "&amp;INDEX(ColRef,SMALL(IF(Nom=$E8,ROW(Ref)),5)),"")
&amp;IF(COUNTIF(Nom,$E8)&gt;5," et "&amp;INDEX(ColRef,SMALL(IF(Nom=$E8,ROW(Ref)),6)),"")
&amp;IF(COUNTIF(Nom,$E8)&gt;6," et "&amp;INDEX(ColRef,SMALL(IF(Nom=$E8,ROW(Ref)),7)),"")
&amp;IF(COUNTIF(Nom,$E8)&gt;7," et "&amp;INDEX(ColRef,SMALL(IF(Nom=$E8,ROW(Ref)),8)),"")
&amp;IF(COUNTIF(Nom,$E8)&gt;8," et "&amp;INDEX(ColRef,SMALL(IF(Nom=$E8,ROW(Ref)),9)),"")
&amp;IF(COUNTIF(Nom,$E8)&gt;9," et "&amp;INDEX(ColRef,SMALL(IF(Nom=$E8,ROW(Ref)),10)),"")
&amp;IF(COUNTIF(Nom,$E8)&gt;10," et "&amp;INDEX(ColRef,SMALL(IF(Nom=$E8,ROW(Ref)),11)),"")
&amp;IF(COUNTIF(Nom,$E8)&gt;11," et "&amp;INDEX(ColRef,SMALL(IF(Nom=$E8,ROW(Ref)),12)),"")
&amp;IF(COUNTIF(Nom,$E8)&gt;12," et "&amp;INDEX(ColRef,SMALL(IF(Nom=$E8,ROW(Ref)),13)),"")
&amp;IF(COUNTIF(Nom,$E8)&gt;13," et "&amp;INDEX(ColRef,SMALL(IF(Nom=$E8,ROW(Ref)),14)),"")
&amp;IF(COUNTIF(Nom,$E8)&gt;14," et "&amp;INDEX(ColRef,SMALL(IF(Nom=$E8,ROW(Ref)),15)),"")
&amp;IF(COUNTIF(Nom,$E8)&gt;15," et "&amp;INDEX(ColRef,SMALL(IF(Nom=$E8,ROW(Ref)),16)),"")</f>
        <v/>
      </c>
    </row>
    <row r="9" spans="2:7" x14ac:dyDescent="0.2">
      <c r="B9" s="109" t="e">
        <f>IF(Matrice!#REF!&lt;&gt;"",Matrice!#REF!,"")</f>
        <v>#REF!</v>
      </c>
      <c r="C9" s="112" t="e">
        <f>CONCATENATE(Matrice!#REF!,Matrice!#REF!)</f>
        <v>#REF!</v>
      </c>
      <c r="E9" s="113" t="str">
        <f>CONCATENATE(2,2)</f>
        <v>22</v>
      </c>
      <c r="F9" s="114" t="str">
        <f t="array" aca="1" ref="F9" ca="1">IF(COUNTIF(Nom,$E9)&gt;0,INDEX(ColRef,SMALL(IF(Nom=$E9,ROW(Ref)),1)),)
&amp;IF(COUNTIF(Nom,$E9)&gt;1," et "&amp;INDEX(ColRef,SMALL(IF(Nom=$E9,ROW(Ref)),2)),"")
&amp;IF(COUNTIF(Nom,$E9)&gt;2," et "&amp;INDEX(ColRef,SMALL(IF(Nom=$E9,ROW(Ref)),3)),"")
&amp;IF(COUNTIF(Nom,$E9)&gt;3," et "&amp;INDEX(ColRef,SMALL(IF(Nom=$E9,ROW(Ref)),4)),"")
&amp;IF(COUNTIF(Nom,$E9)&gt;4," et "&amp;INDEX(ColRef,SMALL(IF(Nom=$E9,ROW(Ref)),5)),"")
&amp;IF(COUNTIF(Nom,$E9)&gt;5," et "&amp;INDEX(ColRef,SMALL(IF(Nom=$E9,ROW(Ref)),6)),"")
&amp;IF(COUNTIF(Nom,$E9)&gt;6," et "&amp;INDEX(ColRef,SMALL(IF(Nom=$E9,ROW(Ref)),7)),"")
&amp;IF(COUNTIF(Nom,$E9)&gt;7," et "&amp;INDEX(ColRef,SMALL(IF(Nom=$E9,ROW(Ref)),8)),"")
&amp;IF(COUNTIF(Nom,$E9)&gt;8," et "&amp;INDEX(ColRef,SMALL(IF(Nom=$E9,ROW(Ref)),9)),"")
&amp;IF(COUNTIF(Nom,$E9)&gt;9," et "&amp;INDEX(ColRef,SMALL(IF(Nom=$E9,ROW(Ref)),10)),"")
&amp;IF(COUNTIF(Nom,$E9)&gt;10," et "&amp;INDEX(ColRef,SMALL(IF(Nom=$E9,ROW(Ref)),11)),"")
&amp;IF(COUNTIF(Nom,$E9)&gt;11," et "&amp;INDEX(ColRef,SMALL(IF(Nom=$E9,ROW(Ref)),12)),"")
&amp;IF(COUNTIF(Nom,$E9)&gt;12," et "&amp;INDEX(ColRef,SMALL(IF(Nom=$E9,ROW(Ref)),13)),"")
&amp;IF(COUNTIF(Nom,$E9)&gt;13," et "&amp;INDEX(ColRef,SMALL(IF(Nom=$E9,ROW(Ref)),14)),"")
&amp;IF(COUNTIF(Nom,$E9)&gt;14," et "&amp;INDEX(ColRef,SMALL(IF(Nom=$E9,ROW(Ref)),15)),"")
&amp;IF(COUNTIF(Nom,$E9)&gt;15," et "&amp;INDEX(ColRef,SMALL(IF(Nom=$E9,ROW(Ref)),16)),"")</f>
        <v/>
      </c>
    </row>
    <row r="10" spans="2:7" x14ac:dyDescent="0.2">
      <c r="B10" s="109" t="e">
        <f>IF(Matrice!#REF!&lt;&gt;"",Matrice!#REF!,"")</f>
        <v>#REF!</v>
      </c>
      <c r="C10" s="112" t="e">
        <f>CONCATENATE(Matrice!#REF!,Matrice!#REF!)</f>
        <v>#REF!</v>
      </c>
      <c r="E10" s="113" t="str">
        <f>CONCATENATE(2,3)</f>
        <v>23</v>
      </c>
      <c r="F10" s="114" t="str">
        <f t="array" aca="1" ref="F10" ca="1">IF(COUNTIF(Nom,$E10)&gt;0,INDEX(ColRef,SMALL(IF(Nom=$E10,ROW(Ref)),1)),)
&amp;IF(COUNTIF(Nom,$E10)&gt;1," et "&amp;INDEX(ColRef,SMALL(IF(Nom=$E10,ROW(Ref)),2)),"")
&amp;IF(COUNTIF(Nom,$E10)&gt;2," et "&amp;INDEX(ColRef,SMALL(IF(Nom=$E10,ROW(Ref)),3)),"")
&amp;IF(COUNTIF(Nom,$E10)&gt;3," et "&amp;INDEX(ColRef,SMALL(IF(Nom=$E10,ROW(Ref)),4)),"")
&amp;IF(COUNTIF(Nom,$E10)&gt;4," et "&amp;INDEX(ColRef,SMALL(IF(Nom=$E10,ROW(Ref)),5)),"")
&amp;IF(COUNTIF(Nom,$E10)&gt;5," et "&amp;INDEX(ColRef,SMALL(IF(Nom=$E10,ROW(Ref)),6)),"")
&amp;IF(COUNTIF(Nom,$E10)&gt;6," et "&amp;INDEX(ColRef,SMALL(IF(Nom=$E10,ROW(Ref)),7)),"")
&amp;IF(COUNTIF(Nom,$E10)&gt;7," et "&amp;INDEX(ColRef,SMALL(IF(Nom=$E10,ROW(Ref)),8)),"")
&amp;IF(COUNTIF(Nom,$E10)&gt;8," et "&amp;INDEX(ColRef,SMALL(IF(Nom=$E10,ROW(Ref)),9)),"")
&amp;IF(COUNTIF(Nom,$E10)&gt;9," et "&amp;INDEX(ColRef,SMALL(IF(Nom=$E10,ROW(Ref)),10)),"")
&amp;IF(COUNTIF(Nom,$E10)&gt;10," et "&amp;INDEX(ColRef,SMALL(IF(Nom=$E10,ROW(Ref)),11)),"")
&amp;IF(COUNTIF(Nom,$E10)&gt;11," et "&amp;INDEX(ColRef,SMALL(IF(Nom=$E10,ROW(Ref)),12)),"")
&amp;IF(COUNTIF(Nom,$E10)&gt;12," et "&amp;INDEX(ColRef,SMALL(IF(Nom=$E10,ROW(Ref)),13)),"")
&amp;IF(COUNTIF(Nom,$E10)&gt;13," et "&amp;INDEX(ColRef,SMALL(IF(Nom=$E10,ROW(Ref)),14)),"")
&amp;IF(COUNTIF(Nom,$E10)&gt;14," et "&amp;INDEX(ColRef,SMALL(IF(Nom=$E10,ROW(Ref)),15)),"")
&amp;IF(COUNTIF(Nom,$E10)&gt;15," et "&amp;INDEX(ColRef,SMALL(IF(Nom=$E10,ROW(Ref)),16)),"")</f>
        <v/>
      </c>
    </row>
    <row r="11" spans="2:7" x14ac:dyDescent="0.2">
      <c r="B11" s="109" t="e">
        <f>IF(Matrice!#REF!&lt;&gt;"",Matrice!#REF!,"")</f>
        <v>#REF!</v>
      </c>
      <c r="C11" s="112" t="e">
        <f>CONCATENATE(Matrice!#REF!,Matrice!#REF!)</f>
        <v>#REF!</v>
      </c>
      <c r="D11" s="115"/>
      <c r="E11" s="113" t="str">
        <f>CONCATENATE(2,4)</f>
        <v>24</v>
      </c>
      <c r="F11" s="114" t="str">
        <f t="array" aca="1" ref="F11" ca="1">IF(COUNTIF(Nom,$E11)&gt;0,INDEX(ColRef,SMALL(IF(Nom=$E11,ROW(Ref)),1)),)
&amp;IF(COUNTIF(Nom,$E11)&gt;1," et "&amp;INDEX(ColRef,SMALL(IF(Nom=$E11,ROW(Ref)),2)),"")
&amp;IF(COUNTIF(Nom,$E11)&gt;2," et "&amp;INDEX(ColRef,SMALL(IF(Nom=$E11,ROW(Ref)),3)),"")
&amp;IF(COUNTIF(Nom,$E11)&gt;3," et "&amp;INDEX(ColRef,SMALL(IF(Nom=$E11,ROW(Ref)),4)),"")
&amp;IF(COUNTIF(Nom,$E11)&gt;4," et "&amp;INDEX(ColRef,SMALL(IF(Nom=$E11,ROW(Ref)),5)),"")
&amp;IF(COUNTIF(Nom,$E11)&gt;5," et "&amp;INDEX(ColRef,SMALL(IF(Nom=$E11,ROW(Ref)),6)),"")
&amp;IF(COUNTIF(Nom,$E11)&gt;6," et "&amp;INDEX(ColRef,SMALL(IF(Nom=$E11,ROW(Ref)),7)),"")
&amp;IF(COUNTIF(Nom,$E11)&gt;7," et "&amp;INDEX(ColRef,SMALL(IF(Nom=$E11,ROW(Ref)),8)),"")
&amp;IF(COUNTIF(Nom,$E11)&gt;8," et "&amp;INDEX(ColRef,SMALL(IF(Nom=$E11,ROW(Ref)),9)),"")
&amp;IF(COUNTIF(Nom,$E11)&gt;9," et "&amp;INDEX(ColRef,SMALL(IF(Nom=$E11,ROW(Ref)),10)),"")
&amp;IF(COUNTIF(Nom,$E11)&gt;10," et "&amp;INDEX(ColRef,SMALL(IF(Nom=$E11,ROW(Ref)),11)),"")
&amp;IF(COUNTIF(Nom,$E11)&gt;11," et "&amp;INDEX(ColRef,SMALL(IF(Nom=$E11,ROW(Ref)),12)),"")
&amp;IF(COUNTIF(Nom,$E11)&gt;12," et "&amp;INDEX(ColRef,SMALL(IF(Nom=$E11,ROW(Ref)),13)),"")
&amp;IF(COUNTIF(Nom,$E11)&gt;13," et "&amp;INDEX(ColRef,SMALL(IF(Nom=$E11,ROW(Ref)),14)),"")
&amp;IF(COUNTIF(Nom,$E11)&gt;14," et "&amp;INDEX(ColRef,SMALL(IF(Nom=$E11,ROW(Ref)),15)),"")
&amp;IF(COUNTIF(Nom,$E11)&gt;15," et "&amp;INDEX(ColRef,SMALL(IF(Nom=$E11,ROW(Ref)),16)),"")</f>
        <v/>
      </c>
      <c r="G11" s="116"/>
    </row>
    <row r="12" spans="2:7" x14ac:dyDescent="0.2">
      <c r="B12" s="109" t="e">
        <f>IF(Matrice!#REF!&lt;&gt;"",Matrice!#REF!,"")</f>
        <v>#REF!</v>
      </c>
      <c r="C12" s="112" t="e">
        <f>CONCATENATE(Matrice!#REF!,Matrice!#REF!)</f>
        <v>#REF!</v>
      </c>
      <c r="E12" s="113" t="str">
        <f>CONCATENATE(2,5)</f>
        <v>25</v>
      </c>
      <c r="F12" s="114" t="str">
        <f t="array" aca="1" ref="F12" ca="1">IF(COUNTIF(Nom,$E12)&gt;0,INDEX(ColRef,SMALL(IF(Nom=$E12,ROW(Ref)),1)),)
&amp;IF(COUNTIF(Nom,$E12)&gt;1," et "&amp;INDEX(ColRef,SMALL(IF(Nom=$E12,ROW(Ref)),2)),"")
&amp;IF(COUNTIF(Nom,$E12)&gt;2," et "&amp;INDEX(ColRef,SMALL(IF(Nom=$E12,ROW(Ref)),3)),"")
&amp;IF(COUNTIF(Nom,$E12)&gt;3," et "&amp;INDEX(ColRef,SMALL(IF(Nom=$E12,ROW(Ref)),4)),"")
&amp;IF(COUNTIF(Nom,$E12)&gt;4," et "&amp;INDEX(ColRef,SMALL(IF(Nom=$E12,ROW(Ref)),5)),"")
&amp;IF(COUNTIF(Nom,$E12)&gt;5," et "&amp;INDEX(ColRef,SMALL(IF(Nom=$E12,ROW(Ref)),6)),"")
&amp;IF(COUNTIF(Nom,$E12)&gt;6," et "&amp;INDEX(ColRef,SMALL(IF(Nom=$E12,ROW(Ref)),7)),"")
&amp;IF(COUNTIF(Nom,$E12)&gt;7," et "&amp;INDEX(ColRef,SMALL(IF(Nom=$E12,ROW(Ref)),8)),"")
&amp;IF(COUNTIF(Nom,$E12)&gt;8," et "&amp;INDEX(ColRef,SMALL(IF(Nom=$E12,ROW(Ref)),9)),"")
&amp;IF(COUNTIF(Nom,$E12)&gt;9," et "&amp;INDEX(ColRef,SMALL(IF(Nom=$E12,ROW(Ref)),10)),"")
&amp;IF(COUNTIF(Nom,$E12)&gt;10," et "&amp;INDEX(ColRef,SMALL(IF(Nom=$E12,ROW(Ref)),11)),"")
&amp;IF(COUNTIF(Nom,$E12)&gt;11," et "&amp;INDEX(ColRef,SMALL(IF(Nom=$E12,ROW(Ref)),12)),"")
&amp;IF(COUNTIF(Nom,$E12)&gt;12," et "&amp;INDEX(ColRef,SMALL(IF(Nom=$E12,ROW(Ref)),13)),"")
&amp;IF(COUNTIF(Nom,$E12)&gt;13," et "&amp;INDEX(ColRef,SMALL(IF(Nom=$E12,ROW(Ref)),14)),"")
&amp;IF(COUNTIF(Nom,$E12)&gt;14," et "&amp;INDEX(ColRef,SMALL(IF(Nom=$E12,ROW(Ref)),15)),"")
&amp;IF(COUNTIF(Nom,$E12)&gt;15," et "&amp;INDEX(ColRef,SMALL(IF(Nom=$E12,ROW(Ref)),16)),"")</f>
        <v/>
      </c>
    </row>
    <row r="13" spans="2:7" x14ac:dyDescent="0.2">
      <c r="B13" s="109" t="e">
        <f>IF(Matrice!#REF!&lt;&gt;"",Matrice!#REF!,"")</f>
        <v>#REF!</v>
      </c>
      <c r="C13" s="112" t="e">
        <f>CONCATENATE(Matrice!#REF!,Matrice!#REF!)</f>
        <v>#REF!</v>
      </c>
      <c r="D13" s="117"/>
      <c r="E13" s="113" t="str">
        <f>CONCATENATE(3,1)</f>
        <v>31</v>
      </c>
      <c r="F13" s="114" t="str">
        <f t="array" aca="1" ref="F13" ca="1">IF(COUNTIF(Nom,$E13)&gt;0,INDEX(ColRef,SMALL(IF(Nom=$E13,ROW(Ref)),1)),)
&amp;IF(COUNTIF(Nom,$E13)&gt;1," et "&amp;INDEX(ColRef,SMALL(IF(Nom=$E13,ROW(Ref)),2)),"")
&amp;IF(COUNTIF(Nom,$E13)&gt;2," et "&amp;INDEX(ColRef,SMALL(IF(Nom=$E13,ROW(Ref)),3)),"")
&amp;IF(COUNTIF(Nom,$E13)&gt;3," et "&amp;INDEX(ColRef,SMALL(IF(Nom=$E13,ROW(Ref)),4)),"")
&amp;IF(COUNTIF(Nom,$E13)&gt;4," et "&amp;INDEX(ColRef,SMALL(IF(Nom=$E13,ROW(Ref)),5)),"")
&amp;IF(COUNTIF(Nom,$E13)&gt;5," et "&amp;INDEX(ColRef,SMALL(IF(Nom=$E13,ROW(Ref)),6)),"")
&amp;IF(COUNTIF(Nom,$E13)&gt;6," et "&amp;INDEX(ColRef,SMALL(IF(Nom=$E13,ROW(Ref)),7)),"")
&amp;IF(COUNTIF(Nom,$E13)&gt;7," et "&amp;INDEX(ColRef,SMALL(IF(Nom=$E13,ROW(Ref)),8)),"")
&amp;IF(COUNTIF(Nom,$E13)&gt;8," et "&amp;INDEX(ColRef,SMALL(IF(Nom=$E13,ROW(Ref)),9)),"")
&amp;IF(COUNTIF(Nom,$E13)&gt;9," et "&amp;INDEX(ColRef,SMALL(IF(Nom=$E13,ROW(Ref)),10)),"")
&amp;IF(COUNTIF(Nom,$E13)&gt;10," et "&amp;INDEX(ColRef,SMALL(IF(Nom=$E13,ROW(Ref)),11)),"")
&amp;IF(COUNTIF(Nom,$E13)&gt;11," et "&amp;INDEX(ColRef,SMALL(IF(Nom=$E13,ROW(Ref)),12)),"")
&amp;IF(COUNTIF(Nom,$E13)&gt;12," et "&amp;INDEX(ColRef,SMALL(IF(Nom=$E13,ROW(Ref)),13)),"")
&amp;IF(COUNTIF(Nom,$E13)&gt;13," et "&amp;INDEX(ColRef,SMALL(IF(Nom=$E13,ROW(Ref)),14)),"")
&amp;IF(COUNTIF(Nom,$E13)&gt;14," et "&amp;INDEX(ColRef,SMALL(IF(Nom=$E13,ROW(Ref)),15)),"")
&amp;IF(COUNTIF(Nom,$E13)&gt;15," et "&amp;INDEX(ColRef,SMALL(IF(Nom=$E13,ROW(Ref)),16)),"")</f>
        <v/>
      </c>
    </row>
    <row r="14" spans="2:7" x14ac:dyDescent="0.2">
      <c r="B14" s="109" t="str">
        <f>IF(Matrice!C29&lt;&gt;"",Matrice!C29,"")</f>
        <v/>
      </c>
      <c r="C14" s="112" t="str">
        <f>CONCATENATE(Matrice!J29,Matrice!O29)</f>
        <v/>
      </c>
      <c r="D14" s="117"/>
      <c r="E14" s="113" t="str">
        <f>CONCATENATE(3,2)</f>
        <v>32</v>
      </c>
      <c r="F14" s="114" t="str">
        <f t="array" aca="1" ref="F14" ca="1">IF(COUNTIF(Nom,$E14)&gt;0,INDEX(ColRef,SMALL(IF(Nom=$E14,ROW(Ref)),1)),)
&amp;IF(COUNTIF(Nom,$E14)&gt;1," et "&amp;INDEX(ColRef,SMALL(IF(Nom=$E14,ROW(Ref)),2)),"")
&amp;IF(COUNTIF(Nom,$E14)&gt;2," et "&amp;INDEX(ColRef,SMALL(IF(Nom=$E14,ROW(Ref)),3)),"")
&amp;IF(COUNTIF(Nom,$E14)&gt;3," et "&amp;INDEX(ColRef,SMALL(IF(Nom=$E14,ROW(Ref)),4)),"")
&amp;IF(COUNTIF(Nom,$E14)&gt;4," et "&amp;INDEX(ColRef,SMALL(IF(Nom=$E14,ROW(Ref)),5)),"")
&amp;IF(COUNTIF(Nom,$E14)&gt;5," et "&amp;INDEX(ColRef,SMALL(IF(Nom=$E14,ROW(Ref)),6)),"")
&amp;IF(COUNTIF(Nom,$E14)&gt;6," et "&amp;INDEX(ColRef,SMALL(IF(Nom=$E14,ROW(Ref)),7)),"")
&amp;IF(COUNTIF(Nom,$E14)&gt;7," et "&amp;INDEX(ColRef,SMALL(IF(Nom=$E14,ROW(Ref)),8)),"")
&amp;IF(COUNTIF(Nom,$E14)&gt;8," et "&amp;INDEX(ColRef,SMALL(IF(Nom=$E14,ROW(Ref)),9)),"")
&amp;IF(COUNTIF(Nom,$E14)&gt;9," et "&amp;INDEX(ColRef,SMALL(IF(Nom=$E14,ROW(Ref)),10)),"")
&amp;IF(COUNTIF(Nom,$E14)&gt;10," et "&amp;INDEX(ColRef,SMALL(IF(Nom=$E14,ROW(Ref)),11)),"")
&amp;IF(COUNTIF(Nom,$E14)&gt;11," et "&amp;INDEX(ColRef,SMALL(IF(Nom=$E14,ROW(Ref)),12)),"")
&amp;IF(COUNTIF(Nom,$E14)&gt;12," et "&amp;INDEX(ColRef,SMALL(IF(Nom=$E14,ROW(Ref)),13)),"")
&amp;IF(COUNTIF(Nom,$E14)&gt;13," et "&amp;INDEX(ColRef,SMALL(IF(Nom=$E14,ROW(Ref)),14)),"")
&amp;IF(COUNTIF(Nom,$E14)&gt;14," et "&amp;INDEX(ColRef,SMALL(IF(Nom=$E14,ROW(Ref)),15)),"")
&amp;IF(COUNTIF(Nom,$E14)&gt;15," et "&amp;INDEX(ColRef,SMALL(IF(Nom=$E14,ROW(Ref)),16)),"")</f>
        <v/>
      </c>
    </row>
    <row r="15" spans="2:7" x14ac:dyDescent="0.2">
      <c r="B15" s="109" t="str">
        <f>IF(Matrice!C30&lt;&gt;"",Matrice!C30,"")</f>
        <v/>
      </c>
      <c r="C15" s="112" t="str">
        <f>CONCATENATE(Matrice!J30,Matrice!O30)</f>
        <v/>
      </c>
      <c r="E15" s="113" t="str">
        <f>CONCATENATE(3,3)</f>
        <v>33</v>
      </c>
      <c r="F15" s="114" t="str">
        <f t="array" aca="1" ref="F15" ca="1">IF(COUNTIF(Nom,$E15)&gt;0,INDEX(ColRef,SMALL(IF(Nom=$E15,ROW(Ref)),1)),)
&amp;IF(COUNTIF(Nom,$E15)&gt;1," et "&amp;INDEX(ColRef,SMALL(IF(Nom=$E15,ROW(Ref)),2)),"")
&amp;IF(COUNTIF(Nom,$E15)&gt;2," et "&amp;INDEX(ColRef,SMALL(IF(Nom=$E15,ROW(Ref)),3)),"")
&amp;IF(COUNTIF(Nom,$E15)&gt;3," et "&amp;INDEX(ColRef,SMALL(IF(Nom=$E15,ROW(Ref)),4)),"")
&amp;IF(COUNTIF(Nom,$E15)&gt;4," et "&amp;INDEX(ColRef,SMALL(IF(Nom=$E15,ROW(Ref)),5)),"")
&amp;IF(COUNTIF(Nom,$E15)&gt;5," et "&amp;INDEX(ColRef,SMALL(IF(Nom=$E15,ROW(Ref)),6)),"")
&amp;IF(COUNTIF(Nom,$E15)&gt;6," et "&amp;INDEX(ColRef,SMALL(IF(Nom=$E15,ROW(Ref)),7)),"")
&amp;IF(COUNTIF(Nom,$E15)&gt;7," et "&amp;INDEX(ColRef,SMALL(IF(Nom=$E15,ROW(Ref)),8)),"")
&amp;IF(COUNTIF(Nom,$E15)&gt;8," et "&amp;INDEX(ColRef,SMALL(IF(Nom=$E15,ROW(Ref)),9)),"")
&amp;IF(COUNTIF(Nom,$E15)&gt;9," et "&amp;INDEX(ColRef,SMALL(IF(Nom=$E15,ROW(Ref)),10)),"")
&amp;IF(COUNTIF(Nom,$E15)&gt;10," et "&amp;INDEX(ColRef,SMALL(IF(Nom=$E15,ROW(Ref)),11)),"")
&amp;IF(COUNTIF(Nom,$E15)&gt;11," et "&amp;INDEX(ColRef,SMALL(IF(Nom=$E15,ROW(Ref)),12)),"")
&amp;IF(COUNTIF(Nom,$E15)&gt;12," et "&amp;INDEX(ColRef,SMALL(IF(Nom=$E15,ROW(Ref)),13)),"")
&amp;IF(COUNTIF(Nom,$E15)&gt;13," et "&amp;INDEX(ColRef,SMALL(IF(Nom=$E15,ROW(Ref)),14)),"")
&amp;IF(COUNTIF(Nom,$E15)&gt;14," et "&amp;INDEX(ColRef,SMALL(IF(Nom=$E15,ROW(Ref)),15)),"")
&amp;IF(COUNTIF(Nom,$E15)&gt;15," et "&amp;INDEX(ColRef,SMALL(IF(Nom=$E15,ROW(Ref)),16)),"")</f>
        <v/>
      </c>
    </row>
    <row r="16" spans="2:7" x14ac:dyDescent="0.2">
      <c r="B16" s="109" t="e">
        <f>IF(Matrice!#REF!&lt;&gt;"",Matrice!#REF!,"")</f>
        <v>#REF!</v>
      </c>
      <c r="C16" s="112" t="e">
        <f>CONCATENATE(Matrice!#REF!,Matrice!#REF!)</f>
        <v>#REF!</v>
      </c>
      <c r="E16" s="113" t="str">
        <f>CONCATENATE(3,5)</f>
        <v>35</v>
      </c>
      <c r="F16" s="114" t="str">
        <f t="array" aca="1" ref="F16" ca="1">IF(COUNTIF(Nom,$E16)&gt;0,INDEX(ColRef,SMALL(IF(Nom=$E16,ROW(Ref)),1)),)
&amp;IF(COUNTIF(Nom,$E16)&gt;1," et "&amp;INDEX(ColRef,SMALL(IF(Nom=$E16,ROW(Ref)),2)),"")
&amp;IF(COUNTIF(Nom,$E16)&gt;2," et "&amp;INDEX(ColRef,SMALL(IF(Nom=$E16,ROW(Ref)),3)),"")
&amp;IF(COUNTIF(Nom,$E16)&gt;3," et "&amp;INDEX(ColRef,SMALL(IF(Nom=$E16,ROW(Ref)),4)),"")
&amp;IF(COUNTIF(Nom,$E16)&gt;4," et "&amp;INDEX(ColRef,SMALL(IF(Nom=$E16,ROW(Ref)),5)),"")
&amp;IF(COUNTIF(Nom,$E16)&gt;5," et "&amp;INDEX(ColRef,SMALL(IF(Nom=$E16,ROW(Ref)),6)),"")
&amp;IF(COUNTIF(Nom,$E16)&gt;6," et "&amp;INDEX(ColRef,SMALL(IF(Nom=$E16,ROW(Ref)),7)),"")
&amp;IF(COUNTIF(Nom,$E16)&gt;7," et "&amp;INDEX(ColRef,SMALL(IF(Nom=$E16,ROW(Ref)),8)),"")
&amp;IF(COUNTIF(Nom,$E16)&gt;8," et "&amp;INDEX(ColRef,SMALL(IF(Nom=$E16,ROW(Ref)),9)),"")
&amp;IF(COUNTIF(Nom,$E16)&gt;9," et "&amp;INDEX(ColRef,SMALL(IF(Nom=$E16,ROW(Ref)),10)),"")
&amp;IF(COUNTIF(Nom,$E16)&gt;10," et "&amp;INDEX(ColRef,SMALL(IF(Nom=$E16,ROW(Ref)),11)),"")
&amp;IF(COUNTIF(Nom,$E16)&gt;11," et "&amp;INDEX(ColRef,SMALL(IF(Nom=$E16,ROW(Ref)),12)),"")
&amp;IF(COUNTIF(Nom,$E16)&gt;12," et "&amp;INDEX(ColRef,SMALL(IF(Nom=$E16,ROW(Ref)),13)),"")
&amp;IF(COUNTIF(Nom,$E16)&gt;13," et "&amp;INDEX(ColRef,SMALL(IF(Nom=$E16,ROW(Ref)),14)),"")
&amp;IF(COUNTIF(Nom,$E16)&gt;14," et "&amp;INDEX(ColRef,SMALL(IF(Nom=$E16,ROW(Ref)),15)),"")
&amp;IF(COUNTIF(Nom,$E16)&gt;15," et "&amp;INDEX(ColRef,SMALL(IF(Nom=$E16,ROW(Ref)),16)),"")</f>
        <v/>
      </c>
    </row>
    <row r="17" spans="2:6" x14ac:dyDescent="0.2">
      <c r="B17" s="109" t="e">
        <f>IF(Matrice!#REF!&lt;&gt;"",Matrice!#REF!,"")</f>
        <v>#REF!</v>
      </c>
      <c r="C17" s="112" t="e">
        <f>CONCATENATE(Matrice!#REF!,Matrice!#REF!)</f>
        <v>#REF!</v>
      </c>
      <c r="E17" s="113" t="str">
        <f>CONCATENATE(3,4)</f>
        <v>34</v>
      </c>
      <c r="F17" s="114" t="str">
        <f t="array" aca="1" ref="F17" ca="1">IF(COUNTIF(Nom,$E17)&gt;0,INDEX(ColRef,SMALL(IF(Nom=$E17,ROW(Ref)),1)),)
&amp;IF(COUNTIF(Nom,$E17)&gt;1," et "&amp;INDEX(ColRef,SMALL(IF(Nom=$E17,ROW(Ref)),2)),"")
&amp;IF(COUNTIF(Nom,$E17)&gt;2," et "&amp;INDEX(ColRef,SMALL(IF(Nom=$E17,ROW(Ref)),3)),"")
&amp;IF(COUNTIF(Nom,$E17)&gt;3," et "&amp;INDEX(ColRef,SMALL(IF(Nom=$E17,ROW(Ref)),4)),"")
&amp;IF(COUNTIF(Nom,$E17)&gt;4," et "&amp;INDEX(ColRef,SMALL(IF(Nom=$E17,ROW(Ref)),5)),"")
&amp;IF(COUNTIF(Nom,$E17)&gt;5," et "&amp;INDEX(ColRef,SMALL(IF(Nom=$E17,ROW(Ref)),6)),"")
&amp;IF(COUNTIF(Nom,$E17)&gt;6," et "&amp;INDEX(ColRef,SMALL(IF(Nom=$E17,ROW(Ref)),7)),"")
&amp;IF(COUNTIF(Nom,$E17)&gt;7," et "&amp;INDEX(ColRef,SMALL(IF(Nom=$E17,ROW(Ref)),8)),"")
&amp;IF(COUNTIF(Nom,$E17)&gt;8," et "&amp;INDEX(ColRef,SMALL(IF(Nom=$E17,ROW(Ref)),9)),"")
&amp;IF(COUNTIF(Nom,$E17)&gt;9," et "&amp;INDEX(ColRef,SMALL(IF(Nom=$E17,ROW(Ref)),10)),"")
&amp;IF(COUNTIF(Nom,$E17)&gt;10," et "&amp;INDEX(ColRef,SMALL(IF(Nom=$E17,ROW(Ref)),11)),"")
&amp;IF(COUNTIF(Nom,$E17)&gt;11," et "&amp;INDEX(ColRef,SMALL(IF(Nom=$E17,ROW(Ref)),12)),"")
&amp;IF(COUNTIF(Nom,$E17)&gt;12," et "&amp;INDEX(ColRef,SMALL(IF(Nom=$E17,ROW(Ref)),13)),"")
&amp;IF(COUNTIF(Nom,$E17)&gt;13," et "&amp;INDEX(ColRef,SMALL(IF(Nom=$E17,ROW(Ref)),14)),"")
&amp;IF(COUNTIF(Nom,$E17)&gt;14," et "&amp;INDEX(ColRef,SMALL(IF(Nom=$E17,ROW(Ref)),15)),"")
&amp;IF(COUNTIF(Nom,$E17)&gt;15," et "&amp;INDEX(ColRef,SMALL(IF(Nom=$E17,ROW(Ref)),16)),"")</f>
        <v/>
      </c>
    </row>
    <row r="18" spans="2:6" x14ac:dyDescent="0.2">
      <c r="B18" s="109" t="e">
        <f>IF(Matrice!#REF!&lt;&gt;"",Matrice!#REF!,"")</f>
        <v>#REF!</v>
      </c>
      <c r="C18" s="112" t="e">
        <f>CONCATENATE(Matrice!#REF!,Matrice!#REF!)</f>
        <v>#REF!</v>
      </c>
      <c r="E18" s="113" t="str">
        <f>CONCATENATE(4,1)</f>
        <v>41</v>
      </c>
      <c r="F18" s="114" t="str">
        <f t="array" aca="1" ref="F18" ca="1">IF(COUNTIF(Nom,$E18)&gt;0,INDEX(ColRef,SMALL(IF(Nom=$E18,ROW(Ref)),1)),)
&amp;IF(COUNTIF(Nom,$E18)&gt;1," et "&amp;INDEX(ColRef,SMALL(IF(Nom=$E18,ROW(Ref)),2)),"")
&amp;IF(COUNTIF(Nom,$E18)&gt;2," et "&amp;INDEX(ColRef,SMALL(IF(Nom=$E18,ROW(Ref)),3)),"")
&amp;IF(COUNTIF(Nom,$E18)&gt;3," et "&amp;INDEX(ColRef,SMALL(IF(Nom=$E18,ROW(Ref)),4)),"")
&amp;IF(COUNTIF(Nom,$E18)&gt;4," et "&amp;INDEX(ColRef,SMALL(IF(Nom=$E18,ROW(Ref)),5)),"")
&amp;IF(COUNTIF(Nom,$E18)&gt;5," et "&amp;INDEX(ColRef,SMALL(IF(Nom=$E18,ROW(Ref)),6)),"")
&amp;IF(COUNTIF(Nom,$E18)&gt;6," et "&amp;INDEX(ColRef,SMALL(IF(Nom=$E18,ROW(Ref)),7)),"")
&amp;IF(COUNTIF(Nom,$E18)&gt;7," et "&amp;INDEX(ColRef,SMALL(IF(Nom=$E18,ROW(Ref)),8)),"")
&amp;IF(COUNTIF(Nom,$E18)&gt;8," et "&amp;INDEX(ColRef,SMALL(IF(Nom=$E18,ROW(Ref)),9)),"")
&amp;IF(COUNTIF(Nom,$E18)&gt;9," et "&amp;INDEX(ColRef,SMALL(IF(Nom=$E18,ROW(Ref)),10)),"")
&amp;IF(COUNTIF(Nom,$E18)&gt;10," et "&amp;INDEX(ColRef,SMALL(IF(Nom=$E18,ROW(Ref)),11)),"")
&amp;IF(COUNTIF(Nom,$E18)&gt;11," et "&amp;INDEX(ColRef,SMALL(IF(Nom=$E18,ROW(Ref)),12)),"")
&amp;IF(COUNTIF(Nom,$E18)&gt;12," et "&amp;INDEX(ColRef,SMALL(IF(Nom=$E18,ROW(Ref)),13)),"")
&amp;IF(COUNTIF(Nom,$E18)&gt;13," et "&amp;INDEX(ColRef,SMALL(IF(Nom=$E18,ROW(Ref)),14)),"")
&amp;IF(COUNTIF(Nom,$E18)&gt;14," et "&amp;INDEX(ColRef,SMALL(IF(Nom=$E18,ROW(Ref)),15)),"")
&amp;IF(COUNTIF(Nom,$E18)&gt;15," et "&amp;INDEX(ColRef,SMALL(IF(Nom=$E18,ROW(Ref)),16)),"")</f>
        <v/>
      </c>
    </row>
    <row r="19" spans="2:6" x14ac:dyDescent="0.2">
      <c r="B19" s="109" t="e">
        <f>IF(Matrice!#REF!&lt;&gt;"",Matrice!#REF!,"")</f>
        <v>#REF!</v>
      </c>
      <c r="C19" s="112" t="e">
        <f>CONCATENATE(Matrice!#REF!,Matrice!#REF!)</f>
        <v>#REF!</v>
      </c>
      <c r="E19" s="113" t="str">
        <f>CONCATENATE(4,2)</f>
        <v>42</v>
      </c>
      <c r="F19" s="114" t="str">
        <f t="array" aca="1" ref="F19" ca="1">IF(COUNTIF(Nom,$E19)&gt;0,INDEX(ColRef,SMALL(IF(Nom=$E19,ROW(Ref)),1)),)
&amp;IF(COUNTIF(Nom,$E19)&gt;1," et "&amp;INDEX(ColRef,SMALL(IF(Nom=$E19,ROW(Ref)),2)),"")
&amp;IF(COUNTIF(Nom,$E19)&gt;2," et "&amp;INDEX(ColRef,SMALL(IF(Nom=$E19,ROW(Ref)),3)),"")
&amp;IF(COUNTIF(Nom,$E19)&gt;3," et "&amp;INDEX(ColRef,SMALL(IF(Nom=$E19,ROW(Ref)),4)),"")
&amp;IF(COUNTIF(Nom,$E19)&gt;4," et "&amp;INDEX(ColRef,SMALL(IF(Nom=$E19,ROW(Ref)),5)),"")
&amp;IF(COUNTIF(Nom,$E19)&gt;5," et "&amp;INDEX(ColRef,SMALL(IF(Nom=$E19,ROW(Ref)),6)),"")
&amp;IF(COUNTIF(Nom,$E19)&gt;6," et "&amp;INDEX(ColRef,SMALL(IF(Nom=$E19,ROW(Ref)),7)),"")
&amp;IF(COUNTIF(Nom,$E19)&gt;7," et "&amp;INDEX(ColRef,SMALL(IF(Nom=$E19,ROW(Ref)),8)),"")
&amp;IF(COUNTIF(Nom,$E19)&gt;8," et "&amp;INDEX(ColRef,SMALL(IF(Nom=$E19,ROW(Ref)),9)),"")
&amp;IF(COUNTIF(Nom,$E19)&gt;9," et "&amp;INDEX(ColRef,SMALL(IF(Nom=$E19,ROW(Ref)),10)),"")
&amp;IF(COUNTIF(Nom,$E19)&gt;10," et "&amp;INDEX(ColRef,SMALL(IF(Nom=$E19,ROW(Ref)),11)),"")
&amp;IF(COUNTIF(Nom,$E19)&gt;11," et "&amp;INDEX(ColRef,SMALL(IF(Nom=$E19,ROW(Ref)),12)),"")
&amp;IF(COUNTIF(Nom,$E19)&gt;12," et "&amp;INDEX(ColRef,SMALL(IF(Nom=$E19,ROW(Ref)),13)),"")
&amp;IF(COUNTIF(Nom,$E19)&gt;13," et "&amp;INDEX(ColRef,SMALL(IF(Nom=$E19,ROW(Ref)),14)),"")
&amp;IF(COUNTIF(Nom,$E19)&gt;14," et "&amp;INDEX(ColRef,SMALL(IF(Nom=$E19,ROW(Ref)),15)),"")
&amp;IF(COUNTIF(Nom,$E19)&gt;15," et "&amp;INDEX(ColRef,SMALL(IF(Nom=$E19,ROW(Ref)),16)),"")</f>
        <v/>
      </c>
    </row>
    <row r="20" spans="2:6" x14ac:dyDescent="0.2">
      <c r="B20" s="109" t="e">
        <f>IF(Matrice!#REF!&lt;&gt;"",Matrice!#REF!,"")</f>
        <v>#REF!</v>
      </c>
      <c r="C20" s="112" t="e">
        <f>CONCATENATE(Matrice!#REF!,Matrice!#REF!)</f>
        <v>#REF!</v>
      </c>
      <c r="E20" s="113" t="str">
        <f>CONCATENATE(4,3)</f>
        <v>43</v>
      </c>
      <c r="F20" s="114" t="str">
        <f t="array" aca="1" ref="F20" ca="1">IF(COUNTIF(Nom,$E20)&gt;0,INDEX(ColRef,SMALL(IF(Nom=$E20,ROW(Ref)),1)),)
&amp;IF(COUNTIF(Nom,$E20)&gt;1," et "&amp;INDEX(ColRef,SMALL(IF(Nom=$E20,ROW(Ref)),2)),"")
&amp;IF(COUNTIF(Nom,$E20)&gt;2," et "&amp;INDEX(ColRef,SMALL(IF(Nom=$E20,ROW(Ref)),3)),"")
&amp;IF(COUNTIF(Nom,$E20)&gt;3," et "&amp;INDEX(ColRef,SMALL(IF(Nom=$E20,ROW(Ref)),4)),"")
&amp;IF(COUNTIF(Nom,$E20)&gt;4," et "&amp;INDEX(ColRef,SMALL(IF(Nom=$E20,ROW(Ref)),5)),"")
&amp;IF(COUNTIF(Nom,$E20)&gt;5," et "&amp;INDEX(ColRef,SMALL(IF(Nom=$E20,ROW(Ref)),6)),"")
&amp;IF(COUNTIF(Nom,$E20)&gt;6," et "&amp;INDEX(ColRef,SMALL(IF(Nom=$E20,ROW(Ref)),7)),"")
&amp;IF(COUNTIF(Nom,$E20)&gt;7," et "&amp;INDEX(ColRef,SMALL(IF(Nom=$E20,ROW(Ref)),8)),"")
&amp;IF(COUNTIF(Nom,$E20)&gt;8," et "&amp;INDEX(ColRef,SMALL(IF(Nom=$E20,ROW(Ref)),9)),"")
&amp;IF(COUNTIF(Nom,$E20)&gt;9," et "&amp;INDEX(ColRef,SMALL(IF(Nom=$E20,ROW(Ref)),10)),"")
&amp;IF(COUNTIF(Nom,$E20)&gt;10," et "&amp;INDEX(ColRef,SMALL(IF(Nom=$E20,ROW(Ref)),11)),"")
&amp;IF(COUNTIF(Nom,$E20)&gt;11," et "&amp;INDEX(ColRef,SMALL(IF(Nom=$E20,ROW(Ref)),12)),"")
&amp;IF(COUNTIF(Nom,$E20)&gt;12," et "&amp;INDEX(ColRef,SMALL(IF(Nom=$E20,ROW(Ref)),13)),"")
&amp;IF(COUNTIF(Nom,$E20)&gt;13," et "&amp;INDEX(ColRef,SMALL(IF(Nom=$E20,ROW(Ref)),14)),"")
&amp;IF(COUNTIF(Nom,$E20)&gt;14," et "&amp;INDEX(ColRef,SMALL(IF(Nom=$E20,ROW(Ref)),15)),"")
&amp;IF(COUNTIF(Nom,$E20)&gt;15," et "&amp;INDEX(ColRef,SMALL(IF(Nom=$E20,ROW(Ref)),16)),"")</f>
        <v/>
      </c>
    </row>
    <row r="21" spans="2:6" x14ac:dyDescent="0.2">
      <c r="B21" s="109" t="e">
        <f>IF(Matrice!#REF!&lt;&gt;"",Matrice!#REF!,"")</f>
        <v>#REF!</v>
      </c>
      <c r="C21" s="112" t="e">
        <f>CONCATENATE(Matrice!#REF!,Matrice!#REF!)</f>
        <v>#REF!</v>
      </c>
      <c r="E21" s="113" t="str">
        <f>CONCATENATE(4,4)</f>
        <v>44</v>
      </c>
      <c r="F21" s="114" t="str">
        <f t="array" aca="1" ref="F21" ca="1">IF(COUNTIF(Nom,$E21)&gt;0,INDEX(ColRef,SMALL(IF(Nom=$E21,ROW(Ref)),1)),)
&amp;IF(COUNTIF(Nom,$E21)&gt;1," et "&amp;INDEX(ColRef,SMALL(IF(Nom=$E21,ROW(Ref)),2)),"")
&amp;IF(COUNTIF(Nom,$E21)&gt;2," et "&amp;INDEX(ColRef,SMALL(IF(Nom=$E21,ROW(Ref)),3)),"")
&amp;IF(COUNTIF(Nom,$E21)&gt;3," et "&amp;INDEX(ColRef,SMALL(IF(Nom=$E21,ROW(Ref)),4)),"")
&amp;IF(COUNTIF(Nom,$E21)&gt;4," et "&amp;INDEX(ColRef,SMALL(IF(Nom=$E21,ROW(Ref)),5)),"")
&amp;IF(COUNTIF(Nom,$E21)&gt;5," et "&amp;INDEX(ColRef,SMALL(IF(Nom=$E21,ROW(Ref)),6)),"")
&amp;IF(COUNTIF(Nom,$E21)&gt;6," et "&amp;INDEX(ColRef,SMALL(IF(Nom=$E21,ROW(Ref)),7)),"")
&amp;IF(COUNTIF(Nom,$E21)&gt;7," et "&amp;INDEX(ColRef,SMALL(IF(Nom=$E21,ROW(Ref)),8)),"")
&amp;IF(COUNTIF(Nom,$E21)&gt;8," et "&amp;INDEX(ColRef,SMALL(IF(Nom=$E21,ROW(Ref)),9)),"")
&amp;IF(COUNTIF(Nom,$E21)&gt;9," et "&amp;INDEX(ColRef,SMALL(IF(Nom=$E21,ROW(Ref)),10)),"")
&amp;IF(COUNTIF(Nom,$E21)&gt;10," et "&amp;INDEX(ColRef,SMALL(IF(Nom=$E21,ROW(Ref)),11)),"")
&amp;IF(COUNTIF(Nom,$E21)&gt;11," et "&amp;INDEX(ColRef,SMALL(IF(Nom=$E21,ROW(Ref)),12)),"")
&amp;IF(COUNTIF(Nom,$E21)&gt;12," et "&amp;INDEX(ColRef,SMALL(IF(Nom=$E21,ROW(Ref)),13)),"")
&amp;IF(COUNTIF(Nom,$E21)&gt;13," et "&amp;INDEX(ColRef,SMALL(IF(Nom=$E21,ROW(Ref)),14)),"")
&amp;IF(COUNTIF(Nom,$E21)&gt;14," et "&amp;INDEX(ColRef,SMALL(IF(Nom=$E21,ROW(Ref)),15)),"")
&amp;IF(COUNTIF(Nom,$E21)&gt;15," et "&amp;INDEX(ColRef,SMALL(IF(Nom=$E21,ROW(Ref)),16)),"")</f>
        <v/>
      </c>
    </row>
    <row r="22" spans="2:6" x14ac:dyDescent="0.2">
      <c r="B22" s="109" t="e">
        <f>IF(Matrice!#REF!&lt;&gt;"",Matrice!#REF!,"")</f>
        <v>#REF!</v>
      </c>
      <c r="C22" s="112" t="e">
        <f>CONCATENATE(Matrice!#REF!,Matrice!#REF!)</f>
        <v>#REF!</v>
      </c>
      <c r="E22" s="113" t="str">
        <f>CONCATENATE(4,5)</f>
        <v>45</v>
      </c>
      <c r="F22" s="114" t="str">
        <f t="array" aca="1" ref="F22" ca="1">IF(COUNTIF(Nom,$E22)&gt;0,INDEX(ColRef,SMALL(IF(Nom=$E22,ROW(Ref)),1)),)
&amp;IF(COUNTIF(Nom,$E22)&gt;1," et "&amp;INDEX(ColRef,SMALL(IF(Nom=$E22,ROW(Ref)),2)),"")
&amp;IF(COUNTIF(Nom,$E22)&gt;2," et "&amp;INDEX(ColRef,SMALL(IF(Nom=$E22,ROW(Ref)),3)),"")
&amp;IF(COUNTIF(Nom,$E22)&gt;3," et "&amp;INDEX(ColRef,SMALL(IF(Nom=$E22,ROW(Ref)),4)),"")
&amp;IF(COUNTIF(Nom,$E22)&gt;4," et "&amp;INDEX(ColRef,SMALL(IF(Nom=$E22,ROW(Ref)),5)),"")
&amp;IF(COUNTIF(Nom,$E22)&gt;5," et "&amp;INDEX(ColRef,SMALL(IF(Nom=$E22,ROW(Ref)),6)),"")
&amp;IF(COUNTIF(Nom,$E22)&gt;6," et "&amp;INDEX(ColRef,SMALL(IF(Nom=$E22,ROW(Ref)),7)),"")
&amp;IF(COUNTIF(Nom,$E22)&gt;7," et "&amp;INDEX(ColRef,SMALL(IF(Nom=$E22,ROW(Ref)),8)),"")
&amp;IF(COUNTIF(Nom,$E22)&gt;8," et "&amp;INDEX(ColRef,SMALL(IF(Nom=$E22,ROW(Ref)),9)),"")
&amp;IF(COUNTIF(Nom,$E22)&gt;9," et "&amp;INDEX(ColRef,SMALL(IF(Nom=$E22,ROW(Ref)),10)),"")
&amp;IF(COUNTIF(Nom,$E22)&gt;10," et "&amp;INDEX(ColRef,SMALL(IF(Nom=$E22,ROW(Ref)),11)),"")
&amp;IF(COUNTIF(Nom,$E22)&gt;11," et "&amp;INDEX(ColRef,SMALL(IF(Nom=$E22,ROW(Ref)),12)),"")
&amp;IF(COUNTIF(Nom,$E22)&gt;12," et "&amp;INDEX(ColRef,SMALL(IF(Nom=$E22,ROW(Ref)),13)),"")
&amp;IF(COUNTIF(Nom,$E22)&gt;13," et "&amp;INDEX(ColRef,SMALL(IF(Nom=$E22,ROW(Ref)),14)),"")
&amp;IF(COUNTIF(Nom,$E22)&gt;14," et "&amp;INDEX(ColRef,SMALL(IF(Nom=$E22,ROW(Ref)),15)),"")
&amp;IF(COUNTIF(Nom,$E22)&gt;15," et "&amp;INDEX(ColRef,SMALL(IF(Nom=$E22,ROW(Ref)),16)),"")</f>
        <v/>
      </c>
    </row>
    <row r="23" spans="2:6" x14ac:dyDescent="0.2">
      <c r="B23" s="109" t="e">
        <f>IF(Matrice!#REF!&lt;&gt;"",Matrice!#REF!,"")</f>
        <v>#REF!</v>
      </c>
      <c r="C23" s="112" t="e">
        <f>CONCATENATE(Matrice!#REF!,Matrice!#REF!)</f>
        <v>#REF!</v>
      </c>
      <c r="E23" s="113" t="str">
        <f>CONCATENATE(5,1)</f>
        <v>51</v>
      </c>
      <c r="F23" s="114" t="str">
        <f t="array" aca="1" ref="F23" ca="1">IF(COUNTIF(Nom,$E23)&gt;0,INDEX(ColRef,SMALL(IF(Nom=$E23,ROW(Ref)),1)),)
&amp;IF(COUNTIF(Nom,$E23)&gt;1," et "&amp;INDEX(ColRef,SMALL(IF(Nom=$E23,ROW(Ref)),2)),"")
&amp;IF(COUNTIF(Nom,$E23)&gt;2," et "&amp;INDEX(ColRef,SMALL(IF(Nom=$E23,ROW(Ref)),3)),"")
&amp;IF(COUNTIF(Nom,$E23)&gt;3," et "&amp;INDEX(ColRef,SMALL(IF(Nom=$E23,ROW(Ref)),4)),"")
&amp;IF(COUNTIF(Nom,$E23)&gt;4," et "&amp;INDEX(ColRef,SMALL(IF(Nom=$E23,ROW(Ref)),5)),"")
&amp;IF(COUNTIF(Nom,$E23)&gt;5," et "&amp;INDEX(ColRef,SMALL(IF(Nom=$E23,ROW(Ref)),6)),"")
&amp;IF(COUNTIF(Nom,$E23)&gt;6," et "&amp;INDEX(ColRef,SMALL(IF(Nom=$E23,ROW(Ref)),7)),"")
&amp;IF(COUNTIF(Nom,$E23)&gt;7," et "&amp;INDEX(ColRef,SMALL(IF(Nom=$E23,ROW(Ref)),8)),"")
&amp;IF(COUNTIF(Nom,$E23)&gt;8," et "&amp;INDEX(ColRef,SMALL(IF(Nom=$E23,ROW(Ref)),9)),"")
&amp;IF(COUNTIF(Nom,$E23)&gt;9," et "&amp;INDEX(ColRef,SMALL(IF(Nom=$E23,ROW(Ref)),10)),"")
&amp;IF(COUNTIF(Nom,$E23)&gt;10," et "&amp;INDEX(ColRef,SMALL(IF(Nom=$E23,ROW(Ref)),11)),"")
&amp;IF(COUNTIF(Nom,$E23)&gt;11," et "&amp;INDEX(ColRef,SMALL(IF(Nom=$E23,ROW(Ref)),12)),"")
&amp;IF(COUNTIF(Nom,$E23)&gt;12," et "&amp;INDEX(ColRef,SMALL(IF(Nom=$E23,ROW(Ref)),13)),"")
&amp;IF(COUNTIF(Nom,$E23)&gt;13," et "&amp;INDEX(ColRef,SMALL(IF(Nom=$E23,ROW(Ref)),14)),"")
&amp;IF(COUNTIF(Nom,$E23)&gt;14," et "&amp;INDEX(ColRef,SMALL(IF(Nom=$E23,ROW(Ref)),15)),"")
&amp;IF(COUNTIF(Nom,$E23)&gt;15," et "&amp;INDEX(ColRef,SMALL(IF(Nom=$E23,ROW(Ref)),16)),"")</f>
        <v/>
      </c>
    </row>
    <row r="24" spans="2:6" x14ac:dyDescent="0.2">
      <c r="B24" s="109" t="str">
        <f>IF(Matrice!C31&lt;&gt;"",Matrice!C31,"")</f>
        <v/>
      </c>
      <c r="C24" s="112" t="str">
        <f>CONCATENATE(Matrice!J31,Matrice!O31)</f>
        <v/>
      </c>
      <c r="E24" s="113" t="str">
        <f>CONCATENATE(5,2)</f>
        <v>52</v>
      </c>
      <c r="F24" s="114" t="str">
        <f t="array" aca="1" ref="F24" ca="1">IF(COUNTIF(Nom,$E24)&gt;0,INDEX(ColRef,SMALL(IF(Nom=$E24,ROW(Ref)),1)),)
&amp;IF(COUNTIF(Nom,$E24)&gt;1," et "&amp;INDEX(ColRef,SMALL(IF(Nom=$E24,ROW(Ref)),2)),"")
&amp;IF(COUNTIF(Nom,$E24)&gt;2," et "&amp;INDEX(ColRef,SMALL(IF(Nom=$E24,ROW(Ref)),3)),"")
&amp;IF(COUNTIF(Nom,$E24)&gt;3," et "&amp;INDEX(ColRef,SMALL(IF(Nom=$E24,ROW(Ref)),4)),"")
&amp;IF(COUNTIF(Nom,$E24)&gt;4," et "&amp;INDEX(ColRef,SMALL(IF(Nom=$E24,ROW(Ref)),5)),"")
&amp;IF(COUNTIF(Nom,$E24)&gt;5," et "&amp;INDEX(ColRef,SMALL(IF(Nom=$E24,ROW(Ref)),6)),"")
&amp;IF(COUNTIF(Nom,$E24)&gt;6," et "&amp;INDEX(ColRef,SMALL(IF(Nom=$E24,ROW(Ref)),7)),"")
&amp;IF(COUNTIF(Nom,$E24)&gt;7," et "&amp;INDEX(ColRef,SMALL(IF(Nom=$E24,ROW(Ref)),8)),"")
&amp;IF(COUNTIF(Nom,$E24)&gt;8," et "&amp;INDEX(ColRef,SMALL(IF(Nom=$E24,ROW(Ref)),9)),"")
&amp;IF(COUNTIF(Nom,$E24)&gt;9," et "&amp;INDEX(ColRef,SMALL(IF(Nom=$E24,ROW(Ref)),10)),"")
&amp;IF(COUNTIF(Nom,$E24)&gt;10," et "&amp;INDEX(ColRef,SMALL(IF(Nom=$E24,ROW(Ref)),11)),"")
&amp;IF(COUNTIF(Nom,$E24)&gt;11," et "&amp;INDEX(ColRef,SMALL(IF(Nom=$E24,ROW(Ref)),12)),"")
&amp;IF(COUNTIF(Nom,$E24)&gt;12," et "&amp;INDEX(ColRef,SMALL(IF(Nom=$E24,ROW(Ref)),13)),"")
&amp;IF(COUNTIF(Nom,$E24)&gt;13," et "&amp;INDEX(ColRef,SMALL(IF(Nom=$E24,ROW(Ref)),14)),"")
&amp;IF(COUNTIF(Nom,$E24)&gt;14," et "&amp;INDEX(ColRef,SMALL(IF(Nom=$E24,ROW(Ref)),15)),"")
&amp;IF(COUNTIF(Nom,$E24)&gt;15," et "&amp;INDEX(ColRef,SMALL(IF(Nom=$E24,ROW(Ref)),16)),"")</f>
        <v/>
      </c>
    </row>
    <row r="25" spans="2:6" x14ac:dyDescent="0.2">
      <c r="B25" s="109" t="str">
        <f>IF(Matrice!C32&lt;&gt;"",Matrice!C32,"")</f>
        <v/>
      </c>
      <c r="C25" s="112" t="str">
        <f>CONCATENATE(Matrice!J32,Matrice!O32)</f>
        <v/>
      </c>
      <c r="E25" s="113" t="str">
        <f>CONCATENATE(5,3)</f>
        <v>53</v>
      </c>
      <c r="F25" s="114" t="str">
        <f t="array" aca="1" ref="F25" ca="1">IF(COUNTIF(Nom,$E25)&gt;0,INDEX(ColRef,SMALL(IF(Nom=$E25,ROW(Ref)),1)),)
&amp;IF(COUNTIF(Nom,$E25)&gt;1," et "&amp;INDEX(ColRef,SMALL(IF(Nom=$E25,ROW(Ref)),2)),"")
&amp;IF(COUNTIF(Nom,$E25)&gt;2," et "&amp;INDEX(ColRef,SMALL(IF(Nom=$E25,ROW(Ref)),3)),"")
&amp;IF(COUNTIF(Nom,$E25)&gt;3," et "&amp;INDEX(ColRef,SMALL(IF(Nom=$E25,ROW(Ref)),4)),"")
&amp;IF(COUNTIF(Nom,$E25)&gt;4," et "&amp;INDEX(ColRef,SMALL(IF(Nom=$E25,ROW(Ref)),5)),"")
&amp;IF(COUNTIF(Nom,$E25)&gt;5," et "&amp;INDEX(ColRef,SMALL(IF(Nom=$E25,ROW(Ref)),6)),"")
&amp;IF(COUNTIF(Nom,$E25)&gt;6," et "&amp;INDEX(ColRef,SMALL(IF(Nom=$E25,ROW(Ref)),7)),"")
&amp;IF(COUNTIF(Nom,$E25)&gt;7," et "&amp;INDEX(ColRef,SMALL(IF(Nom=$E25,ROW(Ref)),8)),"")
&amp;IF(COUNTIF(Nom,$E25)&gt;8," et "&amp;INDEX(ColRef,SMALL(IF(Nom=$E25,ROW(Ref)),9)),"")
&amp;IF(COUNTIF(Nom,$E25)&gt;9," et "&amp;INDEX(ColRef,SMALL(IF(Nom=$E25,ROW(Ref)),10)),"")
&amp;IF(COUNTIF(Nom,$E25)&gt;10," et "&amp;INDEX(ColRef,SMALL(IF(Nom=$E25,ROW(Ref)),11)),"")
&amp;IF(COUNTIF(Nom,$E25)&gt;11," et "&amp;INDEX(ColRef,SMALL(IF(Nom=$E25,ROW(Ref)),12)),"")
&amp;IF(COUNTIF(Nom,$E25)&gt;12," et "&amp;INDEX(ColRef,SMALL(IF(Nom=$E25,ROW(Ref)),13)),"")
&amp;IF(COUNTIF(Nom,$E25)&gt;13," et "&amp;INDEX(ColRef,SMALL(IF(Nom=$E25,ROW(Ref)),14)),"")
&amp;IF(COUNTIF(Nom,$E25)&gt;14," et "&amp;INDEX(ColRef,SMALL(IF(Nom=$E25,ROW(Ref)),15)),"")
&amp;IF(COUNTIF(Nom,$E25)&gt;15," et "&amp;INDEX(ColRef,SMALL(IF(Nom=$E25,ROW(Ref)),16)),"")</f>
        <v/>
      </c>
    </row>
    <row r="26" spans="2:6" x14ac:dyDescent="0.2">
      <c r="B26" s="109" t="e">
        <f>IF(Matrice!#REF!&lt;&gt;"",Matrice!#REF!,"")</f>
        <v>#REF!</v>
      </c>
      <c r="C26" s="112" t="e">
        <f>CONCATENATE(Matrice!#REF!,Matrice!#REF!)</f>
        <v>#REF!</v>
      </c>
      <c r="E26" s="113" t="str">
        <f>CONCATENATE(5,4)</f>
        <v>54</v>
      </c>
      <c r="F26" s="114" t="str">
        <f t="array" aca="1" ref="F26" ca="1">IF(COUNTIF(Nom,$E26)&gt;0,INDEX(ColRef,SMALL(IF(Nom=$E26,ROW(Ref)),1)),)
&amp;IF(COUNTIF(Nom,$E26)&gt;1," et "&amp;INDEX(ColRef,SMALL(IF(Nom=$E26,ROW(Ref)),2)),"")
&amp;IF(COUNTIF(Nom,$E26)&gt;2," et "&amp;INDEX(ColRef,SMALL(IF(Nom=$E26,ROW(Ref)),3)),"")
&amp;IF(COUNTIF(Nom,$E26)&gt;3," et "&amp;INDEX(ColRef,SMALL(IF(Nom=$E26,ROW(Ref)),4)),"")
&amp;IF(COUNTIF(Nom,$E26)&gt;4," et "&amp;INDEX(ColRef,SMALL(IF(Nom=$E26,ROW(Ref)),5)),"")
&amp;IF(COUNTIF(Nom,$E26)&gt;5," et "&amp;INDEX(ColRef,SMALL(IF(Nom=$E26,ROW(Ref)),6)),"")
&amp;IF(COUNTIF(Nom,$E26)&gt;6," et "&amp;INDEX(ColRef,SMALL(IF(Nom=$E26,ROW(Ref)),7)),"")
&amp;IF(COUNTIF(Nom,$E26)&gt;7," et "&amp;INDEX(ColRef,SMALL(IF(Nom=$E26,ROW(Ref)),8)),"")
&amp;IF(COUNTIF(Nom,$E26)&gt;8," et "&amp;INDEX(ColRef,SMALL(IF(Nom=$E26,ROW(Ref)),9)),"")
&amp;IF(COUNTIF(Nom,$E26)&gt;9," et "&amp;INDEX(ColRef,SMALL(IF(Nom=$E26,ROW(Ref)),10)),"")
&amp;IF(COUNTIF(Nom,$E26)&gt;10," et "&amp;INDEX(ColRef,SMALL(IF(Nom=$E26,ROW(Ref)),11)),"")
&amp;IF(COUNTIF(Nom,$E26)&gt;11," et "&amp;INDEX(ColRef,SMALL(IF(Nom=$E26,ROW(Ref)),12)),"")
&amp;IF(COUNTIF(Nom,$E26)&gt;12," et "&amp;INDEX(ColRef,SMALL(IF(Nom=$E26,ROW(Ref)),13)),"")
&amp;IF(COUNTIF(Nom,$E26)&gt;13," et "&amp;INDEX(ColRef,SMALL(IF(Nom=$E26,ROW(Ref)),14)),"")
&amp;IF(COUNTIF(Nom,$E26)&gt;14," et "&amp;INDEX(ColRef,SMALL(IF(Nom=$E26,ROW(Ref)),15)),"")
&amp;IF(COUNTIF(Nom,$E26)&gt;15," et "&amp;INDEX(ColRef,SMALL(IF(Nom=$E26,ROW(Ref)),16)),"")</f>
        <v/>
      </c>
    </row>
    <row r="27" spans="2:6" x14ac:dyDescent="0.2">
      <c r="B27" s="109" t="str">
        <f>IF(Matrice!C33&lt;&gt;"",Matrice!C33,"")</f>
        <v/>
      </c>
      <c r="C27" s="112" t="str">
        <f>CONCATENATE(Matrice!J33,Matrice!O33)</f>
        <v/>
      </c>
      <c r="E27" s="113" t="str">
        <f>CONCATENATE(5,5)</f>
        <v>55</v>
      </c>
      <c r="F27" s="114" t="str">
        <f t="array" aca="1" ref="F27" ca="1">IF(COUNTIF(Nom,$E27)&gt;0,INDEX(ColRef,SMALL(IF(Nom=$E27,ROW(Ref)),1)),)
&amp;IF(COUNTIF(Nom,$E27)&gt;1," et "&amp;INDEX(ColRef,SMALL(IF(Nom=$E27,ROW(Ref)),2)),"")
&amp;IF(COUNTIF(Nom,$E27)&gt;2," et "&amp;INDEX(ColRef,SMALL(IF(Nom=$E27,ROW(Ref)),3)),"")
&amp;IF(COUNTIF(Nom,$E27)&gt;3," et "&amp;INDEX(ColRef,SMALL(IF(Nom=$E27,ROW(Ref)),4)),"")
&amp;IF(COUNTIF(Nom,$E27)&gt;4," et "&amp;INDEX(ColRef,SMALL(IF(Nom=$E27,ROW(Ref)),5)),"")
&amp;IF(COUNTIF(Nom,$E27)&gt;5," et "&amp;INDEX(ColRef,SMALL(IF(Nom=$E27,ROW(Ref)),6)),"")
&amp;IF(COUNTIF(Nom,$E27)&gt;6," et "&amp;INDEX(ColRef,SMALL(IF(Nom=$E27,ROW(Ref)),7)),"")
&amp;IF(COUNTIF(Nom,$E27)&gt;7," et "&amp;INDEX(ColRef,SMALL(IF(Nom=$E27,ROW(Ref)),8)),"")
&amp;IF(COUNTIF(Nom,$E27)&gt;8," et "&amp;INDEX(ColRef,SMALL(IF(Nom=$E27,ROW(Ref)),9)),"")
&amp;IF(COUNTIF(Nom,$E27)&gt;9," et "&amp;INDEX(ColRef,SMALL(IF(Nom=$E27,ROW(Ref)),10)),"")
&amp;IF(COUNTIF(Nom,$E27)&gt;10," et "&amp;INDEX(ColRef,SMALL(IF(Nom=$E27,ROW(Ref)),11)),"")
&amp;IF(COUNTIF(Nom,$E27)&gt;11," et "&amp;INDEX(ColRef,SMALL(IF(Nom=$E27,ROW(Ref)),12)),"")
&amp;IF(COUNTIF(Nom,$E27)&gt;12," et "&amp;INDEX(ColRef,SMALL(IF(Nom=$E27,ROW(Ref)),13)),"")
&amp;IF(COUNTIF(Nom,$E27)&gt;13," et "&amp;INDEX(ColRef,SMALL(IF(Nom=$E27,ROW(Ref)),14)),"")
&amp;IF(COUNTIF(Nom,$E27)&gt;14," et "&amp;INDEX(ColRef,SMALL(IF(Nom=$E27,ROW(Ref)),15)),"")
&amp;IF(COUNTIF(Nom,$E27)&gt;15," et "&amp;INDEX(ColRef,SMALL(IF(Nom=$E27,ROW(Ref)),16)),"")</f>
        <v/>
      </c>
    </row>
    <row r="28" spans="2:6" x14ac:dyDescent="0.2">
      <c r="B28" s="109" t="str">
        <f>IF(Matrice!C34&lt;&gt;"",Matrice!C34,"")</f>
        <v/>
      </c>
      <c r="C28" s="112" t="str">
        <f>CONCATENATE(Matrice!J34,Matrice!O34)</f>
        <v/>
      </c>
    </row>
    <row r="29" spans="2:6" x14ac:dyDescent="0.2">
      <c r="B29" s="109" t="str">
        <f>IF(Matrice!C35&lt;&gt;"",Matrice!C35,"")</f>
        <v/>
      </c>
      <c r="C29" s="112" t="str">
        <f>CONCATENATE(Matrice!J35,Matrice!O35)</f>
        <v/>
      </c>
    </row>
    <row r="30" spans="2:6" x14ac:dyDescent="0.2">
      <c r="B30" s="109" t="str">
        <f>IF(Matrice!C36&lt;&gt;"",Matrice!C36,"")</f>
        <v/>
      </c>
      <c r="C30" s="112" t="str">
        <f>CONCATENATE(Matrice!J36,Matrice!O36)</f>
        <v/>
      </c>
    </row>
    <row r="31" spans="2:6" x14ac:dyDescent="0.2">
      <c r="B31" s="109" t="str">
        <f>IF(Matrice!C37&lt;&gt;"",Matrice!C37,"")</f>
        <v/>
      </c>
      <c r="C31" s="112" t="str">
        <f>CONCATENATE(Matrice!J37,Matrice!O37)</f>
        <v/>
      </c>
    </row>
    <row r="32" spans="2:6" x14ac:dyDescent="0.2">
      <c r="B32" s="109" t="str">
        <f>IF(Matrice!C38&lt;&gt;"",Matrice!C38,"")</f>
        <v/>
      </c>
      <c r="C32" s="112" t="str">
        <f>CONCATENATE(Matrice!J38,Matrice!O38)</f>
        <v/>
      </c>
    </row>
    <row r="33" spans="2:3" x14ac:dyDescent="0.2">
      <c r="B33" s="109" t="str">
        <f>IF(Matrice!C39&lt;&gt;"",Matrice!C39,"")</f>
        <v/>
      </c>
      <c r="C33" s="112" t="str">
        <f>CONCATENATE(Matrice!J39,Matrice!O39)</f>
        <v/>
      </c>
    </row>
    <row r="34" spans="2:3" x14ac:dyDescent="0.2">
      <c r="B34" s="109" t="str">
        <f>IF(Matrice!C40&lt;&gt;"",Matrice!C40,"")</f>
        <v/>
      </c>
      <c r="C34" s="112" t="str">
        <f>CONCATENATE(Matrice!J40,Matrice!O40)</f>
        <v/>
      </c>
    </row>
    <row r="35" spans="2:3" x14ac:dyDescent="0.2">
      <c r="B35" s="109" t="str">
        <f>IF(Matrice!C41&lt;&gt;"",Matrice!C41,"")</f>
        <v/>
      </c>
      <c r="C35" s="112" t="str">
        <f>CONCATENATE(Matrice!J41,Matrice!O41)</f>
        <v/>
      </c>
    </row>
    <row r="36" spans="2:3" x14ac:dyDescent="0.2">
      <c r="B36" s="109" t="str">
        <f>IF(Matrice!C42&lt;&gt;"",Matrice!C42,"")</f>
        <v/>
      </c>
      <c r="C36" s="112" t="str">
        <f>CONCATENATE(Matrice!J42,Matrice!O42)</f>
        <v/>
      </c>
    </row>
    <row r="37" spans="2:3" x14ac:dyDescent="0.2">
      <c r="B37" s="109" t="str">
        <f>IF(Matrice!C43&lt;&gt;"",Matrice!C43,"")</f>
        <v/>
      </c>
      <c r="C37" s="112" t="str">
        <f>CONCATENATE(Matrice!J43,Matrice!O43)</f>
        <v/>
      </c>
    </row>
    <row r="38" spans="2:3" x14ac:dyDescent="0.2">
      <c r="B38" s="109" t="str">
        <f>IF(Matrice!C44&lt;&gt;"",Matrice!C44,"")</f>
        <v/>
      </c>
      <c r="C38" s="112" t="str">
        <f>CONCATENATE(Matrice!J44,Matrice!O44)</f>
        <v/>
      </c>
    </row>
    <row r="39" spans="2:3" x14ac:dyDescent="0.2">
      <c r="B39" s="109" t="str">
        <f>IF(Matrice!C45&lt;&gt;"",Matrice!C45,"")</f>
        <v/>
      </c>
      <c r="C39" s="112" t="str">
        <f>CONCATENATE(Matrice!J45,Matrice!O45)</f>
        <v/>
      </c>
    </row>
    <row r="40" spans="2:3" x14ac:dyDescent="0.2">
      <c r="B40" s="109" t="str">
        <f>IF(Matrice!C46&lt;&gt;"",Matrice!C46,"")</f>
        <v/>
      </c>
      <c r="C40" s="112" t="str">
        <f>CONCATENATE(Matrice!J46,Matrice!O46)</f>
        <v/>
      </c>
    </row>
    <row r="41" spans="2:3" x14ac:dyDescent="0.2">
      <c r="B41" s="109" t="str">
        <f>IF(Matrice!C47&lt;&gt;"",Matrice!C47,"")</f>
        <v/>
      </c>
      <c r="C41" s="112" t="str">
        <f>CONCATENATE(Matrice!J47,Matrice!O47)</f>
        <v/>
      </c>
    </row>
    <row r="42" spans="2:3" x14ac:dyDescent="0.2">
      <c r="B42" s="109" t="str">
        <f>IF(Matrice!C31&lt;&gt;"",Matrice!C31,"")</f>
        <v/>
      </c>
      <c r="C42" s="112" t="str">
        <f>CONCATENATE(Matrice!J31,Matrice!O31)</f>
        <v/>
      </c>
    </row>
    <row r="43" spans="2:3" x14ac:dyDescent="0.2">
      <c r="B43" s="109" t="str">
        <f>IF(Matrice!C32&lt;&gt;"",Matrice!C32,"")</f>
        <v/>
      </c>
      <c r="C43" s="112" t="str">
        <f>CONCATENATE(Matrice!J32,Matrice!O32)</f>
        <v/>
      </c>
    </row>
    <row r="44" spans="2:3" x14ac:dyDescent="0.2">
      <c r="B44" s="109" t="e">
        <f>IF(Matrice!#REF!&lt;&gt;"",Matrice!#REF!,"")</f>
        <v>#REF!</v>
      </c>
      <c r="C44" s="112" t="e">
        <f>CONCATENATE(Matrice!#REF!,Matrice!#REF!)</f>
        <v>#REF!</v>
      </c>
    </row>
    <row r="45" spans="2:3" x14ac:dyDescent="0.2">
      <c r="B45" s="109" t="str">
        <f>IF(Matrice!C33&lt;&gt;"",Matrice!C33,"")</f>
        <v/>
      </c>
      <c r="C45" s="112" t="str">
        <f>CONCATENATE(Matrice!J33,Matrice!O33)</f>
        <v/>
      </c>
    </row>
    <row r="46" spans="2:3" x14ac:dyDescent="0.2">
      <c r="B46" s="109" t="str">
        <f>IF(Matrice!C34&lt;&gt;"",Matrice!C34,"")</f>
        <v/>
      </c>
      <c r="C46" s="112" t="str">
        <f>CONCATENATE(Matrice!J34,Matrice!O34)</f>
        <v/>
      </c>
    </row>
    <row r="47" spans="2:3" x14ac:dyDescent="0.2">
      <c r="B47" s="109" t="str">
        <f>IF(Matrice!C35&lt;&gt;"",Matrice!C35,"")</f>
        <v/>
      </c>
      <c r="C47" s="112" t="str">
        <f>CONCATENATE(Matrice!J35,Matrice!O35)</f>
        <v/>
      </c>
    </row>
    <row r="48" spans="2:3" x14ac:dyDescent="0.2">
      <c r="B48" s="109" t="str">
        <f>IF(Matrice!C36&lt;&gt;"",Matrice!C36,"")</f>
        <v/>
      </c>
      <c r="C48" s="112" t="str">
        <f>CONCATENATE(Matrice!J36,Matrice!O36)</f>
        <v/>
      </c>
    </row>
    <row r="49" spans="2:3" x14ac:dyDescent="0.2">
      <c r="B49" s="109" t="str">
        <f>IF(Matrice!C37&lt;&gt;"",Matrice!C37,"")</f>
        <v/>
      </c>
      <c r="C49" s="112" t="str">
        <f>CONCATENATE(Matrice!J37,Matrice!O37)</f>
        <v/>
      </c>
    </row>
    <row r="50" spans="2:3" x14ac:dyDescent="0.2">
      <c r="B50" s="109" t="str">
        <f>IF(Matrice!C38&lt;&gt;"",Matrice!C38,"")</f>
        <v/>
      </c>
      <c r="C50" s="112" t="str">
        <f>CONCATENATE(Matrice!J38,Matrice!O38)</f>
        <v/>
      </c>
    </row>
    <row r="51" spans="2:3" x14ac:dyDescent="0.2">
      <c r="B51" s="109" t="str">
        <f>IF(Matrice!C39&lt;&gt;"",Matrice!C39,"")</f>
        <v/>
      </c>
      <c r="C51" s="112" t="str">
        <f>CONCATENATE(Matrice!J39,Matrice!O39)</f>
        <v/>
      </c>
    </row>
    <row r="52" spans="2:3" x14ac:dyDescent="0.2">
      <c r="B52" s="109" t="str">
        <f>IF(Matrice!C40&lt;&gt;"",Matrice!C40,"")</f>
        <v/>
      </c>
      <c r="C52" s="112" t="str">
        <f>CONCATENATE(Matrice!J40,Matrice!O40)</f>
        <v/>
      </c>
    </row>
    <row r="53" spans="2:3" x14ac:dyDescent="0.2">
      <c r="B53" s="109" t="str">
        <f>IF(Matrice!C41&lt;&gt;"",Matrice!C41,"")</f>
        <v/>
      </c>
      <c r="C53" s="112" t="str">
        <f>CONCATENATE(Matrice!J41,Matrice!O41)</f>
        <v/>
      </c>
    </row>
    <row r="54" spans="2:3" x14ac:dyDescent="0.2">
      <c r="B54" s="109" t="str">
        <f>IF(Matrice!C42&lt;&gt;"",Matrice!C42,"")</f>
        <v/>
      </c>
      <c r="C54" s="112" t="str">
        <f>CONCATENATE(Matrice!J42,Matrice!O42)</f>
        <v/>
      </c>
    </row>
    <row r="55" spans="2:3" x14ac:dyDescent="0.2">
      <c r="B55" s="109" t="str">
        <f>IF(Matrice!C43&lt;&gt;"",Matrice!C43,"")</f>
        <v/>
      </c>
      <c r="C55" s="112" t="str">
        <f>CONCATENATE(Matrice!J43,Matrice!O43)</f>
        <v/>
      </c>
    </row>
    <row r="56" spans="2:3" x14ac:dyDescent="0.2">
      <c r="B56" s="109" t="str">
        <f>IF(Matrice!C44&lt;&gt;"",Matrice!C44,"")</f>
        <v/>
      </c>
      <c r="C56" s="112" t="str">
        <f>CONCATENATE(Matrice!J44,Matrice!O44)</f>
        <v/>
      </c>
    </row>
    <row r="57" spans="2:3" x14ac:dyDescent="0.2">
      <c r="B57" s="109" t="str">
        <f>IF(Matrice!C45&lt;&gt;"",Matrice!C45,"")</f>
        <v/>
      </c>
      <c r="C57" s="112" t="str">
        <f>CONCATENATE(Matrice!J45,Matrice!O45)</f>
        <v/>
      </c>
    </row>
    <row r="58" spans="2:3" x14ac:dyDescent="0.2">
      <c r="B58" s="109" t="str">
        <f>IF(Matrice!C46&lt;&gt;"",Matrice!C46,"")</f>
        <v/>
      </c>
      <c r="C58" s="112" t="str">
        <f>CONCATENATE(Matrice!J46,Matrice!O46)</f>
        <v/>
      </c>
    </row>
    <row r="59" spans="2:3" x14ac:dyDescent="0.2">
      <c r="B59" s="109" t="str">
        <f>IF(Matrice!C47&lt;&gt;"",Matrice!C47,"")</f>
        <v/>
      </c>
      <c r="C59" s="112" t="str">
        <f>CONCATENATE(Matrice!J47,Matrice!O47)</f>
        <v/>
      </c>
    </row>
    <row r="60" spans="2:3" x14ac:dyDescent="0.2">
      <c r="B60" s="109" t="str">
        <f>IF(Matrice!C48&lt;&gt;"",Matrice!C48,"")</f>
        <v/>
      </c>
      <c r="C60" s="112" t="str">
        <f>CONCATENATE(Matrice!J48,Matrice!O48)</f>
        <v/>
      </c>
    </row>
    <row r="61" spans="2:3" x14ac:dyDescent="0.2">
      <c r="B61" s="109" t="str">
        <f>IF(Matrice!C49&lt;&gt;"",Matrice!C49,"")</f>
        <v/>
      </c>
      <c r="C61" s="112" t="str">
        <f>CONCATENATE(Matrice!J49,Matrice!O49)</f>
        <v/>
      </c>
    </row>
    <row r="62" spans="2:3" x14ac:dyDescent="0.2">
      <c r="B62" s="109" t="str">
        <f>IF(Matrice!C50&lt;&gt;"",Matrice!C50,"")</f>
        <v/>
      </c>
      <c r="C62" s="112" t="str">
        <f>CONCATENATE(Matrice!J50,Matrice!O50)</f>
        <v/>
      </c>
    </row>
    <row r="63" spans="2:3" x14ac:dyDescent="0.2">
      <c r="B63" s="109" t="str">
        <f>IF(Matrice!C51&lt;&gt;"",Matrice!C51,"")</f>
        <v/>
      </c>
      <c r="C63" s="112" t="str">
        <f>CONCATENATE(Matrice!J51,Matrice!O51)</f>
        <v/>
      </c>
    </row>
    <row r="64" spans="2:3" x14ac:dyDescent="0.2">
      <c r="B64" s="109" t="str">
        <f>IF(Matrice!C52&lt;&gt;"",Matrice!C52,"")</f>
        <v/>
      </c>
      <c r="C64" s="112" t="str">
        <f>CONCATENATE(Matrice!J52,Matrice!O52)</f>
        <v/>
      </c>
    </row>
    <row r="65" spans="2:3" x14ac:dyDescent="0.2">
      <c r="B65" s="109" t="str">
        <f>IF(Matrice!C53&lt;&gt;"",Matrice!C53,"")</f>
        <v/>
      </c>
      <c r="C65" s="112" t="str">
        <f>CONCATENATE(Matrice!J53,Matrice!O53)</f>
        <v/>
      </c>
    </row>
    <row r="66" spans="2:3" x14ac:dyDescent="0.2">
      <c r="B66" s="109" t="str">
        <f>IF(Matrice!C54&lt;&gt;"",Matrice!C54,"")</f>
        <v/>
      </c>
      <c r="C66" s="112" t="str">
        <f>CONCATENATE(Matrice!J54,Matrice!O54)</f>
        <v/>
      </c>
    </row>
    <row r="67" spans="2:3" x14ac:dyDescent="0.2">
      <c r="B67" s="109" t="str">
        <f>IF(Matrice!C55&lt;&gt;"",Matrice!C55,"")</f>
        <v/>
      </c>
      <c r="C67" s="112" t="str">
        <f>CONCATENATE(Matrice!J55,Matrice!O55)</f>
        <v/>
      </c>
    </row>
    <row r="68" spans="2:3" x14ac:dyDescent="0.2">
      <c r="B68" s="109" t="str">
        <f>IF(Matrice!C56&lt;&gt;"",Matrice!C56,"")</f>
        <v/>
      </c>
      <c r="C68" s="112" t="str">
        <f>CONCATENATE(Matrice!J56,Matrice!O56)</f>
        <v/>
      </c>
    </row>
    <row r="69" spans="2:3" x14ac:dyDescent="0.2">
      <c r="B69" s="109" t="str">
        <f>IF(Matrice!C57&lt;&gt;"",Matrice!C57,"")</f>
        <v/>
      </c>
      <c r="C69" s="112" t="str">
        <f>CONCATENATE(Matrice!J57,Matrice!O57)</f>
        <v/>
      </c>
    </row>
    <row r="70" spans="2:3" x14ac:dyDescent="0.2">
      <c r="B70" s="109" t="str">
        <f>IF(Matrice!C58&lt;&gt;"",Matrice!C58,"")</f>
        <v/>
      </c>
      <c r="C70" s="112" t="str">
        <f>CONCATENATE(Matrice!J58,Matrice!O58)</f>
        <v/>
      </c>
    </row>
    <row r="71" spans="2:3" x14ac:dyDescent="0.2">
      <c r="B71" s="109" t="str">
        <f>IF(Matrice!C59&lt;&gt;"",Matrice!C59,"")</f>
        <v/>
      </c>
      <c r="C71" s="112" t="str">
        <f>CONCATENATE(Matrice!J59,Matrice!O59)</f>
        <v/>
      </c>
    </row>
    <row r="72" spans="2:3" x14ac:dyDescent="0.2">
      <c r="B72" s="109"/>
    </row>
  </sheetData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G72"/>
  <sheetViews>
    <sheetView workbookViewId="0">
      <pane ySplit="2" topLeftCell="A3" activePane="bottomLeft" state="frozen"/>
      <selection activeCell="I10" sqref="I10"/>
      <selection pane="bottomLeft" activeCell="C3" sqref="C3:C51"/>
    </sheetView>
  </sheetViews>
  <sheetFormatPr baseColWidth="10" defaultRowHeight="12.75" x14ac:dyDescent="0.2"/>
  <cols>
    <col min="1" max="1" width="2" style="104" customWidth="1"/>
    <col min="2" max="2" width="10.1640625" style="104" customWidth="1"/>
    <col min="3" max="3" width="7.6640625" style="104" customWidth="1"/>
    <col min="4" max="4" width="2" style="104" customWidth="1"/>
    <col min="5" max="5" width="10.6640625" style="104" customWidth="1"/>
    <col min="6" max="6" width="35.5" style="104" customWidth="1"/>
    <col min="7" max="7" width="2" style="104" customWidth="1"/>
    <col min="8" max="239" width="12" style="104"/>
    <col min="240" max="240" width="2" style="104" customWidth="1"/>
    <col min="241" max="241" width="10.1640625" style="104" customWidth="1"/>
    <col min="242" max="242" width="12" style="104"/>
    <col min="243" max="243" width="2" style="104" customWidth="1"/>
    <col min="244" max="244" width="10.6640625" style="104" customWidth="1"/>
    <col min="245" max="245" width="12" style="104"/>
    <col min="246" max="246" width="2" style="104" customWidth="1"/>
    <col min="247" max="247" width="6" style="104" customWidth="1"/>
    <col min="248" max="250" width="8.5" style="104" customWidth="1"/>
    <col min="251" max="251" width="2" style="104" customWidth="1"/>
    <col min="252" max="252" width="24" style="104" customWidth="1"/>
    <col min="253" max="253" width="2.5" style="104" customWidth="1"/>
    <col min="254" max="254" width="21.1640625" style="104" customWidth="1"/>
    <col min="255" max="495" width="12" style="104"/>
    <col min="496" max="496" width="2" style="104" customWidth="1"/>
    <col min="497" max="497" width="10.1640625" style="104" customWidth="1"/>
    <col min="498" max="498" width="12" style="104"/>
    <col min="499" max="499" width="2" style="104" customWidth="1"/>
    <col min="500" max="500" width="10.6640625" style="104" customWidth="1"/>
    <col min="501" max="501" width="12" style="104"/>
    <col min="502" max="502" width="2" style="104" customWidth="1"/>
    <col min="503" max="503" width="6" style="104" customWidth="1"/>
    <col min="504" max="506" width="8.5" style="104" customWidth="1"/>
    <col min="507" max="507" width="2" style="104" customWidth="1"/>
    <col min="508" max="508" width="24" style="104" customWidth="1"/>
    <col min="509" max="509" width="2.5" style="104" customWidth="1"/>
    <col min="510" max="510" width="21.1640625" style="104" customWidth="1"/>
    <col min="511" max="751" width="12" style="104"/>
    <col min="752" max="752" width="2" style="104" customWidth="1"/>
    <col min="753" max="753" width="10.1640625" style="104" customWidth="1"/>
    <col min="754" max="754" width="12" style="104"/>
    <col min="755" max="755" width="2" style="104" customWidth="1"/>
    <col min="756" max="756" width="10.6640625" style="104" customWidth="1"/>
    <col min="757" max="757" width="12" style="104"/>
    <col min="758" max="758" width="2" style="104" customWidth="1"/>
    <col min="759" max="759" width="6" style="104" customWidth="1"/>
    <col min="760" max="762" width="8.5" style="104" customWidth="1"/>
    <col min="763" max="763" width="2" style="104" customWidth="1"/>
    <col min="764" max="764" width="24" style="104" customWidth="1"/>
    <col min="765" max="765" width="2.5" style="104" customWidth="1"/>
    <col min="766" max="766" width="21.1640625" style="104" customWidth="1"/>
    <col min="767" max="1007" width="12" style="104"/>
    <col min="1008" max="1008" width="2" style="104" customWidth="1"/>
    <col min="1009" max="1009" width="10.1640625" style="104" customWidth="1"/>
    <col min="1010" max="1010" width="12" style="104"/>
    <col min="1011" max="1011" width="2" style="104" customWidth="1"/>
    <col min="1012" max="1012" width="10.6640625" style="104" customWidth="1"/>
    <col min="1013" max="1013" width="12" style="104"/>
    <col min="1014" max="1014" width="2" style="104" customWidth="1"/>
    <col min="1015" max="1015" width="6" style="104" customWidth="1"/>
    <col min="1016" max="1018" width="8.5" style="104" customWidth="1"/>
    <col min="1019" max="1019" width="2" style="104" customWidth="1"/>
    <col min="1020" max="1020" width="24" style="104" customWidth="1"/>
    <col min="1021" max="1021" width="2.5" style="104" customWidth="1"/>
    <col min="1022" max="1022" width="21.1640625" style="104" customWidth="1"/>
    <col min="1023" max="1263" width="12" style="104"/>
    <col min="1264" max="1264" width="2" style="104" customWidth="1"/>
    <col min="1265" max="1265" width="10.1640625" style="104" customWidth="1"/>
    <col min="1266" max="1266" width="12" style="104"/>
    <col min="1267" max="1267" width="2" style="104" customWidth="1"/>
    <col min="1268" max="1268" width="10.6640625" style="104" customWidth="1"/>
    <col min="1269" max="1269" width="12" style="104"/>
    <col min="1270" max="1270" width="2" style="104" customWidth="1"/>
    <col min="1271" max="1271" width="6" style="104" customWidth="1"/>
    <col min="1272" max="1274" width="8.5" style="104" customWidth="1"/>
    <col min="1275" max="1275" width="2" style="104" customWidth="1"/>
    <col min="1276" max="1276" width="24" style="104" customWidth="1"/>
    <col min="1277" max="1277" width="2.5" style="104" customWidth="1"/>
    <col min="1278" max="1278" width="21.1640625" style="104" customWidth="1"/>
    <col min="1279" max="1519" width="12" style="104"/>
    <col min="1520" max="1520" width="2" style="104" customWidth="1"/>
    <col min="1521" max="1521" width="10.1640625" style="104" customWidth="1"/>
    <col min="1522" max="1522" width="12" style="104"/>
    <col min="1523" max="1523" width="2" style="104" customWidth="1"/>
    <col min="1524" max="1524" width="10.6640625" style="104" customWidth="1"/>
    <col min="1525" max="1525" width="12" style="104"/>
    <col min="1526" max="1526" width="2" style="104" customWidth="1"/>
    <col min="1527" max="1527" width="6" style="104" customWidth="1"/>
    <col min="1528" max="1530" width="8.5" style="104" customWidth="1"/>
    <col min="1531" max="1531" width="2" style="104" customWidth="1"/>
    <col min="1532" max="1532" width="24" style="104" customWidth="1"/>
    <col min="1533" max="1533" width="2.5" style="104" customWidth="1"/>
    <col min="1534" max="1534" width="21.1640625" style="104" customWidth="1"/>
    <col min="1535" max="1775" width="12" style="104"/>
    <col min="1776" max="1776" width="2" style="104" customWidth="1"/>
    <col min="1777" max="1777" width="10.1640625" style="104" customWidth="1"/>
    <col min="1778" max="1778" width="12" style="104"/>
    <col min="1779" max="1779" width="2" style="104" customWidth="1"/>
    <col min="1780" max="1780" width="10.6640625" style="104" customWidth="1"/>
    <col min="1781" max="1781" width="12" style="104"/>
    <col min="1782" max="1782" width="2" style="104" customWidth="1"/>
    <col min="1783" max="1783" width="6" style="104" customWidth="1"/>
    <col min="1784" max="1786" width="8.5" style="104" customWidth="1"/>
    <col min="1787" max="1787" width="2" style="104" customWidth="1"/>
    <col min="1788" max="1788" width="24" style="104" customWidth="1"/>
    <col min="1789" max="1789" width="2.5" style="104" customWidth="1"/>
    <col min="1790" max="1790" width="21.1640625" style="104" customWidth="1"/>
    <col min="1791" max="2031" width="12" style="104"/>
    <col min="2032" max="2032" width="2" style="104" customWidth="1"/>
    <col min="2033" max="2033" width="10.1640625" style="104" customWidth="1"/>
    <col min="2034" max="2034" width="12" style="104"/>
    <col min="2035" max="2035" width="2" style="104" customWidth="1"/>
    <col min="2036" max="2036" width="10.6640625" style="104" customWidth="1"/>
    <col min="2037" max="2037" width="12" style="104"/>
    <col min="2038" max="2038" width="2" style="104" customWidth="1"/>
    <col min="2039" max="2039" width="6" style="104" customWidth="1"/>
    <col min="2040" max="2042" width="8.5" style="104" customWidth="1"/>
    <col min="2043" max="2043" width="2" style="104" customWidth="1"/>
    <col min="2044" max="2044" width="24" style="104" customWidth="1"/>
    <col min="2045" max="2045" width="2.5" style="104" customWidth="1"/>
    <col min="2046" max="2046" width="21.1640625" style="104" customWidth="1"/>
    <col min="2047" max="2287" width="12" style="104"/>
    <col min="2288" max="2288" width="2" style="104" customWidth="1"/>
    <col min="2289" max="2289" width="10.1640625" style="104" customWidth="1"/>
    <col min="2290" max="2290" width="12" style="104"/>
    <col min="2291" max="2291" width="2" style="104" customWidth="1"/>
    <col min="2292" max="2292" width="10.6640625" style="104" customWidth="1"/>
    <col min="2293" max="2293" width="12" style="104"/>
    <col min="2294" max="2294" width="2" style="104" customWidth="1"/>
    <col min="2295" max="2295" width="6" style="104" customWidth="1"/>
    <col min="2296" max="2298" width="8.5" style="104" customWidth="1"/>
    <col min="2299" max="2299" width="2" style="104" customWidth="1"/>
    <col min="2300" max="2300" width="24" style="104" customWidth="1"/>
    <col min="2301" max="2301" width="2.5" style="104" customWidth="1"/>
    <col min="2302" max="2302" width="21.1640625" style="104" customWidth="1"/>
    <col min="2303" max="2543" width="12" style="104"/>
    <col min="2544" max="2544" width="2" style="104" customWidth="1"/>
    <col min="2545" max="2545" width="10.1640625" style="104" customWidth="1"/>
    <col min="2546" max="2546" width="12" style="104"/>
    <col min="2547" max="2547" width="2" style="104" customWidth="1"/>
    <col min="2548" max="2548" width="10.6640625" style="104" customWidth="1"/>
    <col min="2549" max="2549" width="12" style="104"/>
    <col min="2550" max="2550" width="2" style="104" customWidth="1"/>
    <col min="2551" max="2551" width="6" style="104" customWidth="1"/>
    <col min="2552" max="2554" width="8.5" style="104" customWidth="1"/>
    <col min="2555" max="2555" width="2" style="104" customWidth="1"/>
    <col min="2556" max="2556" width="24" style="104" customWidth="1"/>
    <col min="2557" max="2557" width="2.5" style="104" customWidth="1"/>
    <col min="2558" max="2558" width="21.1640625" style="104" customWidth="1"/>
    <col min="2559" max="2799" width="12" style="104"/>
    <col min="2800" max="2800" width="2" style="104" customWidth="1"/>
    <col min="2801" max="2801" width="10.1640625" style="104" customWidth="1"/>
    <col min="2802" max="2802" width="12" style="104"/>
    <col min="2803" max="2803" width="2" style="104" customWidth="1"/>
    <col min="2804" max="2804" width="10.6640625" style="104" customWidth="1"/>
    <col min="2805" max="2805" width="12" style="104"/>
    <col min="2806" max="2806" width="2" style="104" customWidth="1"/>
    <col min="2807" max="2807" width="6" style="104" customWidth="1"/>
    <col min="2808" max="2810" width="8.5" style="104" customWidth="1"/>
    <col min="2811" max="2811" width="2" style="104" customWidth="1"/>
    <col min="2812" max="2812" width="24" style="104" customWidth="1"/>
    <col min="2813" max="2813" width="2.5" style="104" customWidth="1"/>
    <col min="2814" max="2814" width="21.1640625" style="104" customWidth="1"/>
    <col min="2815" max="3055" width="12" style="104"/>
    <col min="3056" max="3056" width="2" style="104" customWidth="1"/>
    <col min="3057" max="3057" width="10.1640625" style="104" customWidth="1"/>
    <col min="3058" max="3058" width="12" style="104"/>
    <col min="3059" max="3059" width="2" style="104" customWidth="1"/>
    <col min="3060" max="3060" width="10.6640625" style="104" customWidth="1"/>
    <col min="3061" max="3061" width="12" style="104"/>
    <col min="3062" max="3062" width="2" style="104" customWidth="1"/>
    <col min="3063" max="3063" width="6" style="104" customWidth="1"/>
    <col min="3064" max="3066" width="8.5" style="104" customWidth="1"/>
    <col min="3067" max="3067" width="2" style="104" customWidth="1"/>
    <col min="3068" max="3068" width="24" style="104" customWidth="1"/>
    <col min="3069" max="3069" width="2.5" style="104" customWidth="1"/>
    <col min="3070" max="3070" width="21.1640625" style="104" customWidth="1"/>
    <col min="3071" max="3311" width="12" style="104"/>
    <col min="3312" max="3312" width="2" style="104" customWidth="1"/>
    <col min="3313" max="3313" width="10.1640625" style="104" customWidth="1"/>
    <col min="3314" max="3314" width="12" style="104"/>
    <col min="3315" max="3315" width="2" style="104" customWidth="1"/>
    <col min="3316" max="3316" width="10.6640625" style="104" customWidth="1"/>
    <col min="3317" max="3317" width="12" style="104"/>
    <col min="3318" max="3318" width="2" style="104" customWidth="1"/>
    <col min="3319" max="3319" width="6" style="104" customWidth="1"/>
    <col min="3320" max="3322" width="8.5" style="104" customWidth="1"/>
    <col min="3323" max="3323" width="2" style="104" customWidth="1"/>
    <col min="3324" max="3324" width="24" style="104" customWidth="1"/>
    <col min="3325" max="3325" width="2.5" style="104" customWidth="1"/>
    <col min="3326" max="3326" width="21.1640625" style="104" customWidth="1"/>
    <col min="3327" max="3567" width="12" style="104"/>
    <col min="3568" max="3568" width="2" style="104" customWidth="1"/>
    <col min="3569" max="3569" width="10.1640625" style="104" customWidth="1"/>
    <col min="3570" max="3570" width="12" style="104"/>
    <col min="3571" max="3571" width="2" style="104" customWidth="1"/>
    <col min="3572" max="3572" width="10.6640625" style="104" customWidth="1"/>
    <col min="3573" max="3573" width="12" style="104"/>
    <col min="3574" max="3574" width="2" style="104" customWidth="1"/>
    <col min="3575" max="3575" width="6" style="104" customWidth="1"/>
    <col min="3576" max="3578" width="8.5" style="104" customWidth="1"/>
    <col min="3579" max="3579" width="2" style="104" customWidth="1"/>
    <col min="3580" max="3580" width="24" style="104" customWidth="1"/>
    <col min="3581" max="3581" width="2.5" style="104" customWidth="1"/>
    <col min="3582" max="3582" width="21.1640625" style="104" customWidth="1"/>
    <col min="3583" max="3823" width="12" style="104"/>
    <col min="3824" max="3824" width="2" style="104" customWidth="1"/>
    <col min="3825" max="3825" width="10.1640625" style="104" customWidth="1"/>
    <col min="3826" max="3826" width="12" style="104"/>
    <col min="3827" max="3827" width="2" style="104" customWidth="1"/>
    <col min="3828" max="3828" width="10.6640625" style="104" customWidth="1"/>
    <col min="3829" max="3829" width="12" style="104"/>
    <col min="3830" max="3830" width="2" style="104" customWidth="1"/>
    <col min="3831" max="3831" width="6" style="104" customWidth="1"/>
    <col min="3832" max="3834" width="8.5" style="104" customWidth="1"/>
    <col min="3835" max="3835" width="2" style="104" customWidth="1"/>
    <col min="3836" max="3836" width="24" style="104" customWidth="1"/>
    <col min="3837" max="3837" width="2.5" style="104" customWidth="1"/>
    <col min="3838" max="3838" width="21.1640625" style="104" customWidth="1"/>
    <col min="3839" max="4079" width="12" style="104"/>
    <col min="4080" max="4080" width="2" style="104" customWidth="1"/>
    <col min="4081" max="4081" width="10.1640625" style="104" customWidth="1"/>
    <col min="4082" max="4082" width="12" style="104"/>
    <col min="4083" max="4083" width="2" style="104" customWidth="1"/>
    <col min="4084" max="4084" width="10.6640625" style="104" customWidth="1"/>
    <col min="4085" max="4085" width="12" style="104"/>
    <col min="4086" max="4086" width="2" style="104" customWidth="1"/>
    <col min="4087" max="4087" width="6" style="104" customWidth="1"/>
    <col min="4088" max="4090" width="8.5" style="104" customWidth="1"/>
    <col min="4091" max="4091" width="2" style="104" customWidth="1"/>
    <col min="4092" max="4092" width="24" style="104" customWidth="1"/>
    <col min="4093" max="4093" width="2.5" style="104" customWidth="1"/>
    <col min="4094" max="4094" width="21.1640625" style="104" customWidth="1"/>
    <col min="4095" max="4335" width="12" style="104"/>
    <col min="4336" max="4336" width="2" style="104" customWidth="1"/>
    <col min="4337" max="4337" width="10.1640625" style="104" customWidth="1"/>
    <col min="4338" max="4338" width="12" style="104"/>
    <col min="4339" max="4339" width="2" style="104" customWidth="1"/>
    <col min="4340" max="4340" width="10.6640625" style="104" customWidth="1"/>
    <col min="4341" max="4341" width="12" style="104"/>
    <col min="4342" max="4342" width="2" style="104" customWidth="1"/>
    <col min="4343" max="4343" width="6" style="104" customWidth="1"/>
    <col min="4344" max="4346" width="8.5" style="104" customWidth="1"/>
    <col min="4347" max="4347" width="2" style="104" customWidth="1"/>
    <col min="4348" max="4348" width="24" style="104" customWidth="1"/>
    <col min="4349" max="4349" width="2.5" style="104" customWidth="1"/>
    <col min="4350" max="4350" width="21.1640625" style="104" customWidth="1"/>
    <col min="4351" max="4591" width="12" style="104"/>
    <col min="4592" max="4592" width="2" style="104" customWidth="1"/>
    <col min="4593" max="4593" width="10.1640625" style="104" customWidth="1"/>
    <col min="4594" max="4594" width="12" style="104"/>
    <col min="4595" max="4595" width="2" style="104" customWidth="1"/>
    <col min="4596" max="4596" width="10.6640625" style="104" customWidth="1"/>
    <col min="4597" max="4597" width="12" style="104"/>
    <col min="4598" max="4598" width="2" style="104" customWidth="1"/>
    <col min="4599" max="4599" width="6" style="104" customWidth="1"/>
    <col min="4600" max="4602" width="8.5" style="104" customWidth="1"/>
    <col min="4603" max="4603" width="2" style="104" customWidth="1"/>
    <col min="4604" max="4604" width="24" style="104" customWidth="1"/>
    <col min="4605" max="4605" width="2.5" style="104" customWidth="1"/>
    <col min="4606" max="4606" width="21.1640625" style="104" customWidth="1"/>
    <col min="4607" max="4847" width="12" style="104"/>
    <col min="4848" max="4848" width="2" style="104" customWidth="1"/>
    <col min="4849" max="4849" width="10.1640625" style="104" customWidth="1"/>
    <col min="4850" max="4850" width="12" style="104"/>
    <col min="4851" max="4851" width="2" style="104" customWidth="1"/>
    <col min="4852" max="4852" width="10.6640625" style="104" customWidth="1"/>
    <col min="4853" max="4853" width="12" style="104"/>
    <col min="4854" max="4854" width="2" style="104" customWidth="1"/>
    <col min="4855" max="4855" width="6" style="104" customWidth="1"/>
    <col min="4856" max="4858" width="8.5" style="104" customWidth="1"/>
    <col min="4859" max="4859" width="2" style="104" customWidth="1"/>
    <col min="4860" max="4860" width="24" style="104" customWidth="1"/>
    <col min="4861" max="4861" width="2.5" style="104" customWidth="1"/>
    <col min="4862" max="4862" width="21.1640625" style="104" customWidth="1"/>
    <col min="4863" max="5103" width="12" style="104"/>
    <col min="5104" max="5104" width="2" style="104" customWidth="1"/>
    <col min="5105" max="5105" width="10.1640625" style="104" customWidth="1"/>
    <col min="5106" max="5106" width="12" style="104"/>
    <col min="5107" max="5107" width="2" style="104" customWidth="1"/>
    <col min="5108" max="5108" width="10.6640625" style="104" customWidth="1"/>
    <col min="5109" max="5109" width="12" style="104"/>
    <col min="5110" max="5110" width="2" style="104" customWidth="1"/>
    <col min="5111" max="5111" width="6" style="104" customWidth="1"/>
    <col min="5112" max="5114" width="8.5" style="104" customWidth="1"/>
    <col min="5115" max="5115" width="2" style="104" customWidth="1"/>
    <col min="5116" max="5116" width="24" style="104" customWidth="1"/>
    <col min="5117" max="5117" width="2.5" style="104" customWidth="1"/>
    <col min="5118" max="5118" width="21.1640625" style="104" customWidth="1"/>
    <col min="5119" max="5359" width="12" style="104"/>
    <col min="5360" max="5360" width="2" style="104" customWidth="1"/>
    <col min="5361" max="5361" width="10.1640625" style="104" customWidth="1"/>
    <col min="5362" max="5362" width="12" style="104"/>
    <col min="5363" max="5363" width="2" style="104" customWidth="1"/>
    <col min="5364" max="5364" width="10.6640625" style="104" customWidth="1"/>
    <col min="5365" max="5365" width="12" style="104"/>
    <col min="5366" max="5366" width="2" style="104" customWidth="1"/>
    <col min="5367" max="5367" width="6" style="104" customWidth="1"/>
    <col min="5368" max="5370" width="8.5" style="104" customWidth="1"/>
    <col min="5371" max="5371" width="2" style="104" customWidth="1"/>
    <col min="5372" max="5372" width="24" style="104" customWidth="1"/>
    <col min="5373" max="5373" width="2.5" style="104" customWidth="1"/>
    <col min="5374" max="5374" width="21.1640625" style="104" customWidth="1"/>
    <col min="5375" max="5615" width="12" style="104"/>
    <col min="5616" max="5616" width="2" style="104" customWidth="1"/>
    <col min="5617" max="5617" width="10.1640625" style="104" customWidth="1"/>
    <col min="5618" max="5618" width="12" style="104"/>
    <col min="5619" max="5619" width="2" style="104" customWidth="1"/>
    <col min="5620" max="5620" width="10.6640625" style="104" customWidth="1"/>
    <col min="5621" max="5621" width="12" style="104"/>
    <col min="5622" max="5622" width="2" style="104" customWidth="1"/>
    <col min="5623" max="5623" width="6" style="104" customWidth="1"/>
    <col min="5624" max="5626" width="8.5" style="104" customWidth="1"/>
    <col min="5627" max="5627" width="2" style="104" customWidth="1"/>
    <col min="5628" max="5628" width="24" style="104" customWidth="1"/>
    <col min="5629" max="5629" width="2.5" style="104" customWidth="1"/>
    <col min="5630" max="5630" width="21.1640625" style="104" customWidth="1"/>
    <col min="5631" max="5871" width="12" style="104"/>
    <col min="5872" max="5872" width="2" style="104" customWidth="1"/>
    <col min="5873" max="5873" width="10.1640625" style="104" customWidth="1"/>
    <col min="5874" max="5874" width="12" style="104"/>
    <col min="5875" max="5875" width="2" style="104" customWidth="1"/>
    <col min="5876" max="5876" width="10.6640625" style="104" customWidth="1"/>
    <col min="5877" max="5877" width="12" style="104"/>
    <col min="5878" max="5878" width="2" style="104" customWidth="1"/>
    <col min="5879" max="5879" width="6" style="104" customWidth="1"/>
    <col min="5880" max="5882" width="8.5" style="104" customWidth="1"/>
    <col min="5883" max="5883" width="2" style="104" customWidth="1"/>
    <col min="5884" max="5884" width="24" style="104" customWidth="1"/>
    <col min="5885" max="5885" width="2.5" style="104" customWidth="1"/>
    <col min="5886" max="5886" width="21.1640625" style="104" customWidth="1"/>
    <col min="5887" max="6127" width="12" style="104"/>
    <col min="6128" max="6128" width="2" style="104" customWidth="1"/>
    <col min="6129" max="6129" width="10.1640625" style="104" customWidth="1"/>
    <col min="6130" max="6130" width="12" style="104"/>
    <col min="6131" max="6131" width="2" style="104" customWidth="1"/>
    <col min="6132" max="6132" width="10.6640625" style="104" customWidth="1"/>
    <col min="6133" max="6133" width="12" style="104"/>
    <col min="6134" max="6134" width="2" style="104" customWidth="1"/>
    <col min="6135" max="6135" width="6" style="104" customWidth="1"/>
    <col min="6136" max="6138" width="8.5" style="104" customWidth="1"/>
    <col min="6139" max="6139" width="2" style="104" customWidth="1"/>
    <col min="6140" max="6140" width="24" style="104" customWidth="1"/>
    <col min="6141" max="6141" width="2.5" style="104" customWidth="1"/>
    <col min="6142" max="6142" width="21.1640625" style="104" customWidth="1"/>
    <col min="6143" max="6383" width="12" style="104"/>
    <col min="6384" max="6384" width="2" style="104" customWidth="1"/>
    <col min="6385" max="6385" width="10.1640625" style="104" customWidth="1"/>
    <col min="6386" max="6386" width="12" style="104"/>
    <col min="6387" max="6387" width="2" style="104" customWidth="1"/>
    <col min="6388" max="6388" width="10.6640625" style="104" customWidth="1"/>
    <col min="6389" max="6389" width="12" style="104"/>
    <col min="6390" max="6390" width="2" style="104" customWidth="1"/>
    <col min="6391" max="6391" width="6" style="104" customWidth="1"/>
    <col min="6392" max="6394" width="8.5" style="104" customWidth="1"/>
    <col min="6395" max="6395" width="2" style="104" customWidth="1"/>
    <col min="6396" max="6396" width="24" style="104" customWidth="1"/>
    <col min="6397" max="6397" width="2.5" style="104" customWidth="1"/>
    <col min="6398" max="6398" width="21.1640625" style="104" customWidth="1"/>
    <col min="6399" max="6639" width="12" style="104"/>
    <col min="6640" max="6640" width="2" style="104" customWidth="1"/>
    <col min="6641" max="6641" width="10.1640625" style="104" customWidth="1"/>
    <col min="6642" max="6642" width="12" style="104"/>
    <col min="6643" max="6643" width="2" style="104" customWidth="1"/>
    <col min="6644" max="6644" width="10.6640625" style="104" customWidth="1"/>
    <col min="6645" max="6645" width="12" style="104"/>
    <col min="6646" max="6646" width="2" style="104" customWidth="1"/>
    <col min="6647" max="6647" width="6" style="104" customWidth="1"/>
    <col min="6648" max="6650" width="8.5" style="104" customWidth="1"/>
    <col min="6651" max="6651" width="2" style="104" customWidth="1"/>
    <col min="6652" max="6652" width="24" style="104" customWidth="1"/>
    <col min="6653" max="6653" width="2.5" style="104" customWidth="1"/>
    <col min="6654" max="6654" width="21.1640625" style="104" customWidth="1"/>
    <col min="6655" max="6895" width="12" style="104"/>
    <col min="6896" max="6896" width="2" style="104" customWidth="1"/>
    <col min="6897" max="6897" width="10.1640625" style="104" customWidth="1"/>
    <col min="6898" max="6898" width="12" style="104"/>
    <col min="6899" max="6899" width="2" style="104" customWidth="1"/>
    <col min="6900" max="6900" width="10.6640625" style="104" customWidth="1"/>
    <col min="6901" max="6901" width="12" style="104"/>
    <col min="6902" max="6902" width="2" style="104" customWidth="1"/>
    <col min="6903" max="6903" width="6" style="104" customWidth="1"/>
    <col min="6904" max="6906" width="8.5" style="104" customWidth="1"/>
    <col min="6907" max="6907" width="2" style="104" customWidth="1"/>
    <col min="6908" max="6908" width="24" style="104" customWidth="1"/>
    <col min="6909" max="6909" width="2.5" style="104" customWidth="1"/>
    <col min="6910" max="6910" width="21.1640625" style="104" customWidth="1"/>
    <col min="6911" max="7151" width="12" style="104"/>
    <col min="7152" max="7152" width="2" style="104" customWidth="1"/>
    <col min="7153" max="7153" width="10.1640625" style="104" customWidth="1"/>
    <col min="7154" max="7154" width="12" style="104"/>
    <col min="7155" max="7155" width="2" style="104" customWidth="1"/>
    <col min="7156" max="7156" width="10.6640625" style="104" customWidth="1"/>
    <col min="7157" max="7157" width="12" style="104"/>
    <col min="7158" max="7158" width="2" style="104" customWidth="1"/>
    <col min="7159" max="7159" width="6" style="104" customWidth="1"/>
    <col min="7160" max="7162" width="8.5" style="104" customWidth="1"/>
    <col min="7163" max="7163" width="2" style="104" customWidth="1"/>
    <col min="7164" max="7164" width="24" style="104" customWidth="1"/>
    <col min="7165" max="7165" width="2.5" style="104" customWidth="1"/>
    <col min="7166" max="7166" width="21.1640625" style="104" customWidth="1"/>
    <col min="7167" max="7407" width="12" style="104"/>
    <col min="7408" max="7408" width="2" style="104" customWidth="1"/>
    <col min="7409" max="7409" width="10.1640625" style="104" customWidth="1"/>
    <col min="7410" max="7410" width="12" style="104"/>
    <col min="7411" max="7411" width="2" style="104" customWidth="1"/>
    <col min="7412" max="7412" width="10.6640625" style="104" customWidth="1"/>
    <col min="7413" max="7413" width="12" style="104"/>
    <col min="7414" max="7414" width="2" style="104" customWidth="1"/>
    <col min="7415" max="7415" width="6" style="104" customWidth="1"/>
    <col min="7416" max="7418" width="8.5" style="104" customWidth="1"/>
    <col min="7419" max="7419" width="2" style="104" customWidth="1"/>
    <col min="7420" max="7420" width="24" style="104" customWidth="1"/>
    <col min="7421" max="7421" width="2.5" style="104" customWidth="1"/>
    <col min="7422" max="7422" width="21.1640625" style="104" customWidth="1"/>
    <col min="7423" max="7663" width="12" style="104"/>
    <col min="7664" max="7664" width="2" style="104" customWidth="1"/>
    <col min="7665" max="7665" width="10.1640625" style="104" customWidth="1"/>
    <col min="7666" max="7666" width="12" style="104"/>
    <col min="7667" max="7667" width="2" style="104" customWidth="1"/>
    <col min="7668" max="7668" width="10.6640625" style="104" customWidth="1"/>
    <col min="7669" max="7669" width="12" style="104"/>
    <col min="7670" max="7670" width="2" style="104" customWidth="1"/>
    <col min="7671" max="7671" width="6" style="104" customWidth="1"/>
    <col min="7672" max="7674" width="8.5" style="104" customWidth="1"/>
    <col min="7675" max="7675" width="2" style="104" customWidth="1"/>
    <col min="7676" max="7676" width="24" style="104" customWidth="1"/>
    <col min="7677" max="7677" width="2.5" style="104" customWidth="1"/>
    <col min="7678" max="7678" width="21.1640625" style="104" customWidth="1"/>
    <col min="7679" max="7919" width="12" style="104"/>
    <col min="7920" max="7920" width="2" style="104" customWidth="1"/>
    <col min="7921" max="7921" width="10.1640625" style="104" customWidth="1"/>
    <col min="7922" max="7922" width="12" style="104"/>
    <col min="7923" max="7923" width="2" style="104" customWidth="1"/>
    <col min="7924" max="7924" width="10.6640625" style="104" customWidth="1"/>
    <col min="7925" max="7925" width="12" style="104"/>
    <col min="7926" max="7926" width="2" style="104" customWidth="1"/>
    <col min="7927" max="7927" width="6" style="104" customWidth="1"/>
    <col min="7928" max="7930" width="8.5" style="104" customWidth="1"/>
    <col min="7931" max="7931" width="2" style="104" customWidth="1"/>
    <col min="7932" max="7932" width="24" style="104" customWidth="1"/>
    <col min="7933" max="7933" width="2.5" style="104" customWidth="1"/>
    <col min="7934" max="7934" width="21.1640625" style="104" customWidth="1"/>
    <col min="7935" max="8175" width="12" style="104"/>
    <col min="8176" max="8176" width="2" style="104" customWidth="1"/>
    <col min="8177" max="8177" width="10.1640625" style="104" customWidth="1"/>
    <col min="8178" max="8178" width="12" style="104"/>
    <col min="8179" max="8179" width="2" style="104" customWidth="1"/>
    <col min="8180" max="8180" width="10.6640625" style="104" customWidth="1"/>
    <col min="8181" max="8181" width="12" style="104"/>
    <col min="8182" max="8182" width="2" style="104" customWidth="1"/>
    <col min="8183" max="8183" width="6" style="104" customWidth="1"/>
    <col min="8184" max="8186" width="8.5" style="104" customWidth="1"/>
    <col min="8187" max="8187" width="2" style="104" customWidth="1"/>
    <col min="8188" max="8188" width="24" style="104" customWidth="1"/>
    <col min="8189" max="8189" width="2.5" style="104" customWidth="1"/>
    <col min="8190" max="8190" width="21.1640625" style="104" customWidth="1"/>
    <col min="8191" max="8431" width="12" style="104"/>
    <col min="8432" max="8432" width="2" style="104" customWidth="1"/>
    <col min="8433" max="8433" width="10.1640625" style="104" customWidth="1"/>
    <col min="8434" max="8434" width="12" style="104"/>
    <col min="8435" max="8435" width="2" style="104" customWidth="1"/>
    <col min="8436" max="8436" width="10.6640625" style="104" customWidth="1"/>
    <col min="8437" max="8437" width="12" style="104"/>
    <col min="8438" max="8438" width="2" style="104" customWidth="1"/>
    <col min="8439" max="8439" width="6" style="104" customWidth="1"/>
    <col min="8440" max="8442" width="8.5" style="104" customWidth="1"/>
    <col min="8443" max="8443" width="2" style="104" customWidth="1"/>
    <col min="8444" max="8444" width="24" style="104" customWidth="1"/>
    <col min="8445" max="8445" width="2.5" style="104" customWidth="1"/>
    <col min="8446" max="8446" width="21.1640625" style="104" customWidth="1"/>
    <col min="8447" max="8687" width="12" style="104"/>
    <col min="8688" max="8688" width="2" style="104" customWidth="1"/>
    <col min="8689" max="8689" width="10.1640625" style="104" customWidth="1"/>
    <col min="8690" max="8690" width="12" style="104"/>
    <col min="8691" max="8691" width="2" style="104" customWidth="1"/>
    <col min="8692" max="8692" width="10.6640625" style="104" customWidth="1"/>
    <col min="8693" max="8693" width="12" style="104"/>
    <col min="8694" max="8694" width="2" style="104" customWidth="1"/>
    <col min="8695" max="8695" width="6" style="104" customWidth="1"/>
    <col min="8696" max="8698" width="8.5" style="104" customWidth="1"/>
    <col min="8699" max="8699" width="2" style="104" customWidth="1"/>
    <col min="8700" max="8700" width="24" style="104" customWidth="1"/>
    <col min="8701" max="8701" width="2.5" style="104" customWidth="1"/>
    <col min="8702" max="8702" width="21.1640625" style="104" customWidth="1"/>
    <col min="8703" max="8943" width="12" style="104"/>
    <col min="8944" max="8944" width="2" style="104" customWidth="1"/>
    <col min="8945" max="8945" width="10.1640625" style="104" customWidth="1"/>
    <col min="8946" max="8946" width="12" style="104"/>
    <col min="8947" max="8947" width="2" style="104" customWidth="1"/>
    <col min="8948" max="8948" width="10.6640625" style="104" customWidth="1"/>
    <col min="8949" max="8949" width="12" style="104"/>
    <col min="8950" max="8950" width="2" style="104" customWidth="1"/>
    <col min="8951" max="8951" width="6" style="104" customWidth="1"/>
    <col min="8952" max="8954" width="8.5" style="104" customWidth="1"/>
    <col min="8955" max="8955" width="2" style="104" customWidth="1"/>
    <col min="8956" max="8956" width="24" style="104" customWidth="1"/>
    <col min="8957" max="8957" width="2.5" style="104" customWidth="1"/>
    <col min="8958" max="8958" width="21.1640625" style="104" customWidth="1"/>
    <col min="8959" max="9199" width="12" style="104"/>
    <col min="9200" max="9200" width="2" style="104" customWidth="1"/>
    <col min="9201" max="9201" width="10.1640625" style="104" customWidth="1"/>
    <col min="9202" max="9202" width="12" style="104"/>
    <col min="9203" max="9203" width="2" style="104" customWidth="1"/>
    <col min="9204" max="9204" width="10.6640625" style="104" customWidth="1"/>
    <col min="9205" max="9205" width="12" style="104"/>
    <col min="9206" max="9206" width="2" style="104" customWidth="1"/>
    <col min="9207" max="9207" width="6" style="104" customWidth="1"/>
    <col min="9208" max="9210" width="8.5" style="104" customWidth="1"/>
    <col min="9211" max="9211" width="2" style="104" customWidth="1"/>
    <col min="9212" max="9212" width="24" style="104" customWidth="1"/>
    <col min="9213" max="9213" width="2.5" style="104" customWidth="1"/>
    <col min="9214" max="9214" width="21.1640625" style="104" customWidth="1"/>
    <col min="9215" max="9455" width="12" style="104"/>
    <col min="9456" max="9456" width="2" style="104" customWidth="1"/>
    <col min="9457" max="9457" width="10.1640625" style="104" customWidth="1"/>
    <col min="9458" max="9458" width="12" style="104"/>
    <col min="9459" max="9459" width="2" style="104" customWidth="1"/>
    <col min="9460" max="9460" width="10.6640625" style="104" customWidth="1"/>
    <col min="9461" max="9461" width="12" style="104"/>
    <col min="9462" max="9462" width="2" style="104" customWidth="1"/>
    <col min="9463" max="9463" width="6" style="104" customWidth="1"/>
    <col min="9464" max="9466" width="8.5" style="104" customWidth="1"/>
    <col min="9467" max="9467" width="2" style="104" customWidth="1"/>
    <col min="9468" max="9468" width="24" style="104" customWidth="1"/>
    <col min="9469" max="9469" width="2.5" style="104" customWidth="1"/>
    <col min="9470" max="9470" width="21.1640625" style="104" customWidth="1"/>
    <col min="9471" max="9711" width="12" style="104"/>
    <col min="9712" max="9712" width="2" style="104" customWidth="1"/>
    <col min="9713" max="9713" width="10.1640625" style="104" customWidth="1"/>
    <col min="9714" max="9714" width="12" style="104"/>
    <col min="9715" max="9715" width="2" style="104" customWidth="1"/>
    <col min="9716" max="9716" width="10.6640625" style="104" customWidth="1"/>
    <col min="9717" max="9717" width="12" style="104"/>
    <col min="9718" max="9718" width="2" style="104" customWidth="1"/>
    <col min="9719" max="9719" width="6" style="104" customWidth="1"/>
    <col min="9720" max="9722" width="8.5" style="104" customWidth="1"/>
    <col min="9723" max="9723" width="2" style="104" customWidth="1"/>
    <col min="9724" max="9724" width="24" style="104" customWidth="1"/>
    <col min="9725" max="9725" width="2.5" style="104" customWidth="1"/>
    <col min="9726" max="9726" width="21.1640625" style="104" customWidth="1"/>
    <col min="9727" max="9967" width="12" style="104"/>
    <col min="9968" max="9968" width="2" style="104" customWidth="1"/>
    <col min="9969" max="9969" width="10.1640625" style="104" customWidth="1"/>
    <col min="9970" max="9970" width="12" style="104"/>
    <col min="9971" max="9971" width="2" style="104" customWidth="1"/>
    <col min="9972" max="9972" width="10.6640625" style="104" customWidth="1"/>
    <col min="9973" max="9973" width="12" style="104"/>
    <col min="9974" max="9974" width="2" style="104" customWidth="1"/>
    <col min="9975" max="9975" width="6" style="104" customWidth="1"/>
    <col min="9976" max="9978" width="8.5" style="104" customWidth="1"/>
    <col min="9979" max="9979" width="2" style="104" customWidth="1"/>
    <col min="9980" max="9980" width="24" style="104" customWidth="1"/>
    <col min="9981" max="9981" width="2.5" style="104" customWidth="1"/>
    <col min="9982" max="9982" width="21.1640625" style="104" customWidth="1"/>
    <col min="9983" max="10223" width="12" style="104"/>
    <col min="10224" max="10224" width="2" style="104" customWidth="1"/>
    <col min="10225" max="10225" width="10.1640625" style="104" customWidth="1"/>
    <col min="10226" max="10226" width="12" style="104"/>
    <col min="10227" max="10227" width="2" style="104" customWidth="1"/>
    <col min="10228" max="10228" width="10.6640625" style="104" customWidth="1"/>
    <col min="10229" max="10229" width="12" style="104"/>
    <col min="10230" max="10230" width="2" style="104" customWidth="1"/>
    <col min="10231" max="10231" width="6" style="104" customWidth="1"/>
    <col min="10232" max="10234" width="8.5" style="104" customWidth="1"/>
    <col min="10235" max="10235" width="2" style="104" customWidth="1"/>
    <col min="10236" max="10236" width="24" style="104" customWidth="1"/>
    <col min="10237" max="10237" width="2.5" style="104" customWidth="1"/>
    <col min="10238" max="10238" width="21.1640625" style="104" customWidth="1"/>
    <col min="10239" max="10479" width="12" style="104"/>
    <col min="10480" max="10480" width="2" style="104" customWidth="1"/>
    <col min="10481" max="10481" width="10.1640625" style="104" customWidth="1"/>
    <col min="10482" max="10482" width="12" style="104"/>
    <col min="10483" max="10483" width="2" style="104" customWidth="1"/>
    <col min="10484" max="10484" width="10.6640625" style="104" customWidth="1"/>
    <col min="10485" max="10485" width="12" style="104"/>
    <col min="10486" max="10486" width="2" style="104" customWidth="1"/>
    <col min="10487" max="10487" width="6" style="104" customWidth="1"/>
    <col min="10488" max="10490" width="8.5" style="104" customWidth="1"/>
    <col min="10491" max="10491" width="2" style="104" customWidth="1"/>
    <col min="10492" max="10492" width="24" style="104" customWidth="1"/>
    <col min="10493" max="10493" width="2.5" style="104" customWidth="1"/>
    <col min="10494" max="10494" width="21.1640625" style="104" customWidth="1"/>
    <col min="10495" max="10735" width="12" style="104"/>
    <col min="10736" max="10736" width="2" style="104" customWidth="1"/>
    <col min="10737" max="10737" width="10.1640625" style="104" customWidth="1"/>
    <col min="10738" max="10738" width="12" style="104"/>
    <col min="10739" max="10739" width="2" style="104" customWidth="1"/>
    <col min="10740" max="10740" width="10.6640625" style="104" customWidth="1"/>
    <col min="10741" max="10741" width="12" style="104"/>
    <col min="10742" max="10742" width="2" style="104" customWidth="1"/>
    <col min="10743" max="10743" width="6" style="104" customWidth="1"/>
    <col min="10744" max="10746" width="8.5" style="104" customWidth="1"/>
    <col min="10747" max="10747" width="2" style="104" customWidth="1"/>
    <col min="10748" max="10748" width="24" style="104" customWidth="1"/>
    <col min="10749" max="10749" width="2.5" style="104" customWidth="1"/>
    <col min="10750" max="10750" width="21.1640625" style="104" customWidth="1"/>
    <col min="10751" max="10991" width="12" style="104"/>
    <col min="10992" max="10992" width="2" style="104" customWidth="1"/>
    <col min="10993" max="10993" width="10.1640625" style="104" customWidth="1"/>
    <col min="10994" max="10994" width="12" style="104"/>
    <col min="10995" max="10995" width="2" style="104" customWidth="1"/>
    <col min="10996" max="10996" width="10.6640625" style="104" customWidth="1"/>
    <col min="10997" max="10997" width="12" style="104"/>
    <col min="10998" max="10998" width="2" style="104" customWidth="1"/>
    <col min="10999" max="10999" width="6" style="104" customWidth="1"/>
    <col min="11000" max="11002" width="8.5" style="104" customWidth="1"/>
    <col min="11003" max="11003" width="2" style="104" customWidth="1"/>
    <col min="11004" max="11004" width="24" style="104" customWidth="1"/>
    <col min="11005" max="11005" width="2.5" style="104" customWidth="1"/>
    <col min="11006" max="11006" width="21.1640625" style="104" customWidth="1"/>
    <col min="11007" max="11247" width="12" style="104"/>
    <col min="11248" max="11248" width="2" style="104" customWidth="1"/>
    <col min="11249" max="11249" width="10.1640625" style="104" customWidth="1"/>
    <col min="11250" max="11250" width="12" style="104"/>
    <col min="11251" max="11251" width="2" style="104" customWidth="1"/>
    <col min="11252" max="11252" width="10.6640625" style="104" customWidth="1"/>
    <col min="11253" max="11253" width="12" style="104"/>
    <col min="11254" max="11254" width="2" style="104" customWidth="1"/>
    <col min="11255" max="11255" width="6" style="104" customWidth="1"/>
    <col min="11256" max="11258" width="8.5" style="104" customWidth="1"/>
    <col min="11259" max="11259" width="2" style="104" customWidth="1"/>
    <col min="11260" max="11260" width="24" style="104" customWidth="1"/>
    <col min="11261" max="11261" width="2.5" style="104" customWidth="1"/>
    <col min="11262" max="11262" width="21.1640625" style="104" customWidth="1"/>
    <col min="11263" max="11503" width="12" style="104"/>
    <col min="11504" max="11504" width="2" style="104" customWidth="1"/>
    <col min="11505" max="11505" width="10.1640625" style="104" customWidth="1"/>
    <col min="11506" max="11506" width="12" style="104"/>
    <col min="11507" max="11507" width="2" style="104" customWidth="1"/>
    <col min="11508" max="11508" width="10.6640625" style="104" customWidth="1"/>
    <col min="11509" max="11509" width="12" style="104"/>
    <col min="11510" max="11510" width="2" style="104" customWidth="1"/>
    <col min="11511" max="11511" width="6" style="104" customWidth="1"/>
    <col min="11512" max="11514" width="8.5" style="104" customWidth="1"/>
    <col min="11515" max="11515" width="2" style="104" customWidth="1"/>
    <col min="11516" max="11516" width="24" style="104" customWidth="1"/>
    <col min="11517" max="11517" width="2.5" style="104" customWidth="1"/>
    <col min="11518" max="11518" width="21.1640625" style="104" customWidth="1"/>
    <col min="11519" max="11759" width="12" style="104"/>
    <col min="11760" max="11760" width="2" style="104" customWidth="1"/>
    <col min="11761" max="11761" width="10.1640625" style="104" customWidth="1"/>
    <col min="11762" max="11762" width="12" style="104"/>
    <col min="11763" max="11763" width="2" style="104" customWidth="1"/>
    <col min="11764" max="11764" width="10.6640625" style="104" customWidth="1"/>
    <col min="11765" max="11765" width="12" style="104"/>
    <col min="11766" max="11766" width="2" style="104" customWidth="1"/>
    <col min="11767" max="11767" width="6" style="104" customWidth="1"/>
    <col min="11768" max="11770" width="8.5" style="104" customWidth="1"/>
    <col min="11771" max="11771" width="2" style="104" customWidth="1"/>
    <col min="11772" max="11772" width="24" style="104" customWidth="1"/>
    <col min="11773" max="11773" width="2.5" style="104" customWidth="1"/>
    <col min="11774" max="11774" width="21.1640625" style="104" customWidth="1"/>
    <col min="11775" max="12015" width="12" style="104"/>
    <col min="12016" max="12016" width="2" style="104" customWidth="1"/>
    <col min="12017" max="12017" width="10.1640625" style="104" customWidth="1"/>
    <col min="12018" max="12018" width="12" style="104"/>
    <col min="12019" max="12019" width="2" style="104" customWidth="1"/>
    <col min="12020" max="12020" width="10.6640625" style="104" customWidth="1"/>
    <col min="12021" max="12021" width="12" style="104"/>
    <col min="12022" max="12022" width="2" style="104" customWidth="1"/>
    <col min="12023" max="12023" width="6" style="104" customWidth="1"/>
    <col min="12024" max="12026" width="8.5" style="104" customWidth="1"/>
    <col min="12027" max="12027" width="2" style="104" customWidth="1"/>
    <col min="12028" max="12028" width="24" style="104" customWidth="1"/>
    <col min="12029" max="12029" width="2.5" style="104" customWidth="1"/>
    <col min="12030" max="12030" width="21.1640625" style="104" customWidth="1"/>
    <col min="12031" max="12271" width="12" style="104"/>
    <col min="12272" max="12272" width="2" style="104" customWidth="1"/>
    <col min="12273" max="12273" width="10.1640625" style="104" customWidth="1"/>
    <col min="12274" max="12274" width="12" style="104"/>
    <col min="12275" max="12275" width="2" style="104" customWidth="1"/>
    <col min="12276" max="12276" width="10.6640625" style="104" customWidth="1"/>
    <col min="12277" max="12277" width="12" style="104"/>
    <col min="12278" max="12278" width="2" style="104" customWidth="1"/>
    <col min="12279" max="12279" width="6" style="104" customWidth="1"/>
    <col min="12280" max="12282" width="8.5" style="104" customWidth="1"/>
    <col min="12283" max="12283" width="2" style="104" customWidth="1"/>
    <col min="12284" max="12284" width="24" style="104" customWidth="1"/>
    <col min="12285" max="12285" width="2.5" style="104" customWidth="1"/>
    <col min="12286" max="12286" width="21.1640625" style="104" customWidth="1"/>
    <col min="12287" max="12527" width="12" style="104"/>
    <col min="12528" max="12528" width="2" style="104" customWidth="1"/>
    <col min="12529" max="12529" width="10.1640625" style="104" customWidth="1"/>
    <col min="12530" max="12530" width="12" style="104"/>
    <col min="12531" max="12531" width="2" style="104" customWidth="1"/>
    <col min="12532" max="12532" width="10.6640625" style="104" customWidth="1"/>
    <col min="12533" max="12533" width="12" style="104"/>
    <col min="12534" max="12534" width="2" style="104" customWidth="1"/>
    <col min="12535" max="12535" width="6" style="104" customWidth="1"/>
    <col min="12536" max="12538" width="8.5" style="104" customWidth="1"/>
    <col min="12539" max="12539" width="2" style="104" customWidth="1"/>
    <col min="12540" max="12540" width="24" style="104" customWidth="1"/>
    <col min="12541" max="12541" width="2.5" style="104" customWidth="1"/>
    <col min="12542" max="12542" width="21.1640625" style="104" customWidth="1"/>
    <col min="12543" max="12783" width="12" style="104"/>
    <col min="12784" max="12784" width="2" style="104" customWidth="1"/>
    <col min="12785" max="12785" width="10.1640625" style="104" customWidth="1"/>
    <col min="12786" max="12786" width="12" style="104"/>
    <col min="12787" max="12787" width="2" style="104" customWidth="1"/>
    <col min="12788" max="12788" width="10.6640625" style="104" customWidth="1"/>
    <col min="12789" max="12789" width="12" style="104"/>
    <col min="12790" max="12790" width="2" style="104" customWidth="1"/>
    <col min="12791" max="12791" width="6" style="104" customWidth="1"/>
    <col min="12792" max="12794" width="8.5" style="104" customWidth="1"/>
    <col min="12795" max="12795" width="2" style="104" customWidth="1"/>
    <col min="12796" max="12796" width="24" style="104" customWidth="1"/>
    <col min="12797" max="12797" width="2.5" style="104" customWidth="1"/>
    <col min="12798" max="12798" width="21.1640625" style="104" customWidth="1"/>
    <col min="12799" max="13039" width="12" style="104"/>
    <col min="13040" max="13040" width="2" style="104" customWidth="1"/>
    <col min="13041" max="13041" width="10.1640625" style="104" customWidth="1"/>
    <col min="13042" max="13042" width="12" style="104"/>
    <col min="13043" max="13043" width="2" style="104" customWidth="1"/>
    <col min="13044" max="13044" width="10.6640625" style="104" customWidth="1"/>
    <col min="13045" max="13045" width="12" style="104"/>
    <col min="13046" max="13046" width="2" style="104" customWidth="1"/>
    <col min="13047" max="13047" width="6" style="104" customWidth="1"/>
    <col min="13048" max="13050" width="8.5" style="104" customWidth="1"/>
    <col min="13051" max="13051" width="2" style="104" customWidth="1"/>
    <col min="13052" max="13052" width="24" style="104" customWidth="1"/>
    <col min="13053" max="13053" width="2.5" style="104" customWidth="1"/>
    <col min="13054" max="13054" width="21.1640625" style="104" customWidth="1"/>
    <col min="13055" max="13295" width="12" style="104"/>
    <col min="13296" max="13296" width="2" style="104" customWidth="1"/>
    <col min="13297" max="13297" width="10.1640625" style="104" customWidth="1"/>
    <col min="13298" max="13298" width="12" style="104"/>
    <col min="13299" max="13299" width="2" style="104" customWidth="1"/>
    <col min="13300" max="13300" width="10.6640625" style="104" customWidth="1"/>
    <col min="13301" max="13301" width="12" style="104"/>
    <col min="13302" max="13302" width="2" style="104" customWidth="1"/>
    <col min="13303" max="13303" width="6" style="104" customWidth="1"/>
    <col min="13304" max="13306" width="8.5" style="104" customWidth="1"/>
    <col min="13307" max="13307" width="2" style="104" customWidth="1"/>
    <col min="13308" max="13308" width="24" style="104" customWidth="1"/>
    <col min="13309" max="13309" width="2.5" style="104" customWidth="1"/>
    <col min="13310" max="13310" width="21.1640625" style="104" customWidth="1"/>
    <col min="13311" max="13551" width="12" style="104"/>
    <col min="13552" max="13552" width="2" style="104" customWidth="1"/>
    <col min="13553" max="13553" width="10.1640625" style="104" customWidth="1"/>
    <col min="13554" max="13554" width="12" style="104"/>
    <col min="13555" max="13555" width="2" style="104" customWidth="1"/>
    <col min="13556" max="13556" width="10.6640625" style="104" customWidth="1"/>
    <col min="13557" max="13557" width="12" style="104"/>
    <col min="13558" max="13558" width="2" style="104" customWidth="1"/>
    <col min="13559" max="13559" width="6" style="104" customWidth="1"/>
    <col min="13560" max="13562" width="8.5" style="104" customWidth="1"/>
    <col min="13563" max="13563" width="2" style="104" customWidth="1"/>
    <col min="13564" max="13564" width="24" style="104" customWidth="1"/>
    <col min="13565" max="13565" width="2.5" style="104" customWidth="1"/>
    <col min="13566" max="13566" width="21.1640625" style="104" customWidth="1"/>
    <col min="13567" max="13807" width="12" style="104"/>
    <col min="13808" max="13808" width="2" style="104" customWidth="1"/>
    <col min="13809" max="13809" width="10.1640625" style="104" customWidth="1"/>
    <col min="13810" max="13810" width="12" style="104"/>
    <col min="13811" max="13811" width="2" style="104" customWidth="1"/>
    <col min="13812" max="13812" width="10.6640625" style="104" customWidth="1"/>
    <col min="13813" max="13813" width="12" style="104"/>
    <col min="13814" max="13814" width="2" style="104" customWidth="1"/>
    <col min="13815" max="13815" width="6" style="104" customWidth="1"/>
    <col min="13816" max="13818" width="8.5" style="104" customWidth="1"/>
    <col min="13819" max="13819" width="2" style="104" customWidth="1"/>
    <col min="13820" max="13820" width="24" style="104" customWidth="1"/>
    <col min="13821" max="13821" width="2.5" style="104" customWidth="1"/>
    <col min="13822" max="13822" width="21.1640625" style="104" customWidth="1"/>
    <col min="13823" max="14063" width="12" style="104"/>
    <col min="14064" max="14064" width="2" style="104" customWidth="1"/>
    <col min="14065" max="14065" width="10.1640625" style="104" customWidth="1"/>
    <col min="14066" max="14066" width="12" style="104"/>
    <col min="14067" max="14067" width="2" style="104" customWidth="1"/>
    <col min="14068" max="14068" width="10.6640625" style="104" customWidth="1"/>
    <col min="14069" max="14069" width="12" style="104"/>
    <col min="14070" max="14070" width="2" style="104" customWidth="1"/>
    <col min="14071" max="14071" width="6" style="104" customWidth="1"/>
    <col min="14072" max="14074" width="8.5" style="104" customWidth="1"/>
    <col min="14075" max="14075" width="2" style="104" customWidth="1"/>
    <col min="14076" max="14076" width="24" style="104" customWidth="1"/>
    <col min="14077" max="14077" width="2.5" style="104" customWidth="1"/>
    <col min="14078" max="14078" width="21.1640625" style="104" customWidth="1"/>
    <col min="14079" max="14319" width="12" style="104"/>
    <col min="14320" max="14320" width="2" style="104" customWidth="1"/>
    <col min="14321" max="14321" width="10.1640625" style="104" customWidth="1"/>
    <col min="14322" max="14322" width="12" style="104"/>
    <col min="14323" max="14323" width="2" style="104" customWidth="1"/>
    <col min="14324" max="14324" width="10.6640625" style="104" customWidth="1"/>
    <col min="14325" max="14325" width="12" style="104"/>
    <col min="14326" max="14326" width="2" style="104" customWidth="1"/>
    <col min="14327" max="14327" width="6" style="104" customWidth="1"/>
    <col min="14328" max="14330" width="8.5" style="104" customWidth="1"/>
    <col min="14331" max="14331" width="2" style="104" customWidth="1"/>
    <col min="14332" max="14332" width="24" style="104" customWidth="1"/>
    <col min="14333" max="14333" width="2.5" style="104" customWidth="1"/>
    <col min="14334" max="14334" width="21.1640625" style="104" customWidth="1"/>
    <col min="14335" max="14575" width="12" style="104"/>
    <col min="14576" max="14576" width="2" style="104" customWidth="1"/>
    <col min="14577" max="14577" width="10.1640625" style="104" customWidth="1"/>
    <col min="14578" max="14578" width="12" style="104"/>
    <col min="14579" max="14579" width="2" style="104" customWidth="1"/>
    <col min="14580" max="14580" width="10.6640625" style="104" customWidth="1"/>
    <col min="14581" max="14581" width="12" style="104"/>
    <col min="14582" max="14582" width="2" style="104" customWidth="1"/>
    <col min="14583" max="14583" width="6" style="104" customWidth="1"/>
    <col min="14584" max="14586" width="8.5" style="104" customWidth="1"/>
    <col min="14587" max="14587" width="2" style="104" customWidth="1"/>
    <col min="14588" max="14588" width="24" style="104" customWidth="1"/>
    <col min="14589" max="14589" width="2.5" style="104" customWidth="1"/>
    <col min="14590" max="14590" width="21.1640625" style="104" customWidth="1"/>
    <col min="14591" max="14831" width="12" style="104"/>
    <col min="14832" max="14832" width="2" style="104" customWidth="1"/>
    <col min="14833" max="14833" width="10.1640625" style="104" customWidth="1"/>
    <col min="14834" max="14834" width="12" style="104"/>
    <col min="14835" max="14835" width="2" style="104" customWidth="1"/>
    <col min="14836" max="14836" width="10.6640625" style="104" customWidth="1"/>
    <col min="14837" max="14837" width="12" style="104"/>
    <col min="14838" max="14838" width="2" style="104" customWidth="1"/>
    <col min="14839" max="14839" width="6" style="104" customWidth="1"/>
    <col min="14840" max="14842" width="8.5" style="104" customWidth="1"/>
    <col min="14843" max="14843" width="2" style="104" customWidth="1"/>
    <col min="14844" max="14844" width="24" style="104" customWidth="1"/>
    <col min="14845" max="14845" width="2.5" style="104" customWidth="1"/>
    <col min="14846" max="14846" width="21.1640625" style="104" customWidth="1"/>
    <col min="14847" max="15087" width="12" style="104"/>
    <col min="15088" max="15088" width="2" style="104" customWidth="1"/>
    <col min="15089" max="15089" width="10.1640625" style="104" customWidth="1"/>
    <col min="15090" max="15090" width="12" style="104"/>
    <col min="15091" max="15091" width="2" style="104" customWidth="1"/>
    <col min="15092" max="15092" width="10.6640625" style="104" customWidth="1"/>
    <col min="15093" max="15093" width="12" style="104"/>
    <col min="15094" max="15094" width="2" style="104" customWidth="1"/>
    <col min="15095" max="15095" width="6" style="104" customWidth="1"/>
    <col min="15096" max="15098" width="8.5" style="104" customWidth="1"/>
    <col min="15099" max="15099" width="2" style="104" customWidth="1"/>
    <col min="15100" max="15100" width="24" style="104" customWidth="1"/>
    <col min="15101" max="15101" width="2.5" style="104" customWidth="1"/>
    <col min="15102" max="15102" width="21.1640625" style="104" customWidth="1"/>
    <col min="15103" max="15343" width="12" style="104"/>
    <col min="15344" max="15344" width="2" style="104" customWidth="1"/>
    <col min="15345" max="15345" width="10.1640625" style="104" customWidth="1"/>
    <col min="15346" max="15346" width="12" style="104"/>
    <col min="15347" max="15347" width="2" style="104" customWidth="1"/>
    <col min="15348" max="15348" width="10.6640625" style="104" customWidth="1"/>
    <col min="15349" max="15349" width="12" style="104"/>
    <col min="15350" max="15350" width="2" style="104" customWidth="1"/>
    <col min="15351" max="15351" width="6" style="104" customWidth="1"/>
    <col min="15352" max="15354" width="8.5" style="104" customWidth="1"/>
    <col min="15355" max="15355" width="2" style="104" customWidth="1"/>
    <col min="15356" max="15356" width="24" style="104" customWidth="1"/>
    <col min="15357" max="15357" width="2.5" style="104" customWidth="1"/>
    <col min="15358" max="15358" width="21.1640625" style="104" customWidth="1"/>
    <col min="15359" max="15599" width="12" style="104"/>
    <col min="15600" max="15600" width="2" style="104" customWidth="1"/>
    <col min="15601" max="15601" width="10.1640625" style="104" customWidth="1"/>
    <col min="15602" max="15602" width="12" style="104"/>
    <col min="15603" max="15603" width="2" style="104" customWidth="1"/>
    <col min="15604" max="15604" width="10.6640625" style="104" customWidth="1"/>
    <col min="15605" max="15605" width="12" style="104"/>
    <col min="15606" max="15606" width="2" style="104" customWidth="1"/>
    <col min="15607" max="15607" width="6" style="104" customWidth="1"/>
    <col min="15608" max="15610" width="8.5" style="104" customWidth="1"/>
    <col min="15611" max="15611" width="2" style="104" customWidth="1"/>
    <col min="15612" max="15612" width="24" style="104" customWidth="1"/>
    <col min="15613" max="15613" width="2.5" style="104" customWidth="1"/>
    <col min="15614" max="15614" width="21.1640625" style="104" customWidth="1"/>
    <col min="15615" max="15855" width="12" style="104"/>
    <col min="15856" max="15856" width="2" style="104" customWidth="1"/>
    <col min="15857" max="15857" width="10.1640625" style="104" customWidth="1"/>
    <col min="15858" max="15858" width="12" style="104"/>
    <col min="15859" max="15859" width="2" style="104" customWidth="1"/>
    <col min="15860" max="15860" width="10.6640625" style="104" customWidth="1"/>
    <col min="15861" max="15861" width="12" style="104"/>
    <col min="15862" max="15862" width="2" style="104" customWidth="1"/>
    <col min="15863" max="15863" width="6" style="104" customWidth="1"/>
    <col min="15864" max="15866" width="8.5" style="104" customWidth="1"/>
    <col min="15867" max="15867" width="2" style="104" customWidth="1"/>
    <col min="15868" max="15868" width="24" style="104" customWidth="1"/>
    <col min="15869" max="15869" width="2.5" style="104" customWidth="1"/>
    <col min="15870" max="15870" width="21.1640625" style="104" customWidth="1"/>
    <col min="15871" max="16111" width="12" style="104"/>
    <col min="16112" max="16112" width="2" style="104" customWidth="1"/>
    <col min="16113" max="16113" width="10.1640625" style="104" customWidth="1"/>
    <col min="16114" max="16114" width="12" style="104"/>
    <col min="16115" max="16115" width="2" style="104" customWidth="1"/>
    <col min="16116" max="16116" width="10.6640625" style="104" customWidth="1"/>
    <col min="16117" max="16117" width="12" style="104"/>
    <col min="16118" max="16118" width="2" style="104" customWidth="1"/>
    <col min="16119" max="16119" width="6" style="104" customWidth="1"/>
    <col min="16120" max="16122" width="8.5" style="104" customWidth="1"/>
    <col min="16123" max="16123" width="2" style="104" customWidth="1"/>
    <col min="16124" max="16124" width="24" style="104" customWidth="1"/>
    <col min="16125" max="16125" width="2.5" style="104" customWidth="1"/>
    <col min="16126" max="16126" width="21.1640625" style="104" customWidth="1"/>
    <col min="16127" max="16384" width="12" style="104"/>
  </cols>
  <sheetData>
    <row r="1" spans="2:7" x14ac:dyDescent="0.2">
      <c r="F1" s="105" t="s">
        <v>60</v>
      </c>
      <c r="G1" s="106"/>
    </row>
    <row r="2" spans="2:7" x14ac:dyDescent="0.2">
      <c r="B2" s="107" t="s">
        <v>61</v>
      </c>
      <c r="C2" s="108" t="s">
        <v>62</v>
      </c>
      <c r="E2" s="109" t="s">
        <v>62</v>
      </c>
      <c r="F2" s="110" t="s">
        <v>63</v>
      </c>
      <c r="G2" s="111"/>
    </row>
    <row r="3" spans="2:7" x14ac:dyDescent="0.2">
      <c r="B3" s="109" t="e">
        <f>IF(Matrice!#REF!&lt;&gt;"",Matrice!#REF!,"")</f>
        <v>#REF!</v>
      </c>
      <c r="C3" s="112" t="e">
        <f>CONCATENATE(Matrice!#REF!,Matrice!#REF!)</f>
        <v>#REF!</v>
      </c>
      <c r="E3" s="113" t="str">
        <f>CONCATENATE(1,1)</f>
        <v>11</v>
      </c>
      <c r="F3" s="114" t="str">
        <f t="array" aca="1" ref="F3" ca="1">IF(COUNTIF(Nom,$E3)&gt;0,INDEX(ColRef,SMALL(IF(Nom=$E3,ROW(Ref)),1)),)
&amp;IF(COUNTIF(Nom,$E3)&gt;1," et "&amp;INDEX(ColRef,SMALL(IF(Nom=$E3,ROW(Ref)),2)),"")
&amp;IF(COUNTIF(Nom,$E3)&gt;2," et "&amp;INDEX(ColRef,SMALL(IF(Nom=$E3,ROW(Ref)),3)),"")
&amp;IF(COUNTIF(Nom,$E3)&gt;3," et "&amp;INDEX(ColRef,SMALL(IF(Nom=$E3,ROW(Ref)),4)),"")
&amp;IF(COUNTIF(Nom,$E3)&gt;4," et "&amp;INDEX(ColRef,SMALL(IF(Nom=$E3,ROW(Ref)),5)),"")
&amp;IF(COUNTIF(Nom,$E3)&gt;5," et "&amp;INDEX(ColRef,SMALL(IF(Nom=$E3,ROW(Ref)),6)),"")
&amp;IF(COUNTIF(Nom,$E3)&gt;6," et "&amp;INDEX(ColRef,SMALL(IF(Nom=$E3,ROW(Ref)),7)),"")
&amp;IF(COUNTIF(Nom,$E3)&gt;7," et "&amp;INDEX(ColRef,SMALL(IF(Nom=$E3,ROW(Ref)),8)),"")
&amp;IF(COUNTIF(Nom,$E3)&gt;8," et "&amp;INDEX(ColRef,SMALL(IF(Nom=$E3,ROW(Ref)),9)),"")
&amp;IF(COUNTIF(Nom,$E3)&gt;9," et "&amp;INDEX(ColRef,SMALL(IF(Nom=$E3,ROW(Ref)),10)),"")
&amp;IF(COUNTIF(Nom,$E3)&gt;10," et "&amp;INDEX(ColRef,SMALL(IF(Nom=$E3,ROW(Ref)),11)),"")
&amp;IF(COUNTIF(Nom,$E3)&gt;11," et "&amp;INDEX(ColRef,SMALL(IF(Nom=$E3,ROW(Ref)),12)),"")
&amp;IF(COUNTIF(Nom,$E3)&gt;12," et "&amp;INDEX(ColRef,SMALL(IF(Nom=$E3,ROW(Ref)),13)),"")
&amp;IF(COUNTIF(Nom,$E3)&gt;13," et "&amp;INDEX(ColRef,SMALL(IF(Nom=$E3,ROW(Ref)),14)),"")
&amp;IF(COUNTIF(Nom,$E3)&gt;14," et "&amp;INDEX(ColRef,SMALL(IF(Nom=$E3,ROW(Ref)),15)),"")
&amp;IF(COUNTIF(Nom,$E3)&gt;15," et "&amp;INDEX(ColRef,SMALL(IF(Nom=$E3,ROW(Ref)),16)),"")</f>
        <v/>
      </c>
    </row>
    <row r="4" spans="2:7" x14ac:dyDescent="0.2">
      <c r="B4" s="109" t="e">
        <f>IF(Matrice!#REF!&lt;&gt;"",Matrice!#REF!,"")</f>
        <v>#REF!</v>
      </c>
      <c r="C4" s="112" t="e">
        <f>CONCATENATE(Matrice!#REF!,Matrice!#REF!)</f>
        <v>#REF!</v>
      </c>
      <c r="E4" s="113" t="str">
        <f>CONCATENATE(1,2)</f>
        <v>12</v>
      </c>
      <c r="F4" s="114" t="str">
        <f t="array" aca="1" ref="F4" ca="1">IF(COUNTIF(Nom,$E4)&gt;0,INDEX(ColRef,SMALL(IF(Nom=$E4,ROW(Ref)),1)),)
&amp;IF(COUNTIF(Nom,$E4)&gt;1," et "&amp;INDEX(ColRef,SMALL(IF(Nom=$E4,ROW(Ref)),2)),"")
&amp;IF(COUNTIF(Nom,$E4)&gt;2," et "&amp;INDEX(ColRef,SMALL(IF(Nom=$E4,ROW(Ref)),3)),"")
&amp;IF(COUNTIF(Nom,$E4)&gt;3," et "&amp;INDEX(ColRef,SMALL(IF(Nom=$E4,ROW(Ref)),4)),"")
&amp;IF(COUNTIF(Nom,$E4)&gt;4," et "&amp;INDEX(ColRef,SMALL(IF(Nom=$E4,ROW(Ref)),5)),"")
&amp;IF(COUNTIF(Nom,$E4)&gt;5," et "&amp;INDEX(ColRef,SMALL(IF(Nom=$E4,ROW(Ref)),6)),"")
&amp;IF(COUNTIF(Nom,$E4)&gt;6," et "&amp;INDEX(ColRef,SMALL(IF(Nom=$E4,ROW(Ref)),7)),"")
&amp;IF(COUNTIF(Nom,$E4)&gt;7," et "&amp;INDEX(ColRef,SMALL(IF(Nom=$E4,ROW(Ref)),8)),"")
&amp;IF(COUNTIF(Nom,$E4)&gt;8," et "&amp;INDEX(ColRef,SMALL(IF(Nom=$E4,ROW(Ref)),9)),"")
&amp;IF(COUNTIF(Nom,$E4)&gt;9," et "&amp;INDEX(ColRef,SMALL(IF(Nom=$E4,ROW(Ref)),10)),"")
&amp;IF(COUNTIF(Nom,$E4)&gt;10," et "&amp;INDEX(ColRef,SMALL(IF(Nom=$E4,ROW(Ref)),11)),"")
&amp;IF(COUNTIF(Nom,$E4)&gt;11," et "&amp;INDEX(ColRef,SMALL(IF(Nom=$E4,ROW(Ref)),12)),"")
&amp;IF(COUNTIF(Nom,$E4)&gt;12," et "&amp;INDEX(ColRef,SMALL(IF(Nom=$E4,ROW(Ref)),13)),"")
&amp;IF(COUNTIF(Nom,$E4)&gt;13," et "&amp;INDEX(ColRef,SMALL(IF(Nom=$E4,ROW(Ref)),14)),"")
&amp;IF(COUNTIF(Nom,$E4)&gt;14," et "&amp;INDEX(ColRef,SMALL(IF(Nom=$E4,ROW(Ref)),15)),"")
&amp;IF(COUNTIF(Nom,$E4)&gt;15," et "&amp;INDEX(ColRef,SMALL(IF(Nom=$E4,ROW(Ref)),16)),"")</f>
        <v/>
      </c>
    </row>
    <row r="5" spans="2:7" x14ac:dyDescent="0.2">
      <c r="B5" s="109" t="e">
        <f>IF(Matrice!#REF!&lt;&gt;"",Matrice!#REF!,"")</f>
        <v>#REF!</v>
      </c>
      <c r="C5" s="112" t="e">
        <f>CONCATENATE(Matrice!#REF!,Matrice!#REF!)</f>
        <v>#REF!</v>
      </c>
      <c r="E5" s="113" t="str">
        <f>CONCATENATE(1,3)</f>
        <v>13</v>
      </c>
      <c r="F5" s="114" t="str">
        <f t="array" aca="1" ref="F5" ca="1">IF(COUNTIF(Nom,$E5)&gt;0,INDEX(ColRef,SMALL(IF(Nom=$E5,ROW(Ref)),1)),)
&amp;IF(COUNTIF(Nom,$E5)&gt;1," et "&amp;INDEX(ColRef,SMALL(IF(Nom=$E5,ROW(Ref)),2)),"")
&amp;IF(COUNTIF(Nom,$E5)&gt;2," et "&amp;INDEX(ColRef,SMALL(IF(Nom=$E5,ROW(Ref)),3)),"")
&amp;IF(COUNTIF(Nom,$E5)&gt;3," et "&amp;INDEX(ColRef,SMALL(IF(Nom=$E5,ROW(Ref)),4)),"")
&amp;IF(COUNTIF(Nom,$E5)&gt;4," et "&amp;INDEX(ColRef,SMALL(IF(Nom=$E5,ROW(Ref)),5)),"")
&amp;IF(COUNTIF(Nom,$E5)&gt;5," et "&amp;INDEX(ColRef,SMALL(IF(Nom=$E5,ROW(Ref)),6)),"")
&amp;IF(COUNTIF(Nom,$E5)&gt;6," et "&amp;INDEX(ColRef,SMALL(IF(Nom=$E5,ROW(Ref)),7)),"")
&amp;IF(COUNTIF(Nom,$E5)&gt;7," et "&amp;INDEX(ColRef,SMALL(IF(Nom=$E5,ROW(Ref)),8)),"")
&amp;IF(COUNTIF(Nom,$E5)&gt;8," et "&amp;INDEX(ColRef,SMALL(IF(Nom=$E5,ROW(Ref)),9)),"")
&amp;IF(COUNTIF(Nom,$E5)&gt;9," et "&amp;INDEX(ColRef,SMALL(IF(Nom=$E5,ROW(Ref)),10)),"")
&amp;IF(COUNTIF(Nom,$E5)&gt;10," et "&amp;INDEX(ColRef,SMALL(IF(Nom=$E5,ROW(Ref)),11)),"")
&amp;IF(COUNTIF(Nom,$E5)&gt;11," et "&amp;INDEX(ColRef,SMALL(IF(Nom=$E5,ROW(Ref)),12)),"")
&amp;IF(COUNTIF(Nom,$E5)&gt;12," et "&amp;INDEX(ColRef,SMALL(IF(Nom=$E5,ROW(Ref)),13)),"")
&amp;IF(COUNTIF(Nom,$E5)&gt;13," et "&amp;INDEX(ColRef,SMALL(IF(Nom=$E5,ROW(Ref)),14)),"")
&amp;IF(COUNTIF(Nom,$E5)&gt;14," et "&amp;INDEX(ColRef,SMALL(IF(Nom=$E5,ROW(Ref)),15)),"")
&amp;IF(COUNTIF(Nom,$E5)&gt;15," et "&amp;INDEX(ColRef,SMALL(IF(Nom=$E5,ROW(Ref)),16)),"")</f>
        <v/>
      </c>
    </row>
    <row r="6" spans="2:7" x14ac:dyDescent="0.2">
      <c r="B6" s="109" t="e">
        <f>IF(Matrice!#REF!&lt;&gt;"",Matrice!#REF!,"")</f>
        <v>#REF!</v>
      </c>
      <c r="C6" s="112" t="e">
        <f>CONCATENATE(Matrice!#REF!,Matrice!#REF!)</f>
        <v>#REF!</v>
      </c>
      <c r="E6" s="113" t="str">
        <f>CONCATENATE(1,5)</f>
        <v>15</v>
      </c>
      <c r="F6" s="114" t="str">
        <f t="array" aca="1" ref="F6" ca="1">IF(COUNTIF(Nom,$E6)&gt;0,INDEX(ColRef,SMALL(IF(Nom=$E6,ROW(Ref)),1)),)
&amp;IF(COUNTIF(Nom,$E6)&gt;1," et "&amp;INDEX(ColRef,SMALL(IF(Nom=$E6,ROW(Ref)),2)),"")
&amp;IF(COUNTIF(Nom,$E6)&gt;2," et "&amp;INDEX(ColRef,SMALL(IF(Nom=$E6,ROW(Ref)),3)),"")
&amp;IF(COUNTIF(Nom,$E6)&gt;3," et "&amp;INDEX(ColRef,SMALL(IF(Nom=$E6,ROW(Ref)),4)),"")
&amp;IF(COUNTIF(Nom,$E6)&gt;4," et "&amp;INDEX(ColRef,SMALL(IF(Nom=$E6,ROW(Ref)),5)),"")
&amp;IF(COUNTIF(Nom,$E6)&gt;5," et "&amp;INDEX(ColRef,SMALL(IF(Nom=$E6,ROW(Ref)),6)),"")
&amp;IF(COUNTIF(Nom,$E6)&gt;6," et "&amp;INDEX(ColRef,SMALL(IF(Nom=$E6,ROW(Ref)),7)),"")
&amp;IF(COUNTIF(Nom,$E6)&gt;7," et "&amp;INDEX(ColRef,SMALL(IF(Nom=$E6,ROW(Ref)),8)),"")
&amp;IF(COUNTIF(Nom,$E6)&gt;8," et "&amp;INDEX(ColRef,SMALL(IF(Nom=$E6,ROW(Ref)),9)),"")
&amp;IF(COUNTIF(Nom,$E6)&gt;9," et "&amp;INDEX(ColRef,SMALL(IF(Nom=$E6,ROW(Ref)),10)),"")
&amp;IF(COUNTIF(Nom,$E6)&gt;10," et "&amp;INDEX(ColRef,SMALL(IF(Nom=$E6,ROW(Ref)),11)),"")
&amp;IF(COUNTIF(Nom,$E6)&gt;11," et "&amp;INDEX(ColRef,SMALL(IF(Nom=$E6,ROW(Ref)),12)),"")
&amp;IF(COUNTIF(Nom,$E6)&gt;12," et "&amp;INDEX(ColRef,SMALL(IF(Nom=$E6,ROW(Ref)),13)),"")
&amp;IF(COUNTIF(Nom,$E6)&gt;13," et "&amp;INDEX(ColRef,SMALL(IF(Nom=$E6,ROW(Ref)),14)),"")
&amp;IF(COUNTIF(Nom,$E6)&gt;14," et "&amp;INDEX(ColRef,SMALL(IF(Nom=$E6,ROW(Ref)),15)),"")
&amp;IF(COUNTIF(Nom,$E6)&gt;15," et "&amp;INDEX(ColRef,SMALL(IF(Nom=$E6,ROW(Ref)),16)),"")</f>
        <v/>
      </c>
    </row>
    <row r="7" spans="2:7" x14ac:dyDescent="0.2">
      <c r="B7" s="109" t="e">
        <f>IF(Matrice!#REF!&lt;&gt;"",Matrice!#REF!,"")</f>
        <v>#REF!</v>
      </c>
      <c r="C7" s="112" t="e">
        <f>CONCATENATE(Matrice!#REF!,Matrice!#REF!)</f>
        <v>#REF!</v>
      </c>
      <c r="E7" s="113" t="str">
        <f>CONCATENATE(1,4)</f>
        <v>14</v>
      </c>
      <c r="F7" s="114" t="str">
        <f t="array" aca="1" ref="F7" ca="1">IF(COUNTIF(Nom,$E7)&gt;0,INDEX(ColRef,SMALL(IF(Nom=$E7,ROW(Ref)),1)),)
&amp;IF(COUNTIF(Nom,$E7)&gt;1," et "&amp;INDEX(ColRef,SMALL(IF(Nom=$E7,ROW(Ref)),2)),"")
&amp;IF(COUNTIF(Nom,$E7)&gt;2," et "&amp;INDEX(ColRef,SMALL(IF(Nom=$E7,ROW(Ref)),3)),"")
&amp;IF(COUNTIF(Nom,$E7)&gt;3," et "&amp;INDEX(ColRef,SMALL(IF(Nom=$E7,ROW(Ref)),4)),"")
&amp;IF(COUNTIF(Nom,$E7)&gt;4," et "&amp;INDEX(ColRef,SMALL(IF(Nom=$E7,ROW(Ref)),5)),"")
&amp;IF(COUNTIF(Nom,$E7)&gt;5," et "&amp;INDEX(ColRef,SMALL(IF(Nom=$E7,ROW(Ref)),6)),"")
&amp;IF(COUNTIF(Nom,$E7)&gt;6," et "&amp;INDEX(ColRef,SMALL(IF(Nom=$E7,ROW(Ref)),7)),"")
&amp;IF(COUNTIF(Nom,$E7)&gt;7," et "&amp;INDEX(ColRef,SMALL(IF(Nom=$E7,ROW(Ref)),8)),"")
&amp;IF(COUNTIF(Nom,$E7)&gt;8," et "&amp;INDEX(ColRef,SMALL(IF(Nom=$E7,ROW(Ref)),9)),"")
&amp;IF(COUNTIF(Nom,$E7)&gt;9," et "&amp;INDEX(ColRef,SMALL(IF(Nom=$E7,ROW(Ref)),10)),"")
&amp;IF(COUNTIF(Nom,$E7)&gt;10," et "&amp;INDEX(ColRef,SMALL(IF(Nom=$E7,ROW(Ref)),11)),"")
&amp;IF(COUNTIF(Nom,$E7)&gt;11," et "&amp;INDEX(ColRef,SMALL(IF(Nom=$E7,ROW(Ref)),12)),"")
&amp;IF(COUNTIF(Nom,$E7)&gt;12," et "&amp;INDEX(ColRef,SMALL(IF(Nom=$E7,ROW(Ref)),13)),"")
&amp;IF(COUNTIF(Nom,$E7)&gt;13," et "&amp;INDEX(ColRef,SMALL(IF(Nom=$E7,ROW(Ref)),14)),"")
&amp;IF(COUNTIF(Nom,$E7)&gt;14," et "&amp;INDEX(ColRef,SMALL(IF(Nom=$E7,ROW(Ref)),15)),"")
&amp;IF(COUNTIF(Nom,$E7)&gt;15," et "&amp;INDEX(ColRef,SMALL(IF(Nom=$E7,ROW(Ref)),16)),"")</f>
        <v/>
      </c>
    </row>
    <row r="8" spans="2:7" x14ac:dyDescent="0.2">
      <c r="B8" s="109" t="e">
        <f>IF(Matrice!#REF!&lt;&gt;"",Matrice!#REF!,"")</f>
        <v>#REF!</v>
      </c>
      <c r="C8" s="112" t="e">
        <f>CONCATENATE(Matrice!#REF!,Matrice!#REF!)</f>
        <v>#REF!</v>
      </c>
      <c r="E8" s="113" t="str">
        <f>CONCATENATE(2,1)</f>
        <v>21</v>
      </c>
      <c r="F8" s="114" t="str">
        <f t="array" aca="1" ref="F8" ca="1">IF(COUNTIF(Nom,$E8)&gt;0,INDEX(ColRef,SMALL(IF(Nom=$E8,ROW(Ref)),1)),)
&amp;IF(COUNTIF(Nom,$E8)&gt;1," et "&amp;INDEX(ColRef,SMALL(IF(Nom=$E8,ROW(Ref)),2)),"")
&amp;IF(COUNTIF(Nom,$E8)&gt;2," et "&amp;INDEX(ColRef,SMALL(IF(Nom=$E8,ROW(Ref)),3)),"")
&amp;IF(COUNTIF(Nom,$E8)&gt;3," et "&amp;INDEX(ColRef,SMALL(IF(Nom=$E8,ROW(Ref)),4)),"")
&amp;IF(COUNTIF(Nom,$E8)&gt;4," et "&amp;INDEX(ColRef,SMALL(IF(Nom=$E8,ROW(Ref)),5)),"")
&amp;IF(COUNTIF(Nom,$E8)&gt;5," et "&amp;INDEX(ColRef,SMALL(IF(Nom=$E8,ROW(Ref)),6)),"")
&amp;IF(COUNTIF(Nom,$E8)&gt;6," et "&amp;INDEX(ColRef,SMALL(IF(Nom=$E8,ROW(Ref)),7)),"")
&amp;IF(COUNTIF(Nom,$E8)&gt;7," et "&amp;INDEX(ColRef,SMALL(IF(Nom=$E8,ROW(Ref)),8)),"")
&amp;IF(COUNTIF(Nom,$E8)&gt;8," et "&amp;INDEX(ColRef,SMALL(IF(Nom=$E8,ROW(Ref)),9)),"")
&amp;IF(COUNTIF(Nom,$E8)&gt;9," et "&amp;INDEX(ColRef,SMALL(IF(Nom=$E8,ROW(Ref)),10)),"")
&amp;IF(COUNTIF(Nom,$E8)&gt;10," et "&amp;INDEX(ColRef,SMALL(IF(Nom=$E8,ROW(Ref)),11)),"")
&amp;IF(COUNTIF(Nom,$E8)&gt;11," et "&amp;INDEX(ColRef,SMALL(IF(Nom=$E8,ROW(Ref)),12)),"")
&amp;IF(COUNTIF(Nom,$E8)&gt;12," et "&amp;INDEX(ColRef,SMALL(IF(Nom=$E8,ROW(Ref)),13)),"")
&amp;IF(COUNTIF(Nom,$E8)&gt;13," et "&amp;INDEX(ColRef,SMALL(IF(Nom=$E8,ROW(Ref)),14)),"")
&amp;IF(COUNTIF(Nom,$E8)&gt;14," et "&amp;INDEX(ColRef,SMALL(IF(Nom=$E8,ROW(Ref)),15)),"")
&amp;IF(COUNTIF(Nom,$E8)&gt;15," et "&amp;INDEX(ColRef,SMALL(IF(Nom=$E8,ROW(Ref)),16)),"")</f>
        <v/>
      </c>
    </row>
    <row r="9" spans="2:7" x14ac:dyDescent="0.2">
      <c r="B9" s="109" t="e">
        <f>IF(Matrice!#REF!&lt;&gt;"",Matrice!#REF!,"")</f>
        <v>#REF!</v>
      </c>
      <c r="C9" s="112" t="e">
        <f>CONCATENATE(Matrice!#REF!,Matrice!#REF!)</f>
        <v>#REF!</v>
      </c>
      <c r="E9" s="113" t="str">
        <f>CONCATENATE(2,2)</f>
        <v>22</v>
      </c>
      <c r="F9" s="114" t="str">
        <f t="array" aca="1" ref="F9" ca="1">IF(COUNTIF(Nom,$E9)&gt;0,INDEX(ColRef,SMALL(IF(Nom=$E9,ROW(Ref)),1)),)
&amp;IF(COUNTIF(Nom,$E9)&gt;1," et "&amp;INDEX(ColRef,SMALL(IF(Nom=$E9,ROW(Ref)),2)),"")
&amp;IF(COUNTIF(Nom,$E9)&gt;2," et "&amp;INDEX(ColRef,SMALL(IF(Nom=$E9,ROW(Ref)),3)),"")
&amp;IF(COUNTIF(Nom,$E9)&gt;3," et "&amp;INDEX(ColRef,SMALL(IF(Nom=$E9,ROW(Ref)),4)),"")
&amp;IF(COUNTIF(Nom,$E9)&gt;4," et "&amp;INDEX(ColRef,SMALL(IF(Nom=$E9,ROW(Ref)),5)),"")
&amp;IF(COUNTIF(Nom,$E9)&gt;5," et "&amp;INDEX(ColRef,SMALL(IF(Nom=$E9,ROW(Ref)),6)),"")
&amp;IF(COUNTIF(Nom,$E9)&gt;6," et "&amp;INDEX(ColRef,SMALL(IF(Nom=$E9,ROW(Ref)),7)),"")
&amp;IF(COUNTIF(Nom,$E9)&gt;7," et "&amp;INDEX(ColRef,SMALL(IF(Nom=$E9,ROW(Ref)),8)),"")
&amp;IF(COUNTIF(Nom,$E9)&gt;8," et "&amp;INDEX(ColRef,SMALL(IF(Nom=$E9,ROW(Ref)),9)),"")
&amp;IF(COUNTIF(Nom,$E9)&gt;9," et "&amp;INDEX(ColRef,SMALL(IF(Nom=$E9,ROW(Ref)),10)),"")
&amp;IF(COUNTIF(Nom,$E9)&gt;10," et "&amp;INDEX(ColRef,SMALL(IF(Nom=$E9,ROW(Ref)),11)),"")
&amp;IF(COUNTIF(Nom,$E9)&gt;11," et "&amp;INDEX(ColRef,SMALL(IF(Nom=$E9,ROW(Ref)),12)),"")
&amp;IF(COUNTIF(Nom,$E9)&gt;12," et "&amp;INDEX(ColRef,SMALL(IF(Nom=$E9,ROW(Ref)),13)),"")
&amp;IF(COUNTIF(Nom,$E9)&gt;13," et "&amp;INDEX(ColRef,SMALL(IF(Nom=$E9,ROW(Ref)),14)),"")
&amp;IF(COUNTIF(Nom,$E9)&gt;14," et "&amp;INDEX(ColRef,SMALL(IF(Nom=$E9,ROW(Ref)),15)),"")
&amp;IF(COUNTIF(Nom,$E9)&gt;15," et "&amp;INDEX(ColRef,SMALL(IF(Nom=$E9,ROW(Ref)),16)),"")</f>
        <v/>
      </c>
    </row>
    <row r="10" spans="2:7" x14ac:dyDescent="0.2">
      <c r="B10" s="109" t="e">
        <f>IF(Matrice!#REF!&lt;&gt;"",Matrice!#REF!,"")</f>
        <v>#REF!</v>
      </c>
      <c r="C10" s="112" t="e">
        <f>CONCATENATE(Matrice!#REF!,Matrice!#REF!)</f>
        <v>#REF!</v>
      </c>
      <c r="E10" s="113" t="str">
        <f>CONCATENATE(2,3)</f>
        <v>23</v>
      </c>
      <c r="F10" s="114" t="str">
        <f t="array" aca="1" ref="F10" ca="1">IF(COUNTIF(Nom,$E10)&gt;0,INDEX(ColRef,SMALL(IF(Nom=$E10,ROW(Ref)),1)),)
&amp;IF(COUNTIF(Nom,$E10)&gt;1," et "&amp;INDEX(ColRef,SMALL(IF(Nom=$E10,ROW(Ref)),2)),"")
&amp;IF(COUNTIF(Nom,$E10)&gt;2," et "&amp;INDEX(ColRef,SMALL(IF(Nom=$E10,ROW(Ref)),3)),"")
&amp;IF(COUNTIF(Nom,$E10)&gt;3," et "&amp;INDEX(ColRef,SMALL(IF(Nom=$E10,ROW(Ref)),4)),"")
&amp;IF(COUNTIF(Nom,$E10)&gt;4," et "&amp;INDEX(ColRef,SMALL(IF(Nom=$E10,ROW(Ref)),5)),"")
&amp;IF(COUNTIF(Nom,$E10)&gt;5," et "&amp;INDEX(ColRef,SMALL(IF(Nom=$E10,ROW(Ref)),6)),"")
&amp;IF(COUNTIF(Nom,$E10)&gt;6," et "&amp;INDEX(ColRef,SMALL(IF(Nom=$E10,ROW(Ref)),7)),"")
&amp;IF(COUNTIF(Nom,$E10)&gt;7," et "&amp;INDEX(ColRef,SMALL(IF(Nom=$E10,ROW(Ref)),8)),"")
&amp;IF(COUNTIF(Nom,$E10)&gt;8," et "&amp;INDEX(ColRef,SMALL(IF(Nom=$E10,ROW(Ref)),9)),"")
&amp;IF(COUNTIF(Nom,$E10)&gt;9," et "&amp;INDEX(ColRef,SMALL(IF(Nom=$E10,ROW(Ref)),10)),"")
&amp;IF(COUNTIF(Nom,$E10)&gt;10," et "&amp;INDEX(ColRef,SMALL(IF(Nom=$E10,ROW(Ref)),11)),"")
&amp;IF(COUNTIF(Nom,$E10)&gt;11," et "&amp;INDEX(ColRef,SMALL(IF(Nom=$E10,ROW(Ref)),12)),"")
&amp;IF(COUNTIF(Nom,$E10)&gt;12," et "&amp;INDEX(ColRef,SMALL(IF(Nom=$E10,ROW(Ref)),13)),"")
&amp;IF(COUNTIF(Nom,$E10)&gt;13," et "&amp;INDEX(ColRef,SMALL(IF(Nom=$E10,ROW(Ref)),14)),"")
&amp;IF(COUNTIF(Nom,$E10)&gt;14," et "&amp;INDEX(ColRef,SMALL(IF(Nom=$E10,ROW(Ref)),15)),"")
&amp;IF(COUNTIF(Nom,$E10)&gt;15," et "&amp;INDEX(ColRef,SMALL(IF(Nom=$E10,ROW(Ref)),16)),"")</f>
        <v/>
      </c>
    </row>
    <row r="11" spans="2:7" x14ac:dyDescent="0.2">
      <c r="B11" s="109" t="e">
        <f>IF(Matrice!#REF!&lt;&gt;"",Matrice!#REF!,"")</f>
        <v>#REF!</v>
      </c>
      <c r="C11" s="112" t="e">
        <f>CONCATENATE(Matrice!#REF!,Matrice!#REF!)</f>
        <v>#REF!</v>
      </c>
      <c r="D11" s="115"/>
      <c r="E11" s="113" t="str">
        <f>CONCATENATE(2,4)</f>
        <v>24</v>
      </c>
      <c r="F11" s="114" t="str">
        <f t="array" aca="1" ref="F11" ca="1">IF(COUNTIF(Nom,$E11)&gt;0,INDEX(ColRef,SMALL(IF(Nom=$E11,ROW(Ref)),1)),)
&amp;IF(COUNTIF(Nom,$E11)&gt;1," et "&amp;INDEX(ColRef,SMALL(IF(Nom=$E11,ROW(Ref)),2)),"")
&amp;IF(COUNTIF(Nom,$E11)&gt;2," et "&amp;INDEX(ColRef,SMALL(IF(Nom=$E11,ROW(Ref)),3)),"")
&amp;IF(COUNTIF(Nom,$E11)&gt;3," et "&amp;INDEX(ColRef,SMALL(IF(Nom=$E11,ROW(Ref)),4)),"")
&amp;IF(COUNTIF(Nom,$E11)&gt;4," et "&amp;INDEX(ColRef,SMALL(IF(Nom=$E11,ROW(Ref)),5)),"")
&amp;IF(COUNTIF(Nom,$E11)&gt;5," et "&amp;INDEX(ColRef,SMALL(IF(Nom=$E11,ROW(Ref)),6)),"")
&amp;IF(COUNTIF(Nom,$E11)&gt;6," et "&amp;INDEX(ColRef,SMALL(IF(Nom=$E11,ROW(Ref)),7)),"")
&amp;IF(COUNTIF(Nom,$E11)&gt;7," et "&amp;INDEX(ColRef,SMALL(IF(Nom=$E11,ROW(Ref)),8)),"")
&amp;IF(COUNTIF(Nom,$E11)&gt;8," et "&amp;INDEX(ColRef,SMALL(IF(Nom=$E11,ROW(Ref)),9)),"")
&amp;IF(COUNTIF(Nom,$E11)&gt;9," et "&amp;INDEX(ColRef,SMALL(IF(Nom=$E11,ROW(Ref)),10)),"")
&amp;IF(COUNTIF(Nom,$E11)&gt;10," et "&amp;INDEX(ColRef,SMALL(IF(Nom=$E11,ROW(Ref)),11)),"")
&amp;IF(COUNTIF(Nom,$E11)&gt;11," et "&amp;INDEX(ColRef,SMALL(IF(Nom=$E11,ROW(Ref)),12)),"")
&amp;IF(COUNTIF(Nom,$E11)&gt;12," et "&amp;INDEX(ColRef,SMALL(IF(Nom=$E11,ROW(Ref)),13)),"")
&amp;IF(COUNTIF(Nom,$E11)&gt;13," et "&amp;INDEX(ColRef,SMALL(IF(Nom=$E11,ROW(Ref)),14)),"")
&amp;IF(COUNTIF(Nom,$E11)&gt;14," et "&amp;INDEX(ColRef,SMALL(IF(Nom=$E11,ROW(Ref)),15)),"")
&amp;IF(COUNTIF(Nom,$E11)&gt;15," et "&amp;INDEX(ColRef,SMALL(IF(Nom=$E11,ROW(Ref)),16)),"")</f>
        <v/>
      </c>
      <c r="G11" s="116"/>
    </row>
    <row r="12" spans="2:7" x14ac:dyDescent="0.2">
      <c r="B12" s="109" t="e">
        <f>IF(Matrice!#REF!&lt;&gt;"",Matrice!#REF!,"")</f>
        <v>#REF!</v>
      </c>
      <c r="C12" s="112" t="e">
        <f>CONCATENATE(Matrice!#REF!,Matrice!#REF!)</f>
        <v>#REF!</v>
      </c>
      <c r="E12" s="113" t="str">
        <f>CONCATENATE(2,5)</f>
        <v>25</v>
      </c>
      <c r="F12" s="114" t="str">
        <f t="array" aca="1" ref="F12" ca="1">IF(COUNTIF(Nom,$E12)&gt;0,INDEX(ColRef,SMALL(IF(Nom=$E12,ROW(Ref)),1)),)
&amp;IF(COUNTIF(Nom,$E12)&gt;1," et "&amp;INDEX(ColRef,SMALL(IF(Nom=$E12,ROW(Ref)),2)),"")
&amp;IF(COUNTIF(Nom,$E12)&gt;2," et "&amp;INDEX(ColRef,SMALL(IF(Nom=$E12,ROW(Ref)),3)),"")
&amp;IF(COUNTIF(Nom,$E12)&gt;3," et "&amp;INDEX(ColRef,SMALL(IF(Nom=$E12,ROW(Ref)),4)),"")
&amp;IF(COUNTIF(Nom,$E12)&gt;4," et "&amp;INDEX(ColRef,SMALL(IF(Nom=$E12,ROW(Ref)),5)),"")
&amp;IF(COUNTIF(Nom,$E12)&gt;5," et "&amp;INDEX(ColRef,SMALL(IF(Nom=$E12,ROW(Ref)),6)),"")
&amp;IF(COUNTIF(Nom,$E12)&gt;6," et "&amp;INDEX(ColRef,SMALL(IF(Nom=$E12,ROW(Ref)),7)),"")
&amp;IF(COUNTIF(Nom,$E12)&gt;7," et "&amp;INDEX(ColRef,SMALL(IF(Nom=$E12,ROW(Ref)),8)),"")
&amp;IF(COUNTIF(Nom,$E12)&gt;8," et "&amp;INDEX(ColRef,SMALL(IF(Nom=$E12,ROW(Ref)),9)),"")
&amp;IF(COUNTIF(Nom,$E12)&gt;9," et "&amp;INDEX(ColRef,SMALL(IF(Nom=$E12,ROW(Ref)),10)),"")
&amp;IF(COUNTIF(Nom,$E12)&gt;10," et "&amp;INDEX(ColRef,SMALL(IF(Nom=$E12,ROW(Ref)),11)),"")
&amp;IF(COUNTIF(Nom,$E12)&gt;11," et "&amp;INDEX(ColRef,SMALL(IF(Nom=$E12,ROW(Ref)),12)),"")
&amp;IF(COUNTIF(Nom,$E12)&gt;12," et "&amp;INDEX(ColRef,SMALL(IF(Nom=$E12,ROW(Ref)),13)),"")
&amp;IF(COUNTIF(Nom,$E12)&gt;13," et "&amp;INDEX(ColRef,SMALL(IF(Nom=$E12,ROW(Ref)),14)),"")
&amp;IF(COUNTIF(Nom,$E12)&gt;14," et "&amp;INDEX(ColRef,SMALL(IF(Nom=$E12,ROW(Ref)),15)),"")
&amp;IF(COUNTIF(Nom,$E12)&gt;15," et "&amp;INDEX(ColRef,SMALL(IF(Nom=$E12,ROW(Ref)),16)),"")</f>
        <v/>
      </c>
    </row>
    <row r="13" spans="2:7" x14ac:dyDescent="0.2">
      <c r="B13" s="109" t="e">
        <f>IF(Matrice!#REF!&lt;&gt;"",Matrice!#REF!,"")</f>
        <v>#REF!</v>
      </c>
      <c r="C13" s="112" t="e">
        <f>CONCATENATE(Matrice!#REF!,Matrice!#REF!)</f>
        <v>#REF!</v>
      </c>
      <c r="D13" s="117"/>
      <c r="E13" s="113" t="str">
        <f>CONCATENATE(3,1)</f>
        <v>31</v>
      </c>
      <c r="F13" s="114" t="str">
        <f t="array" aca="1" ref="F13" ca="1">IF(COUNTIF(Nom,$E13)&gt;0,INDEX(ColRef,SMALL(IF(Nom=$E13,ROW(Ref)),1)),)
&amp;IF(COUNTIF(Nom,$E13)&gt;1," et "&amp;INDEX(ColRef,SMALL(IF(Nom=$E13,ROW(Ref)),2)),"")
&amp;IF(COUNTIF(Nom,$E13)&gt;2," et "&amp;INDEX(ColRef,SMALL(IF(Nom=$E13,ROW(Ref)),3)),"")
&amp;IF(COUNTIF(Nom,$E13)&gt;3," et "&amp;INDEX(ColRef,SMALL(IF(Nom=$E13,ROW(Ref)),4)),"")
&amp;IF(COUNTIF(Nom,$E13)&gt;4," et "&amp;INDEX(ColRef,SMALL(IF(Nom=$E13,ROW(Ref)),5)),"")
&amp;IF(COUNTIF(Nom,$E13)&gt;5," et "&amp;INDEX(ColRef,SMALL(IF(Nom=$E13,ROW(Ref)),6)),"")
&amp;IF(COUNTIF(Nom,$E13)&gt;6," et "&amp;INDEX(ColRef,SMALL(IF(Nom=$E13,ROW(Ref)),7)),"")
&amp;IF(COUNTIF(Nom,$E13)&gt;7," et "&amp;INDEX(ColRef,SMALL(IF(Nom=$E13,ROW(Ref)),8)),"")
&amp;IF(COUNTIF(Nom,$E13)&gt;8," et "&amp;INDEX(ColRef,SMALL(IF(Nom=$E13,ROW(Ref)),9)),"")
&amp;IF(COUNTIF(Nom,$E13)&gt;9," et "&amp;INDEX(ColRef,SMALL(IF(Nom=$E13,ROW(Ref)),10)),"")
&amp;IF(COUNTIF(Nom,$E13)&gt;10," et "&amp;INDEX(ColRef,SMALL(IF(Nom=$E13,ROW(Ref)),11)),"")
&amp;IF(COUNTIF(Nom,$E13)&gt;11," et "&amp;INDEX(ColRef,SMALL(IF(Nom=$E13,ROW(Ref)),12)),"")
&amp;IF(COUNTIF(Nom,$E13)&gt;12," et "&amp;INDEX(ColRef,SMALL(IF(Nom=$E13,ROW(Ref)),13)),"")
&amp;IF(COUNTIF(Nom,$E13)&gt;13," et "&amp;INDEX(ColRef,SMALL(IF(Nom=$E13,ROW(Ref)),14)),"")
&amp;IF(COUNTIF(Nom,$E13)&gt;14," et "&amp;INDEX(ColRef,SMALL(IF(Nom=$E13,ROW(Ref)),15)),"")
&amp;IF(COUNTIF(Nom,$E13)&gt;15," et "&amp;INDEX(ColRef,SMALL(IF(Nom=$E13,ROW(Ref)),16)),"")</f>
        <v/>
      </c>
    </row>
    <row r="14" spans="2:7" x14ac:dyDescent="0.2">
      <c r="B14" s="109" t="str">
        <f>IF(Matrice!C29&lt;&gt;"",Matrice!C29,"")</f>
        <v/>
      </c>
      <c r="C14" s="112" t="str">
        <f>CONCATENATE(Matrice!BX29,Matrice!BY29)</f>
        <v/>
      </c>
      <c r="D14" s="117"/>
      <c r="E14" s="113" t="str">
        <f>CONCATENATE(3,2)</f>
        <v>32</v>
      </c>
      <c r="F14" s="114" t="str">
        <f t="array" aca="1" ref="F14" ca="1">IF(COUNTIF(Nom,$E14)&gt;0,INDEX(ColRef,SMALL(IF(Nom=$E14,ROW(Ref)),1)),)
&amp;IF(COUNTIF(Nom,$E14)&gt;1," et "&amp;INDEX(ColRef,SMALL(IF(Nom=$E14,ROW(Ref)),2)),"")
&amp;IF(COUNTIF(Nom,$E14)&gt;2," et "&amp;INDEX(ColRef,SMALL(IF(Nom=$E14,ROW(Ref)),3)),"")
&amp;IF(COUNTIF(Nom,$E14)&gt;3," et "&amp;INDEX(ColRef,SMALL(IF(Nom=$E14,ROW(Ref)),4)),"")
&amp;IF(COUNTIF(Nom,$E14)&gt;4," et "&amp;INDEX(ColRef,SMALL(IF(Nom=$E14,ROW(Ref)),5)),"")
&amp;IF(COUNTIF(Nom,$E14)&gt;5," et "&amp;INDEX(ColRef,SMALL(IF(Nom=$E14,ROW(Ref)),6)),"")
&amp;IF(COUNTIF(Nom,$E14)&gt;6," et "&amp;INDEX(ColRef,SMALL(IF(Nom=$E14,ROW(Ref)),7)),"")
&amp;IF(COUNTIF(Nom,$E14)&gt;7," et "&amp;INDEX(ColRef,SMALL(IF(Nom=$E14,ROW(Ref)),8)),"")
&amp;IF(COUNTIF(Nom,$E14)&gt;8," et "&amp;INDEX(ColRef,SMALL(IF(Nom=$E14,ROW(Ref)),9)),"")
&amp;IF(COUNTIF(Nom,$E14)&gt;9," et "&amp;INDEX(ColRef,SMALL(IF(Nom=$E14,ROW(Ref)),10)),"")
&amp;IF(COUNTIF(Nom,$E14)&gt;10," et "&amp;INDEX(ColRef,SMALL(IF(Nom=$E14,ROW(Ref)),11)),"")
&amp;IF(COUNTIF(Nom,$E14)&gt;11," et "&amp;INDEX(ColRef,SMALL(IF(Nom=$E14,ROW(Ref)),12)),"")
&amp;IF(COUNTIF(Nom,$E14)&gt;12," et "&amp;INDEX(ColRef,SMALL(IF(Nom=$E14,ROW(Ref)),13)),"")
&amp;IF(COUNTIF(Nom,$E14)&gt;13," et "&amp;INDEX(ColRef,SMALL(IF(Nom=$E14,ROW(Ref)),14)),"")
&amp;IF(COUNTIF(Nom,$E14)&gt;14," et "&amp;INDEX(ColRef,SMALL(IF(Nom=$E14,ROW(Ref)),15)),"")
&amp;IF(COUNTIF(Nom,$E14)&gt;15," et "&amp;INDEX(ColRef,SMALL(IF(Nom=$E14,ROW(Ref)),16)),"")</f>
        <v/>
      </c>
    </row>
    <row r="15" spans="2:7" x14ac:dyDescent="0.2">
      <c r="B15" s="109" t="str">
        <f>IF(Matrice!C30&lt;&gt;"",Matrice!C30,"")</f>
        <v/>
      </c>
      <c r="C15" s="112" t="str">
        <f>CONCATENATE(Matrice!BX30,Matrice!BY30)</f>
        <v/>
      </c>
      <c r="E15" s="113" t="str">
        <f>CONCATENATE(3,3)</f>
        <v>33</v>
      </c>
      <c r="F15" s="114" t="str">
        <f t="array" aca="1" ref="F15" ca="1">IF(COUNTIF(Nom,$E15)&gt;0,INDEX(ColRef,SMALL(IF(Nom=$E15,ROW(Ref)),1)),)
&amp;IF(COUNTIF(Nom,$E15)&gt;1," et "&amp;INDEX(ColRef,SMALL(IF(Nom=$E15,ROW(Ref)),2)),"")
&amp;IF(COUNTIF(Nom,$E15)&gt;2," et "&amp;INDEX(ColRef,SMALL(IF(Nom=$E15,ROW(Ref)),3)),"")
&amp;IF(COUNTIF(Nom,$E15)&gt;3," et "&amp;INDEX(ColRef,SMALL(IF(Nom=$E15,ROW(Ref)),4)),"")
&amp;IF(COUNTIF(Nom,$E15)&gt;4," et "&amp;INDEX(ColRef,SMALL(IF(Nom=$E15,ROW(Ref)),5)),"")
&amp;IF(COUNTIF(Nom,$E15)&gt;5," et "&amp;INDEX(ColRef,SMALL(IF(Nom=$E15,ROW(Ref)),6)),"")
&amp;IF(COUNTIF(Nom,$E15)&gt;6," et "&amp;INDEX(ColRef,SMALL(IF(Nom=$E15,ROW(Ref)),7)),"")
&amp;IF(COUNTIF(Nom,$E15)&gt;7," et "&amp;INDEX(ColRef,SMALL(IF(Nom=$E15,ROW(Ref)),8)),"")
&amp;IF(COUNTIF(Nom,$E15)&gt;8," et "&amp;INDEX(ColRef,SMALL(IF(Nom=$E15,ROW(Ref)),9)),"")
&amp;IF(COUNTIF(Nom,$E15)&gt;9," et "&amp;INDEX(ColRef,SMALL(IF(Nom=$E15,ROW(Ref)),10)),"")
&amp;IF(COUNTIF(Nom,$E15)&gt;10," et "&amp;INDEX(ColRef,SMALL(IF(Nom=$E15,ROW(Ref)),11)),"")
&amp;IF(COUNTIF(Nom,$E15)&gt;11," et "&amp;INDEX(ColRef,SMALL(IF(Nom=$E15,ROW(Ref)),12)),"")
&amp;IF(COUNTIF(Nom,$E15)&gt;12," et "&amp;INDEX(ColRef,SMALL(IF(Nom=$E15,ROW(Ref)),13)),"")
&amp;IF(COUNTIF(Nom,$E15)&gt;13," et "&amp;INDEX(ColRef,SMALL(IF(Nom=$E15,ROW(Ref)),14)),"")
&amp;IF(COUNTIF(Nom,$E15)&gt;14," et "&amp;INDEX(ColRef,SMALL(IF(Nom=$E15,ROW(Ref)),15)),"")
&amp;IF(COUNTIF(Nom,$E15)&gt;15," et "&amp;INDEX(ColRef,SMALL(IF(Nom=$E15,ROW(Ref)),16)),"")</f>
        <v/>
      </c>
    </row>
    <row r="16" spans="2:7" x14ac:dyDescent="0.2">
      <c r="B16" s="109" t="e">
        <f>IF(Matrice!#REF!&lt;&gt;"",Matrice!#REF!,"")</f>
        <v>#REF!</v>
      </c>
      <c r="C16" s="112" t="e">
        <f>CONCATENATE(Matrice!#REF!,Matrice!#REF!)</f>
        <v>#REF!</v>
      </c>
      <c r="E16" s="113" t="str">
        <f>CONCATENATE(3,5)</f>
        <v>35</v>
      </c>
      <c r="F16" s="114" t="str">
        <f t="array" aca="1" ref="F16" ca="1">IF(COUNTIF(Nom,$E16)&gt;0,INDEX(ColRef,SMALL(IF(Nom=$E16,ROW(Ref)),1)),)
&amp;IF(COUNTIF(Nom,$E16)&gt;1," et "&amp;INDEX(ColRef,SMALL(IF(Nom=$E16,ROW(Ref)),2)),"")
&amp;IF(COUNTIF(Nom,$E16)&gt;2," et "&amp;INDEX(ColRef,SMALL(IF(Nom=$E16,ROW(Ref)),3)),"")
&amp;IF(COUNTIF(Nom,$E16)&gt;3," et "&amp;INDEX(ColRef,SMALL(IF(Nom=$E16,ROW(Ref)),4)),"")
&amp;IF(COUNTIF(Nom,$E16)&gt;4," et "&amp;INDEX(ColRef,SMALL(IF(Nom=$E16,ROW(Ref)),5)),"")
&amp;IF(COUNTIF(Nom,$E16)&gt;5," et "&amp;INDEX(ColRef,SMALL(IF(Nom=$E16,ROW(Ref)),6)),"")
&amp;IF(COUNTIF(Nom,$E16)&gt;6," et "&amp;INDEX(ColRef,SMALL(IF(Nom=$E16,ROW(Ref)),7)),"")
&amp;IF(COUNTIF(Nom,$E16)&gt;7," et "&amp;INDEX(ColRef,SMALL(IF(Nom=$E16,ROW(Ref)),8)),"")
&amp;IF(COUNTIF(Nom,$E16)&gt;8," et "&amp;INDEX(ColRef,SMALL(IF(Nom=$E16,ROW(Ref)),9)),"")
&amp;IF(COUNTIF(Nom,$E16)&gt;9," et "&amp;INDEX(ColRef,SMALL(IF(Nom=$E16,ROW(Ref)),10)),"")
&amp;IF(COUNTIF(Nom,$E16)&gt;10," et "&amp;INDEX(ColRef,SMALL(IF(Nom=$E16,ROW(Ref)),11)),"")
&amp;IF(COUNTIF(Nom,$E16)&gt;11," et "&amp;INDEX(ColRef,SMALL(IF(Nom=$E16,ROW(Ref)),12)),"")
&amp;IF(COUNTIF(Nom,$E16)&gt;12," et "&amp;INDEX(ColRef,SMALL(IF(Nom=$E16,ROW(Ref)),13)),"")
&amp;IF(COUNTIF(Nom,$E16)&gt;13," et "&amp;INDEX(ColRef,SMALL(IF(Nom=$E16,ROW(Ref)),14)),"")
&amp;IF(COUNTIF(Nom,$E16)&gt;14," et "&amp;INDEX(ColRef,SMALL(IF(Nom=$E16,ROW(Ref)),15)),"")
&amp;IF(COUNTIF(Nom,$E16)&gt;15," et "&amp;INDEX(ColRef,SMALL(IF(Nom=$E16,ROW(Ref)),16)),"")</f>
        <v/>
      </c>
    </row>
    <row r="17" spans="2:6" x14ac:dyDescent="0.2">
      <c r="B17" s="109" t="e">
        <f>IF(Matrice!#REF!&lt;&gt;"",Matrice!#REF!,"")</f>
        <v>#REF!</v>
      </c>
      <c r="C17" s="112" t="e">
        <f>CONCATENATE(Matrice!#REF!,Matrice!#REF!)</f>
        <v>#REF!</v>
      </c>
      <c r="E17" s="113" t="str">
        <f>CONCATENATE(3,4)</f>
        <v>34</v>
      </c>
      <c r="F17" s="114" t="str">
        <f t="array" aca="1" ref="F17" ca="1">IF(COUNTIF(Nom,$E17)&gt;0,INDEX(ColRef,SMALL(IF(Nom=$E17,ROW(Ref)),1)),)
&amp;IF(COUNTIF(Nom,$E17)&gt;1," et "&amp;INDEX(ColRef,SMALL(IF(Nom=$E17,ROW(Ref)),2)),"")
&amp;IF(COUNTIF(Nom,$E17)&gt;2," et "&amp;INDEX(ColRef,SMALL(IF(Nom=$E17,ROW(Ref)),3)),"")
&amp;IF(COUNTIF(Nom,$E17)&gt;3," et "&amp;INDEX(ColRef,SMALL(IF(Nom=$E17,ROW(Ref)),4)),"")
&amp;IF(COUNTIF(Nom,$E17)&gt;4," et "&amp;INDEX(ColRef,SMALL(IF(Nom=$E17,ROW(Ref)),5)),"")
&amp;IF(COUNTIF(Nom,$E17)&gt;5," et "&amp;INDEX(ColRef,SMALL(IF(Nom=$E17,ROW(Ref)),6)),"")
&amp;IF(COUNTIF(Nom,$E17)&gt;6," et "&amp;INDEX(ColRef,SMALL(IF(Nom=$E17,ROW(Ref)),7)),"")
&amp;IF(COUNTIF(Nom,$E17)&gt;7," et "&amp;INDEX(ColRef,SMALL(IF(Nom=$E17,ROW(Ref)),8)),"")
&amp;IF(COUNTIF(Nom,$E17)&gt;8," et "&amp;INDEX(ColRef,SMALL(IF(Nom=$E17,ROW(Ref)),9)),"")
&amp;IF(COUNTIF(Nom,$E17)&gt;9," et "&amp;INDEX(ColRef,SMALL(IF(Nom=$E17,ROW(Ref)),10)),"")
&amp;IF(COUNTIF(Nom,$E17)&gt;10," et "&amp;INDEX(ColRef,SMALL(IF(Nom=$E17,ROW(Ref)),11)),"")
&amp;IF(COUNTIF(Nom,$E17)&gt;11," et "&amp;INDEX(ColRef,SMALL(IF(Nom=$E17,ROW(Ref)),12)),"")
&amp;IF(COUNTIF(Nom,$E17)&gt;12," et "&amp;INDEX(ColRef,SMALL(IF(Nom=$E17,ROW(Ref)),13)),"")
&amp;IF(COUNTIF(Nom,$E17)&gt;13," et "&amp;INDEX(ColRef,SMALL(IF(Nom=$E17,ROW(Ref)),14)),"")
&amp;IF(COUNTIF(Nom,$E17)&gt;14," et "&amp;INDEX(ColRef,SMALL(IF(Nom=$E17,ROW(Ref)),15)),"")
&amp;IF(COUNTIF(Nom,$E17)&gt;15," et "&amp;INDEX(ColRef,SMALL(IF(Nom=$E17,ROW(Ref)),16)),"")</f>
        <v/>
      </c>
    </row>
    <row r="18" spans="2:6" x14ac:dyDescent="0.2">
      <c r="B18" s="109" t="e">
        <f>IF(Matrice!#REF!&lt;&gt;"",Matrice!#REF!,"")</f>
        <v>#REF!</v>
      </c>
      <c r="C18" s="112" t="e">
        <f>CONCATENATE(Matrice!#REF!,Matrice!#REF!)</f>
        <v>#REF!</v>
      </c>
      <c r="E18" s="113" t="str">
        <f>CONCATENATE(4,1)</f>
        <v>41</v>
      </c>
      <c r="F18" s="114" t="str">
        <f t="array" aca="1" ref="F18" ca="1">IF(COUNTIF(Nom,$E18)&gt;0,INDEX(ColRef,SMALL(IF(Nom=$E18,ROW(Ref)),1)),)
&amp;IF(COUNTIF(Nom,$E18)&gt;1," et "&amp;INDEX(ColRef,SMALL(IF(Nom=$E18,ROW(Ref)),2)),"")
&amp;IF(COUNTIF(Nom,$E18)&gt;2," et "&amp;INDEX(ColRef,SMALL(IF(Nom=$E18,ROW(Ref)),3)),"")
&amp;IF(COUNTIF(Nom,$E18)&gt;3," et "&amp;INDEX(ColRef,SMALL(IF(Nom=$E18,ROW(Ref)),4)),"")
&amp;IF(COUNTIF(Nom,$E18)&gt;4," et "&amp;INDEX(ColRef,SMALL(IF(Nom=$E18,ROW(Ref)),5)),"")
&amp;IF(COUNTIF(Nom,$E18)&gt;5," et "&amp;INDEX(ColRef,SMALL(IF(Nom=$E18,ROW(Ref)),6)),"")
&amp;IF(COUNTIF(Nom,$E18)&gt;6," et "&amp;INDEX(ColRef,SMALL(IF(Nom=$E18,ROW(Ref)),7)),"")
&amp;IF(COUNTIF(Nom,$E18)&gt;7," et "&amp;INDEX(ColRef,SMALL(IF(Nom=$E18,ROW(Ref)),8)),"")
&amp;IF(COUNTIF(Nom,$E18)&gt;8," et "&amp;INDEX(ColRef,SMALL(IF(Nom=$E18,ROW(Ref)),9)),"")
&amp;IF(COUNTIF(Nom,$E18)&gt;9," et "&amp;INDEX(ColRef,SMALL(IF(Nom=$E18,ROW(Ref)),10)),"")
&amp;IF(COUNTIF(Nom,$E18)&gt;10," et "&amp;INDEX(ColRef,SMALL(IF(Nom=$E18,ROW(Ref)),11)),"")
&amp;IF(COUNTIF(Nom,$E18)&gt;11," et "&amp;INDEX(ColRef,SMALL(IF(Nom=$E18,ROW(Ref)),12)),"")
&amp;IF(COUNTIF(Nom,$E18)&gt;12," et "&amp;INDEX(ColRef,SMALL(IF(Nom=$E18,ROW(Ref)),13)),"")
&amp;IF(COUNTIF(Nom,$E18)&gt;13," et "&amp;INDEX(ColRef,SMALL(IF(Nom=$E18,ROW(Ref)),14)),"")
&amp;IF(COUNTIF(Nom,$E18)&gt;14," et "&amp;INDEX(ColRef,SMALL(IF(Nom=$E18,ROW(Ref)),15)),"")
&amp;IF(COUNTIF(Nom,$E18)&gt;15," et "&amp;INDEX(ColRef,SMALL(IF(Nom=$E18,ROW(Ref)),16)),"")</f>
        <v/>
      </c>
    </row>
    <row r="19" spans="2:6" x14ac:dyDescent="0.2">
      <c r="B19" s="109" t="e">
        <f>IF(Matrice!#REF!&lt;&gt;"",Matrice!#REF!,"")</f>
        <v>#REF!</v>
      </c>
      <c r="C19" s="112" t="e">
        <f>CONCATENATE(Matrice!#REF!,Matrice!#REF!)</f>
        <v>#REF!</v>
      </c>
      <c r="E19" s="113" t="str">
        <f>CONCATENATE(4,2)</f>
        <v>42</v>
      </c>
      <c r="F19" s="114" t="str">
        <f t="array" aca="1" ref="F19" ca="1">IF(COUNTIF(Nom,$E19)&gt;0,INDEX(ColRef,SMALL(IF(Nom=$E19,ROW(Ref)),1)),)
&amp;IF(COUNTIF(Nom,$E19)&gt;1," et "&amp;INDEX(ColRef,SMALL(IF(Nom=$E19,ROW(Ref)),2)),"")
&amp;IF(COUNTIF(Nom,$E19)&gt;2," et "&amp;INDEX(ColRef,SMALL(IF(Nom=$E19,ROW(Ref)),3)),"")
&amp;IF(COUNTIF(Nom,$E19)&gt;3," et "&amp;INDEX(ColRef,SMALL(IF(Nom=$E19,ROW(Ref)),4)),"")
&amp;IF(COUNTIF(Nom,$E19)&gt;4," et "&amp;INDEX(ColRef,SMALL(IF(Nom=$E19,ROW(Ref)),5)),"")
&amp;IF(COUNTIF(Nom,$E19)&gt;5," et "&amp;INDEX(ColRef,SMALL(IF(Nom=$E19,ROW(Ref)),6)),"")
&amp;IF(COUNTIF(Nom,$E19)&gt;6," et "&amp;INDEX(ColRef,SMALL(IF(Nom=$E19,ROW(Ref)),7)),"")
&amp;IF(COUNTIF(Nom,$E19)&gt;7," et "&amp;INDEX(ColRef,SMALL(IF(Nom=$E19,ROW(Ref)),8)),"")
&amp;IF(COUNTIF(Nom,$E19)&gt;8," et "&amp;INDEX(ColRef,SMALL(IF(Nom=$E19,ROW(Ref)),9)),"")
&amp;IF(COUNTIF(Nom,$E19)&gt;9," et "&amp;INDEX(ColRef,SMALL(IF(Nom=$E19,ROW(Ref)),10)),"")
&amp;IF(COUNTIF(Nom,$E19)&gt;10," et "&amp;INDEX(ColRef,SMALL(IF(Nom=$E19,ROW(Ref)),11)),"")
&amp;IF(COUNTIF(Nom,$E19)&gt;11," et "&amp;INDEX(ColRef,SMALL(IF(Nom=$E19,ROW(Ref)),12)),"")
&amp;IF(COUNTIF(Nom,$E19)&gt;12," et "&amp;INDEX(ColRef,SMALL(IF(Nom=$E19,ROW(Ref)),13)),"")
&amp;IF(COUNTIF(Nom,$E19)&gt;13," et "&amp;INDEX(ColRef,SMALL(IF(Nom=$E19,ROW(Ref)),14)),"")
&amp;IF(COUNTIF(Nom,$E19)&gt;14," et "&amp;INDEX(ColRef,SMALL(IF(Nom=$E19,ROW(Ref)),15)),"")
&amp;IF(COUNTIF(Nom,$E19)&gt;15," et "&amp;INDEX(ColRef,SMALL(IF(Nom=$E19,ROW(Ref)),16)),"")</f>
        <v/>
      </c>
    </row>
    <row r="20" spans="2:6" x14ac:dyDescent="0.2">
      <c r="B20" s="109" t="e">
        <f>IF(Matrice!#REF!&lt;&gt;"",Matrice!#REF!,"")</f>
        <v>#REF!</v>
      </c>
      <c r="C20" s="112" t="e">
        <f>CONCATENATE(Matrice!#REF!,Matrice!#REF!)</f>
        <v>#REF!</v>
      </c>
      <c r="E20" s="113" t="str">
        <f>CONCATENATE(4,3)</f>
        <v>43</v>
      </c>
      <c r="F20" s="114" t="str">
        <f t="array" aca="1" ref="F20" ca="1">IF(COUNTIF(Nom,$E20)&gt;0,INDEX(ColRef,SMALL(IF(Nom=$E20,ROW(Ref)),1)),)
&amp;IF(COUNTIF(Nom,$E20)&gt;1," et "&amp;INDEX(ColRef,SMALL(IF(Nom=$E20,ROW(Ref)),2)),"")
&amp;IF(COUNTIF(Nom,$E20)&gt;2," et "&amp;INDEX(ColRef,SMALL(IF(Nom=$E20,ROW(Ref)),3)),"")
&amp;IF(COUNTIF(Nom,$E20)&gt;3," et "&amp;INDEX(ColRef,SMALL(IF(Nom=$E20,ROW(Ref)),4)),"")
&amp;IF(COUNTIF(Nom,$E20)&gt;4," et "&amp;INDEX(ColRef,SMALL(IF(Nom=$E20,ROW(Ref)),5)),"")
&amp;IF(COUNTIF(Nom,$E20)&gt;5," et "&amp;INDEX(ColRef,SMALL(IF(Nom=$E20,ROW(Ref)),6)),"")
&amp;IF(COUNTIF(Nom,$E20)&gt;6," et "&amp;INDEX(ColRef,SMALL(IF(Nom=$E20,ROW(Ref)),7)),"")
&amp;IF(COUNTIF(Nom,$E20)&gt;7," et "&amp;INDEX(ColRef,SMALL(IF(Nom=$E20,ROW(Ref)),8)),"")
&amp;IF(COUNTIF(Nom,$E20)&gt;8," et "&amp;INDEX(ColRef,SMALL(IF(Nom=$E20,ROW(Ref)),9)),"")
&amp;IF(COUNTIF(Nom,$E20)&gt;9," et "&amp;INDEX(ColRef,SMALL(IF(Nom=$E20,ROW(Ref)),10)),"")
&amp;IF(COUNTIF(Nom,$E20)&gt;10," et "&amp;INDEX(ColRef,SMALL(IF(Nom=$E20,ROW(Ref)),11)),"")
&amp;IF(COUNTIF(Nom,$E20)&gt;11," et "&amp;INDEX(ColRef,SMALL(IF(Nom=$E20,ROW(Ref)),12)),"")
&amp;IF(COUNTIF(Nom,$E20)&gt;12," et "&amp;INDEX(ColRef,SMALL(IF(Nom=$E20,ROW(Ref)),13)),"")
&amp;IF(COUNTIF(Nom,$E20)&gt;13," et "&amp;INDEX(ColRef,SMALL(IF(Nom=$E20,ROW(Ref)),14)),"")
&amp;IF(COUNTIF(Nom,$E20)&gt;14," et "&amp;INDEX(ColRef,SMALL(IF(Nom=$E20,ROW(Ref)),15)),"")
&amp;IF(COUNTIF(Nom,$E20)&gt;15," et "&amp;INDEX(ColRef,SMALL(IF(Nom=$E20,ROW(Ref)),16)),"")</f>
        <v/>
      </c>
    </row>
    <row r="21" spans="2:6" x14ac:dyDescent="0.2">
      <c r="B21" s="109" t="e">
        <f>IF(Matrice!#REF!&lt;&gt;"",Matrice!#REF!,"")</f>
        <v>#REF!</v>
      </c>
      <c r="C21" s="112" t="e">
        <f>CONCATENATE(Matrice!#REF!,Matrice!#REF!)</f>
        <v>#REF!</v>
      </c>
      <c r="E21" s="113" t="str">
        <f>CONCATENATE(4,4)</f>
        <v>44</v>
      </c>
      <c r="F21" s="114" t="str">
        <f t="array" aca="1" ref="F21" ca="1">IF(COUNTIF(Nom,$E21)&gt;0,INDEX(ColRef,SMALL(IF(Nom=$E21,ROW(Ref)),1)),)
&amp;IF(COUNTIF(Nom,$E21)&gt;1," et "&amp;INDEX(ColRef,SMALL(IF(Nom=$E21,ROW(Ref)),2)),"")
&amp;IF(COUNTIF(Nom,$E21)&gt;2," et "&amp;INDEX(ColRef,SMALL(IF(Nom=$E21,ROW(Ref)),3)),"")
&amp;IF(COUNTIF(Nom,$E21)&gt;3," et "&amp;INDEX(ColRef,SMALL(IF(Nom=$E21,ROW(Ref)),4)),"")
&amp;IF(COUNTIF(Nom,$E21)&gt;4," et "&amp;INDEX(ColRef,SMALL(IF(Nom=$E21,ROW(Ref)),5)),"")
&amp;IF(COUNTIF(Nom,$E21)&gt;5," et "&amp;INDEX(ColRef,SMALL(IF(Nom=$E21,ROW(Ref)),6)),"")
&amp;IF(COUNTIF(Nom,$E21)&gt;6," et "&amp;INDEX(ColRef,SMALL(IF(Nom=$E21,ROW(Ref)),7)),"")
&amp;IF(COUNTIF(Nom,$E21)&gt;7," et "&amp;INDEX(ColRef,SMALL(IF(Nom=$E21,ROW(Ref)),8)),"")
&amp;IF(COUNTIF(Nom,$E21)&gt;8," et "&amp;INDEX(ColRef,SMALL(IF(Nom=$E21,ROW(Ref)),9)),"")
&amp;IF(COUNTIF(Nom,$E21)&gt;9," et "&amp;INDEX(ColRef,SMALL(IF(Nom=$E21,ROW(Ref)),10)),"")
&amp;IF(COUNTIF(Nom,$E21)&gt;10," et "&amp;INDEX(ColRef,SMALL(IF(Nom=$E21,ROW(Ref)),11)),"")
&amp;IF(COUNTIF(Nom,$E21)&gt;11," et "&amp;INDEX(ColRef,SMALL(IF(Nom=$E21,ROW(Ref)),12)),"")
&amp;IF(COUNTIF(Nom,$E21)&gt;12," et "&amp;INDEX(ColRef,SMALL(IF(Nom=$E21,ROW(Ref)),13)),"")
&amp;IF(COUNTIF(Nom,$E21)&gt;13," et "&amp;INDEX(ColRef,SMALL(IF(Nom=$E21,ROW(Ref)),14)),"")
&amp;IF(COUNTIF(Nom,$E21)&gt;14," et "&amp;INDEX(ColRef,SMALL(IF(Nom=$E21,ROW(Ref)),15)),"")
&amp;IF(COUNTIF(Nom,$E21)&gt;15," et "&amp;INDEX(ColRef,SMALL(IF(Nom=$E21,ROW(Ref)),16)),"")</f>
        <v/>
      </c>
    </row>
    <row r="22" spans="2:6" x14ac:dyDescent="0.2">
      <c r="B22" s="109" t="e">
        <f>IF(Matrice!#REF!&lt;&gt;"",Matrice!#REF!,"")</f>
        <v>#REF!</v>
      </c>
      <c r="C22" s="112" t="e">
        <f>CONCATENATE(Matrice!#REF!,Matrice!#REF!)</f>
        <v>#REF!</v>
      </c>
      <c r="E22" s="113" t="str">
        <f>CONCATENATE(4,5)</f>
        <v>45</v>
      </c>
      <c r="F22" s="114" t="str">
        <f t="array" aca="1" ref="F22" ca="1">IF(COUNTIF(Nom,$E22)&gt;0,INDEX(ColRef,SMALL(IF(Nom=$E22,ROW(Ref)),1)),)
&amp;IF(COUNTIF(Nom,$E22)&gt;1," et "&amp;INDEX(ColRef,SMALL(IF(Nom=$E22,ROW(Ref)),2)),"")
&amp;IF(COUNTIF(Nom,$E22)&gt;2," et "&amp;INDEX(ColRef,SMALL(IF(Nom=$E22,ROW(Ref)),3)),"")
&amp;IF(COUNTIF(Nom,$E22)&gt;3," et "&amp;INDEX(ColRef,SMALL(IF(Nom=$E22,ROW(Ref)),4)),"")
&amp;IF(COUNTIF(Nom,$E22)&gt;4," et "&amp;INDEX(ColRef,SMALL(IF(Nom=$E22,ROW(Ref)),5)),"")
&amp;IF(COUNTIF(Nom,$E22)&gt;5," et "&amp;INDEX(ColRef,SMALL(IF(Nom=$E22,ROW(Ref)),6)),"")
&amp;IF(COUNTIF(Nom,$E22)&gt;6," et "&amp;INDEX(ColRef,SMALL(IF(Nom=$E22,ROW(Ref)),7)),"")
&amp;IF(COUNTIF(Nom,$E22)&gt;7," et "&amp;INDEX(ColRef,SMALL(IF(Nom=$E22,ROW(Ref)),8)),"")
&amp;IF(COUNTIF(Nom,$E22)&gt;8," et "&amp;INDEX(ColRef,SMALL(IF(Nom=$E22,ROW(Ref)),9)),"")
&amp;IF(COUNTIF(Nom,$E22)&gt;9," et "&amp;INDEX(ColRef,SMALL(IF(Nom=$E22,ROW(Ref)),10)),"")
&amp;IF(COUNTIF(Nom,$E22)&gt;10," et "&amp;INDEX(ColRef,SMALL(IF(Nom=$E22,ROW(Ref)),11)),"")
&amp;IF(COUNTIF(Nom,$E22)&gt;11," et "&amp;INDEX(ColRef,SMALL(IF(Nom=$E22,ROW(Ref)),12)),"")
&amp;IF(COUNTIF(Nom,$E22)&gt;12," et "&amp;INDEX(ColRef,SMALL(IF(Nom=$E22,ROW(Ref)),13)),"")
&amp;IF(COUNTIF(Nom,$E22)&gt;13," et "&amp;INDEX(ColRef,SMALL(IF(Nom=$E22,ROW(Ref)),14)),"")
&amp;IF(COUNTIF(Nom,$E22)&gt;14," et "&amp;INDEX(ColRef,SMALL(IF(Nom=$E22,ROW(Ref)),15)),"")
&amp;IF(COUNTIF(Nom,$E22)&gt;15," et "&amp;INDEX(ColRef,SMALL(IF(Nom=$E22,ROW(Ref)),16)),"")</f>
        <v/>
      </c>
    </row>
    <row r="23" spans="2:6" x14ac:dyDescent="0.2">
      <c r="B23" s="109" t="e">
        <f>IF(Matrice!#REF!&lt;&gt;"",Matrice!#REF!,"")</f>
        <v>#REF!</v>
      </c>
      <c r="C23" s="112" t="e">
        <f>CONCATENATE(Matrice!#REF!,Matrice!#REF!)</f>
        <v>#REF!</v>
      </c>
      <c r="E23" s="113" t="str">
        <f>CONCATENATE(5,1)</f>
        <v>51</v>
      </c>
      <c r="F23" s="114" t="str">
        <f t="array" aca="1" ref="F23" ca="1">IF(COUNTIF(Nom,$E23)&gt;0,INDEX(ColRef,SMALL(IF(Nom=$E23,ROW(Ref)),1)),)
&amp;IF(COUNTIF(Nom,$E23)&gt;1," et "&amp;INDEX(ColRef,SMALL(IF(Nom=$E23,ROW(Ref)),2)),"")
&amp;IF(COUNTIF(Nom,$E23)&gt;2," et "&amp;INDEX(ColRef,SMALL(IF(Nom=$E23,ROW(Ref)),3)),"")
&amp;IF(COUNTIF(Nom,$E23)&gt;3," et "&amp;INDEX(ColRef,SMALL(IF(Nom=$E23,ROW(Ref)),4)),"")
&amp;IF(COUNTIF(Nom,$E23)&gt;4," et "&amp;INDEX(ColRef,SMALL(IF(Nom=$E23,ROW(Ref)),5)),"")
&amp;IF(COUNTIF(Nom,$E23)&gt;5," et "&amp;INDEX(ColRef,SMALL(IF(Nom=$E23,ROW(Ref)),6)),"")
&amp;IF(COUNTIF(Nom,$E23)&gt;6," et "&amp;INDEX(ColRef,SMALL(IF(Nom=$E23,ROW(Ref)),7)),"")
&amp;IF(COUNTIF(Nom,$E23)&gt;7," et "&amp;INDEX(ColRef,SMALL(IF(Nom=$E23,ROW(Ref)),8)),"")
&amp;IF(COUNTIF(Nom,$E23)&gt;8," et "&amp;INDEX(ColRef,SMALL(IF(Nom=$E23,ROW(Ref)),9)),"")
&amp;IF(COUNTIF(Nom,$E23)&gt;9," et "&amp;INDEX(ColRef,SMALL(IF(Nom=$E23,ROW(Ref)),10)),"")
&amp;IF(COUNTIF(Nom,$E23)&gt;10," et "&amp;INDEX(ColRef,SMALL(IF(Nom=$E23,ROW(Ref)),11)),"")
&amp;IF(COUNTIF(Nom,$E23)&gt;11," et "&amp;INDEX(ColRef,SMALL(IF(Nom=$E23,ROW(Ref)),12)),"")
&amp;IF(COUNTIF(Nom,$E23)&gt;12," et "&amp;INDEX(ColRef,SMALL(IF(Nom=$E23,ROW(Ref)),13)),"")
&amp;IF(COUNTIF(Nom,$E23)&gt;13," et "&amp;INDEX(ColRef,SMALL(IF(Nom=$E23,ROW(Ref)),14)),"")
&amp;IF(COUNTIF(Nom,$E23)&gt;14," et "&amp;INDEX(ColRef,SMALL(IF(Nom=$E23,ROW(Ref)),15)),"")
&amp;IF(COUNTIF(Nom,$E23)&gt;15," et "&amp;INDEX(ColRef,SMALL(IF(Nom=$E23,ROW(Ref)),16)),"")</f>
        <v/>
      </c>
    </row>
    <row r="24" spans="2:6" x14ac:dyDescent="0.2">
      <c r="B24" s="109" t="str">
        <f>IF(Matrice!C31&lt;&gt;"",Matrice!C31,"")</f>
        <v/>
      </c>
      <c r="C24" s="112" t="str">
        <f>CONCATENATE(Matrice!BX31,Matrice!BY31)</f>
        <v/>
      </c>
      <c r="E24" s="113" t="str">
        <f>CONCATENATE(5,2)</f>
        <v>52</v>
      </c>
      <c r="F24" s="114" t="str">
        <f t="array" aca="1" ref="F24" ca="1">IF(COUNTIF(Nom,$E24)&gt;0,INDEX(ColRef,SMALL(IF(Nom=$E24,ROW(Ref)),1)),)
&amp;IF(COUNTIF(Nom,$E24)&gt;1," et "&amp;INDEX(ColRef,SMALL(IF(Nom=$E24,ROW(Ref)),2)),"")
&amp;IF(COUNTIF(Nom,$E24)&gt;2," et "&amp;INDEX(ColRef,SMALL(IF(Nom=$E24,ROW(Ref)),3)),"")
&amp;IF(COUNTIF(Nom,$E24)&gt;3," et "&amp;INDEX(ColRef,SMALL(IF(Nom=$E24,ROW(Ref)),4)),"")
&amp;IF(COUNTIF(Nom,$E24)&gt;4," et "&amp;INDEX(ColRef,SMALL(IF(Nom=$E24,ROW(Ref)),5)),"")
&amp;IF(COUNTIF(Nom,$E24)&gt;5," et "&amp;INDEX(ColRef,SMALL(IF(Nom=$E24,ROW(Ref)),6)),"")
&amp;IF(COUNTIF(Nom,$E24)&gt;6," et "&amp;INDEX(ColRef,SMALL(IF(Nom=$E24,ROW(Ref)),7)),"")
&amp;IF(COUNTIF(Nom,$E24)&gt;7," et "&amp;INDEX(ColRef,SMALL(IF(Nom=$E24,ROW(Ref)),8)),"")
&amp;IF(COUNTIF(Nom,$E24)&gt;8," et "&amp;INDEX(ColRef,SMALL(IF(Nom=$E24,ROW(Ref)),9)),"")
&amp;IF(COUNTIF(Nom,$E24)&gt;9," et "&amp;INDEX(ColRef,SMALL(IF(Nom=$E24,ROW(Ref)),10)),"")
&amp;IF(COUNTIF(Nom,$E24)&gt;10," et "&amp;INDEX(ColRef,SMALL(IF(Nom=$E24,ROW(Ref)),11)),"")
&amp;IF(COUNTIF(Nom,$E24)&gt;11," et "&amp;INDEX(ColRef,SMALL(IF(Nom=$E24,ROW(Ref)),12)),"")
&amp;IF(COUNTIF(Nom,$E24)&gt;12," et "&amp;INDEX(ColRef,SMALL(IF(Nom=$E24,ROW(Ref)),13)),"")
&amp;IF(COUNTIF(Nom,$E24)&gt;13," et "&amp;INDEX(ColRef,SMALL(IF(Nom=$E24,ROW(Ref)),14)),"")
&amp;IF(COUNTIF(Nom,$E24)&gt;14," et "&amp;INDEX(ColRef,SMALL(IF(Nom=$E24,ROW(Ref)),15)),"")
&amp;IF(COUNTIF(Nom,$E24)&gt;15," et "&amp;INDEX(ColRef,SMALL(IF(Nom=$E24,ROW(Ref)),16)),"")</f>
        <v/>
      </c>
    </row>
    <row r="25" spans="2:6" x14ac:dyDescent="0.2">
      <c r="B25" s="109" t="str">
        <f>IF(Matrice!C32&lt;&gt;"",Matrice!C32,"")</f>
        <v/>
      </c>
      <c r="C25" s="112" t="str">
        <f>CONCATENATE(Matrice!BX32,Matrice!BY32)</f>
        <v/>
      </c>
      <c r="E25" s="113" t="str">
        <f>CONCATENATE(5,3)</f>
        <v>53</v>
      </c>
      <c r="F25" s="114" t="str">
        <f t="array" aca="1" ref="F25" ca="1">IF(COUNTIF(Nom,$E25)&gt;0,INDEX(ColRef,SMALL(IF(Nom=$E25,ROW(Ref)),1)),)
&amp;IF(COUNTIF(Nom,$E25)&gt;1," et "&amp;INDEX(ColRef,SMALL(IF(Nom=$E25,ROW(Ref)),2)),"")
&amp;IF(COUNTIF(Nom,$E25)&gt;2," et "&amp;INDEX(ColRef,SMALL(IF(Nom=$E25,ROW(Ref)),3)),"")
&amp;IF(COUNTIF(Nom,$E25)&gt;3," et "&amp;INDEX(ColRef,SMALL(IF(Nom=$E25,ROW(Ref)),4)),"")
&amp;IF(COUNTIF(Nom,$E25)&gt;4," et "&amp;INDEX(ColRef,SMALL(IF(Nom=$E25,ROW(Ref)),5)),"")
&amp;IF(COUNTIF(Nom,$E25)&gt;5," et "&amp;INDEX(ColRef,SMALL(IF(Nom=$E25,ROW(Ref)),6)),"")
&amp;IF(COUNTIF(Nom,$E25)&gt;6," et "&amp;INDEX(ColRef,SMALL(IF(Nom=$E25,ROW(Ref)),7)),"")
&amp;IF(COUNTIF(Nom,$E25)&gt;7," et "&amp;INDEX(ColRef,SMALL(IF(Nom=$E25,ROW(Ref)),8)),"")
&amp;IF(COUNTIF(Nom,$E25)&gt;8," et "&amp;INDEX(ColRef,SMALL(IF(Nom=$E25,ROW(Ref)),9)),"")
&amp;IF(COUNTIF(Nom,$E25)&gt;9," et "&amp;INDEX(ColRef,SMALL(IF(Nom=$E25,ROW(Ref)),10)),"")
&amp;IF(COUNTIF(Nom,$E25)&gt;10," et "&amp;INDEX(ColRef,SMALL(IF(Nom=$E25,ROW(Ref)),11)),"")
&amp;IF(COUNTIF(Nom,$E25)&gt;11," et "&amp;INDEX(ColRef,SMALL(IF(Nom=$E25,ROW(Ref)),12)),"")
&amp;IF(COUNTIF(Nom,$E25)&gt;12," et "&amp;INDEX(ColRef,SMALL(IF(Nom=$E25,ROW(Ref)),13)),"")
&amp;IF(COUNTIF(Nom,$E25)&gt;13," et "&amp;INDEX(ColRef,SMALL(IF(Nom=$E25,ROW(Ref)),14)),"")
&amp;IF(COUNTIF(Nom,$E25)&gt;14," et "&amp;INDEX(ColRef,SMALL(IF(Nom=$E25,ROW(Ref)),15)),"")
&amp;IF(COUNTIF(Nom,$E25)&gt;15," et "&amp;INDEX(ColRef,SMALL(IF(Nom=$E25,ROW(Ref)),16)),"")</f>
        <v/>
      </c>
    </row>
    <row r="26" spans="2:6" x14ac:dyDescent="0.2">
      <c r="B26" s="109" t="e">
        <f>IF(Matrice!#REF!&lt;&gt;"",Matrice!#REF!,"")</f>
        <v>#REF!</v>
      </c>
      <c r="C26" s="112" t="e">
        <f>CONCATENATE(Matrice!#REF!,Matrice!#REF!)</f>
        <v>#REF!</v>
      </c>
      <c r="E26" s="113" t="str">
        <f>CONCATENATE(5,4)</f>
        <v>54</v>
      </c>
      <c r="F26" s="114" t="str">
        <f t="array" aca="1" ref="F26" ca="1">IF(COUNTIF(Nom,$E26)&gt;0,INDEX(ColRef,SMALL(IF(Nom=$E26,ROW(Ref)),1)),)
&amp;IF(COUNTIF(Nom,$E26)&gt;1," et "&amp;INDEX(ColRef,SMALL(IF(Nom=$E26,ROW(Ref)),2)),"")
&amp;IF(COUNTIF(Nom,$E26)&gt;2," et "&amp;INDEX(ColRef,SMALL(IF(Nom=$E26,ROW(Ref)),3)),"")
&amp;IF(COUNTIF(Nom,$E26)&gt;3," et "&amp;INDEX(ColRef,SMALL(IF(Nom=$E26,ROW(Ref)),4)),"")
&amp;IF(COUNTIF(Nom,$E26)&gt;4," et "&amp;INDEX(ColRef,SMALL(IF(Nom=$E26,ROW(Ref)),5)),"")
&amp;IF(COUNTIF(Nom,$E26)&gt;5," et "&amp;INDEX(ColRef,SMALL(IF(Nom=$E26,ROW(Ref)),6)),"")
&amp;IF(COUNTIF(Nom,$E26)&gt;6," et "&amp;INDEX(ColRef,SMALL(IF(Nom=$E26,ROW(Ref)),7)),"")
&amp;IF(COUNTIF(Nom,$E26)&gt;7," et "&amp;INDEX(ColRef,SMALL(IF(Nom=$E26,ROW(Ref)),8)),"")
&amp;IF(COUNTIF(Nom,$E26)&gt;8," et "&amp;INDEX(ColRef,SMALL(IF(Nom=$E26,ROW(Ref)),9)),"")
&amp;IF(COUNTIF(Nom,$E26)&gt;9," et "&amp;INDEX(ColRef,SMALL(IF(Nom=$E26,ROW(Ref)),10)),"")
&amp;IF(COUNTIF(Nom,$E26)&gt;10," et "&amp;INDEX(ColRef,SMALL(IF(Nom=$E26,ROW(Ref)),11)),"")
&amp;IF(COUNTIF(Nom,$E26)&gt;11," et "&amp;INDEX(ColRef,SMALL(IF(Nom=$E26,ROW(Ref)),12)),"")
&amp;IF(COUNTIF(Nom,$E26)&gt;12," et "&amp;INDEX(ColRef,SMALL(IF(Nom=$E26,ROW(Ref)),13)),"")
&amp;IF(COUNTIF(Nom,$E26)&gt;13," et "&amp;INDEX(ColRef,SMALL(IF(Nom=$E26,ROW(Ref)),14)),"")
&amp;IF(COUNTIF(Nom,$E26)&gt;14," et "&amp;INDEX(ColRef,SMALL(IF(Nom=$E26,ROW(Ref)),15)),"")
&amp;IF(COUNTIF(Nom,$E26)&gt;15," et "&amp;INDEX(ColRef,SMALL(IF(Nom=$E26,ROW(Ref)),16)),"")</f>
        <v/>
      </c>
    </row>
    <row r="27" spans="2:6" x14ac:dyDescent="0.2">
      <c r="B27" s="109" t="str">
        <f>IF(Matrice!C33&lt;&gt;"",Matrice!C33,"")</f>
        <v/>
      </c>
      <c r="C27" s="112" t="str">
        <f>CONCATENATE(Matrice!BX33,Matrice!BY33)</f>
        <v/>
      </c>
      <c r="E27" s="113" t="str">
        <f>CONCATENATE(5,5)</f>
        <v>55</v>
      </c>
      <c r="F27" s="114" t="str">
        <f t="array" aca="1" ref="F27" ca="1">IF(COUNTIF(Nom,$E27)&gt;0,INDEX(ColRef,SMALL(IF(Nom=$E27,ROW(Ref)),1)),)
&amp;IF(COUNTIF(Nom,$E27)&gt;1," et "&amp;INDEX(ColRef,SMALL(IF(Nom=$E27,ROW(Ref)),2)),"")
&amp;IF(COUNTIF(Nom,$E27)&gt;2," et "&amp;INDEX(ColRef,SMALL(IF(Nom=$E27,ROW(Ref)),3)),"")
&amp;IF(COUNTIF(Nom,$E27)&gt;3," et "&amp;INDEX(ColRef,SMALL(IF(Nom=$E27,ROW(Ref)),4)),"")
&amp;IF(COUNTIF(Nom,$E27)&gt;4," et "&amp;INDEX(ColRef,SMALL(IF(Nom=$E27,ROW(Ref)),5)),"")
&amp;IF(COUNTIF(Nom,$E27)&gt;5," et "&amp;INDEX(ColRef,SMALL(IF(Nom=$E27,ROW(Ref)),6)),"")
&amp;IF(COUNTIF(Nom,$E27)&gt;6," et "&amp;INDEX(ColRef,SMALL(IF(Nom=$E27,ROW(Ref)),7)),"")
&amp;IF(COUNTIF(Nom,$E27)&gt;7," et "&amp;INDEX(ColRef,SMALL(IF(Nom=$E27,ROW(Ref)),8)),"")
&amp;IF(COUNTIF(Nom,$E27)&gt;8," et "&amp;INDEX(ColRef,SMALL(IF(Nom=$E27,ROW(Ref)),9)),"")
&amp;IF(COUNTIF(Nom,$E27)&gt;9," et "&amp;INDEX(ColRef,SMALL(IF(Nom=$E27,ROW(Ref)),10)),"")
&amp;IF(COUNTIF(Nom,$E27)&gt;10," et "&amp;INDEX(ColRef,SMALL(IF(Nom=$E27,ROW(Ref)),11)),"")
&amp;IF(COUNTIF(Nom,$E27)&gt;11," et "&amp;INDEX(ColRef,SMALL(IF(Nom=$E27,ROW(Ref)),12)),"")
&amp;IF(COUNTIF(Nom,$E27)&gt;12," et "&amp;INDEX(ColRef,SMALL(IF(Nom=$E27,ROW(Ref)),13)),"")
&amp;IF(COUNTIF(Nom,$E27)&gt;13," et "&amp;INDEX(ColRef,SMALL(IF(Nom=$E27,ROW(Ref)),14)),"")
&amp;IF(COUNTIF(Nom,$E27)&gt;14," et "&amp;INDEX(ColRef,SMALL(IF(Nom=$E27,ROW(Ref)),15)),"")
&amp;IF(COUNTIF(Nom,$E27)&gt;15," et "&amp;INDEX(ColRef,SMALL(IF(Nom=$E27,ROW(Ref)),16)),"")</f>
        <v/>
      </c>
    </row>
    <row r="28" spans="2:6" x14ac:dyDescent="0.2">
      <c r="B28" s="109" t="str">
        <f>IF(Matrice!C34&lt;&gt;"",Matrice!C34,"")</f>
        <v/>
      </c>
      <c r="C28" s="112" t="str">
        <f>CONCATENATE(Matrice!BX34,Matrice!BY34)</f>
        <v/>
      </c>
    </row>
    <row r="29" spans="2:6" x14ac:dyDescent="0.2">
      <c r="B29" s="109" t="str">
        <f>IF(Matrice!C35&lt;&gt;"",Matrice!C35,"")</f>
        <v/>
      </c>
      <c r="C29" s="112" t="str">
        <f>CONCATENATE(Matrice!BX35,Matrice!BY35)</f>
        <v/>
      </c>
    </row>
    <row r="30" spans="2:6" x14ac:dyDescent="0.2">
      <c r="B30" s="109" t="str">
        <f>IF(Matrice!C36&lt;&gt;"",Matrice!C36,"")</f>
        <v/>
      </c>
      <c r="C30" s="112" t="str">
        <f>CONCATENATE(Matrice!BX36,Matrice!BY36)</f>
        <v/>
      </c>
    </row>
    <row r="31" spans="2:6" x14ac:dyDescent="0.2">
      <c r="B31" s="109" t="str">
        <f>IF(Matrice!C37&lt;&gt;"",Matrice!C37,"")</f>
        <v/>
      </c>
      <c r="C31" s="112" t="str">
        <f>CONCATENATE(Matrice!BX37,Matrice!BY37)</f>
        <v/>
      </c>
    </row>
    <row r="32" spans="2:6" x14ac:dyDescent="0.2">
      <c r="B32" s="109" t="str">
        <f>IF(Matrice!C38&lt;&gt;"",Matrice!C38,"")</f>
        <v/>
      </c>
      <c r="C32" s="112" t="str">
        <f>CONCATENATE(Matrice!BX38,Matrice!BY38)</f>
        <v/>
      </c>
    </row>
    <row r="33" spans="2:3" x14ac:dyDescent="0.2">
      <c r="B33" s="109" t="str">
        <f>IF(Matrice!C39&lt;&gt;"",Matrice!C39,"")</f>
        <v/>
      </c>
      <c r="C33" s="112" t="str">
        <f>CONCATENATE(Matrice!BX39,Matrice!BY39)</f>
        <v/>
      </c>
    </row>
    <row r="34" spans="2:3" x14ac:dyDescent="0.2">
      <c r="B34" s="109" t="str">
        <f>IF(Matrice!C40&lt;&gt;"",Matrice!C40,"")</f>
        <v/>
      </c>
      <c r="C34" s="112" t="str">
        <f>CONCATENATE(Matrice!BX40,Matrice!BY40)</f>
        <v/>
      </c>
    </row>
    <row r="35" spans="2:3" x14ac:dyDescent="0.2">
      <c r="B35" s="109" t="str">
        <f>IF(Matrice!C41&lt;&gt;"",Matrice!C41,"")</f>
        <v/>
      </c>
      <c r="C35" s="112" t="str">
        <f>CONCATENATE(Matrice!BX41,Matrice!BY41)</f>
        <v/>
      </c>
    </row>
    <row r="36" spans="2:3" x14ac:dyDescent="0.2">
      <c r="B36" s="109" t="str">
        <f>IF(Matrice!C42&lt;&gt;"",Matrice!C42,"")</f>
        <v/>
      </c>
      <c r="C36" s="112" t="str">
        <f>CONCATENATE(Matrice!BX42,Matrice!BY42)</f>
        <v/>
      </c>
    </row>
    <row r="37" spans="2:3" x14ac:dyDescent="0.2">
      <c r="B37" s="109" t="str">
        <f>IF(Matrice!C43&lt;&gt;"",Matrice!C43,"")</f>
        <v/>
      </c>
      <c r="C37" s="112" t="str">
        <f>CONCATENATE(Matrice!BX43,Matrice!BY43)</f>
        <v/>
      </c>
    </row>
    <row r="38" spans="2:3" x14ac:dyDescent="0.2">
      <c r="B38" s="109" t="str">
        <f>IF(Matrice!C44&lt;&gt;"",Matrice!C44,"")</f>
        <v/>
      </c>
      <c r="C38" s="112" t="str">
        <f>CONCATENATE(Matrice!BX44,Matrice!BY44)</f>
        <v/>
      </c>
    </row>
    <row r="39" spans="2:3" x14ac:dyDescent="0.2">
      <c r="B39" s="109" t="str">
        <f>IF(Matrice!C45&lt;&gt;"",Matrice!C45,"")</f>
        <v/>
      </c>
      <c r="C39" s="112" t="str">
        <f>CONCATENATE(Matrice!BX45,Matrice!BY45)</f>
        <v/>
      </c>
    </row>
    <row r="40" spans="2:3" x14ac:dyDescent="0.2">
      <c r="B40" s="109" t="str">
        <f>IF(Matrice!C46&lt;&gt;"",Matrice!C46,"")</f>
        <v/>
      </c>
      <c r="C40" s="112" t="str">
        <f>CONCATENATE(Matrice!BX46,Matrice!BY46)</f>
        <v/>
      </c>
    </row>
    <row r="41" spans="2:3" x14ac:dyDescent="0.2">
      <c r="B41" s="109" t="str">
        <f>IF(Matrice!C47&lt;&gt;"",Matrice!C47,"")</f>
        <v/>
      </c>
      <c r="C41" s="112" t="str">
        <f>CONCATENATE(Matrice!BX47,Matrice!BY47)</f>
        <v/>
      </c>
    </row>
    <row r="42" spans="2:3" x14ac:dyDescent="0.2">
      <c r="B42" s="109" t="str">
        <f>IF(Matrice!C48&lt;&gt;"",Matrice!C48,"")</f>
        <v/>
      </c>
      <c r="C42" s="112" t="str">
        <f>CONCATENATE(Matrice!BX48,Matrice!BY48)</f>
        <v/>
      </c>
    </row>
    <row r="43" spans="2:3" x14ac:dyDescent="0.2">
      <c r="B43" s="109" t="str">
        <f>IF(Matrice!C49&lt;&gt;"",Matrice!C49,"")</f>
        <v/>
      </c>
      <c r="C43" s="112" t="str">
        <f>CONCATENATE(Matrice!BX49,Matrice!BY49)</f>
        <v/>
      </c>
    </row>
    <row r="44" spans="2:3" x14ac:dyDescent="0.2">
      <c r="B44" s="109" t="str">
        <f>IF(Matrice!C50&lt;&gt;"",Matrice!C50,"")</f>
        <v/>
      </c>
      <c r="C44" s="112" t="str">
        <f>CONCATENATE(Matrice!BX50,Matrice!BY50)</f>
        <v/>
      </c>
    </row>
    <row r="45" spans="2:3" x14ac:dyDescent="0.2">
      <c r="B45" s="109" t="str">
        <f>IF(Matrice!C51&lt;&gt;"",Matrice!C51,"")</f>
        <v/>
      </c>
      <c r="C45" s="112" t="str">
        <f>CONCATENATE(Matrice!BX51,Matrice!BY51)</f>
        <v/>
      </c>
    </row>
    <row r="46" spans="2:3" x14ac:dyDescent="0.2">
      <c r="B46" s="109" t="str">
        <f>IF(Matrice!C52&lt;&gt;"",Matrice!C52,"")</f>
        <v/>
      </c>
      <c r="C46" s="112" t="str">
        <f>CONCATENATE(Matrice!BX52,Matrice!BY52)</f>
        <v/>
      </c>
    </row>
    <row r="47" spans="2:3" x14ac:dyDescent="0.2">
      <c r="B47" s="109" t="str">
        <f>IF(Matrice!C53&lt;&gt;"",Matrice!C53,"")</f>
        <v/>
      </c>
      <c r="C47" s="112" t="str">
        <f>CONCATENATE(Matrice!BX53,Matrice!BY53)</f>
        <v/>
      </c>
    </row>
    <row r="48" spans="2:3" x14ac:dyDescent="0.2">
      <c r="B48" s="109" t="str">
        <f>IF(Matrice!C54&lt;&gt;"",Matrice!C54,"")</f>
        <v/>
      </c>
      <c r="C48" s="112" t="str">
        <f>CONCATENATE(Matrice!BX54,Matrice!BY54)</f>
        <v/>
      </c>
    </row>
    <row r="49" spans="2:3" x14ac:dyDescent="0.2">
      <c r="B49" s="109" t="str">
        <f>IF(Matrice!C37&lt;&gt;"",Matrice!C37,"")</f>
        <v/>
      </c>
      <c r="C49" s="112" t="str">
        <f>CONCATENATE(Matrice!BX55,Matrice!BY55)</f>
        <v/>
      </c>
    </row>
    <row r="50" spans="2:3" x14ac:dyDescent="0.2">
      <c r="B50" s="109" t="str">
        <f>IF(Matrice!C38&lt;&gt;"",Matrice!C38,"")</f>
        <v/>
      </c>
      <c r="C50" s="112" t="str">
        <f>CONCATENATE(Matrice!BX56,Matrice!BY56)</f>
        <v/>
      </c>
    </row>
    <row r="51" spans="2:3" x14ac:dyDescent="0.2">
      <c r="B51" s="109" t="str">
        <f>IF(Matrice!C39&lt;&gt;"",Matrice!C39,"")</f>
        <v/>
      </c>
      <c r="C51" s="112" t="str">
        <f>CONCATENATE(Matrice!BX57,Matrice!BY57)</f>
        <v/>
      </c>
    </row>
    <row r="52" spans="2:3" x14ac:dyDescent="0.2">
      <c r="B52" s="109" t="str">
        <f>IF(Matrice!C40&lt;&gt;"",Matrice!C40,"")</f>
        <v/>
      </c>
      <c r="C52" s="112" t="str">
        <f>CONCATENATE(Matrice!BX40,Matrice!BY40)</f>
        <v/>
      </c>
    </row>
    <row r="53" spans="2:3" x14ac:dyDescent="0.2">
      <c r="B53" s="109" t="str">
        <f>IF(Matrice!C41&lt;&gt;"",Matrice!C41,"")</f>
        <v/>
      </c>
      <c r="C53" s="112" t="str">
        <f>CONCATENATE(Matrice!BX41,Matrice!BY41)</f>
        <v/>
      </c>
    </row>
    <row r="54" spans="2:3" x14ac:dyDescent="0.2">
      <c r="B54" s="109" t="str">
        <f>IF(Matrice!C42&lt;&gt;"",Matrice!C42,"")</f>
        <v/>
      </c>
      <c r="C54" s="112" t="str">
        <f>CONCATENATE(Matrice!BX42,Matrice!BY42)</f>
        <v/>
      </c>
    </row>
    <row r="55" spans="2:3" x14ac:dyDescent="0.2">
      <c r="B55" s="109" t="str">
        <f>IF(Matrice!C43&lt;&gt;"",Matrice!C43,"")</f>
        <v/>
      </c>
      <c r="C55" s="112" t="str">
        <f>CONCATENATE(Matrice!BX43,Matrice!BY43)</f>
        <v/>
      </c>
    </row>
    <row r="56" spans="2:3" x14ac:dyDescent="0.2">
      <c r="B56" s="109" t="str">
        <f>IF(Matrice!C44&lt;&gt;"",Matrice!C44,"")</f>
        <v/>
      </c>
      <c r="C56" s="112" t="str">
        <f>CONCATENATE(Matrice!BX44,Matrice!BY44)</f>
        <v/>
      </c>
    </row>
    <row r="57" spans="2:3" x14ac:dyDescent="0.2">
      <c r="B57" s="109" t="str">
        <f>IF(Matrice!C45&lt;&gt;"",Matrice!C45,"")</f>
        <v/>
      </c>
      <c r="C57" s="112" t="str">
        <f>CONCATENATE(Matrice!BX45,Matrice!BY45)</f>
        <v/>
      </c>
    </row>
    <row r="58" spans="2:3" x14ac:dyDescent="0.2">
      <c r="B58" s="109" t="str">
        <f>IF(Matrice!C46&lt;&gt;"",Matrice!C46,"")</f>
        <v/>
      </c>
      <c r="C58" s="112" t="str">
        <f>CONCATENATE(Matrice!BX46,Matrice!BY46)</f>
        <v/>
      </c>
    </row>
    <row r="59" spans="2:3" x14ac:dyDescent="0.2">
      <c r="B59" s="109" t="str">
        <f>IF(Matrice!C47&lt;&gt;"",Matrice!C47,"")</f>
        <v/>
      </c>
      <c r="C59" s="112" t="str">
        <f>CONCATENATE(Matrice!BX47,Matrice!BY47)</f>
        <v/>
      </c>
    </row>
    <row r="60" spans="2:3" x14ac:dyDescent="0.2">
      <c r="B60" s="109" t="str">
        <f>IF(Matrice!C48&lt;&gt;"",Matrice!C48,"")</f>
        <v/>
      </c>
      <c r="C60" s="112" t="str">
        <f>CONCATENATE(Matrice!BX48,Matrice!BY48)</f>
        <v/>
      </c>
    </row>
    <row r="61" spans="2:3" x14ac:dyDescent="0.2">
      <c r="B61" s="109" t="str">
        <f>IF(Matrice!C49&lt;&gt;"",Matrice!C49,"")</f>
        <v/>
      </c>
      <c r="C61" s="112" t="str">
        <f>CONCATENATE(Matrice!BX49,Matrice!BY49)</f>
        <v/>
      </c>
    </row>
    <row r="62" spans="2:3" x14ac:dyDescent="0.2">
      <c r="B62" s="109" t="str">
        <f>IF(Matrice!C50&lt;&gt;"",Matrice!C50,"")</f>
        <v/>
      </c>
      <c r="C62" s="112" t="str">
        <f>CONCATENATE(Matrice!BX50,Matrice!BY50)</f>
        <v/>
      </c>
    </row>
    <row r="63" spans="2:3" x14ac:dyDescent="0.2">
      <c r="B63" s="109" t="str">
        <f>IF(Matrice!C51&lt;&gt;"",Matrice!C51,"")</f>
        <v/>
      </c>
      <c r="C63" s="112" t="str">
        <f>CONCATENATE(Matrice!BX51,Matrice!BY51)</f>
        <v/>
      </c>
    </row>
    <row r="64" spans="2:3" x14ac:dyDescent="0.2">
      <c r="B64" s="109" t="str">
        <f>IF(Matrice!C52&lt;&gt;"",Matrice!C52,"")</f>
        <v/>
      </c>
      <c r="C64" s="112" t="str">
        <f>CONCATENATE(Matrice!BX52,Matrice!BY52)</f>
        <v/>
      </c>
    </row>
    <row r="65" spans="2:3" x14ac:dyDescent="0.2">
      <c r="B65" s="109" t="str">
        <f>IF(Matrice!C53&lt;&gt;"",Matrice!C53,"")</f>
        <v/>
      </c>
      <c r="C65" s="112" t="str">
        <f>CONCATENATE(Matrice!BX53,Matrice!BY53)</f>
        <v/>
      </c>
    </row>
    <row r="66" spans="2:3" x14ac:dyDescent="0.2">
      <c r="B66" s="109" t="str">
        <f>IF(Matrice!C54&lt;&gt;"",Matrice!C54,"")</f>
        <v/>
      </c>
      <c r="C66" s="112" t="str">
        <f>CONCATENATE(Matrice!BX54,Matrice!BY54)</f>
        <v/>
      </c>
    </row>
    <row r="67" spans="2:3" x14ac:dyDescent="0.2">
      <c r="B67" s="109" t="str">
        <f>IF(Matrice!C55&lt;&gt;"",Matrice!C55,"")</f>
        <v/>
      </c>
      <c r="C67" s="112" t="str">
        <f>CONCATENATE(Matrice!BX55,Matrice!BY55)</f>
        <v/>
      </c>
    </row>
    <row r="68" spans="2:3" x14ac:dyDescent="0.2">
      <c r="B68" s="109" t="str">
        <f>IF(Matrice!C56&lt;&gt;"",Matrice!C56,"")</f>
        <v/>
      </c>
      <c r="C68" s="112" t="str">
        <f>CONCATENATE(Matrice!BX56,Matrice!BY56)</f>
        <v/>
      </c>
    </row>
    <row r="69" spans="2:3" x14ac:dyDescent="0.2">
      <c r="B69" s="109" t="str">
        <f>IF(Matrice!C57&lt;&gt;"",Matrice!C57,"")</f>
        <v/>
      </c>
      <c r="C69" s="112" t="str">
        <f>CONCATENATE(Matrice!J57,Matrice!O57)</f>
        <v/>
      </c>
    </row>
    <row r="70" spans="2:3" x14ac:dyDescent="0.2">
      <c r="B70" s="109" t="str">
        <f>IF(Matrice!C58&lt;&gt;"",Matrice!C58,"")</f>
        <v/>
      </c>
      <c r="C70" s="112" t="str">
        <f>CONCATENATE(Matrice!J58,Matrice!O58)</f>
        <v/>
      </c>
    </row>
    <row r="71" spans="2:3" x14ac:dyDescent="0.2">
      <c r="B71" s="109" t="str">
        <f>IF(Matrice!C59&lt;&gt;"",Matrice!C59,"")</f>
        <v/>
      </c>
      <c r="C71" s="112" t="str">
        <f>CONCATENATE(Matrice!J59,Matrice!O59)</f>
        <v/>
      </c>
    </row>
    <row r="72" spans="2:3" x14ac:dyDescent="0.2">
      <c r="B72" s="109"/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Tableau de bord</vt:lpstr>
      <vt:lpstr>Risques</vt:lpstr>
      <vt:lpstr>Fiches risques</vt:lpstr>
      <vt:lpstr>Actions de maîtrise</vt:lpstr>
      <vt:lpstr>Plan d'actions détaillé</vt:lpstr>
      <vt:lpstr>Matrice</vt:lpstr>
      <vt:lpstr>Listes</vt:lpstr>
      <vt:lpstr>Matrices Risques</vt:lpstr>
      <vt:lpstr>Feuil1 (2)</vt:lpstr>
      <vt:lpstr>Feuil1 (3)</vt:lpstr>
      <vt:lpstr>'Actions de maîtrise'!Zone_d_impression</vt:lpstr>
      <vt:lpstr>'Fiches risques'!Zone_d_impression</vt:lpstr>
      <vt:lpstr>Matrice!Zone_d_impression</vt:lpstr>
      <vt:lpstr>'Matrices Risques'!Zone_d_impression</vt:lpstr>
      <vt:lpstr>'Plan d''actions détaillé'!Zone_d_impression</vt:lpstr>
      <vt:lpstr>Risques!Zone_d_impression</vt:lpstr>
      <vt:lpstr>'Tableau de bord'!Zone_d_impression</vt:lpstr>
    </vt:vector>
  </TitlesOfParts>
  <Manager>Lucie.DARC.ext@viasante.fr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Lucie.DARC.ext@viasante.fr</dc:creator>
  <cp:lastModifiedBy>Lucie DARC (EXTERNE)</cp:lastModifiedBy>
  <cp:lastPrinted>2016-06-03T14:00:28Z</cp:lastPrinted>
  <dcterms:created xsi:type="dcterms:W3CDTF">2015-04-20T13:43:42Z</dcterms:created>
  <dcterms:modified xsi:type="dcterms:W3CDTF">2016-06-04T09:07:37Z</dcterms:modified>
</cp:coreProperties>
</file>