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ssan Bouzahzah\Desktop\Datas\5_Base de données\Base de données minéralogique\Propritétés optiques des minéraux-Pour EMERALD 2022\forum Excel\"/>
    </mc:Choice>
  </mc:AlternateContent>
  <xr:revisionPtr revIDLastSave="0" documentId="13_ncr:1_{E15ED1BB-1F84-4694-A338-D9746DFED69E}" xr6:coauthVersionLast="45" xr6:coauthVersionMax="45" xr10:uidLastSave="{00000000-0000-0000-0000-000000000000}"/>
  <bookViews>
    <workbookView xWindow="-108" yWindow="-108" windowWidth="23256" windowHeight="12600" activeTab="2" xr2:uid="{2672D7ED-0076-4EA2-826C-1333F8409D4E}"/>
  </bookViews>
  <sheets>
    <sheet name="Mineral database" sheetId="1" r:id="rId1"/>
    <sheet name="Mineral Description" sheetId="2" r:id="rId2"/>
    <sheet name="Photo of Polished Block" sheetId="3" r:id="rId3"/>
  </sheets>
  <externalReferences>
    <externalReference r:id="rId4"/>
    <externalReference r:id="rId5"/>
    <externalReference r:id="rId6"/>
    <externalReference r:id="rId7"/>
  </externalReferences>
  <definedNames>
    <definedName name="_COM11">#N/A</definedName>
    <definedName name="_Regression_Out" hidden="1">[1]CLARITY!#REF!</definedName>
    <definedName name="AfficheImage">INDIRECT(VLOOKUP('[2]Mineral Description'!$B$2,'[2]Photos of Minerals'!$A$4:$C$300,3,FALSE))</definedName>
    <definedName name="CAL03_">'Photo of Polished Block'!#REF!</definedName>
    <definedName name="CAQ02_">'Photo of Polished Block'!#REF!</definedName>
    <definedName name="CumulativeProductBase">'[3]Mill Statement KZ1'!$B$47</definedName>
    <definedName name="Données">#REF!</definedName>
    <definedName name="F_MineralList" localSheetId="1">OFFSET(MineralList,0,0,COUNTA(MineralListComplet,1))</definedName>
    <definedName name="F_MineralList" localSheetId="2">OFFSET(MineralList,0,0,COUNTA(MineralListComplet,1))</definedName>
    <definedName name="F_MineralList">OFFSET(MineralList,0,0,COUNTA(MineralListComplet,1))</definedName>
    <definedName name="f_ville" localSheetId="1">OFFSET(p_ville,0,0,COUNTA(l_ville),1)</definedName>
    <definedName name="f_ville" localSheetId="2">OFFSET(p_ville,0,0,COUNTA(l_ville),1)</definedName>
    <definedName name="f_ville">OFFSET(p_ville,0,0,COUNTA(l_ville),1)</definedName>
    <definedName name="Home">'[3]Mill Statement KZ1'!$D$3</definedName>
    <definedName name="InputBlock">'[3]Mill Statement KZ1'!$B$15:$T$65</definedName>
    <definedName name="l_ville">'[4]BD-minéraux'!$A$3:$A$39946</definedName>
    <definedName name="M118_">'Photo of Polished Block'!$F$2</definedName>
    <definedName name="M137_">'Photo of Polished Block'!$B$2</definedName>
    <definedName name="M196_">'Photo of Polished Block'!#REF!</definedName>
    <definedName name="M265_">'Photo of Polished Block'!#REF!</definedName>
    <definedName name="M36_">'Photo of Polished Block'!#REF!</definedName>
    <definedName name="M397_">'Photo of Polished Block'!#REF!</definedName>
    <definedName name="M427_">'Photo of Polished Block'!#REF!</definedName>
    <definedName name="M493_">'Photo of Polished Block'!#REF!</definedName>
    <definedName name="M504_">'Photo of Polished Block'!#REF!</definedName>
    <definedName name="M54_">'Photo of Polished Block'!#REF!</definedName>
    <definedName name="M69_">'Photo of Polished Block'!#REF!</definedName>
    <definedName name="maplage_mineraldata">'Mineral database'!$A$5:$FI$828</definedName>
    <definedName name="maplage_opticalProperties">#REF!</definedName>
    <definedName name="MineralList">#REF!</definedName>
    <definedName name="MineralListComplet">#REF!</definedName>
    <definedName name="Minerals">#REF!</definedName>
    <definedName name="p_ville">'[4]BD-minéraux'!$A$3</definedName>
    <definedName name="Print_Area_MI">#REF!</definedName>
    <definedName name="PrintBlock">'[3]Mill Statement KZ1'!$B$71:$T$133</definedName>
    <definedName name="PrintCumulativeProductBase">'[3]Mill Statement KZ1'!$B$107</definedName>
    <definedName name="PrintProductBase">'[3]Mill Statement KZ1'!$B$78</definedName>
    <definedName name="ProductBase">'[3]Mill Statement KZ1'!$B$18</definedName>
    <definedName name="SheetID">'[3]Mill Statement KZ1'!$C$133</definedName>
    <definedName name="Wolfram">'Photo of Polished Block'!#REF!</definedName>
    <definedName name="_xlnm.Print_Are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1" i="2" l="1"/>
  <c r="B30" i="2"/>
  <c r="W56" i="2"/>
  <c r="V56" i="2"/>
  <c r="U56" i="2"/>
  <c r="T56" i="2"/>
  <c r="S56" i="2"/>
  <c r="R56" i="2"/>
  <c r="Q56" i="2"/>
  <c r="P56" i="2"/>
  <c r="O56" i="2"/>
  <c r="N56" i="2"/>
  <c r="M56" i="2"/>
  <c r="L56" i="2"/>
  <c r="K56" i="2"/>
  <c r="J56" i="2"/>
  <c r="I56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W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W47" i="2"/>
  <c r="V47" i="2"/>
  <c r="U47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W44" i="2"/>
  <c r="V44" i="2"/>
  <c r="U44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W38" i="2"/>
  <c r="V38" i="2"/>
  <c r="U38" i="2"/>
  <c r="T38" i="2"/>
  <c r="S38" i="2"/>
  <c r="R38" i="2"/>
  <c r="G38" i="2"/>
  <c r="F38" i="2"/>
  <c r="W35" i="2"/>
  <c r="V35" i="2"/>
  <c r="U35" i="2"/>
  <c r="T35" i="2"/>
  <c r="S35" i="2"/>
  <c r="R35" i="2"/>
  <c r="G35" i="2"/>
  <c r="F35" i="2"/>
  <c r="W32" i="2"/>
  <c r="F32" i="2"/>
  <c r="F26" i="2"/>
  <c r="F25" i="2"/>
  <c r="B25" i="2"/>
  <c r="F24" i="2"/>
  <c r="B24" i="2"/>
  <c r="F23" i="2"/>
  <c r="B23" i="2"/>
  <c r="F22" i="2"/>
  <c r="B22" i="2"/>
  <c r="F21" i="2"/>
  <c r="B21" i="2"/>
  <c r="F20" i="2"/>
  <c r="F19" i="2"/>
  <c r="F18" i="2"/>
  <c r="F17" i="2"/>
  <c r="B17" i="2"/>
  <c r="F16" i="2"/>
  <c r="B16" i="2"/>
  <c r="F15" i="2"/>
  <c r="B15" i="2"/>
  <c r="F14" i="2"/>
  <c r="F13" i="2"/>
  <c r="F12" i="2"/>
  <c r="F11" i="2"/>
  <c r="B11" i="2"/>
  <c r="F10" i="2"/>
  <c r="B10" i="2"/>
  <c r="F9" i="2"/>
  <c r="B9" i="2"/>
  <c r="F8" i="2"/>
  <c r="B8" i="2"/>
  <c r="B5" i="2"/>
  <c r="FK4" i="2"/>
  <c r="FJ4" i="2"/>
  <c r="B4" i="2"/>
</calcChain>
</file>

<file path=xl/sharedStrings.xml><?xml version="1.0" encoding="utf-8"?>
<sst xmlns="http://schemas.openxmlformats.org/spreadsheetml/2006/main" count="378" uniqueCount="228">
  <si>
    <t>Nom du mineral</t>
  </si>
  <si>
    <t>Economic Value</t>
  </si>
  <si>
    <t>Groups</t>
  </si>
  <si>
    <t>Sub-Groups</t>
  </si>
  <si>
    <t>Famille</t>
  </si>
  <si>
    <t>Valuable elment (VE)</t>
  </si>
  <si>
    <t>Valuable elment form</t>
  </si>
  <si>
    <t>Valence of elements</t>
  </si>
  <si>
    <t>Formula</t>
  </si>
  <si>
    <t>Common Impurities</t>
  </si>
  <si>
    <t>Masse molaire</t>
  </si>
  <si>
    <t>Gs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</si>
  <si>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</si>
  <si>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</si>
  <si>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</si>
  <si>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</si>
  <si>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</si>
  <si>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</si>
  <si>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</si>
  <si>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</si>
  <si>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</si>
  <si>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</si>
  <si>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</si>
  <si>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</si>
  <si>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</si>
  <si>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</si>
  <si>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</si>
  <si>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</si>
  <si>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</si>
  <si>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</si>
  <si>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</si>
  <si>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</si>
  <si>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</si>
  <si>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</si>
  <si>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</si>
  <si>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</si>
  <si>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</si>
  <si>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</si>
  <si>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</si>
  <si>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</si>
  <si>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</si>
  <si>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</si>
  <si>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</si>
  <si>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</si>
  <si>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</si>
  <si>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</si>
  <si>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</si>
  <si>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</si>
  <si>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</si>
  <si>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</si>
  <si>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</si>
  <si>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</si>
  <si>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</si>
  <si>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</si>
  <si>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</si>
  <si>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</si>
  <si>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</si>
  <si>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</si>
  <si>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</si>
  <si>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</si>
  <si>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</si>
  <si>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</si>
  <si>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</si>
  <si>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</si>
  <si>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</si>
  <si>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</si>
  <si>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</si>
  <si>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</si>
  <si>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</si>
  <si>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</si>
  <si>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</si>
  <si>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</si>
  <si>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</si>
  <si>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</si>
  <si>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</si>
  <si>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</si>
  <si>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</si>
  <si>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TI2</t>
  </si>
  <si>
    <t>Pb</t>
  </si>
  <si>
    <t>Bi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</si>
  <si>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</si>
  <si>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</si>
  <si>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</si>
  <si>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</si>
  <si>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</si>
  <si>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</si>
  <si>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</si>
  <si>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</si>
  <si>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</si>
  <si>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</si>
  <si>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</si>
  <si>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</si>
  <si>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</si>
  <si>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</si>
  <si>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</si>
  <si>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</si>
  <si>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</si>
  <si>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</si>
  <si>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</si>
  <si>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</si>
  <si>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</si>
  <si>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</si>
  <si>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</si>
  <si>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</si>
  <si>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</si>
  <si>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</si>
  <si>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</si>
  <si>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</si>
  <si>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</si>
  <si>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</si>
  <si>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</si>
  <si>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</si>
  <si>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</si>
  <si>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</si>
  <si>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</si>
  <si>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</si>
  <si>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</si>
  <si>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</si>
  <si>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</si>
  <si>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</si>
  <si>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</si>
  <si>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</si>
  <si>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</si>
  <si>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</si>
  <si>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</si>
  <si>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</si>
  <si>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</si>
  <si>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</si>
  <si>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</si>
  <si>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</si>
  <si>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REE</t>
  </si>
  <si>
    <t>Abreviation</t>
  </si>
  <si>
    <t>Formule-1</t>
  </si>
  <si>
    <t>Other Name</t>
  </si>
  <si>
    <t>Crystalline-Form</t>
  </si>
  <si>
    <t>Hardness</t>
  </si>
  <si>
    <t>Polishing Hardness</t>
  </si>
  <si>
    <t>Morphology</t>
  </si>
  <si>
    <t>Color</t>
  </si>
  <si>
    <t>Color Details</t>
  </si>
  <si>
    <t>Reflectance</t>
  </si>
  <si>
    <t>Bireflectance</t>
  </si>
  <si>
    <t>Pleochroism</t>
  </si>
  <si>
    <t>Pleochroism-Color</t>
  </si>
  <si>
    <t>Isotropic/Aniso</t>
  </si>
  <si>
    <t>Anisotropy-intensity</t>
  </si>
  <si>
    <t>Polarisation-Color</t>
  </si>
  <si>
    <t>Internal-Reflection</t>
  </si>
  <si>
    <t>Internal reflexion-Color</t>
  </si>
  <si>
    <t>Exsolution</t>
  </si>
  <si>
    <t>Minerals in exsolution</t>
  </si>
  <si>
    <t>Macle</t>
  </si>
  <si>
    <t>Mineral-Association</t>
  </si>
  <si>
    <t>Key determination feature</t>
  </si>
  <si>
    <t>Ref.PB</t>
  </si>
  <si>
    <t>Cytomine Link</t>
  </si>
  <si>
    <t>X3</t>
  </si>
  <si>
    <t>X4</t>
  </si>
  <si>
    <t>X5</t>
  </si>
  <si>
    <t>X6</t>
  </si>
  <si>
    <t>X7</t>
  </si>
  <si>
    <t>X8</t>
  </si>
  <si>
    <t>X9</t>
  </si>
  <si>
    <t>X10</t>
  </si>
  <si>
    <t>White</t>
  </si>
  <si>
    <t>Anisotropic</t>
  </si>
  <si>
    <t>Moderate</t>
  </si>
  <si>
    <t>Yes</t>
  </si>
  <si>
    <t>Ore</t>
  </si>
  <si>
    <t>Covellite</t>
  </si>
  <si>
    <t>CuS</t>
  </si>
  <si>
    <t>Cv</t>
  </si>
  <si>
    <t>Low (H = 1.5 - 2)</t>
  </si>
  <si>
    <t>Good polishing</t>
  </si>
  <si>
    <t>Often idiomorphic, tabular, curved lamellae</t>
  </si>
  <si>
    <t>Blue</t>
  </si>
  <si>
    <t>Very pure Blue</t>
  </si>
  <si>
    <t>Yes / High</t>
  </si>
  <si>
    <t>Bluish white to deep (dark) blue</t>
  </si>
  <si>
    <t>Very strong</t>
  </si>
  <si>
    <t>Bright reddish orange to brown</t>
  </si>
  <si>
    <t>Cc, dgt, bn, cp, mc, py, sl, gn, Au, etc</t>
  </si>
  <si>
    <t>The pure blue colour, Strong pleochroism, Extreme anisotropism in orange tints, twisted lamellae generally with deformation.</t>
  </si>
  <si>
    <t>M118 in Cytomine</t>
  </si>
  <si>
    <t>Strong</t>
  </si>
  <si>
    <t>Semseyite</t>
  </si>
  <si>
    <t>Pb9Sb8S21</t>
  </si>
  <si>
    <t>Ssy</t>
  </si>
  <si>
    <t>Medium H 2.5</t>
  </si>
  <si>
    <t>White to grey</t>
  </si>
  <si>
    <t xml:space="preserve">Bluish grey or greenish grey tints whit distinctly pinkish shades </t>
  </si>
  <si>
    <t>Enter the mineral name :</t>
  </si>
  <si>
    <t>covellite</t>
  </si>
  <si>
    <t>Mineral composition</t>
  </si>
  <si>
    <t>Optical Properties</t>
  </si>
  <si>
    <t>PPL</t>
  </si>
  <si>
    <t>Crystalline Form</t>
  </si>
  <si>
    <t>Classification</t>
  </si>
  <si>
    <t>Group</t>
  </si>
  <si>
    <t>Sub-Group</t>
  </si>
  <si>
    <t>Color of pleochroism</t>
  </si>
  <si>
    <t>XPL</t>
  </si>
  <si>
    <t>Isotropy / Anisotropic</t>
  </si>
  <si>
    <t>Intensity of anisotropy</t>
  </si>
  <si>
    <t>Polarisation color</t>
  </si>
  <si>
    <t>Color of nternal reflexion</t>
  </si>
  <si>
    <t>Other</t>
  </si>
  <si>
    <t>Valence of element</t>
  </si>
  <si>
    <t>Common Impurities in the mineral</t>
  </si>
  <si>
    <t>Pictures</t>
  </si>
  <si>
    <t>Mineral Stoichiometry</t>
  </si>
  <si>
    <t>Polished Block in Excel</t>
  </si>
  <si>
    <t>Mo</t>
  </si>
  <si>
    <t>Tl</t>
  </si>
  <si>
    <t>Lw/Lr</t>
  </si>
  <si>
    <t>M137</t>
  </si>
  <si>
    <t>M118</t>
  </si>
  <si>
    <t>M137 - Cytomine</t>
  </si>
  <si>
    <t>EZ</t>
  </si>
  <si>
    <t>EY</t>
  </si>
  <si>
    <t>Display M118 in Excel</t>
  </si>
  <si>
    <t>Display M137 in Excel</t>
  </si>
  <si>
    <t>Display M118 in Cytomine</t>
  </si>
  <si>
    <t>Display M137 in Cytomine</t>
  </si>
  <si>
    <t>Ici, je tape le nom du minéral, et la rechercheV extrait les doonées relatives au minéral 'covellite"  depuis la feuille "Mineral database" et les affiche dans les différentes cellules en bas.</t>
  </si>
  <si>
    <r>
      <rPr>
        <b/>
        <sz val="14"/>
        <color theme="9"/>
        <rFont val="Calibri Light"/>
        <family val="2"/>
        <scheme val="major"/>
      </rPr>
      <t>"Display M118 in Excel"</t>
    </r>
    <r>
      <rPr>
        <b/>
        <sz val="14"/>
        <color rgb="FFC00000"/>
        <rFont val="Calibri Light"/>
        <family val="2"/>
        <scheme val="major"/>
      </rPr>
      <t xml:space="preserve"> est extraite de la cellule EY6 de la feuille "Mineral database" mais sans lien hypertexte, qui existe dans la cellule EY6, pareille pour </t>
    </r>
    <r>
      <rPr>
        <b/>
        <sz val="14"/>
        <color theme="9"/>
        <rFont val="Calibri Light"/>
        <family val="2"/>
        <scheme val="major"/>
      </rPr>
      <t>"Display M118 in Cytomine"</t>
    </r>
  </si>
  <si>
    <t>Les liens hypertexte relatifs à ce minéral permettent d'accéder aux photos dans la feuille "Photo of polished block" et sur un site web.</t>
  </si>
  <si>
    <t>photo 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</si>
</sst>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12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2"/>
      <color theme="1"/>
      <name val="Century Gothic"/>
      <family val="2"/>
    </font>
    <font>
      <sz val="12"/>
      <color rgb="FF005F6C"/>
      <name val="Century Gothic"/>
      <family val="2"/>
    </font>
    <font>
      <b/>
      <sz val="12"/>
      <color theme="1"/>
      <name val="Century Gothic"/>
      <family val="2"/>
    </font>
    <font>
      <u/>
      <sz val="12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entury Gothic"/>
      <family val="2"/>
    </font>
    <font>
      <b/>
      <sz val="14"/>
      <color rgb="FFC00000"/>
      <name val="Calibri Light"/>
      <family val="2"/>
      <scheme val="major"/>
    </font>
    <font>
      <b/>
      <sz val="14"/>
      <color theme="9"/>
      <name val="Calibri Light"/>
      <family val="2"/>
      <scheme val="major"/>
    </font>
    <font>
      <b/>
      <sz val="10"/>
      <color theme="1"/>
      <name val="Century Gothic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8E5"/>
        <bgColor indexed="64"/>
      </patternFill>
    </fill>
    <fill>
      <patternFill patternType="solid">
        <fgColor rgb="FFFFF2CD"/>
        <bgColor indexed="64"/>
      </patternFill>
    </fill>
    <fill>
      <patternFill patternType="solid">
        <fgColor rgb="FFFFE8A7"/>
        <bgColor indexed="64"/>
      </patternFill>
    </fill>
    <fill>
      <patternFill patternType="solid">
        <fgColor rgb="FFDDF2FF"/>
        <bgColor indexed="64"/>
      </patternFill>
    </fill>
    <fill>
      <patternFill patternType="solid">
        <fgColor rgb="FFD4D4D4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 style="thin">
        <color indexed="64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/>
      <diagonal/>
    </border>
    <border>
      <left style="thin">
        <color indexed="64"/>
      </left>
      <right/>
      <top/>
      <bottom style="thin">
        <color theme="2"/>
      </bottom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indexed="64"/>
      </left>
      <right/>
      <top style="thin">
        <color theme="2"/>
      </top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0" tint="-0.14999847407452621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indexed="64"/>
      </top>
      <bottom/>
      <diagonal/>
    </border>
    <border>
      <left style="thin">
        <color theme="7" tint="0.79998168889431442"/>
      </left>
      <right style="thin">
        <color theme="7" tint="0.79998168889431442"/>
      </right>
      <top style="thin">
        <color theme="7" tint="0.79998168889431442"/>
      </top>
      <bottom style="thin">
        <color indexed="64"/>
      </bottom>
      <diagonal/>
    </border>
    <border>
      <left/>
      <right style="thin">
        <color theme="7" tint="0.79998168889431442"/>
      </right>
      <top/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theme="7" tint="0.79998168889431442"/>
      </right>
      <top/>
      <bottom/>
      <diagonal/>
    </border>
    <border>
      <left/>
      <right style="thin">
        <color theme="7" tint="0.79998168889431442"/>
      </right>
      <top style="thin">
        <color theme="7" tint="0.79998168889431442"/>
      </top>
      <bottom style="thin">
        <color indexed="64"/>
      </bottom>
      <diagonal/>
    </border>
    <border>
      <left style="thin">
        <color theme="7" tint="0.79998168889431442"/>
      </left>
      <right/>
      <top style="thin">
        <color theme="7" tint="0.79998168889431442"/>
      </top>
      <bottom style="thin">
        <color indexed="64"/>
      </bottom>
      <diagonal/>
    </border>
    <border>
      <left style="thin">
        <color theme="7" tint="0.79998168889431442"/>
      </left>
      <right style="thin">
        <color theme="7" tint="0.79998168889431442"/>
      </right>
      <top/>
      <bottom style="thin">
        <color theme="7" tint="0.79998168889431442"/>
      </bottom>
      <diagonal/>
    </border>
    <border>
      <left style="thin">
        <color theme="7" tint="0.79998168889431442"/>
      </left>
      <right/>
      <top/>
      <bottom style="thin">
        <color theme="7" tint="0.79998168889431442"/>
      </bottom>
      <diagonal/>
    </border>
    <border>
      <left/>
      <right style="thin">
        <color theme="7" tint="0.79998168889431442"/>
      </right>
      <top/>
      <bottom/>
      <diagonal/>
    </border>
    <border>
      <left style="thin">
        <color theme="7" tint="0.79998168889431442"/>
      </left>
      <right/>
      <top/>
      <bottom/>
      <diagonal/>
    </border>
    <border>
      <left/>
      <right/>
      <top/>
      <bottom style="thin">
        <color theme="2" tint="-0.24997711111789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6">
    <xf numFmtId="0" fontId="0" fillId="0" borderId="0" xfId="0"/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left"/>
    </xf>
    <xf numFmtId="2" fontId="2" fillId="0" borderId="0" xfId="0" applyNumberFormat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2" fontId="2" fillId="3" borderId="0" xfId="0" applyNumberFormat="1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" fillId="0" borderId="0" xfId="1" applyAlignment="1">
      <alignment vertical="center"/>
    </xf>
    <xf numFmtId="0" fontId="1" fillId="0" borderId="4" xfId="1" applyBorder="1" applyAlignment="1">
      <alignment vertical="center"/>
    </xf>
    <xf numFmtId="0" fontId="5" fillId="6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/>
    </xf>
    <xf numFmtId="0" fontId="5" fillId="7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left"/>
    </xf>
    <xf numFmtId="0" fontId="7" fillId="6" borderId="0" xfId="0" applyFont="1" applyFill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0" fontId="5" fillId="0" borderId="0" xfId="0" applyFont="1" applyAlignment="1">
      <alignment horizontal="center"/>
    </xf>
    <xf numFmtId="0" fontId="7" fillId="6" borderId="5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left" vertical="center"/>
    </xf>
    <xf numFmtId="0" fontId="9" fillId="6" borderId="0" xfId="0" applyFont="1" applyFill="1" applyAlignment="1">
      <alignment horizontal="center" vertical="center"/>
    </xf>
    <xf numFmtId="0" fontId="7" fillId="6" borderId="7" xfId="0" applyFont="1" applyFill="1" applyBorder="1" applyAlignment="1">
      <alignment horizontal="left" vertical="center"/>
    </xf>
    <xf numFmtId="0" fontId="8" fillId="6" borderId="8" xfId="0" applyFont="1" applyFill="1" applyBorder="1" applyAlignment="1">
      <alignment horizontal="left" vertical="center"/>
    </xf>
    <xf numFmtId="2" fontId="8" fillId="6" borderId="6" xfId="0" applyNumberFormat="1" applyFont="1" applyFill="1" applyBorder="1" applyAlignment="1">
      <alignment horizontal="left" vertical="center"/>
    </xf>
    <xf numFmtId="2" fontId="5" fillId="6" borderId="0" xfId="0" applyNumberFormat="1" applyFont="1" applyFill="1" applyAlignment="1">
      <alignment horizontal="left" vertical="center"/>
    </xf>
    <xf numFmtId="0" fontId="7" fillId="6" borderId="17" xfId="0" applyFont="1" applyFill="1" applyBorder="1" applyAlignment="1">
      <alignment horizontal="left" vertical="center"/>
    </xf>
    <xf numFmtId="0" fontId="7" fillId="6" borderId="0" xfId="0" applyFont="1" applyFill="1" applyAlignment="1">
      <alignment horizontal="left" vertical="center"/>
    </xf>
    <xf numFmtId="2" fontId="5" fillId="6" borderId="0" xfId="0" applyNumberFormat="1" applyFont="1" applyFill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10" fillId="6" borderId="0" xfId="0" applyFont="1" applyFill="1" applyAlignment="1">
      <alignment vertical="center" wrapText="1"/>
    </xf>
    <xf numFmtId="0" fontId="11" fillId="6" borderId="0" xfId="0" applyFont="1" applyFill="1" applyAlignment="1">
      <alignment horizontal="center" vertical="center"/>
    </xf>
    <xf numFmtId="0" fontId="11" fillId="6" borderId="0" xfId="0" applyFont="1" applyFill="1" applyAlignment="1">
      <alignment horizontal="center"/>
    </xf>
    <xf numFmtId="2" fontId="11" fillId="3" borderId="20" xfId="0" applyNumberFormat="1" applyFont="1" applyFill="1" applyBorder="1" applyAlignment="1">
      <alignment horizontal="center" vertical="center"/>
    </xf>
    <xf numFmtId="2" fontId="11" fillId="6" borderId="0" xfId="0" applyNumberFormat="1" applyFont="1" applyFill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5" fillId="7" borderId="19" xfId="0" applyFont="1" applyFill="1" applyBorder="1" applyAlignment="1">
      <alignment horizontal="center" vertical="center"/>
    </xf>
    <xf numFmtId="0" fontId="5" fillId="12" borderId="23" xfId="0" applyFont="1" applyFill="1" applyBorder="1" applyAlignment="1">
      <alignment horizontal="center" vertical="center"/>
    </xf>
    <xf numFmtId="2" fontId="11" fillId="3" borderId="24" xfId="0" applyNumberFormat="1" applyFont="1" applyFill="1" applyBorder="1" applyAlignment="1">
      <alignment horizontal="center" vertical="center"/>
    </xf>
    <xf numFmtId="2" fontId="11" fillId="7" borderId="24" xfId="0" applyNumberFormat="1" applyFont="1" applyFill="1" applyBorder="1" applyAlignment="1">
      <alignment horizontal="center" vertical="center"/>
    </xf>
    <xf numFmtId="2" fontId="11" fillId="12" borderId="24" xfId="0" applyNumberFormat="1" applyFont="1" applyFill="1" applyBorder="1" applyAlignment="1">
      <alignment horizontal="center" vertical="center"/>
    </xf>
    <xf numFmtId="2" fontId="11" fillId="12" borderId="25" xfId="0" applyNumberFormat="1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2" fontId="11" fillId="3" borderId="25" xfId="0" applyNumberFormat="1" applyFont="1" applyFill="1" applyBorder="1" applyAlignment="1">
      <alignment horizontal="center" vertical="center"/>
    </xf>
    <xf numFmtId="2" fontId="11" fillId="3" borderId="0" xfId="0" applyNumberFormat="1" applyFont="1" applyFill="1" applyAlignment="1">
      <alignment horizontal="center" vertical="center"/>
    </xf>
    <xf numFmtId="0" fontId="12" fillId="13" borderId="0" xfId="0" applyFont="1" applyFill="1"/>
    <xf numFmtId="0" fontId="13" fillId="6" borderId="0" xfId="0" applyFont="1" applyFill="1" applyAlignment="1">
      <alignment horizontal="center" vertical="center" wrapText="1"/>
    </xf>
    <xf numFmtId="0" fontId="13" fillId="6" borderId="0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left" vertical="center"/>
    </xf>
    <xf numFmtId="0" fontId="8" fillId="6" borderId="14" xfId="0" applyFont="1" applyFill="1" applyBorder="1" applyAlignment="1">
      <alignment horizontal="left" vertical="center"/>
    </xf>
    <xf numFmtId="0" fontId="8" fillId="6" borderId="15" xfId="0" applyFont="1" applyFill="1" applyBorder="1" applyAlignment="1">
      <alignment horizontal="left" vertical="center"/>
    </xf>
    <xf numFmtId="0" fontId="5" fillId="11" borderId="18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11" borderId="16" xfId="0" applyFont="1" applyFill="1" applyBorder="1" applyAlignment="1">
      <alignment horizontal="center" vertical="center"/>
    </xf>
    <xf numFmtId="0" fontId="5" fillId="10" borderId="18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left" vertical="center"/>
    </xf>
    <xf numFmtId="0" fontId="5" fillId="9" borderId="9" xfId="0" applyFont="1" applyFill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left" vertical="center"/>
    </xf>
    <xf numFmtId="0" fontId="8" fillId="6" borderId="11" xfId="0" applyFont="1" applyFill="1" applyBorder="1" applyAlignment="1">
      <alignment horizontal="left" vertical="center"/>
    </xf>
    <xf numFmtId="0" fontId="8" fillId="6" borderId="12" xfId="0" applyFont="1" applyFill="1" applyBorder="1" applyAlignment="1">
      <alignment horizontal="left" vertical="center"/>
    </xf>
    <xf numFmtId="0" fontId="15" fillId="13" borderId="28" xfId="0" applyFont="1" applyFill="1" applyBorder="1" applyAlignment="1">
      <alignment horizontal="center" vertical="center"/>
    </xf>
    <xf numFmtId="0" fontId="15" fillId="13" borderId="0" xfId="0" applyFont="1" applyFill="1" applyAlignment="1">
      <alignment vertical="center"/>
    </xf>
  </cellXfs>
  <cellStyles count="2">
    <cellStyle name="Lien hypertexte" xfId="1" builtinId="8"/>
    <cellStyle name="Normal" xfId="0" builtinId="0"/>
  </cellStyles>
  <dxfs count="180"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  <color theme="1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7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CCCC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fill>
        <patternFill patternType="solid">
          <fgColor indexed="64"/>
          <bgColor rgb="FFCCCCFF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2" formatCode="0.00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C0000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vertic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auto="1"/>
      </font>
      <fill>
        <gradientFill degree="90">
          <stop position="0">
            <color theme="2" tint="-9.8025452436902985E-2"/>
          </stop>
          <stop position="0.5">
            <color theme="2" tint="-0.25098422193060094"/>
          </stop>
          <stop position="1">
            <color theme="2" tint="-9.8025452436902985E-2"/>
          </stop>
        </gradientFill>
      </fill>
    </dxf>
    <dxf>
      <font>
        <b val="0"/>
        <i val="0"/>
        <color auto="1"/>
      </font>
      <fill>
        <gradientFill degree="90">
          <stop position="0">
            <color theme="2" tint="-9.8025452436902985E-2"/>
          </stop>
          <stop position="0.5">
            <color theme="2" tint="-0.25098422193060094"/>
          </stop>
          <stop position="1">
            <color theme="2" tint="-9.8025452436902985E-2"/>
          </stop>
        </gradientFill>
      </fill>
    </dxf>
    <dxf>
      <font>
        <b/>
        <i val="0"/>
        <color auto="1"/>
      </font>
      <fill>
        <gradientFill degree="90">
          <stop position="0">
            <color theme="2" tint="-9.8025452436902985E-2"/>
          </stop>
          <stop position="0.5">
            <color theme="2" tint="-0.25098422193060094"/>
          </stop>
          <stop position="1">
            <color theme="2" tint="-9.8025452436902985E-2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5" Type="http://schemas.microsoft.com/office/2006/relationships/vbaProject" Target="vbaProject.bin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504825</xdr:colOff>
      <xdr:row>49</xdr:row>
      <xdr:rowOff>0</xdr:rowOff>
    </xdr:from>
    <xdr:to>
      <xdr:col>14</xdr:col>
      <xdr:colOff>504825</xdr:colOff>
      <xdr:row>49</xdr:row>
      <xdr:rowOff>133350</xdr:rowOff>
    </xdr:to>
    <xdr:pic>
      <xdr:nvPicPr>
        <xdr:cNvPr id="2" name="Picture 7" descr="ANd9GcQGvF350l6aUqOQY1LURZLTX2rfpIlGC7VAUAkRcDYtmnUDb2JGpQ">
          <a:extLst>
            <a:ext uri="{FF2B5EF4-FFF2-40B4-BE49-F238E27FC236}">
              <a16:creationId xmlns:a16="http://schemas.microsoft.com/office/drawing/2014/main" id="{1F727917-6E02-417A-B798-30A81A24B84C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rcRect l="5560"/>
        <a:stretch>
          <a:fillRect/>
        </a:stretch>
      </xdr:blipFill>
      <xdr:spPr bwMode="auto">
        <a:xfrm>
          <a:off x="12971145" y="9296400"/>
          <a:ext cx="0" cy="13335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640080</xdr:colOff>
      <xdr:row>31</xdr:row>
      <xdr:rowOff>91440</xdr:rowOff>
    </xdr:from>
    <xdr:to>
      <xdr:col>1</xdr:col>
      <xdr:colOff>640080</xdr:colOff>
      <xdr:row>35</xdr:row>
      <xdr:rowOff>137160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9302AED-1CED-4DC0-8890-6506F860E27A}"/>
            </a:ext>
          </a:extLst>
        </xdr:cNvPr>
        <xdr:cNvCxnSpPr/>
      </xdr:nvCxnSpPr>
      <xdr:spPr>
        <a:xfrm flipV="1">
          <a:off x="3261360" y="6294120"/>
          <a:ext cx="0" cy="762000"/>
        </a:xfrm>
        <a:prstGeom prst="straightConnector1">
          <a:avLst/>
        </a:prstGeom>
        <a:ln w="57150">
          <a:solidFill>
            <a:srgbClr val="C00000"/>
          </a:solidFill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182880</xdr:colOff>
      <xdr:row>1</xdr:row>
      <xdr:rowOff>121920</xdr:rowOff>
    </xdr:from>
    <xdr:to>
      <xdr:col>3</xdr:col>
      <xdr:colOff>167640</xdr:colOff>
      <xdr:row>1</xdr:row>
      <xdr:rowOff>121920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DBD30DD-A724-47B1-84DE-412D4F13D7ED}"/>
            </a:ext>
          </a:extLst>
        </xdr:cNvPr>
        <xdr:cNvCxnSpPr/>
      </xdr:nvCxnSpPr>
      <xdr:spPr>
        <a:xfrm flipH="1">
          <a:off x="4648200" y="320040"/>
          <a:ext cx="655320" cy="0"/>
        </a:xfrm>
        <a:prstGeom prst="straightConnector1">
          <a:avLst/>
        </a:prstGeom>
        <a:ln w="57150">
          <a:solidFill>
            <a:srgbClr val="C00000"/>
          </a:solidFill>
          <a:tailEnd type="triangle"/>
        </a:ln>
      </xdr:spPr>
      <xdr:style>
        <a:lnRef idx="3">
          <a:schemeClr val="accent6"/>
        </a:lnRef>
        <a:fillRef idx="0">
          <a:schemeClr val="accent6"/>
        </a:fillRef>
        <a:effectRef idx="2">
          <a:schemeClr val="accent6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del99\XLMASTE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san%20Bouzahzah/Desktop/Datas/5_Base%20de%20donn&#233;es/Base%20de%20donn&#233;es%20min&#233;ralogique/Proprit&#233;t&#233;s%20optiques%20des%20min&#233;raux-Pour%20EMERALD%202022/Propri&#233;t&#233;%20optique%20des%20min&#233;raux%20V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urrent%20Projects\MMG%20Minerals%20Dugald%20River\Report\Dugald\QEMSCAN%20Report\Reported\Reporting%20spreadsheets\N3151QS08_Dugald%20River%20Phase%203%20QEMSCAN%20analysis%20of%20flotation%20testwork%20product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ssan%20Bouzahzah/Desktop/Datas/1__Datas/1__R&#233;conciliation-EDS%20identification-Zeiss%20classification/1__R&#233;conciliation/Mod&#232;le%20R&#233;conciliation%20-%20copie%20V15%20-%20Copie%20(2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pdate List"/>
      <sheetName val="Main_Dialog"/>
      <sheetName val="Main_VBA_Code"/>
      <sheetName val="generic Routines"/>
      <sheetName val="SIZECALC_Dialog"/>
      <sheetName val="SIZECALC_DialogVBA"/>
      <sheetName val="SIZECALC"/>
      <sheetName val="PYCSG_DialogVBA"/>
      <sheetName val="PYCSG"/>
      <sheetName val="FLOTCALC_Dialog1"/>
      <sheetName val="FLOTCALC_Dialog2"/>
      <sheetName val="FLOTCALC_DialogVBA"/>
      <sheetName val="FLOTCALC_Dialog2VBA"/>
      <sheetName val="FLOTCALC_DialogPic"/>
      <sheetName val="FLOTCALC"/>
      <sheetName val="CYANCALC_Dialog"/>
      <sheetName val="CYANCALC_DialogVBA"/>
      <sheetName val="CYANCALC"/>
      <sheetName val="CLARITY_DialogVBA"/>
      <sheetName val="CLARITY"/>
      <sheetName val="MULTICIP_DialogVBA"/>
      <sheetName val="MULTICIP"/>
      <sheetName val="OXYGEN_DialogVBA"/>
      <sheetName val="OXYGEN"/>
      <sheetName val="FLOC_DialogVBA"/>
      <sheetName val="FLOC"/>
      <sheetName val="FILTER_DialogVBA"/>
      <sheetName val="FILTER"/>
      <sheetName val="SETTLE_DialogVBA"/>
      <sheetName val="SETTLE_Chart"/>
      <sheetName val="SETTLE"/>
      <sheetName val="Comnute_Dialog"/>
      <sheetName val="BWICALC_DialogVBA"/>
      <sheetName val="BWICALC"/>
      <sheetName val="AARMSIZE_DialogVBA"/>
      <sheetName val="AARMSIZE"/>
      <sheetName val="AAIMPACT_DialogVBA"/>
      <sheetName val="AAIMPACT"/>
      <sheetName val="ARODMILL"/>
      <sheetName val="AMEDCOMP"/>
      <sheetName val="UCSTAB3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 refreshError="1"/>
      <sheetData sheetId="12" refreshError="1"/>
      <sheetData sheetId="13"/>
      <sheetData sheetId="14"/>
      <sheetData sheetId="15"/>
      <sheetData sheetId="16" refreshError="1"/>
      <sheetData sheetId="17"/>
      <sheetData sheetId="18" refreshError="1"/>
      <sheetData sheetId="19"/>
      <sheetData sheetId="20" refreshError="1"/>
      <sheetData sheetId="21"/>
      <sheetData sheetId="22" refreshError="1"/>
      <sheetData sheetId="23"/>
      <sheetData sheetId="24" refreshError="1"/>
      <sheetData sheetId="25"/>
      <sheetData sheetId="26" refreshError="1"/>
      <sheetData sheetId="27"/>
      <sheetData sheetId="28" refreshError="1"/>
      <sheetData sheetId="29" refreshError="1"/>
      <sheetData sheetId="30"/>
      <sheetData sheetId="31"/>
      <sheetData sheetId="32" refreshError="1"/>
      <sheetData sheetId="33"/>
      <sheetData sheetId="34" refreshError="1"/>
      <sheetData sheetId="35"/>
      <sheetData sheetId="36" refreshError="1"/>
      <sheetData sheetId="37"/>
      <sheetData sheetId="38"/>
      <sheetData sheetId="39"/>
      <sheetData sheetId="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"/>
      <sheetName val="Menu"/>
      <sheetName val="Adress Web"/>
      <sheetName val="Access Database"/>
      <sheetName val="Optical Properties"/>
      <sheetName val="Pivot Table-OP"/>
      <sheetName val="Mineral database"/>
      <sheetName val="Mineral Search"/>
      <sheetName val="Mineral Description"/>
      <sheetName val="Photos of Minerals"/>
      <sheetName val="Photo of Polished Block"/>
      <sheetName val="Champs DB"/>
      <sheetName val="Groups and Sub-Groups"/>
      <sheetName val="Famille des minéraux"/>
      <sheetName val="Valuable Elements"/>
      <sheetName val="Most common minerals"/>
      <sheetName val="Feuil1"/>
      <sheetName val="Feuil2"/>
      <sheetName val="Feuil3"/>
      <sheetName val="joj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6">
          <cell r="A6" t="str">
            <v>Arsenopyrite</v>
          </cell>
          <cell r="B6" t="str">
            <v>Gangue</v>
          </cell>
          <cell r="C6"/>
          <cell r="D6"/>
          <cell r="E6"/>
          <cell r="F6"/>
          <cell r="G6"/>
          <cell r="H6"/>
          <cell r="I6" t="str">
            <v>FeAsS</v>
          </cell>
          <cell r="J6"/>
          <cell r="K6">
            <v>162.83459999999999</v>
          </cell>
          <cell r="L6">
            <v>6.07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19.692374962077999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34.296764938164202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46.0108600997576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 t="str">
            <v>Apy</v>
          </cell>
          <cell r="EC6"/>
          <cell r="ED6" t="str">
            <v>Mispickel</v>
          </cell>
          <cell r="EE6" t="str">
            <v>Triclinic</v>
          </cell>
          <cell r="EF6" t="str">
            <v>Very Hard (H = 5.5- 6)</v>
          </cell>
          <cell r="EG6" t="str">
            <v>Good polish</v>
          </cell>
          <cell r="EH6" t="str">
            <v>Euhedral to Subhedral, the mineral often occurs as quite regular lozenges.</v>
          </cell>
          <cell r="EI6" t="str">
            <v>White</v>
          </cell>
          <cell r="EJ6"/>
          <cell r="EK6" t="str">
            <v>High</v>
          </cell>
          <cell r="EL6" t="str">
            <v>Weak</v>
          </cell>
          <cell r="EM6" t="str">
            <v>Yes / Low -Moderate</v>
          </cell>
          <cell r="EN6" t="str">
            <v>Lighter grey to beige</v>
          </cell>
          <cell r="EO6" t="str">
            <v>Anisotropic</v>
          </cell>
          <cell r="EP6" t="str">
            <v>Moderate</v>
          </cell>
          <cell r="EQ6" t="str">
            <v>Dark blue to green brown and dark brown. By uncrossing the nicols, the tints become lighter blue to yellowish brown.</v>
          </cell>
          <cell r="ER6" t="str">
            <v>No</v>
          </cell>
          <cell r="ES6"/>
          <cell r="ET6"/>
          <cell r="EU6"/>
          <cell r="EV6" t="str">
            <v>Yes</v>
          </cell>
          <cell r="EW6"/>
          <cell r="EX6" t="str">
            <v>The mineral often occurs as quite regular lozenges. Under crossed nicols, the lozenges appear to be sometimes composed of four or five crystals</v>
          </cell>
          <cell r="EY6"/>
          <cell r="EZ6"/>
          <cell r="FA6"/>
          <cell r="FB6"/>
          <cell r="FC6"/>
          <cell r="FD6"/>
          <cell r="FE6"/>
          <cell r="FF6"/>
          <cell r="FG6"/>
          <cell r="FH6"/>
        </row>
        <row r="7">
          <cell r="A7" t="str">
            <v>Bornite</v>
          </cell>
          <cell r="B7" t="str">
            <v>Ore</v>
          </cell>
          <cell r="C7"/>
          <cell r="D7"/>
          <cell r="E7"/>
          <cell r="F7"/>
          <cell r="G7"/>
          <cell r="H7"/>
          <cell r="I7" t="str">
            <v>Cu5FeS4</v>
          </cell>
          <cell r="J7"/>
          <cell r="K7">
            <v>501.84</v>
          </cell>
          <cell r="L7">
            <v>5.0999999999999996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25.5586928927688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11.1284251386395</v>
          </cell>
          <cell r="AM7">
            <v>0</v>
          </cell>
          <cell r="AN7">
            <v>0</v>
          </cell>
          <cell r="AO7">
            <v>63.312881968591597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 t="str">
            <v>Bn</v>
          </cell>
          <cell r="EC7"/>
          <cell r="ED7"/>
          <cell r="EE7"/>
          <cell r="EF7" t="str">
            <v>Low (H = 3)</v>
          </cell>
          <cell r="EG7"/>
          <cell r="EH7" t="str">
            <v>Irregular, polycrystalline aggregates(anhedral)</v>
          </cell>
          <cell r="EI7" t="str">
            <v>Pink</v>
          </cell>
          <cell r="EJ7" t="str">
            <v>Purplish pink</v>
          </cell>
          <cell r="EK7" t="str">
            <v>High</v>
          </cell>
          <cell r="EL7" t="str">
            <v>Very weak</v>
          </cell>
          <cell r="EM7" t="str">
            <v>Yes / Low -Moderate</v>
          </cell>
          <cell r="EN7"/>
          <cell r="EO7" t="str">
            <v>Anisotropic</v>
          </cell>
          <cell r="EP7" t="str">
            <v>Weak</v>
          </cell>
          <cell r="EQ7" t="str">
            <v>yellow violet at scratches</v>
          </cell>
          <cell r="ER7" t="str">
            <v>No</v>
          </cell>
          <cell r="ES7"/>
          <cell r="ET7" t="str">
            <v>lamellar exsolution(with chalcopyrite, enargite)</v>
          </cell>
          <cell r="EU7"/>
          <cell r="EV7" t="str">
            <v>Yes</v>
          </cell>
          <cell r="EW7" t="str">
            <v>cp, pyrite, enargite, covellite, heamatite</v>
          </cell>
          <cell r="EX7" t="str">
            <v>lamellar exsolutions and replacement texture with chalcopyrite, pyrite enargite</v>
          </cell>
          <cell r="EY7"/>
          <cell r="EZ7"/>
          <cell r="FA7"/>
          <cell r="FB7"/>
          <cell r="FC7"/>
          <cell r="FD7"/>
          <cell r="FE7"/>
          <cell r="FF7"/>
          <cell r="FG7"/>
          <cell r="FH7"/>
        </row>
        <row r="8">
          <cell r="A8" t="str">
            <v>Cassiterite</v>
          </cell>
          <cell r="B8" t="str">
            <v>Ore</v>
          </cell>
          <cell r="C8"/>
          <cell r="D8"/>
          <cell r="E8"/>
          <cell r="F8"/>
          <cell r="G8"/>
          <cell r="H8"/>
          <cell r="I8" t="str">
            <v>SnO2</v>
          </cell>
          <cell r="J8"/>
          <cell r="K8">
            <v>150.71</v>
          </cell>
          <cell r="L8">
            <v>6.9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21.232204091599101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78.767795908400799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 t="str">
            <v>Cst</v>
          </cell>
          <cell r="EC8"/>
          <cell r="ED8"/>
          <cell r="EE8"/>
          <cell r="EF8" t="str">
            <v>V. Hard (H=6-7)</v>
          </cell>
          <cell r="EG8"/>
          <cell r="EH8" t="str">
            <v>Anhedral</v>
          </cell>
          <cell r="EI8" t="str">
            <v>Grey</v>
          </cell>
          <cell r="EJ8" t="str">
            <v>Brownish grey</v>
          </cell>
          <cell r="EK8" t="str">
            <v>Low</v>
          </cell>
          <cell r="EL8" t="str">
            <v>Distinct</v>
          </cell>
          <cell r="EM8" t="str">
            <v>Yes</v>
          </cell>
          <cell r="EN8" t="str">
            <v>Grey to brownish grey</v>
          </cell>
          <cell r="EO8" t="str">
            <v>Anisotropic</v>
          </cell>
          <cell r="EP8" t="str">
            <v>Distinct</v>
          </cell>
          <cell r="EQ8" t="str">
            <v>Grey to dark grey</v>
          </cell>
          <cell r="ER8" t="str">
            <v>Yes</v>
          </cell>
          <cell r="ES8" t="str">
            <v>V. strong (Red-brown, yellow to yellow brown, or colorless)</v>
          </cell>
          <cell r="ET8"/>
          <cell r="EU8"/>
          <cell r="EV8"/>
          <cell r="EW8" t="str">
            <v>pyrite, arsenopyrite,stanite, wolframite,sphalerite, galena,rutile, haematite, magnetite.</v>
          </cell>
          <cell r="EX8" t="str">
            <v>strong internal reflection, anisotropic, resembles sphalerite, but it is anisotropic and exhibits lighter internal refelction</v>
          </cell>
          <cell r="EY8"/>
          <cell r="EZ8"/>
          <cell r="FA8"/>
          <cell r="FB8"/>
          <cell r="FC8"/>
          <cell r="FD8"/>
          <cell r="FE8"/>
          <cell r="FF8"/>
          <cell r="FG8"/>
          <cell r="FH8"/>
        </row>
        <row r="9">
          <cell r="A9" t="str">
            <v>Chalcocite</v>
          </cell>
          <cell r="B9" t="str">
            <v>Ore</v>
          </cell>
          <cell r="C9"/>
          <cell r="D9"/>
          <cell r="E9"/>
          <cell r="F9"/>
          <cell r="G9"/>
          <cell r="H9"/>
          <cell r="I9" t="str">
            <v>Cu2S</v>
          </cell>
          <cell r="J9"/>
          <cell r="K9">
            <v>159.16</v>
          </cell>
          <cell r="L9">
            <v>5.65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20.147275034871001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79.8527249651289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 t="str">
            <v>Cc</v>
          </cell>
          <cell r="EC9"/>
          <cell r="ED9"/>
          <cell r="EE9"/>
          <cell r="EF9" t="str">
            <v>Medium (H=2.5-3)</v>
          </cell>
          <cell r="EG9"/>
          <cell r="EH9"/>
          <cell r="EI9" t="str">
            <v>White-Grey</v>
          </cell>
          <cell r="EJ9" t="str">
            <v>Grey-white with a bluish shade</v>
          </cell>
          <cell r="EK9" t="str">
            <v>Moderate</v>
          </cell>
          <cell r="EL9" t="str">
            <v>No</v>
          </cell>
          <cell r="EM9" t="str">
            <v>No</v>
          </cell>
          <cell r="EN9" t="str">
            <v>*</v>
          </cell>
          <cell r="EO9" t="str">
            <v>Anisotropic</v>
          </cell>
          <cell r="EP9" t="str">
            <v>Weak to distinct when uncrossing the Nicols</v>
          </cell>
          <cell r="EQ9" t="str">
            <v>Orange-brown or dark green tints</v>
          </cell>
          <cell r="ER9" t="str">
            <v>No</v>
          </cell>
          <cell r="ES9"/>
          <cell r="ET9"/>
          <cell r="EU9"/>
          <cell r="EV9" t="str">
            <v>Yes</v>
          </cell>
          <cell r="EW9"/>
          <cell r="EX9"/>
          <cell r="EY9"/>
          <cell r="EZ9"/>
          <cell r="FA9"/>
          <cell r="FB9"/>
          <cell r="FC9"/>
          <cell r="FD9"/>
          <cell r="FE9"/>
          <cell r="FF9"/>
          <cell r="FG9"/>
          <cell r="FH9"/>
        </row>
        <row r="10">
          <cell r="A10" t="str">
            <v>Chalcopyrite</v>
          </cell>
          <cell r="B10" t="str">
            <v>Ore</v>
          </cell>
          <cell r="C10"/>
          <cell r="D10"/>
          <cell r="E10"/>
          <cell r="F10"/>
          <cell r="G10"/>
          <cell r="H10"/>
          <cell r="I10" t="str">
            <v>CuFeS2</v>
          </cell>
          <cell r="J10"/>
          <cell r="K10">
            <v>183.53</v>
          </cell>
          <cell r="L10">
            <v>4.2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34.944557962130503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30.430186623075802</v>
          </cell>
          <cell r="AM10">
            <v>0</v>
          </cell>
          <cell r="AN10">
            <v>0</v>
          </cell>
          <cell r="AO10">
            <v>34.6252554147936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  <cell r="CL10">
            <v>0</v>
          </cell>
          <cell r="CM10">
            <v>0</v>
          </cell>
          <cell r="CN10">
            <v>0</v>
          </cell>
          <cell r="CO10">
            <v>0</v>
          </cell>
          <cell r="CP10">
            <v>0</v>
          </cell>
          <cell r="CQ10">
            <v>0</v>
          </cell>
          <cell r="CR10">
            <v>0</v>
          </cell>
          <cell r="CS10">
            <v>0</v>
          </cell>
          <cell r="CT10">
            <v>0</v>
          </cell>
          <cell r="CU10">
            <v>0</v>
          </cell>
          <cell r="CV10">
            <v>0</v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0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 t="str">
            <v>Ccp</v>
          </cell>
          <cell r="EC10"/>
          <cell r="ED10"/>
          <cell r="EE10" t="str">
            <v>Tetragonal</v>
          </cell>
          <cell r="EF10" t="str">
            <v>Hard (H = 3.5- 4)</v>
          </cell>
          <cell r="EG10"/>
          <cell r="EH10" t="str">
            <v>Anhedral</v>
          </cell>
          <cell r="EI10" t="str">
            <v>Yellow</v>
          </cell>
          <cell r="EJ10" t="str">
            <v>Pure yellow</v>
          </cell>
          <cell r="EK10" t="str">
            <v>High</v>
          </cell>
          <cell r="EL10"/>
          <cell r="EM10" t="str">
            <v>No</v>
          </cell>
          <cell r="EN10" t="str">
            <v>*</v>
          </cell>
          <cell r="EO10" t="str">
            <v>Anisotropic</v>
          </cell>
          <cell r="EP10" t="str">
            <v>Very low. By slightly uncrossing the nicols, yellow-brown to bluish grey or greenish grey tints appear.</v>
          </cell>
          <cell r="EQ10" t="str">
            <v>Brass-yellow, may be tarnished and iridescent</v>
          </cell>
          <cell r="ER10" t="str">
            <v>No</v>
          </cell>
          <cell r="ES10"/>
          <cell r="ET10"/>
          <cell r="EU10"/>
          <cell r="EV10" t="str">
            <v>Yes</v>
          </cell>
          <cell r="EW10" t="str">
            <v>Many esp. py, mc, sl, gn, po, apy, pld, stannite, cuban, bn, cc, cv, Ag-sulphosalts, molybdenite, Bi, bismuthinite, cuprite, electrum, uraninite</v>
          </cell>
          <cell r="EX10" t="str">
            <v>The pure yellow color is diagnostic. Only gold has such a yellow tint and polishes rather poorly.</v>
          </cell>
          <cell r="EY10"/>
          <cell r="EZ10"/>
          <cell r="FA10"/>
          <cell r="FB10"/>
          <cell r="FC10"/>
          <cell r="FD10"/>
          <cell r="FE10"/>
          <cell r="FF10"/>
          <cell r="FG10"/>
          <cell r="FH10"/>
        </row>
        <row r="11">
          <cell r="A11" t="str">
            <v>Chromite</v>
          </cell>
          <cell r="B11" t="str">
            <v>Ore</v>
          </cell>
          <cell r="C11"/>
          <cell r="D11"/>
          <cell r="E11"/>
          <cell r="F11"/>
          <cell r="G11"/>
          <cell r="H11"/>
          <cell r="I11" t="str">
            <v>Fe2+Cr2O4</v>
          </cell>
          <cell r="J11"/>
          <cell r="K11">
            <v>223.84</v>
          </cell>
          <cell r="L11">
            <v>4.8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28.591187865444805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46.458937940499503</v>
          </cell>
          <cell r="AK11">
            <v>0</v>
          </cell>
          <cell r="AL11">
            <v>24.949874194055599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0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 t="str">
            <v>Chr</v>
          </cell>
          <cell r="EC11"/>
          <cell r="ED11"/>
          <cell r="EE11"/>
          <cell r="EF11" t="str">
            <v>Hard (H = 5.5)</v>
          </cell>
          <cell r="EG11"/>
          <cell r="EH11" t="str">
            <v>Often euhedral, rounded</v>
          </cell>
          <cell r="EI11" t="str">
            <v>Grey</v>
          </cell>
          <cell r="EJ11"/>
          <cell r="EK11" t="str">
            <v>Low</v>
          </cell>
          <cell r="EL11" t="str">
            <v>No</v>
          </cell>
          <cell r="EM11" t="str">
            <v>No</v>
          </cell>
          <cell r="EN11"/>
          <cell r="EO11" t="str">
            <v>Isotropic</v>
          </cell>
          <cell r="EP11" t="str">
            <v>*</v>
          </cell>
          <cell r="EQ11" t="str">
            <v>*</v>
          </cell>
          <cell r="ER11"/>
          <cell r="ES11" t="str">
            <v>Often Reddish brown</v>
          </cell>
          <cell r="ET11" t="str">
            <v>Sometimes lamellar ilmenite exsolutions within chromite, Or chromite as rounded kernels within magnetite</v>
          </cell>
          <cell r="EU11"/>
          <cell r="EV11"/>
          <cell r="EW11" t="str">
            <v>Mgt, hem, ilm, po, ptl, etc</v>
          </cell>
          <cell r="EX11" t="str">
            <v>Internal reflexions, Chromite kernels in magnetite (which is more reflectant and has no internal relexions), Zonal texture, Often transected by many grains, Associated minerals</v>
          </cell>
          <cell r="EY11"/>
          <cell r="EZ11"/>
          <cell r="FA11"/>
          <cell r="FB11"/>
          <cell r="FC11"/>
          <cell r="FD11"/>
          <cell r="FE11"/>
          <cell r="FF11"/>
          <cell r="FG11"/>
          <cell r="FH11"/>
        </row>
        <row r="12">
          <cell r="A12" t="str">
            <v>Cobaltite</v>
          </cell>
          <cell r="B12" t="str">
            <v>Ore</v>
          </cell>
          <cell r="C12"/>
          <cell r="D12"/>
          <cell r="E12"/>
          <cell r="F12"/>
          <cell r="G12"/>
          <cell r="H12"/>
          <cell r="I12" t="str">
            <v>CoAsS</v>
          </cell>
          <cell r="J12"/>
          <cell r="K12">
            <v>165.92</v>
          </cell>
          <cell r="L12">
            <v>6.33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19.326088109507602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35.5188740652166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45.155037825275592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0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 t="str">
            <v>Cbt</v>
          </cell>
          <cell r="EC12"/>
          <cell r="ED12"/>
          <cell r="EE12"/>
          <cell r="EF12"/>
          <cell r="EG12"/>
          <cell r="EH12"/>
          <cell r="EI12" t="str">
            <v>White</v>
          </cell>
          <cell r="EJ12"/>
          <cell r="EK12" t="str">
            <v>Very high - High</v>
          </cell>
          <cell r="EL12"/>
          <cell r="EM12" t="str">
            <v>No</v>
          </cell>
          <cell r="EN12" t="str">
            <v>*</v>
          </cell>
          <cell r="EO12" t="str">
            <v>Anisotropic</v>
          </cell>
          <cell r="EP12"/>
          <cell r="EQ12"/>
          <cell r="ER12" t="str">
            <v>No</v>
          </cell>
          <cell r="ES12"/>
          <cell r="ET12"/>
          <cell r="EU12"/>
          <cell r="EV12" t="str">
            <v>Yes</v>
          </cell>
          <cell r="EW12"/>
          <cell r="EX12"/>
          <cell r="EY12"/>
          <cell r="EZ12"/>
          <cell r="FA12"/>
          <cell r="FB12"/>
          <cell r="FC12"/>
          <cell r="FD12"/>
          <cell r="FE12"/>
          <cell r="FF12"/>
          <cell r="FG12"/>
          <cell r="FH12"/>
        </row>
        <row r="13">
          <cell r="A13" t="str">
            <v>Copper</v>
          </cell>
          <cell r="B13" t="str">
            <v>Ore</v>
          </cell>
          <cell r="C13"/>
          <cell r="D13"/>
          <cell r="E13"/>
          <cell r="F13"/>
          <cell r="G13"/>
          <cell r="H13"/>
          <cell r="I13" t="str">
            <v>Cu</v>
          </cell>
          <cell r="J13"/>
          <cell r="K13">
            <v>63.55</v>
          </cell>
          <cell r="L13">
            <v>8.9499999999999993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100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0</v>
          </cell>
          <cell r="DT13">
            <v>0</v>
          </cell>
          <cell r="DU13">
            <v>0</v>
          </cell>
          <cell r="DV13">
            <v>0</v>
          </cell>
          <cell r="DW13">
            <v>0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  <cell r="EB13" t="str">
            <v>Cu</v>
          </cell>
          <cell r="EC13"/>
          <cell r="ED13"/>
          <cell r="EE13"/>
          <cell r="EF13" t="str">
            <v>Hard (H = 2.5 - 3)</v>
          </cell>
          <cell r="EG13"/>
          <cell r="EH13"/>
          <cell r="EI13" t="str">
            <v>Pink-bronze</v>
          </cell>
          <cell r="EJ13" t="str">
            <v xml:space="preserve"> (bright deep pink tarnishes to brownish red*)</v>
          </cell>
          <cell r="EK13" t="str">
            <v>High</v>
          </cell>
          <cell r="EL13" t="str">
            <v>No</v>
          </cell>
          <cell r="EM13" t="str">
            <v>No</v>
          </cell>
          <cell r="EN13" t="str">
            <v>*</v>
          </cell>
          <cell r="EO13" t="str">
            <v>Isotropic</v>
          </cell>
          <cell r="EP13" t="str">
            <v>Can have a very weak anisotropy</v>
          </cell>
          <cell r="EQ13" t="str">
            <v>*</v>
          </cell>
          <cell r="ER13" t="str">
            <v>No</v>
          </cell>
          <cell r="ES13"/>
          <cell r="ET13"/>
          <cell r="EU13"/>
          <cell r="EV13" t="str">
            <v>Yes</v>
          </cell>
          <cell r="EW13" t="str">
            <v>Cuprite, limonite, cc, cv, bn, cp, enargite, tenorite, Ag, delasofite, Cu-carbonates, po, domeykite, algodonite, hematite</v>
          </cell>
          <cell r="EX13"/>
          <cell r="EY13"/>
          <cell r="EZ13"/>
          <cell r="FA13"/>
          <cell r="FB13"/>
          <cell r="FC13"/>
          <cell r="FD13"/>
          <cell r="FE13"/>
          <cell r="FF13"/>
          <cell r="FG13"/>
          <cell r="FH13"/>
        </row>
        <row r="14">
          <cell r="A14" t="str">
            <v>Covellite</v>
          </cell>
          <cell r="B14" t="str">
            <v>Ore</v>
          </cell>
          <cell r="C14"/>
          <cell r="D14"/>
          <cell r="E14"/>
          <cell r="F14"/>
          <cell r="G14"/>
          <cell r="H14"/>
          <cell r="I14" t="str">
            <v>CuS</v>
          </cell>
          <cell r="J14"/>
          <cell r="K14">
            <v>95.61</v>
          </cell>
          <cell r="L14">
            <v>4.68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33.537631259674498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66.462368740325402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 t="str">
            <v>Cv</v>
          </cell>
          <cell r="EC14"/>
          <cell r="ED14"/>
          <cell r="EE14"/>
          <cell r="EF14" t="str">
            <v>Low (H = 1.5 - 2)</v>
          </cell>
          <cell r="EG14" t="str">
            <v>Good polishing</v>
          </cell>
          <cell r="EH14" t="str">
            <v>Often idiomorphic, tabular, curved lamellae</v>
          </cell>
          <cell r="EI14" t="str">
            <v>Blue</v>
          </cell>
          <cell r="EJ14" t="str">
            <v>Very pure Blue</v>
          </cell>
          <cell r="EK14" t="str">
            <v>Moderate</v>
          </cell>
          <cell r="EL14" t="str">
            <v>Yes</v>
          </cell>
          <cell r="EM14" t="str">
            <v>Yes / High</v>
          </cell>
          <cell r="EN14" t="str">
            <v>Bluish white to deep (dark) blue</v>
          </cell>
          <cell r="EO14" t="str">
            <v>Anisotropic</v>
          </cell>
          <cell r="EP14" t="str">
            <v>Very strong</v>
          </cell>
          <cell r="EQ14" t="str">
            <v>Bright reddish orange to brown</v>
          </cell>
          <cell r="ER14" t="str">
            <v>No</v>
          </cell>
          <cell r="ES14"/>
          <cell r="ET14" t="str">
            <v>No</v>
          </cell>
          <cell r="EU14"/>
          <cell r="EV14" t="str">
            <v>No</v>
          </cell>
          <cell r="EW14" t="str">
            <v>Cc, dgt, bn, cp, mc, py, sl, gn, Au, etc</v>
          </cell>
          <cell r="EX14" t="str">
            <v>The pure blue colour, Strong pleochroism, Extreme anisotropism in orange tints, twisted lamellae generally with deformation.</v>
          </cell>
          <cell r="EY14" t="str">
            <v>M118 in Excel</v>
          </cell>
          <cell r="EZ14" t="str">
            <v>M118 in Cytomine</v>
          </cell>
          <cell r="FA14"/>
          <cell r="FB14"/>
          <cell r="FC14"/>
          <cell r="FD14"/>
          <cell r="FE14"/>
          <cell r="FF14"/>
          <cell r="FG14"/>
          <cell r="FH14"/>
        </row>
        <row r="15">
          <cell r="A15" t="str">
            <v>Cuprite</v>
          </cell>
          <cell r="B15" t="str">
            <v>Ore</v>
          </cell>
          <cell r="C15"/>
          <cell r="D15"/>
          <cell r="E15"/>
          <cell r="F15"/>
          <cell r="G15"/>
          <cell r="H15"/>
          <cell r="I15" t="str">
            <v>Cu2O</v>
          </cell>
          <cell r="J15"/>
          <cell r="K15">
            <v>143.09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11.181244994458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88.818755005541902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 t="str">
            <v>Cpr</v>
          </cell>
          <cell r="EC15"/>
          <cell r="ED15"/>
          <cell r="EE15" t="str">
            <v>Cubic</v>
          </cell>
          <cell r="EF15" t="str">
            <v>H = 3 - 4</v>
          </cell>
          <cell r="EG15" t="str">
            <v>Difficult polish and a few pits always remain.</v>
          </cell>
          <cell r="EH15"/>
          <cell r="EI15" t="str">
            <v>Grey</v>
          </cell>
          <cell r="EJ15" t="str">
            <v>Grey-xhite with bluish tint.</v>
          </cell>
          <cell r="EK15" t="str">
            <v>Moderate</v>
          </cell>
          <cell r="EL15"/>
          <cell r="EM15" t="str">
            <v>No</v>
          </cell>
          <cell r="EN15" t="str">
            <v>*</v>
          </cell>
          <cell r="EO15" t="str">
            <v>Anisotropic</v>
          </cell>
          <cell r="EP15" t="str">
            <v xml:space="preserve">Distinct, </v>
          </cell>
          <cell r="EQ15" t="str">
            <v>By slightly uncrossing the nicols, green to bluish tints appear</v>
          </cell>
          <cell r="ER15" t="str">
            <v>Yes</v>
          </cell>
          <cell r="ES15" t="str">
            <v>Red</v>
          </cell>
          <cell r="ET15"/>
          <cell r="EU15"/>
          <cell r="EV15" t="str">
            <v>Yes</v>
          </cell>
          <cell r="EW15" t="str">
            <v>Native copper, tenorite, delafossite, goethite, chalcocite, covellite.</v>
          </cell>
          <cell r="EX15" t="str">
            <v>The bluish grey color, difficult polish, colored anistropy with extensive internal reflections and frequent association with native copper.</v>
          </cell>
          <cell r="EY15"/>
          <cell r="EZ15"/>
          <cell r="FA15"/>
          <cell r="FB15"/>
          <cell r="FC15"/>
          <cell r="FD15"/>
          <cell r="FE15"/>
          <cell r="FF15"/>
          <cell r="FG15"/>
          <cell r="FH15"/>
        </row>
        <row r="16">
          <cell r="A16" t="str">
            <v>Delafossite</v>
          </cell>
          <cell r="B16"/>
          <cell r="C16"/>
          <cell r="D16"/>
          <cell r="E16"/>
          <cell r="F16"/>
          <cell r="G16"/>
          <cell r="H16"/>
          <cell r="I16" t="str">
            <v>Cu+Fe+++O2</v>
          </cell>
          <cell r="J16"/>
          <cell r="K16">
            <v>151.38999999999999</v>
          </cell>
          <cell r="L16">
            <v>5.41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21.136415578650805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36.889052115107901</v>
          </cell>
          <cell r="AM16">
            <v>0</v>
          </cell>
          <cell r="AN16">
            <v>0</v>
          </cell>
          <cell r="AO16">
            <v>41.974532306241102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 t="str">
            <v>Del</v>
          </cell>
          <cell r="EC16"/>
          <cell r="ED16"/>
          <cell r="EE16"/>
          <cell r="EF16"/>
          <cell r="EG16"/>
          <cell r="EH16"/>
          <cell r="EI16" t="str">
            <v>Brown</v>
          </cell>
          <cell r="EJ16"/>
          <cell r="EK16" t="str">
            <v>Low</v>
          </cell>
          <cell r="EL16"/>
          <cell r="EM16" t="str">
            <v>Yes / High</v>
          </cell>
          <cell r="EN16"/>
          <cell r="EO16" t="str">
            <v>Anisotropic</v>
          </cell>
          <cell r="EP16"/>
          <cell r="EQ16"/>
          <cell r="ER16" t="str">
            <v>No</v>
          </cell>
          <cell r="ES16"/>
          <cell r="ET16"/>
          <cell r="EU16"/>
          <cell r="EV16" t="str">
            <v>No</v>
          </cell>
          <cell r="EW16"/>
          <cell r="EX16"/>
          <cell r="EY16"/>
          <cell r="EZ16"/>
          <cell r="FA16"/>
          <cell r="FB16"/>
          <cell r="FC16"/>
          <cell r="FD16"/>
          <cell r="FE16"/>
          <cell r="FF16"/>
          <cell r="FG16"/>
          <cell r="FH16"/>
        </row>
        <row r="17">
          <cell r="A17" t="str">
            <v>Digenite</v>
          </cell>
          <cell r="B17" t="str">
            <v>Ore</v>
          </cell>
          <cell r="C17"/>
          <cell r="D17"/>
          <cell r="E17"/>
          <cell r="F17"/>
          <cell r="G17"/>
          <cell r="H17"/>
          <cell r="I17" t="str">
            <v>Cu1.8S / Cu9S5</v>
          </cell>
          <cell r="J17"/>
          <cell r="K17">
            <v>732.24</v>
          </cell>
          <cell r="L17">
            <v>5.6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21.895706895515701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78.104293104484199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 t="str">
            <v>Dg</v>
          </cell>
          <cell r="EC17"/>
          <cell r="ED17"/>
          <cell r="EE17"/>
          <cell r="EF17"/>
          <cell r="EG17"/>
          <cell r="EH17"/>
          <cell r="EI17" t="str">
            <v>Blue</v>
          </cell>
          <cell r="EJ17"/>
          <cell r="EK17" t="str">
            <v>Moderate</v>
          </cell>
          <cell r="EL17"/>
          <cell r="EM17" t="str">
            <v>No</v>
          </cell>
          <cell r="EN17" t="str">
            <v>*</v>
          </cell>
          <cell r="EO17" t="str">
            <v>Isotropic</v>
          </cell>
          <cell r="EP17" t="str">
            <v>*</v>
          </cell>
          <cell r="EQ17" t="str">
            <v>*</v>
          </cell>
          <cell r="ER17" t="str">
            <v>No</v>
          </cell>
          <cell r="ES17"/>
          <cell r="ET17"/>
          <cell r="EU17"/>
          <cell r="EV17" t="str">
            <v>No</v>
          </cell>
          <cell r="EW17"/>
          <cell r="EX17"/>
          <cell r="EY17"/>
          <cell r="EZ17"/>
          <cell r="FA17"/>
          <cell r="FB17"/>
          <cell r="FC17"/>
          <cell r="FD17"/>
          <cell r="FE17"/>
          <cell r="FF17"/>
          <cell r="FG17"/>
          <cell r="FH17"/>
          <cell r="FI17"/>
          <cell r="FJ17"/>
          <cell r="FK17"/>
          <cell r="FL17"/>
          <cell r="FM17"/>
          <cell r="FN17"/>
          <cell r="FO17"/>
          <cell r="FP17"/>
          <cell r="FQ17"/>
          <cell r="FR17"/>
          <cell r="FS17"/>
          <cell r="FT17"/>
          <cell r="FU17"/>
          <cell r="FV17"/>
          <cell r="FW17"/>
          <cell r="FX17"/>
          <cell r="FY17"/>
          <cell r="FZ17"/>
          <cell r="GA17"/>
          <cell r="GB17"/>
          <cell r="GC17"/>
          <cell r="GD17"/>
          <cell r="GE17"/>
          <cell r="GF17"/>
          <cell r="GG17"/>
          <cell r="GH17"/>
          <cell r="GI17"/>
          <cell r="GJ17"/>
          <cell r="GK17"/>
          <cell r="GL17"/>
          <cell r="GM17"/>
          <cell r="GN17"/>
          <cell r="GO17"/>
          <cell r="GP17"/>
          <cell r="GQ17"/>
          <cell r="GR17"/>
          <cell r="GS17"/>
          <cell r="GT17"/>
          <cell r="GU17"/>
          <cell r="GV17"/>
          <cell r="GW17"/>
          <cell r="GX17"/>
          <cell r="GY17"/>
          <cell r="GZ17"/>
          <cell r="HA17"/>
          <cell r="HB17"/>
          <cell r="HC17"/>
          <cell r="HD17"/>
          <cell r="HE17"/>
          <cell r="HF17"/>
          <cell r="HG17"/>
          <cell r="HH17"/>
          <cell r="HI17"/>
          <cell r="HJ17"/>
          <cell r="HK17"/>
          <cell r="HL17"/>
          <cell r="HM17"/>
          <cell r="HN17"/>
          <cell r="HO17"/>
          <cell r="HP17"/>
          <cell r="HQ17"/>
          <cell r="HR17"/>
          <cell r="HS17"/>
          <cell r="HT17"/>
          <cell r="HU17"/>
          <cell r="HV17"/>
          <cell r="HW17"/>
          <cell r="HX17"/>
          <cell r="HY17"/>
          <cell r="HZ17"/>
          <cell r="IA17"/>
          <cell r="IB17"/>
          <cell r="IC17"/>
          <cell r="ID17"/>
          <cell r="IE17"/>
          <cell r="IF17"/>
          <cell r="IG17"/>
          <cell r="IH17"/>
          <cell r="II17"/>
          <cell r="IJ17"/>
          <cell r="IK17"/>
          <cell r="IL17"/>
          <cell r="IM17"/>
          <cell r="IN17"/>
          <cell r="IO17"/>
          <cell r="IP17"/>
          <cell r="IQ17"/>
          <cell r="IR17"/>
          <cell r="IS17"/>
          <cell r="IT17"/>
          <cell r="IU17"/>
          <cell r="IV17"/>
          <cell r="IW17"/>
          <cell r="IX17"/>
          <cell r="IY17"/>
          <cell r="IZ17"/>
          <cell r="JA17"/>
          <cell r="JB17"/>
          <cell r="JC17"/>
          <cell r="JD17"/>
          <cell r="JE17"/>
          <cell r="JF17"/>
          <cell r="JG17"/>
          <cell r="JH17"/>
          <cell r="JI17"/>
          <cell r="JJ17"/>
          <cell r="JK17"/>
          <cell r="JL17"/>
          <cell r="JM17"/>
          <cell r="JN17"/>
          <cell r="JO17"/>
          <cell r="JP17"/>
          <cell r="JQ17"/>
          <cell r="JR17"/>
          <cell r="JS17"/>
          <cell r="JT17"/>
          <cell r="JU17"/>
          <cell r="JV17"/>
          <cell r="JW17"/>
          <cell r="JX17"/>
          <cell r="JY17"/>
          <cell r="JZ17"/>
          <cell r="KA17"/>
          <cell r="KB17"/>
          <cell r="KC17"/>
          <cell r="KD17"/>
          <cell r="KE17"/>
          <cell r="KF17"/>
          <cell r="KG17"/>
          <cell r="KH17"/>
          <cell r="KI17"/>
          <cell r="KJ17"/>
          <cell r="KK17"/>
          <cell r="KL17"/>
          <cell r="KM17"/>
          <cell r="KN17"/>
          <cell r="KO17"/>
          <cell r="KP17"/>
          <cell r="KQ17"/>
          <cell r="KR17"/>
          <cell r="KS17"/>
          <cell r="KT17"/>
          <cell r="KU17"/>
          <cell r="KV17"/>
          <cell r="KW17"/>
          <cell r="KX17"/>
          <cell r="KY17"/>
          <cell r="KZ17"/>
          <cell r="LA17"/>
          <cell r="LB17"/>
          <cell r="LC17"/>
          <cell r="LD17"/>
          <cell r="LE17"/>
          <cell r="LF17"/>
          <cell r="LG17"/>
          <cell r="LH17"/>
          <cell r="LI17"/>
          <cell r="LJ17"/>
          <cell r="LK17"/>
          <cell r="LL17"/>
          <cell r="LM17"/>
          <cell r="LN17"/>
        </row>
        <row r="18">
          <cell r="A18" t="str">
            <v>Galena</v>
          </cell>
          <cell r="B18" t="str">
            <v>Ore</v>
          </cell>
          <cell r="C18"/>
          <cell r="D18"/>
          <cell r="E18"/>
          <cell r="F18"/>
          <cell r="G18"/>
          <cell r="H18"/>
          <cell r="I18" t="str">
            <v>PbS</v>
          </cell>
          <cell r="J18"/>
          <cell r="K18">
            <v>239.27</v>
          </cell>
          <cell r="L18">
            <v>7.4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13.401820567903499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86.598179432096401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 t="str">
            <v>Gn</v>
          </cell>
          <cell r="EC18"/>
          <cell r="ED18"/>
          <cell r="EE18"/>
          <cell r="EF18" t="str">
            <v>Low (H=2.5)</v>
          </cell>
          <cell r="EG18"/>
          <cell r="EH18" t="str">
            <v>anhedral</v>
          </cell>
          <cell r="EI18" t="str">
            <v>White</v>
          </cell>
          <cell r="EJ18" t="str">
            <v>Dirty white w/ purplish pink tinge</v>
          </cell>
          <cell r="EK18" t="str">
            <v>Medium-High</v>
          </cell>
          <cell r="EL18" t="str">
            <v>No</v>
          </cell>
          <cell r="EM18" t="str">
            <v>No</v>
          </cell>
          <cell r="EN18" t="str">
            <v>*</v>
          </cell>
          <cell r="EO18" t="str">
            <v>Isotropic</v>
          </cell>
          <cell r="EP18" t="str">
            <v>*</v>
          </cell>
          <cell r="EQ18" t="str">
            <v>*</v>
          </cell>
          <cell r="ER18" t="str">
            <v>No</v>
          </cell>
          <cell r="ES18" t="str">
            <v>*</v>
          </cell>
          <cell r="ET18" t="str">
            <v>*</v>
          </cell>
          <cell r="EU18"/>
          <cell r="EV18" t="str">
            <v>No</v>
          </cell>
          <cell r="EW18" t="str">
            <v>enargite, Au, Ag, electrum, stannite, bn, cc, cv, Ag-sulphosalts, argentite</v>
          </cell>
          <cell r="EX18" t="str">
            <v>Triangular pits/cubic cleavage together w/ isotropism is characteristic. The cleavage lines are sometimes curved.</v>
          </cell>
          <cell r="EY18"/>
          <cell r="EZ18"/>
          <cell r="FA18"/>
          <cell r="FB18"/>
          <cell r="FC18"/>
          <cell r="FD18"/>
          <cell r="FE18"/>
          <cell r="FF18"/>
          <cell r="FG18"/>
          <cell r="FH18"/>
          <cell r="FI18"/>
          <cell r="FJ18"/>
          <cell r="FK18"/>
          <cell r="FL18"/>
          <cell r="FM18"/>
          <cell r="FN18"/>
          <cell r="FO18"/>
          <cell r="FP18"/>
          <cell r="FQ18"/>
          <cell r="FR18"/>
          <cell r="FS18"/>
          <cell r="FT18"/>
          <cell r="FU18"/>
          <cell r="FV18"/>
          <cell r="FW18"/>
          <cell r="FX18"/>
          <cell r="FY18"/>
          <cell r="FZ18"/>
          <cell r="GA18"/>
          <cell r="GB18"/>
          <cell r="GC18"/>
          <cell r="GD18"/>
          <cell r="GE18"/>
          <cell r="GF18"/>
          <cell r="GG18"/>
          <cell r="GH18"/>
          <cell r="GI18"/>
          <cell r="GJ18"/>
          <cell r="GK18"/>
          <cell r="GL18"/>
          <cell r="GM18"/>
          <cell r="GN18"/>
          <cell r="GO18"/>
          <cell r="GP18"/>
          <cell r="GQ18"/>
          <cell r="GR18"/>
          <cell r="GS18"/>
          <cell r="GT18"/>
          <cell r="GU18"/>
          <cell r="GV18"/>
          <cell r="GW18"/>
          <cell r="GX18"/>
          <cell r="GY18"/>
          <cell r="GZ18"/>
          <cell r="HA18"/>
          <cell r="HB18"/>
          <cell r="HC18"/>
          <cell r="HD18"/>
          <cell r="HE18"/>
          <cell r="HF18"/>
          <cell r="HG18"/>
          <cell r="HH18"/>
          <cell r="HI18"/>
          <cell r="HJ18"/>
          <cell r="HK18"/>
          <cell r="HL18"/>
          <cell r="HM18"/>
          <cell r="HN18"/>
          <cell r="HO18"/>
          <cell r="HP18"/>
          <cell r="HQ18"/>
          <cell r="HR18"/>
          <cell r="HS18"/>
          <cell r="HT18"/>
          <cell r="HU18"/>
          <cell r="HV18"/>
          <cell r="HW18"/>
          <cell r="HX18"/>
          <cell r="HY18"/>
          <cell r="HZ18"/>
          <cell r="IA18"/>
          <cell r="IB18"/>
          <cell r="IC18"/>
          <cell r="ID18"/>
          <cell r="IE18"/>
          <cell r="IF18"/>
          <cell r="IG18"/>
          <cell r="IH18"/>
          <cell r="II18"/>
          <cell r="IJ18"/>
          <cell r="IK18"/>
          <cell r="IL18"/>
          <cell r="IM18"/>
          <cell r="IN18"/>
          <cell r="IO18"/>
          <cell r="IP18"/>
          <cell r="IQ18"/>
          <cell r="IR18"/>
          <cell r="IS18"/>
          <cell r="IT18"/>
          <cell r="IU18"/>
          <cell r="IV18"/>
          <cell r="IW18"/>
          <cell r="IX18"/>
          <cell r="IY18"/>
          <cell r="IZ18"/>
          <cell r="JA18"/>
          <cell r="JB18"/>
          <cell r="JC18"/>
          <cell r="JD18"/>
          <cell r="JE18"/>
          <cell r="JF18"/>
          <cell r="JG18"/>
          <cell r="JH18"/>
          <cell r="JI18"/>
          <cell r="JJ18"/>
          <cell r="JK18"/>
          <cell r="JL18"/>
          <cell r="JM18"/>
          <cell r="JN18"/>
          <cell r="JO18"/>
          <cell r="JP18"/>
          <cell r="JQ18"/>
          <cell r="JR18"/>
          <cell r="JS18"/>
          <cell r="JT18"/>
          <cell r="JU18"/>
          <cell r="JV18"/>
          <cell r="JW18"/>
          <cell r="JX18"/>
          <cell r="JY18"/>
          <cell r="JZ18"/>
          <cell r="KA18"/>
          <cell r="KB18"/>
          <cell r="KC18"/>
          <cell r="KD18"/>
          <cell r="KE18"/>
          <cell r="KF18"/>
          <cell r="KG18"/>
          <cell r="KH18"/>
          <cell r="KI18"/>
          <cell r="KJ18"/>
          <cell r="KK18"/>
          <cell r="KL18"/>
          <cell r="KM18"/>
          <cell r="KN18"/>
          <cell r="KO18"/>
          <cell r="KP18"/>
          <cell r="KQ18"/>
          <cell r="KR18"/>
          <cell r="KS18"/>
          <cell r="KT18"/>
          <cell r="KU18"/>
          <cell r="KV18"/>
          <cell r="KW18"/>
          <cell r="KX18"/>
          <cell r="KY18"/>
          <cell r="KZ18"/>
          <cell r="LA18"/>
          <cell r="LB18"/>
          <cell r="LC18"/>
          <cell r="LD18"/>
          <cell r="LE18"/>
          <cell r="LF18"/>
          <cell r="LG18"/>
          <cell r="LH18"/>
          <cell r="LI18"/>
          <cell r="LJ18"/>
          <cell r="LK18"/>
          <cell r="LL18"/>
          <cell r="LM18"/>
          <cell r="LN18"/>
        </row>
        <row r="19">
          <cell r="A19" t="str">
            <v>Goethite</v>
          </cell>
          <cell r="B19" t="str">
            <v>Ore</v>
          </cell>
          <cell r="C19"/>
          <cell r="D19"/>
          <cell r="E19"/>
          <cell r="F19"/>
          <cell r="G19"/>
          <cell r="H19"/>
          <cell r="I19" t="str">
            <v>FeO(OH)</v>
          </cell>
          <cell r="J19"/>
          <cell r="K19">
            <v>88.85</v>
          </cell>
          <cell r="L19">
            <v>3.8</v>
          </cell>
          <cell r="M19">
            <v>1.1343810626316899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36.012890397185302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62.852728540182994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 t="str">
            <v>Gth</v>
          </cell>
          <cell r="EC19"/>
          <cell r="ED19"/>
          <cell r="EE19"/>
          <cell r="EF19"/>
          <cell r="EG19"/>
          <cell r="EH19"/>
          <cell r="EI19" t="str">
            <v>Grey</v>
          </cell>
          <cell r="EJ19"/>
          <cell r="EK19" t="str">
            <v>Low</v>
          </cell>
          <cell r="EL19"/>
          <cell r="EM19" t="str">
            <v>Yes / Low -Moderate</v>
          </cell>
          <cell r="EN19"/>
          <cell r="EO19" t="str">
            <v>Anisotropic</v>
          </cell>
          <cell r="EP19"/>
          <cell r="EQ19"/>
          <cell r="ER19" t="str">
            <v>Yes</v>
          </cell>
          <cell r="ES19"/>
          <cell r="ET19"/>
          <cell r="EU19"/>
          <cell r="EV19" t="str">
            <v>No</v>
          </cell>
          <cell r="EW19"/>
          <cell r="EX19"/>
          <cell r="EY19"/>
          <cell r="EZ19"/>
          <cell r="FA19"/>
          <cell r="FB19"/>
          <cell r="FC19"/>
          <cell r="FD19"/>
          <cell r="FE19"/>
          <cell r="FF19"/>
          <cell r="FG19"/>
          <cell r="FH19"/>
          <cell r="FI19"/>
          <cell r="FJ19"/>
          <cell r="FK19"/>
          <cell r="FL19"/>
          <cell r="FM19"/>
          <cell r="FN19"/>
          <cell r="FO19"/>
          <cell r="FP19"/>
          <cell r="FQ19"/>
          <cell r="FR19"/>
          <cell r="FS19"/>
          <cell r="FT19"/>
          <cell r="FU19"/>
          <cell r="FV19"/>
          <cell r="FW19"/>
          <cell r="FX19"/>
          <cell r="FY19"/>
          <cell r="FZ19"/>
          <cell r="GA19"/>
          <cell r="GB19"/>
          <cell r="GC19"/>
          <cell r="GD19"/>
          <cell r="GE19"/>
          <cell r="GF19"/>
          <cell r="GG19"/>
          <cell r="GH19"/>
          <cell r="GI19"/>
          <cell r="GJ19"/>
          <cell r="GK19"/>
          <cell r="GL19"/>
          <cell r="GM19"/>
          <cell r="GN19"/>
          <cell r="GO19"/>
          <cell r="GP19"/>
          <cell r="GQ19"/>
          <cell r="GR19"/>
          <cell r="GS19"/>
          <cell r="GT19"/>
          <cell r="GU19"/>
          <cell r="GV19"/>
          <cell r="GW19"/>
          <cell r="GX19"/>
          <cell r="GY19"/>
          <cell r="GZ19"/>
          <cell r="HA19"/>
          <cell r="HB19"/>
          <cell r="HC19"/>
          <cell r="HD19"/>
          <cell r="HE19"/>
          <cell r="HF19"/>
          <cell r="HG19"/>
          <cell r="HH19"/>
          <cell r="HI19"/>
          <cell r="HJ19"/>
          <cell r="HK19"/>
          <cell r="HL19"/>
          <cell r="HM19"/>
          <cell r="HN19"/>
          <cell r="HO19"/>
          <cell r="HP19"/>
          <cell r="HQ19"/>
          <cell r="HR19"/>
          <cell r="HS19"/>
          <cell r="HT19"/>
          <cell r="HU19"/>
          <cell r="HV19"/>
          <cell r="HW19"/>
          <cell r="HX19"/>
          <cell r="HY19"/>
          <cell r="HZ19"/>
          <cell r="IA19"/>
          <cell r="IB19"/>
          <cell r="IC19"/>
          <cell r="ID19"/>
          <cell r="IE19"/>
          <cell r="IF19"/>
          <cell r="IG19"/>
          <cell r="IH19"/>
          <cell r="II19"/>
          <cell r="IJ19"/>
          <cell r="IK19"/>
          <cell r="IL19"/>
          <cell r="IM19"/>
          <cell r="IN19"/>
          <cell r="IO19"/>
          <cell r="IP19"/>
          <cell r="IQ19"/>
          <cell r="IR19"/>
          <cell r="IS19"/>
          <cell r="IT19"/>
          <cell r="IU19"/>
          <cell r="IV19"/>
          <cell r="IW19"/>
          <cell r="IX19"/>
          <cell r="IY19"/>
          <cell r="IZ19"/>
          <cell r="JA19"/>
          <cell r="JB19"/>
          <cell r="JC19"/>
          <cell r="JD19"/>
          <cell r="JE19"/>
          <cell r="JF19"/>
          <cell r="JG19"/>
          <cell r="JH19"/>
          <cell r="JI19"/>
          <cell r="JJ19"/>
          <cell r="JK19"/>
          <cell r="JL19"/>
          <cell r="JM19"/>
          <cell r="JN19"/>
          <cell r="JO19"/>
          <cell r="JP19"/>
          <cell r="JQ19"/>
          <cell r="JR19"/>
          <cell r="JS19"/>
          <cell r="JT19"/>
          <cell r="JU19"/>
          <cell r="JV19"/>
          <cell r="JW19"/>
          <cell r="JX19"/>
          <cell r="JY19"/>
          <cell r="JZ19"/>
          <cell r="KA19"/>
          <cell r="KB19"/>
          <cell r="KC19"/>
          <cell r="KD19"/>
          <cell r="KE19"/>
          <cell r="KF19"/>
          <cell r="KG19"/>
          <cell r="KH19"/>
          <cell r="KI19"/>
          <cell r="KJ19"/>
          <cell r="KK19"/>
          <cell r="KL19"/>
          <cell r="KM19"/>
          <cell r="KN19"/>
          <cell r="KO19"/>
          <cell r="KP19"/>
          <cell r="KQ19"/>
          <cell r="KR19"/>
          <cell r="KS19"/>
          <cell r="KT19"/>
          <cell r="KU19"/>
          <cell r="KV19"/>
          <cell r="KW19"/>
          <cell r="KX19"/>
          <cell r="KY19"/>
          <cell r="KZ19"/>
          <cell r="LA19"/>
          <cell r="LB19"/>
          <cell r="LC19"/>
          <cell r="LD19"/>
          <cell r="LE19"/>
          <cell r="LF19"/>
          <cell r="LG19"/>
          <cell r="LH19"/>
          <cell r="LI19"/>
          <cell r="LJ19"/>
          <cell r="LK19"/>
          <cell r="LL19"/>
          <cell r="LM19"/>
          <cell r="LN19"/>
        </row>
        <row r="20">
          <cell r="A20" t="str">
            <v>Gold</v>
          </cell>
          <cell r="B20" t="str">
            <v>Ore</v>
          </cell>
          <cell r="C20"/>
          <cell r="D20"/>
          <cell r="E20"/>
          <cell r="F20"/>
          <cell r="G20"/>
          <cell r="H20"/>
          <cell r="I20" t="str">
            <v>Au</v>
          </cell>
          <cell r="J20"/>
          <cell r="K20">
            <v>196.97</v>
          </cell>
          <cell r="L20">
            <v>17.649999999999999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100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 t="str">
            <v>Au</v>
          </cell>
          <cell r="EC20"/>
          <cell r="ED20"/>
          <cell r="EE20"/>
          <cell r="EF20"/>
          <cell r="EG20"/>
          <cell r="EH20"/>
          <cell r="EI20" t="str">
            <v>Yellow</v>
          </cell>
          <cell r="EJ20"/>
          <cell r="EK20" t="str">
            <v>Very high</v>
          </cell>
          <cell r="EL20" t="str">
            <v>No</v>
          </cell>
          <cell r="EM20" t="str">
            <v>No</v>
          </cell>
          <cell r="EN20" t="str">
            <v>*</v>
          </cell>
          <cell r="EO20" t="str">
            <v>Isotropic</v>
          </cell>
          <cell r="EP20" t="str">
            <v>*</v>
          </cell>
          <cell r="EQ20" t="str">
            <v>*</v>
          </cell>
          <cell r="ER20" t="str">
            <v>No</v>
          </cell>
          <cell r="ES20"/>
          <cell r="ET20" t="str">
            <v>No</v>
          </cell>
          <cell r="EU20"/>
          <cell r="EV20" t="str">
            <v>No</v>
          </cell>
          <cell r="EW20" t="str">
            <v>Py, apy, po, sl, cp, gn, mgt, wolf, mc, bn, cv, hem, cu, etc</v>
          </cell>
          <cell r="EX20" t="str">
            <v>Deep yellow colour
Extreme reflectance 
Bad polishing  
Not full extinction in XPL (dark greenish tint)</v>
          </cell>
          <cell r="EY20"/>
          <cell r="EZ20"/>
          <cell r="FA20"/>
          <cell r="FB20"/>
          <cell r="FC20"/>
          <cell r="FD20"/>
          <cell r="FE20"/>
          <cell r="FF20"/>
          <cell r="FG20"/>
          <cell r="FH20"/>
          <cell r="FI20"/>
          <cell r="FJ20"/>
          <cell r="FK20"/>
          <cell r="FL20"/>
          <cell r="FM20"/>
          <cell r="FN20"/>
          <cell r="FO20"/>
          <cell r="FP20"/>
          <cell r="FQ20"/>
          <cell r="FR20"/>
          <cell r="FS20"/>
          <cell r="FT20"/>
          <cell r="FU20"/>
          <cell r="FV20"/>
          <cell r="FW20"/>
          <cell r="FX20"/>
          <cell r="FY20"/>
          <cell r="FZ20"/>
          <cell r="GA20"/>
          <cell r="GB20"/>
          <cell r="GC20"/>
          <cell r="GD20"/>
          <cell r="GE20"/>
          <cell r="GF20"/>
          <cell r="GG20"/>
          <cell r="GH20"/>
          <cell r="GI20"/>
          <cell r="GJ20"/>
          <cell r="GK20"/>
          <cell r="GL20"/>
          <cell r="GM20"/>
          <cell r="GN20"/>
          <cell r="GO20"/>
          <cell r="GP20"/>
          <cell r="GQ20"/>
          <cell r="GR20"/>
          <cell r="GS20"/>
          <cell r="GT20"/>
          <cell r="GU20"/>
          <cell r="GV20"/>
          <cell r="GW20"/>
          <cell r="GX20"/>
          <cell r="GY20"/>
          <cell r="GZ20"/>
          <cell r="HA20"/>
          <cell r="HB20"/>
          <cell r="HC20"/>
          <cell r="HD20"/>
          <cell r="HE20"/>
          <cell r="HF20"/>
          <cell r="HG20"/>
          <cell r="HH20"/>
          <cell r="HI20"/>
          <cell r="HJ20"/>
          <cell r="HK20"/>
          <cell r="HL20"/>
          <cell r="HM20"/>
          <cell r="HN20"/>
          <cell r="HO20"/>
          <cell r="HP20"/>
          <cell r="HQ20"/>
          <cell r="HR20"/>
          <cell r="HS20"/>
          <cell r="HT20"/>
          <cell r="HU20"/>
          <cell r="HV20"/>
          <cell r="HW20"/>
          <cell r="HX20"/>
          <cell r="HY20"/>
          <cell r="HZ20"/>
          <cell r="IA20"/>
          <cell r="IB20"/>
          <cell r="IC20"/>
          <cell r="ID20"/>
          <cell r="IE20"/>
          <cell r="IF20"/>
          <cell r="IG20"/>
          <cell r="IH20"/>
          <cell r="II20"/>
          <cell r="IJ20"/>
          <cell r="IK20"/>
          <cell r="IL20"/>
          <cell r="IM20"/>
          <cell r="IN20"/>
          <cell r="IO20"/>
          <cell r="IP20"/>
          <cell r="IQ20"/>
          <cell r="IR20"/>
          <cell r="IS20"/>
          <cell r="IT20"/>
          <cell r="IU20"/>
          <cell r="IV20"/>
          <cell r="IW20"/>
          <cell r="IX20"/>
          <cell r="IY20"/>
          <cell r="IZ20"/>
          <cell r="JA20"/>
          <cell r="JB20"/>
          <cell r="JC20"/>
          <cell r="JD20"/>
          <cell r="JE20"/>
          <cell r="JF20"/>
          <cell r="JG20"/>
          <cell r="JH20"/>
          <cell r="JI20"/>
          <cell r="JJ20"/>
          <cell r="JK20"/>
          <cell r="JL20"/>
          <cell r="JM20"/>
          <cell r="JN20"/>
          <cell r="JO20"/>
          <cell r="JP20"/>
          <cell r="JQ20"/>
          <cell r="JR20"/>
          <cell r="JS20"/>
          <cell r="JT20"/>
          <cell r="JU20"/>
          <cell r="JV20"/>
          <cell r="JW20"/>
          <cell r="JX20"/>
          <cell r="JY20"/>
          <cell r="JZ20"/>
          <cell r="KA20"/>
          <cell r="KB20"/>
          <cell r="KC20"/>
          <cell r="KD20"/>
          <cell r="KE20"/>
          <cell r="KF20"/>
          <cell r="KG20"/>
          <cell r="KH20"/>
          <cell r="KI20"/>
          <cell r="KJ20"/>
          <cell r="KK20"/>
          <cell r="KL20"/>
          <cell r="KM20"/>
          <cell r="KN20"/>
          <cell r="KO20"/>
          <cell r="KP20"/>
          <cell r="KQ20"/>
          <cell r="KR20"/>
          <cell r="KS20"/>
          <cell r="KT20"/>
          <cell r="KU20"/>
          <cell r="KV20"/>
          <cell r="KW20"/>
          <cell r="KX20"/>
          <cell r="KY20"/>
          <cell r="KZ20"/>
          <cell r="LA20"/>
          <cell r="LB20"/>
          <cell r="LC20"/>
          <cell r="LD20"/>
          <cell r="LE20"/>
          <cell r="LF20"/>
          <cell r="LG20"/>
          <cell r="LH20"/>
          <cell r="LI20"/>
          <cell r="LJ20"/>
          <cell r="LK20"/>
          <cell r="LL20"/>
          <cell r="LM20"/>
          <cell r="LN20"/>
        </row>
        <row r="21">
          <cell r="A21" t="str">
            <v>Graphite</v>
          </cell>
          <cell r="B21" t="str">
            <v>Ore</v>
          </cell>
          <cell r="C21"/>
          <cell r="D21"/>
          <cell r="E21"/>
          <cell r="F21"/>
          <cell r="G21"/>
          <cell r="H21"/>
          <cell r="I21" t="str">
            <v>C</v>
          </cell>
          <cell r="J21"/>
          <cell r="K21">
            <v>12.01</v>
          </cell>
          <cell r="L21">
            <v>2.16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100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 t="str">
            <v>Gr</v>
          </cell>
          <cell r="EC21"/>
          <cell r="ED21"/>
          <cell r="EE21"/>
          <cell r="EF21"/>
          <cell r="EG21"/>
          <cell r="EH21"/>
          <cell r="EI21" t="str">
            <v>Grey</v>
          </cell>
          <cell r="EJ21"/>
          <cell r="EK21" t="str">
            <v>Low</v>
          </cell>
          <cell r="EL21"/>
          <cell r="EM21" t="str">
            <v>Yes / High</v>
          </cell>
          <cell r="EN21"/>
          <cell r="EO21" t="str">
            <v>Anisotropic</v>
          </cell>
          <cell r="EP21"/>
          <cell r="EQ21"/>
          <cell r="ER21" t="str">
            <v>No</v>
          </cell>
          <cell r="ES21"/>
          <cell r="ET21"/>
          <cell r="EU21"/>
          <cell r="EV21" t="str">
            <v>No</v>
          </cell>
          <cell r="EW21"/>
          <cell r="EX21"/>
          <cell r="EY21"/>
          <cell r="EZ21"/>
          <cell r="FA21"/>
          <cell r="FB21"/>
          <cell r="FC21"/>
          <cell r="FD21"/>
          <cell r="FE21"/>
          <cell r="FF21"/>
          <cell r="FG21"/>
          <cell r="FH21"/>
          <cell r="FI21"/>
          <cell r="FJ21"/>
          <cell r="FK21"/>
          <cell r="FL21"/>
          <cell r="FM21"/>
          <cell r="FN21"/>
          <cell r="FO21"/>
          <cell r="FP21"/>
          <cell r="FQ21"/>
          <cell r="FR21"/>
          <cell r="FS21"/>
          <cell r="FT21"/>
          <cell r="FU21"/>
          <cell r="FV21"/>
          <cell r="FW21"/>
          <cell r="FX21"/>
          <cell r="FY21"/>
          <cell r="FZ21"/>
          <cell r="GA21"/>
          <cell r="GB21"/>
          <cell r="GC21"/>
          <cell r="GD21"/>
          <cell r="GE21"/>
          <cell r="GF21"/>
          <cell r="GG21"/>
          <cell r="GH21"/>
          <cell r="GI21"/>
          <cell r="GJ21"/>
          <cell r="GK21"/>
          <cell r="GL21"/>
          <cell r="GM21"/>
          <cell r="GN21"/>
          <cell r="GO21"/>
          <cell r="GP21"/>
          <cell r="GQ21"/>
          <cell r="GR21"/>
          <cell r="GS21"/>
          <cell r="GT21"/>
          <cell r="GU21"/>
          <cell r="GV21"/>
          <cell r="GW21"/>
          <cell r="GX21"/>
          <cell r="GY21"/>
          <cell r="GZ21"/>
          <cell r="HA21"/>
          <cell r="HB21"/>
          <cell r="HC21"/>
          <cell r="HD21"/>
          <cell r="HE21"/>
          <cell r="HF21"/>
          <cell r="HG21"/>
          <cell r="HH21"/>
          <cell r="HI21"/>
          <cell r="HJ21"/>
          <cell r="HK21"/>
          <cell r="HL21"/>
          <cell r="HM21"/>
          <cell r="HN21"/>
          <cell r="HO21"/>
          <cell r="HP21"/>
          <cell r="HQ21"/>
          <cell r="HR21"/>
          <cell r="HS21"/>
          <cell r="HT21"/>
          <cell r="HU21"/>
          <cell r="HV21"/>
          <cell r="HW21"/>
          <cell r="HX21"/>
          <cell r="HY21"/>
          <cell r="HZ21"/>
          <cell r="IA21"/>
          <cell r="IB21"/>
          <cell r="IC21"/>
          <cell r="ID21"/>
          <cell r="IE21"/>
          <cell r="IF21"/>
          <cell r="IG21"/>
          <cell r="IH21"/>
          <cell r="II21"/>
          <cell r="IJ21"/>
          <cell r="IK21"/>
          <cell r="IL21"/>
          <cell r="IM21"/>
          <cell r="IN21"/>
          <cell r="IO21"/>
          <cell r="IP21"/>
          <cell r="IQ21"/>
          <cell r="IR21"/>
          <cell r="IS21"/>
          <cell r="IT21"/>
          <cell r="IU21"/>
          <cell r="IV21"/>
          <cell r="IW21"/>
          <cell r="IX21"/>
          <cell r="IY21"/>
          <cell r="IZ21"/>
          <cell r="JA21"/>
          <cell r="JB21"/>
          <cell r="JC21"/>
          <cell r="JD21"/>
          <cell r="JE21"/>
          <cell r="JF21"/>
          <cell r="JG21"/>
          <cell r="JH21"/>
          <cell r="JI21"/>
          <cell r="JJ21"/>
          <cell r="JK21"/>
          <cell r="JL21"/>
          <cell r="JM21"/>
          <cell r="JN21"/>
          <cell r="JO21"/>
          <cell r="JP21"/>
          <cell r="JQ21"/>
          <cell r="JR21"/>
          <cell r="JS21"/>
          <cell r="JT21"/>
          <cell r="JU21"/>
          <cell r="JV21"/>
          <cell r="JW21"/>
          <cell r="JX21"/>
          <cell r="JY21"/>
          <cell r="JZ21"/>
          <cell r="KA21"/>
          <cell r="KB21"/>
          <cell r="KC21"/>
          <cell r="KD21"/>
          <cell r="KE21"/>
          <cell r="KF21"/>
          <cell r="KG21"/>
          <cell r="KH21"/>
          <cell r="KI21"/>
          <cell r="KJ21"/>
          <cell r="KK21"/>
          <cell r="KL21"/>
          <cell r="KM21"/>
          <cell r="KN21"/>
          <cell r="KO21"/>
          <cell r="KP21"/>
          <cell r="KQ21"/>
          <cell r="KR21"/>
          <cell r="KS21"/>
          <cell r="KT21"/>
          <cell r="KU21"/>
          <cell r="KV21"/>
          <cell r="KW21"/>
          <cell r="KX21"/>
          <cell r="KY21"/>
          <cell r="KZ21"/>
          <cell r="LA21"/>
          <cell r="LB21"/>
          <cell r="LC21"/>
          <cell r="LD21"/>
          <cell r="LE21"/>
          <cell r="LF21"/>
          <cell r="LG21"/>
          <cell r="LH21"/>
          <cell r="LI21"/>
          <cell r="LJ21"/>
          <cell r="LK21"/>
          <cell r="LL21"/>
          <cell r="LM21"/>
          <cell r="LN21"/>
        </row>
        <row r="22">
          <cell r="A22" t="str">
            <v>Hematite</v>
          </cell>
          <cell r="B22" t="str">
            <v>Ore</v>
          </cell>
          <cell r="C22"/>
          <cell r="D22"/>
          <cell r="E22"/>
          <cell r="F22"/>
          <cell r="G22"/>
          <cell r="H22"/>
          <cell r="I22" t="str">
            <v>Fe2O3</v>
          </cell>
          <cell r="J22"/>
          <cell r="K22">
            <v>159.69</v>
          </cell>
          <cell r="L22">
            <v>5.3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30.056696570026496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69.943303429973398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 t="str">
            <v>Hem</v>
          </cell>
          <cell r="EC22"/>
          <cell r="ED22"/>
          <cell r="EE22"/>
          <cell r="EF22" t="str">
            <v>High (H = 5 - 6.5)</v>
          </cell>
          <cell r="EG22"/>
          <cell r="EH22" t="str">
            <v>often idiomorphic, tabular and fibrous</v>
          </cell>
          <cell r="EI22" t="str">
            <v>White-Grey</v>
          </cell>
          <cell r="EJ22" t="str">
            <v>White to Grey white, with a bluish tint</v>
          </cell>
          <cell r="EK22" t="str">
            <v>Moderate</v>
          </cell>
          <cell r="EL22" t="str">
            <v>Weak</v>
          </cell>
          <cell r="EM22" t="str">
            <v>Yes / Low -Moderate</v>
          </cell>
          <cell r="EN22"/>
          <cell r="EO22" t="str">
            <v>Anisotropic</v>
          </cell>
          <cell r="EP22" t="str">
            <v>Strong</v>
          </cell>
          <cell r="EQ22" t="str">
            <v>Greenish grey to light brownish tints - Grey blue, grey yellow</v>
          </cell>
          <cell r="ER22" t="str">
            <v>Yes</v>
          </cell>
          <cell r="ES22" t="str">
            <v>deep blood-red internal reflections</v>
          </cell>
          <cell r="ET22"/>
          <cell r="EU22"/>
          <cell r="EV22" t="str">
            <v>Yes</v>
          </cell>
          <cell r="EW22" t="str">
            <v>Magnetite, maghemite, limonite, ilmenite, rutile, chromite, cassiterite, py, apy, sl, mc, po, cp, Mn-oxides, etc.</v>
          </cell>
          <cell r="EX22" t="str">
            <v>Bladed or needle like, subparallel</v>
          </cell>
          <cell r="EY22"/>
          <cell r="EZ22"/>
          <cell r="FA22"/>
          <cell r="FB22"/>
          <cell r="FC22"/>
          <cell r="FD22"/>
          <cell r="FE22"/>
          <cell r="FF22"/>
          <cell r="FG22"/>
          <cell r="FH22"/>
          <cell r="FI22"/>
          <cell r="FJ22"/>
          <cell r="FK22"/>
          <cell r="FL22"/>
          <cell r="FM22"/>
          <cell r="FN22"/>
          <cell r="FO22"/>
          <cell r="FP22"/>
          <cell r="FQ22"/>
          <cell r="FR22"/>
          <cell r="FS22"/>
          <cell r="FT22"/>
          <cell r="FU22"/>
          <cell r="FV22"/>
          <cell r="FW22"/>
          <cell r="FX22"/>
          <cell r="FY22"/>
          <cell r="FZ22"/>
          <cell r="GA22"/>
          <cell r="GB22"/>
          <cell r="GC22"/>
          <cell r="GD22"/>
          <cell r="GE22"/>
          <cell r="GF22"/>
          <cell r="GG22"/>
          <cell r="GH22"/>
          <cell r="GI22"/>
          <cell r="GJ22"/>
          <cell r="GK22"/>
          <cell r="GL22"/>
          <cell r="GM22"/>
          <cell r="GN22"/>
          <cell r="GO22"/>
          <cell r="GP22"/>
          <cell r="GQ22"/>
          <cell r="GR22"/>
          <cell r="GS22"/>
          <cell r="GT22"/>
          <cell r="GU22"/>
          <cell r="GV22"/>
          <cell r="GW22"/>
          <cell r="GX22"/>
          <cell r="GY22"/>
          <cell r="GZ22"/>
          <cell r="HA22"/>
          <cell r="HB22"/>
          <cell r="HC22"/>
          <cell r="HD22"/>
          <cell r="HE22"/>
          <cell r="HF22"/>
          <cell r="HG22"/>
          <cell r="HH22"/>
          <cell r="HI22"/>
          <cell r="HJ22"/>
          <cell r="HK22"/>
          <cell r="HL22"/>
          <cell r="HM22"/>
          <cell r="HN22"/>
          <cell r="HO22"/>
          <cell r="HP22"/>
          <cell r="HQ22"/>
          <cell r="HR22"/>
          <cell r="HS22"/>
          <cell r="HT22"/>
          <cell r="HU22"/>
          <cell r="HV22"/>
          <cell r="HW22"/>
          <cell r="HX22"/>
          <cell r="HY22"/>
          <cell r="HZ22"/>
          <cell r="IA22"/>
          <cell r="IB22"/>
          <cell r="IC22"/>
          <cell r="ID22"/>
          <cell r="IE22"/>
          <cell r="IF22"/>
          <cell r="IG22"/>
          <cell r="IH22"/>
          <cell r="II22"/>
          <cell r="IJ22"/>
          <cell r="IK22"/>
          <cell r="IL22"/>
          <cell r="IM22"/>
          <cell r="IN22"/>
          <cell r="IO22"/>
          <cell r="IP22"/>
          <cell r="IQ22"/>
          <cell r="IR22"/>
          <cell r="IS22"/>
          <cell r="IT22"/>
          <cell r="IU22"/>
          <cell r="IV22"/>
          <cell r="IW22"/>
          <cell r="IX22"/>
          <cell r="IY22"/>
          <cell r="IZ22"/>
          <cell r="JA22"/>
          <cell r="JB22"/>
          <cell r="JC22"/>
          <cell r="JD22"/>
          <cell r="JE22"/>
          <cell r="JF22"/>
          <cell r="JG22"/>
          <cell r="JH22"/>
          <cell r="JI22"/>
          <cell r="JJ22"/>
          <cell r="JK22"/>
          <cell r="JL22"/>
          <cell r="JM22"/>
          <cell r="JN22"/>
          <cell r="JO22"/>
          <cell r="JP22"/>
          <cell r="JQ22"/>
          <cell r="JR22"/>
          <cell r="JS22"/>
          <cell r="JT22"/>
          <cell r="JU22"/>
          <cell r="JV22"/>
          <cell r="JW22"/>
          <cell r="JX22"/>
          <cell r="JY22"/>
          <cell r="JZ22"/>
          <cell r="KA22"/>
          <cell r="KB22"/>
          <cell r="KC22"/>
          <cell r="KD22"/>
          <cell r="KE22"/>
          <cell r="KF22"/>
          <cell r="KG22"/>
          <cell r="KH22"/>
          <cell r="KI22"/>
          <cell r="KJ22"/>
          <cell r="KK22"/>
          <cell r="KL22"/>
          <cell r="KM22"/>
          <cell r="KN22"/>
          <cell r="KO22"/>
          <cell r="KP22"/>
          <cell r="KQ22"/>
          <cell r="KR22"/>
          <cell r="KS22"/>
          <cell r="KT22"/>
          <cell r="KU22"/>
          <cell r="KV22"/>
          <cell r="KW22"/>
          <cell r="KX22"/>
          <cell r="KY22"/>
          <cell r="KZ22"/>
          <cell r="LA22"/>
          <cell r="LB22"/>
          <cell r="LC22"/>
          <cell r="LD22"/>
          <cell r="LE22"/>
          <cell r="LF22"/>
          <cell r="LG22"/>
          <cell r="LH22"/>
          <cell r="LI22"/>
          <cell r="LJ22"/>
          <cell r="LK22"/>
          <cell r="LL22"/>
          <cell r="LM22"/>
          <cell r="LN22"/>
        </row>
        <row r="23">
          <cell r="A23" t="str">
            <v>Ilmenite</v>
          </cell>
          <cell r="B23" t="str">
            <v>Ore</v>
          </cell>
          <cell r="C23"/>
          <cell r="D23"/>
          <cell r="E23"/>
          <cell r="F23"/>
          <cell r="G23"/>
          <cell r="H23"/>
          <cell r="I23" t="str">
            <v>Fe++Ti++++O3</v>
          </cell>
          <cell r="J23"/>
          <cell r="K23">
            <v>151.72999999999999</v>
          </cell>
          <cell r="L23">
            <v>4.72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31.6349558280364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31.557051827909898</v>
          </cell>
          <cell r="AI23">
            <v>0</v>
          </cell>
          <cell r="AJ23">
            <v>0</v>
          </cell>
          <cell r="AK23">
            <v>0</v>
          </cell>
          <cell r="AL23">
            <v>36.807992344053503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 t="str">
            <v>Ilm</v>
          </cell>
          <cell r="EC23"/>
          <cell r="ED23"/>
          <cell r="EE23"/>
          <cell r="EF23" t="str">
            <v>High (5.5-6)</v>
          </cell>
          <cell r="EG23"/>
          <cell r="EH23" t="str">
            <v>Subhedral to anhedral grains</v>
          </cell>
          <cell r="EI23" t="str">
            <v>Grey</v>
          </cell>
          <cell r="EJ23" t="str">
            <v xml:space="preserve"> Grey with reddish brown or purple-pinkish tint</v>
          </cell>
          <cell r="EK23" t="str">
            <v>Low</v>
          </cell>
          <cell r="EL23" t="str">
            <v>Weak</v>
          </cell>
          <cell r="EM23" t="str">
            <v>Yes / Low -Moderate</v>
          </cell>
          <cell r="EN23" t="str">
            <v>Pinkish brown, dark brown</v>
          </cell>
          <cell r="EO23" t="str">
            <v>Anisotropic</v>
          </cell>
          <cell r="EP23" t="str">
            <v>Moderate</v>
          </cell>
          <cell r="EQ23" t="str">
            <v>Greenish grey to brownish grey</v>
          </cell>
          <cell r="ER23" t="str">
            <v>No</v>
          </cell>
          <cell r="ES23"/>
          <cell r="ET23" t="str">
            <v>Yes</v>
          </cell>
          <cell r="EU23" t="str">
            <v>Hematite (Hemoilmenite)</v>
          </cell>
          <cell r="EV23" t="str">
            <v>Yes</v>
          </cell>
          <cell r="EW23" t="str">
            <v>Magnetite, hematite, rutile, sl, py, po, cubanite, pld, cp, chromite, limonite</v>
          </cell>
          <cell r="EX23" t="str">
            <v>lenses in hametite or magnetite, distinct anisotrpy</v>
          </cell>
          <cell r="EY23"/>
          <cell r="EZ23"/>
          <cell r="FA23"/>
          <cell r="FB23"/>
          <cell r="FC23"/>
          <cell r="FD23"/>
          <cell r="FE23"/>
          <cell r="FF23"/>
          <cell r="FG23"/>
          <cell r="FH23"/>
          <cell r="FI23"/>
          <cell r="FJ23"/>
          <cell r="FK23"/>
          <cell r="FL23"/>
          <cell r="FM23"/>
          <cell r="FN23"/>
          <cell r="FO23"/>
          <cell r="FP23"/>
          <cell r="FQ23"/>
          <cell r="FR23"/>
          <cell r="FS23"/>
          <cell r="FT23"/>
          <cell r="FU23"/>
          <cell r="FV23"/>
          <cell r="FW23"/>
          <cell r="FX23"/>
          <cell r="FY23"/>
          <cell r="FZ23"/>
          <cell r="GA23"/>
          <cell r="GB23"/>
          <cell r="GC23"/>
          <cell r="GD23"/>
          <cell r="GE23"/>
          <cell r="GF23"/>
          <cell r="GG23"/>
          <cell r="GH23"/>
          <cell r="GI23"/>
          <cell r="GJ23"/>
          <cell r="GK23"/>
          <cell r="GL23"/>
          <cell r="GM23"/>
          <cell r="GN23"/>
          <cell r="GO23"/>
          <cell r="GP23"/>
          <cell r="GQ23"/>
          <cell r="GR23"/>
          <cell r="GS23"/>
          <cell r="GT23"/>
          <cell r="GU23"/>
          <cell r="GV23"/>
          <cell r="GW23"/>
          <cell r="GX23"/>
          <cell r="GY23"/>
          <cell r="GZ23"/>
          <cell r="HA23"/>
          <cell r="HB23"/>
          <cell r="HC23"/>
          <cell r="HD23"/>
          <cell r="HE23"/>
          <cell r="HF23"/>
          <cell r="HG23"/>
          <cell r="HH23"/>
          <cell r="HI23"/>
          <cell r="HJ23"/>
          <cell r="HK23"/>
          <cell r="HL23"/>
          <cell r="HM23"/>
          <cell r="HN23"/>
          <cell r="HO23"/>
          <cell r="HP23"/>
          <cell r="HQ23"/>
          <cell r="HR23"/>
          <cell r="HS23"/>
          <cell r="HT23"/>
          <cell r="HU23"/>
          <cell r="HV23"/>
          <cell r="HW23"/>
          <cell r="HX23"/>
          <cell r="HY23"/>
          <cell r="HZ23"/>
          <cell r="IA23"/>
          <cell r="IB23"/>
          <cell r="IC23"/>
          <cell r="ID23"/>
          <cell r="IE23"/>
          <cell r="IF23"/>
          <cell r="IG23"/>
          <cell r="IH23"/>
          <cell r="II23"/>
          <cell r="IJ23"/>
          <cell r="IK23"/>
          <cell r="IL23"/>
          <cell r="IM23"/>
          <cell r="IN23"/>
          <cell r="IO23"/>
          <cell r="IP23"/>
          <cell r="IQ23"/>
          <cell r="IR23"/>
          <cell r="IS23"/>
          <cell r="IT23"/>
          <cell r="IU23"/>
          <cell r="IV23"/>
          <cell r="IW23"/>
          <cell r="IX23"/>
          <cell r="IY23"/>
          <cell r="IZ23"/>
          <cell r="JA23"/>
          <cell r="JB23"/>
          <cell r="JC23"/>
          <cell r="JD23"/>
          <cell r="JE23"/>
          <cell r="JF23"/>
          <cell r="JG23"/>
          <cell r="JH23"/>
          <cell r="JI23"/>
          <cell r="JJ23"/>
          <cell r="JK23"/>
          <cell r="JL23"/>
          <cell r="JM23"/>
          <cell r="JN23"/>
          <cell r="JO23"/>
          <cell r="JP23"/>
          <cell r="JQ23"/>
          <cell r="JR23"/>
          <cell r="JS23"/>
          <cell r="JT23"/>
          <cell r="JU23"/>
          <cell r="JV23"/>
          <cell r="JW23"/>
          <cell r="JX23"/>
          <cell r="JY23"/>
          <cell r="JZ23"/>
          <cell r="KA23"/>
          <cell r="KB23"/>
          <cell r="KC23"/>
          <cell r="KD23"/>
          <cell r="KE23"/>
          <cell r="KF23"/>
          <cell r="KG23"/>
          <cell r="KH23"/>
          <cell r="KI23"/>
          <cell r="KJ23"/>
          <cell r="KK23"/>
          <cell r="KL23"/>
          <cell r="KM23"/>
          <cell r="KN23"/>
          <cell r="KO23"/>
          <cell r="KP23"/>
          <cell r="KQ23"/>
          <cell r="KR23"/>
          <cell r="KS23"/>
          <cell r="KT23"/>
          <cell r="KU23"/>
          <cell r="KV23"/>
          <cell r="KW23"/>
          <cell r="KX23"/>
          <cell r="KY23"/>
          <cell r="KZ23"/>
          <cell r="LA23"/>
          <cell r="LB23"/>
          <cell r="LC23"/>
          <cell r="LD23"/>
          <cell r="LE23"/>
          <cell r="LF23"/>
          <cell r="LG23"/>
          <cell r="LH23"/>
          <cell r="LI23"/>
          <cell r="LJ23"/>
          <cell r="LK23"/>
          <cell r="LL23"/>
          <cell r="LM23"/>
          <cell r="LN23"/>
        </row>
        <row r="24">
          <cell r="A24" t="str">
            <v>Magnetite</v>
          </cell>
          <cell r="B24" t="str">
            <v>Ore</v>
          </cell>
          <cell r="C24"/>
          <cell r="D24"/>
          <cell r="E24"/>
          <cell r="F24"/>
          <cell r="G24"/>
          <cell r="H24"/>
          <cell r="I24" t="str">
            <v>Fe++Fe+++2O4</v>
          </cell>
          <cell r="J24"/>
          <cell r="K24">
            <v>231.54</v>
          </cell>
          <cell r="L24">
            <v>5.15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27.640142939449401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72.359857060550596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 t="str">
            <v>Mag</v>
          </cell>
          <cell r="EC24"/>
          <cell r="ED24"/>
          <cell r="EE24"/>
          <cell r="EF24" t="str">
            <v>High (5-6)</v>
          </cell>
          <cell r="EG24"/>
          <cell r="EH24" t="str">
            <v>Euhedral, subhedral sometimes anhedral</v>
          </cell>
          <cell r="EI24" t="str">
            <v>Grey</v>
          </cell>
          <cell r="EJ24" t="str">
            <v>Grey with brownish tint</v>
          </cell>
          <cell r="EK24" t="str">
            <v>Low to medium</v>
          </cell>
          <cell r="EL24" t="str">
            <v>No</v>
          </cell>
          <cell r="EM24" t="str">
            <v>No</v>
          </cell>
          <cell r="EN24" t="str">
            <v>*</v>
          </cell>
          <cell r="EO24" t="str">
            <v>Isotropic</v>
          </cell>
          <cell r="EP24" t="str">
            <v>*</v>
          </cell>
          <cell r="EQ24" t="str">
            <v>*</v>
          </cell>
          <cell r="ER24" t="str">
            <v>No</v>
          </cell>
          <cell r="ES24"/>
          <cell r="ET24" t="str">
            <v>No</v>
          </cell>
          <cell r="EU24"/>
          <cell r="EV24" t="str">
            <v>Yes</v>
          </cell>
          <cell r="EW24" t="str">
            <v>Magnetite, maghemite, limonite, ilmenite, rutile, chromite, cassiterite, py, apy, sl, mc, po, cp, Mn-oxides, etc.</v>
          </cell>
          <cell r="EX24" t="str">
            <v>Isotrpic No pleaocrism and IR</v>
          </cell>
          <cell r="EY24"/>
          <cell r="EZ24"/>
          <cell r="FA24"/>
          <cell r="FB24"/>
          <cell r="FC24"/>
          <cell r="FD24"/>
          <cell r="FE24"/>
          <cell r="FF24"/>
          <cell r="FG24"/>
          <cell r="FH24"/>
          <cell r="FI24"/>
          <cell r="FJ24"/>
          <cell r="FK24"/>
          <cell r="FL24"/>
          <cell r="FM24"/>
          <cell r="FN24"/>
          <cell r="FO24"/>
          <cell r="FP24"/>
          <cell r="FQ24"/>
          <cell r="FR24"/>
          <cell r="FS24"/>
          <cell r="FT24"/>
          <cell r="FU24"/>
          <cell r="FV24"/>
          <cell r="FW24"/>
          <cell r="FX24"/>
          <cell r="FY24"/>
          <cell r="FZ24"/>
          <cell r="GA24"/>
          <cell r="GB24"/>
          <cell r="GC24"/>
          <cell r="GD24"/>
          <cell r="GE24"/>
          <cell r="GF24"/>
          <cell r="GG24"/>
          <cell r="GH24"/>
          <cell r="GI24"/>
          <cell r="GJ24"/>
          <cell r="GK24"/>
          <cell r="GL24"/>
          <cell r="GM24"/>
          <cell r="GN24"/>
          <cell r="GO24"/>
          <cell r="GP24"/>
          <cell r="GQ24"/>
          <cell r="GR24"/>
          <cell r="GS24"/>
          <cell r="GT24"/>
          <cell r="GU24"/>
          <cell r="GV24"/>
          <cell r="GW24"/>
          <cell r="GX24"/>
          <cell r="GY24"/>
          <cell r="GZ24"/>
          <cell r="HA24"/>
          <cell r="HB24"/>
          <cell r="HC24"/>
          <cell r="HD24"/>
          <cell r="HE24"/>
          <cell r="HF24"/>
          <cell r="HG24"/>
          <cell r="HH24"/>
          <cell r="HI24"/>
          <cell r="HJ24"/>
          <cell r="HK24"/>
          <cell r="HL24"/>
          <cell r="HM24"/>
          <cell r="HN24"/>
          <cell r="HO24"/>
          <cell r="HP24"/>
          <cell r="HQ24"/>
          <cell r="HR24"/>
          <cell r="HS24"/>
          <cell r="HT24"/>
          <cell r="HU24"/>
          <cell r="HV24"/>
          <cell r="HW24"/>
          <cell r="HX24"/>
          <cell r="HY24"/>
          <cell r="HZ24"/>
          <cell r="IA24"/>
          <cell r="IB24"/>
          <cell r="IC24"/>
          <cell r="ID24"/>
          <cell r="IE24"/>
          <cell r="IF24"/>
          <cell r="IG24"/>
          <cell r="IH24"/>
          <cell r="II24"/>
          <cell r="IJ24"/>
          <cell r="IK24"/>
          <cell r="IL24"/>
          <cell r="IM24"/>
          <cell r="IN24"/>
          <cell r="IO24"/>
          <cell r="IP24"/>
          <cell r="IQ24"/>
          <cell r="IR24"/>
          <cell r="IS24"/>
          <cell r="IT24"/>
          <cell r="IU24"/>
          <cell r="IV24"/>
          <cell r="IW24"/>
          <cell r="IX24"/>
          <cell r="IY24"/>
          <cell r="IZ24"/>
          <cell r="JA24"/>
          <cell r="JB24"/>
          <cell r="JC24"/>
          <cell r="JD24"/>
          <cell r="JE24"/>
          <cell r="JF24"/>
          <cell r="JG24"/>
          <cell r="JH24"/>
          <cell r="JI24"/>
          <cell r="JJ24"/>
          <cell r="JK24"/>
          <cell r="JL24"/>
          <cell r="JM24"/>
          <cell r="JN24"/>
          <cell r="JO24"/>
          <cell r="JP24"/>
          <cell r="JQ24"/>
          <cell r="JR24"/>
          <cell r="JS24"/>
          <cell r="JT24"/>
          <cell r="JU24"/>
          <cell r="JV24"/>
          <cell r="JW24"/>
          <cell r="JX24"/>
          <cell r="JY24"/>
          <cell r="JZ24"/>
          <cell r="KA24"/>
          <cell r="KB24"/>
          <cell r="KC24"/>
          <cell r="KD24"/>
          <cell r="KE24"/>
          <cell r="KF24"/>
          <cell r="KG24"/>
          <cell r="KH24"/>
          <cell r="KI24"/>
          <cell r="KJ24"/>
          <cell r="KK24"/>
          <cell r="KL24"/>
          <cell r="KM24"/>
          <cell r="KN24"/>
          <cell r="KO24"/>
          <cell r="KP24"/>
          <cell r="KQ24"/>
          <cell r="KR24"/>
          <cell r="KS24"/>
          <cell r="KT24"/>
          <cell r="KU24"/>
          <cell r="KV24"/>
          <cell r="KW24"/>
          <cell r="KX24"/>
          <cell r="KY24"/>
          <cell r="KZ24"/>
          <cell r="LA24"/>
          <cell r="LB24"/>
          <cell r="LC24"/>
          <cell r="LD24"/>
          <cell r="LE24"/>
          <cell r="LF24"/>
          <cell r="LG24"/>
          <cell r="LH24"/>
          <cell r="LI24"/>
          <cell r="LJ24"/>
          <cell r="LK24"/>
          <cell r="LL24"/>
          <cell r="LM24"/>
          <cell r="LN24"/>
        </row>
        <row r="25">
          <cell r="A25" t="str">
            <v>Malachite</v>
          </cell>
          <cell r="B25" t="str">
            <v>Ore</v>
          </cell>
          <cell r="C25"/>
          <cell r="D25"/>
          <cell r="E25"/>
          <cell r="F25"/>
          <cell r="G25"/>
          <cell r="H25"/>
          <cell r="I25" t="str">
            <v>Cu2(CO3)(OH)2</v>
          </cell>
          <cell r="J25"/>
          <cell r="K25">
            <v>221.12</v>
          </cell>
          <cell r="L25">
            <v>3.8</v>
          </cell>
          <cell r="M25">
            <v>0.91168485954061695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5.4319933964037297</v>
          </cell>
          <cell r="S25">
            <v>0</v>
          </cell>
          <cell r="T25">
            <v>36.178767440854898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57.477554303200598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 t="str">
            <v>Mlc</v>
          </cell>
          <cell r="EC25"/>
          <cell r="ED25"/>
          <cell r="EE25"/>
          <cell r="EF25" t="str">
            <v xml:space="preserve"> Med Hard, 3.5-4</v>
          </cell>
          <cell r="EG25"/>
          <cell r="EH25"/>
          <cell r="EI25" t="str">
            <v>Grey</v>
          </cell>
          <cell r="EJ25"/>
          <cell r="EK25" t="str">
            <v>Low</v>
          </cell>
          <cell r="EL25" t="str">
            <v>Distinct</v>
          </cell>
          <cell r="EM25" t="str">
            <v>No</v>
          </cell>
          <cell r="EN25"/>
          <cell r="EO25" t="str">
            <v>Anisotropic</v>
          </cell>
          <cell r="EP25" t="str">
            <v>Strong</v>
          </cell>
          <cell r="EQ25" t="str">
            <v>*</v>
          </cell>
          <cell r="ER25" t="str">
            <v>Yes</v>
          </cell>
          <cell r="ES25" t="str">
            <v>Green</v>
          </cell>
          <cell r="ET25"/>
          <cell r="EU25"/>
          <cell r="EV25"/>
          <cell r="EW25"/>
          <cell r="EX25"/>
          <cell r="EY25"/>
          <cell r="EZ25"/>
          <cell r="FA25"/>
          <cell r="FB25"/>
          <cell r="FC25"/>
          <cell r="FD25"/>
          <cell r="FE25"/>
          <cell r="FF25"/>
          <cell r="FG25"/>
          <cell r="FH25"/>
          <cell r="FI25"/>
          <cell r="FJ25"/>
          <cell r="FK25"/>
          <cell r="FL25"/>
          <cell r="FM25"/>
          <cell r="FN25"/>
          <cell r="FO25"/>
          <cell r="FP25"/>
          <cell r="FQ25"/>
          <cell r="FR25"/>
          <cell r="FS25"/>
          <cell r="FT25"/>
          <cell r="FU25"/>
          <cell r="FV25"/>
          <cell r="FW25"/>
          <cell r="FX25"/>
          <cell r="FY25"/>
          <cell r="FZ25"/>
          <cell r="GA25"/>
          <cell r="GB25"/>
          <cell r="GC25"/>
          <cell r="GD25"/>
          <cell r="GE25"/>
          <cell r="GF25"/>
          <cell r="GG25"/>
          <cell r="GH25"/>
          <cell r="GI25"/>
          <cell r="GJ25"/>
          <cell r="GK25"/>
          <cell r="GL25"/>
          <cell r="GM25"/>
          <cell r="GN25"/>
          <cell r="GO25"/>
          <cell r="GP25"/>
          <cell r="GQ25"/>
          <cell r="GR25"/>
          <cell r="GS25"/>
          <cell r="GT25"/>
          <cell r="GU25"/>
          <cell r="GV25"/>
          <cell r="GW25"/>
          <cell r="GX25"/>
          <cell r="GY25"/>
          <cell r="GZ25"/>
          <cell r="HA25"/>
          <cell r="HB25"/>
          <cell r="HC25"/>
          <cell r="HD25"/>
          <cell r="HE25"/>
          <cell r="HF25"/>
          <cell r="HG25"/>
          <cell r="HH25"/>
          <cell r="HI25"/>
          <cell r="HJ25"/>
          <cell r="HK25"/>
          <cell r="HL25"/>
          <cell r="HM25"/>
          <cell r="HN25"/>
          <cell r="HO25"/>
          <cell r="HP25"/>
          <cell r="HQ25"/>
          <cell r="HR25"/>
          <cell r="HS25"/>
          <cell r="HT25"/>
          <cell r="HU25"/>
          <cell r="HV25"/>
          <cell r="HW25"/>
          <cell r="HX25"/>
          <cell r="HY25"/>
          <cell r="HZ25"/>
          <cell r="IA25"/>
          <cell r="IB25"/>
          <cell r="IC25"/>
          <cell r="ID25"/>
          <cell r="IE25"/>
          <cell r="IF25"/>
          <cell r="IG25"/>
          <cell r="IH25"/>
          <cell r="II25"/>
          <cell r="IJ25"/>
          <cell r="IK25"/>
          <cell r="IL25"/>
          <cell r="IM25"/>
          <cell r="IN25"/>
          <cell r="IO25"/>
          <cell r="IP25"/>
          <cell r="IQ25"/>
          <cell r="IR25"/>
          <cell r="IS25"/>
          <cell r="IT25"/>
          <cell r="IU25"/>
          <cell r="IV25"/>
          <cell r="IW25"/>
          <cell r="IX25"/>
          <cell r="IY25"/>
          <cell r="IZ25"/>
          <cell r="JA25"/>
          <cell r="JB25"/>
          <cell r="JC25"/>
          <cell r="JD25"/>
          <cell r="JE25"/>
          <cell r="JF25"/>
          <cell r="JG25"/>
          <cell r="JH25"/>
          <cell r="JI25"/>
          <cell r="JJ25"/>
          <cell r="JK25"/>
          <cell r="JL25"/>
          <cell r="JM25"/>
          <cell r="JN25"/>
          <cell r="JO25"/>
          <cell r="JP25"/>
          <cell r="JQ25"/>
          <cell r="JR25"/>
          <cell r="JS25"/>
          <cell r="JT25"/>
          <cell r="JU25"/>
          <cell r="JV25"/>
          <cell r="JW25"/>
          <cell r="JX25"/>
          <cell r="JY25"/>
          <cell r="JZ25"/>
          <cell r="KA25"/>
          <cell r="KB25"/>
          <cell r="KC25"/>
          <cell r="KD25"/>
          <cell r="KE25"/>
          <cell r="KF25"/>
          <cell r="KG25"/>
          <cell r="KH25"/>
          <cell r="KI25"/>
          <cell r="KJ25"/>
          <cell r="KK25"/>
          <cell r="KL25"/>
          <cell r="KM25"/>
          <cell r="KN25"/>
          <cell r="KO25"/>
          <cell r="KP25"/>
          <cell r="KQ25"/>
          <cell r="KR25"/>
          <cell r="KS25"/>
          <cell r="KT25"/>
          <cell r="KU25"/>
          <cell r="KV25"/>
          <cell r="KW25"/>
          <cell r="KX25"/>
          <cell r="KY25"/>
          <cell r="KZ25"/>
          <cell r="LA25"/>
          <cell r="LB25"/>
          <cell r="LC25"/>
          <cell r="LD25"/>
          <cell r="LE25"/>
          <cell r="LF25"/>
          <cell r="LG25"/>
          <cell r="LH25"/>
          <cell r="LI25"/>
          <cell r="LJ25"/>
          <cell r="LK25"/>
          <cell r="LL25"/>
          <cell r="LM25"/>
          <cell r="LN25"/>
        </row>
        <row r="26">
          <cell r="A26" t="str">
            <v>Marcasite</v>
          </cell>
          <cell r="B26" t="str">
            <v>Gangue</v>
          </cell>
          <cell r="C26"/>
          <cell r="D26"/>
          <cell r="E26"/>
          <cell r="F26"/>
          <cell r="G26"/>
          <cell r="H26"/>
          <cell r="I26" t="str">
            <v>FeS2</v>
          </cell>
          <cell r="J26"/>
          <cell r="K26">
            <v>119.98</v>
          </cell>
          <cell r="L26">
            <v>4.8899999999999997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53.452687553655203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46.547312446344698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 t="str">
            <v>Mrc</v>
          </cell>
          <cell r="EC26"/>
          <cell r="ED26"/>
          <cell r="EE26"/>
          <cell r="EF26" t="str">
            <v>Hard (H = 6 - 6.5)</v>
          </cell>
          <cell r="EG26"/>
          <cell r="EH26" t="str">
            <v>Subhedral, lamellar, fiber-radiate</v>
          </cell>
          <cell r="EI26" t="str">
            <v>Yellow</v>
          </cell>
          <cell r="EJ26" t="str">
            <v>Pale Yellow, creamy yello, sometimes pink or green tint</v>
          </cell>
          <cell r="EK26" t="str">
            <v>Very high - High</v>
          </cell>
          <cell r="EL26" t="str">
            <v>Distinct</v>
          </cell>
          <cell r="EM26" t="str">
            <v>Yes / High</v>
          </cell>
          <cell r="EN26" t="str">
            <v>Brownish yellowish green</v>
          </cell>
          <cell r="EO26" t="str">
            <v>Anisotropic</v>
          </cell>
          <cell r="EP26" t="str">
            <v>Strong</v>
          </cell>
          <cell r="EQ26" t="str">
            <v>Green purple bluish</v>
          </cell>
          <cell r="ER26" t="str">
            <v>No</v>
          </cell>
          <cell r="ES26" t="str">
            <v>*</v>
          </cell>
          <cell r="ET26"/>
          <cell r="EU26"/>
          <cell r="EV26" t="str">
            <v>No</v>
          </cell>
          <cell r="EW26" t="str">
            <v>Many, freq. py, apy, sl, po, melnicovite, cp, Ag-sulphosalts, gn, bravoite, pld, stannite, Sn-sulphosalts…</v>
          </cell>
          <cell r="EX26" t="str">
            <v>Zebra texture w/ scratches&amp;pits. Maybe difficult to polish</v>
          </cell>
          <cell r="EY26"/>
          <cell r="EZ26"/>
          <cell r="FA26"/>
          <cell r="FB26"/>
          <cell r="FC26"/>
          <cell r="FD26"/>
          <cell r="FE26"/>
          <cell r="FF26"/>
          <cell r="FG26"/>
          <cell r="FH26"/>
          <cell r="FI26"/>
          <cell r="FJ26"/>
          <cell r="FK26"/>
          <cell r="FL26"/>
          <cell r="FM26"/>
          <cell r="FN26"/>
          <cell r="FO26"/>
          <cell r="FP26"/>
          <cell r="FQ26"/>
          <cell r="FR26"/>
          <cell r="FS26"/>
          <cell r="FT26"/>
          <cell r="FU26"/>
          <cell r="FV26"/>
          <cell r="FW26"/>
          <cell r="FX26"/>
          <cell r="FY26"/>
          <cell r="FZ26"/>
          <cell r="GA26"/>
          <cell r="GB26"/>
          <cell r="GC26"/>
          <cell r="GD26"/>
          <cell r="GE26"/>
          <cell r="GF26"/>
          <cell r="GG26"/>
          <cell r="GH26"/>
          <cell r="GI26"/>
          <cell r="GJ26"/>
          <cell r="GK26"/>
          <cell r="GL26"/>
          <cell r="GM26"/>
          <cell r="GN26"/>
          <cell r="GO26"/>
          <cell r="GP26"/>
          <cell r="GQ26"/>
          <cell r="GR26"/>
          <cell r="GS26"/>
          <cell r="GT26"/>
          <cell r="GU26"/>
          <cell r="GV26"/>
          <cell r="GW26"/>
          <cell r="GX26"/>
          <cell r="GY26"/>
          <cell r="GZ26"/>
          <cell r="HA26"/>
          <cell r="HB26"/>
          <cell r="HC26"/>
          <cell r="HD26"/>
          <cell r="HE26"/>
          <cell r="HF26"/>
          <cell r="HG26"/>
          <cell r="HH26"/>
          <cell r="HI26"/>
          <cell r="HJ26"/>
          <cell r="HK26"/>
          <cell r="HL26"/>
          <cell r="HM26"/>
          <cell r="HN26"/>
          <cell r="HO26"/>
          <cell r="HP26"/>
          <cell r="HQ26"/>
          <cell r="HR26"/>
          <cell r="HS26"/>
          <cell r="HT26"/>
          <cell r="HU26"/>
          <cell r="HV26"/>
          <cell r="HW26"/>
          <cell r="HX26"/>
          <cell r="HY26"/>
          <cell r="HZ26"/>
          <cell r="IA26"/>
          <cell r="IB26"/>
          <cell r="IC26"/>
          <cell r="ID26"/>
          <cell r="IE26"/>
          <cell r="IF26"/>
          <cell r="IG26"/>
          <cell r="IH26"/>
          <cell r="II26"/>
          <cell r="IJ26"/>
          <cell r="IK26"/>
          <cell r="IL26"/>
          <cell r="IM26"/>
          <cell r="IN26"/>
          <cell r="IO26"/>
          <cell r="IP26"/>
          <cell r="IQ26"/>
          <cell r="IR26"/>
          <cell r="IS26"/>
          <cell r="IT26"/>
          <cell r="IU26"/>
          <cell r="IV26"/>
          <cell r="IW26"/>
          <cell r="IX26"/>
          <cell r="IY26"/>
          <cell r="IZ26"/>
          <cell r="JA26"/>
          <cell r="JB26"/>
          <cell r="JC26"/>
          <cell r="JD26"/>
          <cell r="JE26"/>
          <cell r="JF26"/>
          <cell r="JG26"/>
          <cell r="JH26"/>
          <cell r="JI26"/>
          <cell r="JJ26"/>
          <cell r="JK26"/>
          <cell r="JL26"/>
          <cell r="JM26"/>
          <cell r="JN26"/>
          <cell r="JO26"/>
          <cell r="JP26"/>
          <cell r="JQ26"/>
          <cell r="JR26"/>
          <cell r="JS26"/>
          <cell r="JT26"/>
          <cell r="JU26"/>
          <cell r="JV26"/>
          <cell r="JW26"/>
          <cell r="JX26"/>
          <cell r="JY26"/>
          <cell r="JZ26"/>
          <cell r="KA26"/>
          <cell r="KB26"/>
          <cell r="KC26"/>
          <cell r="KD26"/>
          <cell r="KE26"/>
          <cell r="KF26"/>
          <cell r="KG26"/>
          <cell r="KH26"/>
          <cell r="KI26"/>
          <cell r="KJ26"/>
          <cell r="KK26"/>
          <cell r="KL26"/>
          <cell r="KM26"/>
          <cell r="KN26"/>
          <cell r="KO26"/>
          <cell r="KP26"/>
          <cell r="KQ26"/>
          <cell r="KR26"/>
          <cell r="KS26"/>
          <cell r="KT26"/>
          <cell r="KU26"/>
          <cell r="KV26"/>
          <cell r="KW26"/>
          <cell r="KX26"/>
          <cell r="KY26"/>
          <cell r="KZ26"/>
          <cell r="LA26"/>
          <cell r="LB26"/>
          <cell r="LC26"/>
          <cell r="LD26"/>
          <cell r="LE26"/>
          <cell r="LF26"/>
          <cell r="LG26"/>
          <cell r="LH26"/>
          <cell r="LI26"/>
          <cell r="LJ26"/>
          <cell r="LK26"/>
          <cell r="LL26"/>
          <cell r="LM26"/>
          <cell r="LN26"/>
        </row>
        <row r="27">
          <cell r="A27" t="str">
            <v>Molybdenite</v>
          </cell>
          <cell r="B27" t="str">
            <v>Ore</v>
          </cell>
          <cell r="C27"/>
          <cell r="D27"/>
          <cell r="E27"/>
          <cell r="F27"/>
          <cell r="G27"/>
          <cell r="H27"/>
          <cell r="I27" t="str">
            <v>MoS2</v>
          </cell>
          <cell r="J27"/>
          <cell r="K27">
            <v>160.07</v>
          </cell>
          <cell r="L27">
            <v>5.5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40.064470988055298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59.935529011944602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 t="str">
            <v>Mol</v>
          </cell>
          <cell r="EC27"/>
          <cell r="ED27"/>
          <cell r="EE27"/>
          <cell r="EF27" t="str">
            <v>Low (H=1-1.5)</v>
          </cell>
          <cell r="EG27"/>
          <cell r="EH27" t="str">
            <v>small deformed plates and irregular inclusions rosettes or colloform bands</v>
          </cell>
          <cell r="EI27" t="str">
            <v>Grey</v>
          </cell>
          <cell r="EJ27" t="str">
            <v xml:space="preserve"> Grey with brownish Tint (white to dark grey due to brf.*)</v>
          </cell>
          <cell r="EK27" t="str">
            <v>Moderate-High</v>
          </cell>
          <cell r="EL27" t="str">
            <v>Strong</v>
          </cell>
          <cell r="EM27" t="str">
            <v>Yes / High</v>
          </cell>
          <cell r="EN27" t="str">
            <v>White to grey with bluish tint, pure white to dark grey</v>
          </cell>
          <cell r="EO27" t="str">
            <v>Anisotropic</v>
          </cell>
          <cell r="EP27" t="str">
            <v>Very strong</v>
          </cell>
          <cell r="EQ27" t="str">
            <v>White with a pink shade (Dark to light violet to grey ?)</v>
          </cell>
          <cell r="ER27" t="str">
            <v>No</v>
          </cell>
          <cell r="ES27"/>
          <cell r="ET27"/>
          <cell r="EU27"/>
          <cell r="EV27" t="str">
            <v>No</v>
          </cell>
          <cell r="EW27" t="str">
            <v>Cp, sl, bismuthinite, po, py, magnetite, cassiterite, wolframite, cubanite, …</v>
          </cell>
          <cell r="EX27" t="str">
            <v>strong bireflectance  stron anisotropy small plates or colooform bands</v>
          </cell>
          <cell r="EY27"/>
          <cell r="EZ27"/>
          <cell r="FA27"/>
          <cell r="FB27"/>
          <cell r="FC27"/>
          <cell r="FD27"/>
          <cell r="FE27"/>
          <cell r="FF27"/>
          <cell r="FG27"/>
          <cell r="FH27"/>
        </row>
        <row r="28">
          <cell r="A28" t="str">
            <v>Nickeline</v>
          </cell>
          <cell r="B28"/>
          <cell r="C28"/>
          <cell r="D28"/>
          <cell r="E28"/>
          <cell r="F28"/>
          <cell r="G28"/>
          <cell r="H28"/>
          <cell r="I28" t="str">
            <v>NiAs</v>
          </cell>
          <cell r="J28"/>
          <cell r="K28">
            <v>133.61000000000001</v>
          </cell>
          <cell r="L28">
            <v>7.79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43.925826799469498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56.074173200530403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 t="str">
            <v>Nc</v>
          </cell>
          <cell r="EC28"/>
          <cell r="ED28"/>
          <cell r="EE28"/>
          <cell r="EF28" t="str">
            <v>High (H = 5 - 5.5)</v>
          </cell>
          <cell r="EG28"/>
          <cell r="EH28"/>
          <cell r="EI28" t="str">
            <v>Yellow-Orange</v>
          </cell>
          <cell r="EJ28"/>
          <cell r="EK28" t="str">
            <v>High</v>
          </cell>
          <cell r="EL28"/>
          <cell r="EM28" t="str">
            <v>Yes / High</v>
          </cell>
          <cell r="EN28" t="str">
            <v>Orange yellow to lighter yellow</v>
          </cell>
          <cell r="EO28" t="str">
            <v>Anisotropic</v>
          </cell>
          <cell r="EP28" t="str">
            <v>Strong</v>
          </cell>
          <cell r="EQ28" t="str">
            <v>Bright green-blue tints</v>
          </cell>
          <cell r="ER28" t="str">
            <v>No</v>
          </cell>
          <cell r="ES28"/>
          <cell r="ET28"/>
          <cell r="EU28"/>
          <cell r="EV28" t="str">
            <v>Yes</v>
          </cell>
          <cell r="EW28"/>
          <cell r="EX28"/>
          <cell r="EY28"/>
          <cell r="EZ28"/>
          <cell r="FA28"/>
          <cell r="FB28"/>
          <cell r="FC28"/>
          <cell r="FD28"/>
          <cell r="FE28"/>
          <cell r="FF28"/>
          <cell r="FG28"/>
          <cell r="FH28"/>
        </row>
        <row r="29">
          <cell r="A29" t="str">
            <v>Pentlandite</v>
          </cell>
          <cell r="B29" t="str">
            <v>Ore</v>
          </cell>
          <cell r="C29"/>
          <cell r="D29"/>
          <cell r="E29"/>
          <cell r="F29"/>
          <cell r="G29"/>
          <cell r="H29"/>
          <cell r="I29" t="str">
            <v>(Ni,Fe,Co)9S8</v>
          </cell>
          <cell r="J29"/>
          <cell r="K29">
            <v>771.94</v>
          </cell>
          <cell r="L29">
            <v>4.8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33.231404589319503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32.555643572821602</v>
          </cell>
          <cell r="AM29">
            <v>0</v>
          </cell>
          <cell r="AN29">
            <v>34.212951837858803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 t="str">
            <v>Pn</v>
          </cell>
          <cell r="EC29"/>
          <cell r="ED29"/>
          <cell r="EE29"/>
          <cell r="EF29" t="str">
            <v>Hard (H = 3.5- 4)</v>
          </cell>
          <cell r="EG29"/>
          <cell r="EH29"/>
          <cell r="EI29" t="str">
            <v>Yellow</v>
          </cell>
          <cell r="EJ29" t="str">
            <v>Whitish creamy yellow</v>
          </cell>
          <cell r="EK29" t="str">
            <v>High</v>
          </cell>
          <cell r="EL29" t="str">
            <v>No</v>
          </cell>
          <cell r="EM29" t="str">
            <v>No</v>
          </cell>
          <cell r="EN29" t="str">
            <v>*</v>
          </cell>
          <cell r="EO29" t="str">
            <v>Isotropic</v>
          </cell>
          <cell r="EP29" t="str">
            <v>*</v>
          </cell>
          <cell r="EQ29" t="str">
            <v>*</v>
          </cell>
          <cell r="ER29" t="str">
            <v>No</v>
          </cell>
          <cell r="ES29"/>
          <cell r="ET29"/>
          <cell r="EU29"/>
          <cell r="EV29" t="str">
            <v>No</v>
          </cell>
          <cell r="EW29" t="str">
            <v>Po, cp, cubanite, py, mc, sl, magnetite, ilmenite, chromite, bravoite, ferrite</v>
          </cell>
          <cell r="EX29" t="str">
            <v>it looks like pyrite, the diff is in the structure, it is octahyderal structure, and you never see it with galena and sphalerite</v>
          </cell>
          <cell r="EY29"/>
          <cell r="EZ29"/>
          <cell r="FA29"/>
          <cell r="FB29"/>
          <cell r="FC29"/>
          <cell r="FD29"/>
          <cell r="FE29"/>
          <cell r="FF29"/>
          <cell r="FG29"/>
          <cell r="FH29"/>
        </row>
        <row r="30">
          <cell r="A30" t="str">
            <v>Pyrite</v>
          </cell>
          <cell r="B30" t="str">
            <v>Gangue</v>
          </cell>
          <cell r="C30"/>
          <cell r="D30"/>
          <cell r="E30"/>
          <cell r="F30"/>
          <cell r="G30"/>
          <cell r="H30"/>
          <cell r="I30" t="str">
            <v>FeS2</v>
          </cell>
          <cell r="J30"/>
          <cell r="K30">
            <v>119.979</v>
          </cell>
          <cell r="L30">
            <v>5.01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53.452687553655203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46.547312446344698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 t="str">
            <v>Py</v>
          </cell>
          <cell r="EC30"/>
          <cell r="ED30"/>
          <cell r="EE30" t="str">
            <v>Cubic</v>
          </cell>
          <cell r="EF30"/>
          <cell r="EG30"/>
          <cell r="EH30"/>
          <cell r="EI30" t="str">
            <v>Yellowish white</v>
          </cell>
          <cell r="EJ30" t="str">
            <v>Creamy, pale yellow</v>
          </cell>
          <cell r="EK30" t="str">
            <v>High</v>
          </cell>
          <cell r="EL30" t="str">
            <v>No</v>
          </cell>
          <cell r="EM30" t="str">
            <v>No</v>
          </cell>
          <cell r="EN30" t="str">
            <v>*</v>
          </cell>
          <cell r="EO30" t="str">
            <v>Isotropic</v>
          </cell>
          <cell r="EP30" t="str">
            <v>*</v>
          </cell>
          <cell r="EQ30" t="str">
            <v>*</v>
          </cell>
          <cell r="ER30" t="str">
            <v>No</v>
          </cell>
          <cell r="ES30"/>
          <cell r="ET30"/>
          <cell r="EU30"/>
          <cell r="EV30" t="str">
            <v>No</v>
          </cell>
          <cell r="EW30" t="str">
            <v>Nearly all but especially: mc, apy, cp, sl, gn, po, cv, cas, Au, etc</v>
          </cell>
          <cell r="EX30" t="str">
            <v>Very high hardness (often pits/scratches), Creamy pale yellow colour, Isotropy (or weak anisotropy), Coarse to fine grains</v>
          </cell>
          <cell r="EY30"/>
          <cell r="EZ30"/>
          <cell r="FA30"/>
          <cell r="FB30"/>
          <cell r="FC30"/>
          <cell r="FD30"/>
          <cell r="FE30"/>
          <cell r="FF30"/>
          <cell r="FG30"/>
          <cell r="FH30"/>
        </row>
        <row r="31">
          <cell r="A31" t="str">
            <v>Pyrrhotite</v>
          </cell>
          <cell r="B31" t="str">
            <v>Gangue</v>
          </cell>
          <cell r="C31"/>
          <cell r="D31"/>
          <cell r="E31"/>
          <cell r="F31"/>
          <cell r="G31"/>
          <cell r="H31"/>
          <cell r="I31" t="str">
            <v>FeS [ Fe(1-x)S  /  Fe7S8]</v>
          </cell>
          <cell r="J31"/>
          <cell r="K31">
            <v>85.12</v>
          </cell>
          <cell r="L31">
            <v>4.62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37.671234888361397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62.328765111638504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 t="str">
            <v>Pyh</v>
          </cell>
          <cell r="EC31"/>
          <cell r="ED31"/>
          <cell r="EE31"/>
          <cell r="EF31" t="str">
            <v>Medium to High (3.5-4.5)</v>
          </cell>
          <cell r="EG31"/>
          <cell r="EH31" t="str">
            <v xml:space="preserve">Anhedral </v>
          </cell>
          <cell r="EI31" t="str">
            <v>Brown</v>
          </cell>
          <cell r="EJ31" t="str">
            <v>Light brown</v>
          </cell>
          <cell r="EK31" t="str">
            <v>Low to Medium</v>
          </cell>
          <cell r="EL31" t="str">
            <v>Distinct</v>
          </cell>
          <cell r="EM31" t="str">
            <v>Yes / High</v>
          </cell>
          <cell r="EN31" t="str">
            <v>Creamy brown to reddish brown</v>
          </cell>
          <cell r="EO31" t="str">
            <v>Anisotropic</v>
          </cell>
          <cell r="EP31" t="str">
            <v>Strong</v>
          </cell>
          <cell r="EQ31" t="str">
            <v>dark brown yellowish, greenish, redish brown</v>
          </cell>
          <cell r="ER31" t="str">
            <v>No</v>
          </cell>
          <cell r="ES31"/>
          <cell r="ET31"/>
          <cell r="EU31"/>
          <cell r="EV31" t="str">
            <v>Yes</v>
          </cell>
          <cell r="EW31" t="str">
            <v>Cp, py, pld, mc, cubanite, apy, magnetite, ilmenite, cassiterite, sl, gn, Au, tellurides, valleriite, Ni-Co-ars, Pt minerals, thd…</v>
          </cell>
          <cell r="EX31" t="str">
            <v xml:space="preserve">often very small crystals enclosed in sl. wavy lenses, strong anisotropy </v>
          </cell>
          <cell r="EY31"/>
          <cell r="EZ31"/>
          <cell r="FA31"/>
          <cell r="FB31"/>
          <cell r="FC31"/>
          <cell r="FD31"/>
          <cell r="FE31"/>
          <cell r="FF31"/>
          <cell r="FG31"/>
          <cell r="FH31"/>
        </row>
        <row r="32">
          <cell r="A32" t="str">
            <v>Rutile</v>
          </cell>
          <cell r="B32" t="str">
            <v>Ore</v>
          </cell>
          <cell r="C32"/>
          <cell r="D32"/>
          <cell r="E32"/>
          <cell r="F32"/>
          <cell r="G32"/>
          <cell r="H32"/>
          <cell r="I32" t="str">
            <v>TiO2</v>
          </cell>
          <cell r="J32"/>
          <cell r="K32">
            <v>79.88</v>
          </cell>
          <cell r="L32">
            <v>4.25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40.059189672353597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59.940810327646297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 t="str">
            <v>Rt</v>
          </cell>
          <cell r="EC32"/>
          <cell r="ED32"/>
          <cell r="EE32"/>
          <cell r="EF32"/>
          <cell r="EG32"/>
          <cell r="EH32"/>
          <cell r="EI32" t="str">
            <v>Grey</v>
          </cell>
          <cell r="EJ32"/>
          <cell r="EK32" t="str">
            <v>Low</v>
          </cell>
          <cell r="EL32"/>
          <cell r="EM32" t="str">
            <v>Yes / Low -Moderate</v>
          </cell>
          <cell r="EN32"/>
          <cell r="EO32" t="str">
            <v>Anisotropic</v>
          </cell>
          <cell r="EP32"/>
          <cell r="EQ32"/>
          <cell r="ER32" t="str">
            <v>Yes</v>
          </cell>
          <cell r="ES32"/>
          <cell r="ET32"/>
          <cell r="EU32"/>
          <cell r="EV32" t="str">
            <v>Yes</v>
          </cell>
          <cell r="EW32"/>
          <cell r="EX32"/>
          <cell r="EY32"/>
          <cell r="EZ32"/>
          <cell r="FA32"/>
          <cell r="FB32"/>
          <cell r="FC32"/>
          <cell r="FD32"/>
          <cell r="FE32"/>
          <cell r="FF32"/>
          <cell r="FG32"/>
          <cell r="FH32"/>
        </row>
        <row r="33">
          <cell r="A33" t="str">
            <v>Semseyite</v>
          </cell>
          <cell r="B33"/>
          <cell r="C33"/>
          <cell r="D33"/>
          <cell r="E33"/>
          <cell r="F33"/>
          <cell r="G33"/>
          <cell r="H33"/>
          <cell r="I33" t="str">
            <v>Pb9Sb8S21</v>
          </cell>
          <cell r="J33"/>
          <cell r="K33">
            <v>3512.19</v>
          </cell>
          <cell r="L33">
            <v>5.95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19.172845629474001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27.732016470653797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53.095137899872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 t="str">
            <v>Ssy</v>
          </cell>
          <cell r="EC33"/>
          <cell r="ED33"/>
          <cell r="EE33"/>
          <cell r="EF33" t="str">
            <v>Medium H 2.5</v>
          </cell>
          <cell r="EG33"/>
          <cell r="EH33"/>
          <cell r="EI33" t="str">
            <v>White</v>
          </cell>
          <cell r="EJ33"/>
          <cell r="EK33" t="str">
            <v>Moderate</v>
          </cell>
          <cell r="EL33"/>
          <cell r="EM33" t="str">
            <v>Strong</v>
          </cell>
          <cell r="EN33" t="str">
            <v>White to grey</v>
          </cell>
          <cell r="EO33" t="str">
            <v>Anisotropic</v>
          </cell>
          <cell r="EP33" t="str">
            <v>Strong</v>
          </cell>
          <cell r="EQ33" t="str">
            <v xml:space="preserve">Bluish grey or greenish grey tints whit distinctly pinkish shades </v>
          </cell>
          <cell r="ER33"/>
          <cell r="ES33"/>
          <cell r="ET33"/>
          <cell r="EU33"/>
          <cell r="EV33"/>
          <cell r="EW33"/>
          <cell r="EX33"/>
          <cell r="EY33" t="str">
            <v>M137 in Excel</v>
          </cell>
          <cell r="EZ33" t="str">
            <v>M137 in Cytomine</v>
          </cell>
          <cell r="FA33"/>
          <cell r="FB33"/>
          <cell r="FC33"/>
          <cell r="FD33"/>
          <cell r="FE33"/>
          <cell r="FF33"/>
          <cell r="FG33"/>
          <cell r="FH33"/>
        </row>
        <row r="34">
          <cell r="A34" t="str">
            <v>Silver</v>
          </cell>
          <cell r="B34" t="str">
            <v>Ore</v>
          </cell>
          <cell r="C34" t="str">
            <v>Native Element</v>
          </cell>
          <cell r="D34">
            <v>1</v>
          </cell>
          <cell r="E34" t="str">
            <v>Native Element</v>
          </cell>
          <cell r="F34" t="str">
            <v>Ag</v>
          </cell>
          <cell r="G34" t="str">
            <v>Native Element</v>
          </cell>
          <cell r="H34" t="str">
            <v>1+</v>
          </cell>
          <cell r="I34" t="str">
            <v>Ag</v>
          </cell>
          <cell r="J34" t="str">
            <v>Au,Hg,Cu,Sb,Bi</v>
          </cell>
          <cell r="K34"/>
          <cell r="L34">
            <v>10.5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100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 t="str">
            <v>Ag</v>
          </cell>
          <cell r="EC34"/>
          <cell r="ED34"/>
          <cell r="EE34" t="str">
            <v>Cubic</v>
          </cell>
          <cell r="EF34" t="str">
            <v>H = 2.5 - 3</v>
          </cell>
          <cell r="EG34" t="str">
            <v>Difficul to polish ans scratches are hard to ovoid. Slightly yellow when contains gold.</v>
          </cell>
          <cell r="EH34"/>
          <cell r="EI34" t="str">
            <v>White</v>
          </cell>
          <cell r="EJ34" t="str">
            <v>White with a very slight yellow tinge.</v>
          </cell>
          <cell r="EK34" t="str">
            <v>Very high</v>
          </cell>
          <cell r="EL34"/>
          <cell r="EM34" t="str">
            <v>Low</v>
          </cell>
          <cell r="EN34"/>
          <cell r="EO34" t="str">
            <v>Isotropic</v>
          </cell>
          <cell r="EP34" t="str">
            <v>*</v>
          </cell>
          <cell r="EQ34" t="str">
            <v>*</v>
          </cell>
          <cell r="ER34" t="str">
            <v>No</v>
          </cell>
          <cell r="ES34"/>
          <cell r="ET34"/>
          <cell r="EU34"/>
          <cell r="EV34" t="str">
            <v>Yes</v>
          </cell>
          <cell r="EW34" t="str">
            <v>All silver minerals, Ni-Co arsenides, galena, sphalerite, tetrahedrite-Tenantite (Freibergite), arsenic, bismuth, etc.</v>
          </cell>
          <cell r="EX34" t="str">
            <v xml:space="preserve">The extremly high reflectance and isotropism are the main criteria. </v>
          </cell>
          <cell r="EY34"/>
          <cell r="EZ34"/>
          <cell r="FA34"/>
          <cell r="FB34"/>
          <cell r="FC34"/>
          <cell r="FD34"/>
          <cell r="FE34"/>
          <cell r="FF34"/>
          <cell r="FG34"/>
          <cell r="FH34"/>
        </row>
        <row r="35">
          <cell r="A35" t="str">
            <v>Skutterudite</v>
          </cell>
          <cell r="B35"/>
          <cell r="C35"/>
          <cell r="D35"/>
          <cell r="E35"/>
          <cell r="F35"/>
          <cell r="G35"/>
          <cell r="H35"/>
          <cell r="I35" t="str">
            <v>(Co,Ni)As3-x  / CoAs3</v>
          </cell>
          <cell r="J35"/>
          <cell r="K35">
            <v>246.18</v>
          </cell>
          <cell r="L35">
            <v>6.5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17.954564288047099</v>
          </cell>
          <cell r="AN35">
            <v>5.9601570256125198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76.085278686340303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 t="str">
            <v>Skt</v>
          </cell>
          <cell r="EC35"/>
          <cell r="ED35"/>
          <cell r="EE35"/>
          <cell r="EF35"/>
          <cell r="EG35"/>
          <cell r="EH35"/>
          <cell r="EI35" t="str">
            <v>White</v>
          </cell>
          <cell r="EJ35"/>
          <cell r="EK35" t="str">
            <v>Very high - High</v>
          </cell>
          <cell r="EL35"/>
          <cell r="EM35" t="str">
            <v>No</v>
          </cell>
          <cell r="EN35" t="str">
            <v>*</v>
          </cell>
          <cell r="EO35" t="str">
            <v>Isotropic</v>
          </cell>
          <cell r="EP35" t="str">
            <v>*</v>
          </cell>
          <cell r="EQ35" t="str">
            <v>*</v>
          </cell>
          <cell r="ER35" t="str">
            <v>-</v>
          </cell>
          <cell r="ES35"/>
          <cell r="ET35"/>
          <cell r="EU35"/>
          <cell r="EV35" t="str">
            <v/>
          </cell>
          <cell r="EW35"/>
          <cell r="EX35"/>
          <cell r="EY35"/>
          <cell r="EZ35"/>
          <cell r="FA35"/>
          <cell r="FB35"/>
          <cell r="FC35"/>
          <cell r="FD35"/>
          <cell r="FE35"/>
          <cell r="FF35"/>
          <cell r="FG35"/>
          <cell r="FH35"/>
        </row>
        <row r="36">
          <cell r="A36" t="str">
            <v>Sphalerite</v>
          </cell>
          <cell r="B36" t="str">
            <v>Ore</v>
          </cell>
          <cell r="C36"/>
          <cell r="D36"/>
          <cell r="E36"/>
          <cell r="F36"/>
          <cell r="G36"/>
          <cell r="H36"/>
          <cell r="I36" t="str">
            <v>(Zn,Fe)S</v>
          </cell>
          <cell r="J36"/>
          <cell r="K36">
            <v>96.98</v>
          </cell>
          <cell r="L36">
            <v>4.05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33.0649414795081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2.87933915487758</v>
          </cell>
          <cell r="AM36">
            <v>0</v>
          </cell>
          <cell r="AN36">
            <v>0</v>
          </cell>
          <cell r="AO36">
            <v>0</v>
          </cell>
          <cell r="AP36">
            <v>64.055719365614195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 t="str">
            <v>Sp</v>
          </cell>
          <cell r="EC36"/>
          <cell r="ED36" t="str">
            <v>Blende</v>
          </cell>
          <cell r="EE36"/>
          <cell r="EF36" t="str">
            <v>Medium (H=3.5-4)</v>
          </cell>
          <cell r="EG36" t="str">
            <v>Good Polish</v>
          </cell>
          <cell r="EH36" t="str">
            <v>Anhedral</v>
          </cell>
          <cell r="EI36" t="str">
            <v>Grey</v>
          </cell>
          <cell r="EJ36" t="str">
            <v>Sometimes with brown tint</v>
          </cell>
          <cell r="EK36" t="str">
            <v>Low</v>
          </cell>
          <cell r="EL36" t="str">
            <v>No</v>
          </cell>
          <cell r="EM36" t="str">
            <v>No</v>
          </cell>
          <cell r="EN36" t="str">
            <v>*</v>
          </cell>
          <cell r="EO36" t="str">
            <v>Isotropic</v>
          </cell>
          <cell r="EP36" t="str">
            <v>* sometimes weak anisotropic</v>
          </cell>
          <cell r="EQ36" t="str">
            <v>*</v>
          </cell>
          <cell r="ER36" t="str">
            <v>Yes</v>
          </cell>
          <cell r="ES36" t="str">
            <v>Reddish, brown to yello brown, white according to its composition (Fe concentration)</v>
          </cell>
          <cell r="ET36" t="str">
            <v>Yes</v>
          </cell>
          <cell r="EU36" t="str">
            <v>Chalcopyrite</v>
          </cell>
          <cell r="EV36" t="str">
            <v>Yes</v>
          </cell>
          <cell r="EW36" t="str">
            <v xml:space="preserve"> pyrite, chalcopyrite, pyrohtite and galena.</v>
          </cell>
          <cell r="EX36" t="str">
            <v>resembles magnetite but magnetite does not have IR, also it has inclusions of chalcopyrite (not always).</v>
          </cell>
          <cell r="EY36"/>
          <cell r="EZ36"/>
          <cell r="FA36"/>
          <cell r="FB36"/>
          <cell r="FC36"/>
          <cell r="FD36"/>
          <cell r="FE36"/>
          <cell r="FF36"/>
          <cell r="FG36"/>
          <cell r="FH36"/>
        </row>
        <row r="37">
          <cell r="A37" t="str">
            <v>Stibnite</v>
          </cell>
          <cell r="B37"/>
          <cell r="C37"/>
          <cell r="D37"/>
          <cell r="E37"/>
          <cell r="F37"/>
          <cell r="G37"/>
          <cell r="H37"/>
          <cell r="I37" t="str">
            <v>Sb2S3</v>
          </cell>
          <cell r="J37"/>
          <cell r="K37">
            <v>339.7</v>
          </cell>
          <cell r="L37">
            <v>4.63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28.318683065546399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71.681316934453505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 t="str">
            <v>Sbn</v>
          </cell>
          <cell r="EC37"/>
          <cell r="ED37" t="str">
            <v>Antimonite</v>
          </cell>
          <cell r="EE37"/>
          <cell r="EF37"/>
          <cell r="EG37"/>
          <cell r="EH37"/>
          <cell r="EI37" t="str">
            <v>White</v>
          </cell>
          <cell r="EJ37"/>
          <cell r="EK37" t="str">
            <v>Very high - High</v>
          </cell>
          <cell r="EL37"/>
          <cell r="EM37" t="str">
            <v>Yes / High</v>
          </cell>
          <cell r="EN37"/>
          <cell r="EO37" t="str">
            <v>Anisotropic</v>
          </cell>
          <cell r="EP37"/>
          <cell r="EQ37"/>
          <cell r="ER37" t="str">
            <v>Yes</v>
          </cell>
          <cell r="ES37"/>
          <cell r="ET37"/>
          <cell r="EU37"/>
          <cell r="EV37" t="str">
            <v>Yes</v>
          </cell>
          <cell r="EW37"/>
          <cell r="EX37"/>
          <cell r="EY37"/>
          <cell r="EZ37"/>
          <cell r="FA37"/>
          <cell r="FB37"/>
          <cell r="FC37"/>
          <cell r="FD37"/>
          <cell r="FE37"/>
          <cell r="FF37"/>
          <cell r="FG37"/>
          <cell r="FH37"/>
        </row>
        <row r="38">
          <cell r="A38" t="str">
            <v>Tetrahedrite</v>
          </cell>
          <cell r="B38" t="str">
            <v>Ore</v>
          </cell>
          <cell r="C38"/>
          <cell r="D38"/>
          <cell r="E38"/>
          <cell r="F38"/>
          <cell r="G38"/>
          <cell r="H38"/>
          <cell r="I38" t="str">
            <v>(Cu,Fe)12Sb4S13</v>
          </cell>
          <cell r="J38"/>
          <cell r="K38">
            <v>1643.31</v>
          </cell>
          <cell r="L38">
            <v>4.9000000000000004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25.366926446757201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10.1953188467443</v>
          </cell>
          <cell r="AM38">
            <v>0</v>
          </cell>
          <cell r="AN38">
            <v>0</v>
          </cell>
          <cell r="AO38">
            <v>34.802499584680398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29.635255121817899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 t="str">
            <v>Ttr</v>
          </cell>
          <cell r="EC38"/>
          <cell r="ED38"/>
          <cell r="EE38"/>
          <cell r="EF38"/>
          <cell r="EG38"/>
          <cell r="EH38"/>
          <cell r="EI38" t="str">
            <v>Grey</v>
          </cell>
          <cell r="EJ38"/>
          <cell r="EK38" t="str">
            <v>Moderate</v>
          </cell>
          <cell r="EL38"/>
          <cell r="EM38" t="str">
            <v>No</v>
          </cell>
          <cell r="EN38" t="str">
            <v>*</v>
          </cell>
          <cell r="EO38" t="str">
            <v>Isotropic</v>
          </cell>
          <cell r="EP38" t="str">
            <v>*</v>
          </cell>
          <cell r="EQ38" t="str">
            <v>*</v>
          </cell>
          <cell r="ER38" t="str">
            <v>Yes</v>
          </cell>
          <cell r="ES38"/>
          <cell r="ET38"/>
          <cell r="EU38"/>
          <cell r="EV38" t="str">
            <v>No</v>
          </cell>
          <cell r="EW38"/>
          <cell r="EX38"/>
          <cell r="EY38"/>
          <cell r="EZ38"/>
          <cell r="FA38"/>
          <cell r="FB38"/>
          <cell r="FC38"/>
          <cell r="FD38"/>
          <cell r="FE38"/>
          <cell r="FF38"/>
          <cell r="FG38"/>
          <cell r="FH38"/>
        </row>
        <row r="39">
          <cell r="A39" t="str">
            <v>Wolframite</v>
          </cell>
          <cell r="B39" t="str">
            <v>Ore</v>
          </cell>
          <cell r="C39"/>
          <cell r="D39"/>
          <cell r="E39"/>
          <cell r="F39"/>
          <cell r="G39"/>
          <cell r="H39"/>
          <cell r="I39" t="str">
            <v>(Fe,Mn)WO4</v>
          </cell>
          <cell r="J39"/>
          <cell r="K39">
            <v>303.24</v>
          </cell>
          <cell r="L39">
            <v>7.3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21.104594914673601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9.0585060271954401</v>
          </cell>
          <cell r="AL39">
            <v>9.2083790032733894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60.628520054857496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60.628520054857496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 t="str">
            <v>Wolf</v>
          </cell>
          <cell r="EC39"/>
          <cell r="ED39"/>
          <cell r="EE39"/>
          <cell r="EF39" t="str">
            <v>Hard (5-5.5)</v>
          </cell>
          <cell r="EG39"/>
          <cell r="EH39" t="str">
            <v>Euhedral</v>
          </cell>
          <cell r="EI39" t="str">
            <v>Grey</v>
          </cell>
          <cell r="EJ39" t="str">
            <v>Ash grey to white</v>
          </cell>
          <cell r="EK39" t="str">
            <v>Low</v>
          </cell>
          <cell r="EL39" t="str">
            <v>No</v>
          </cell>
          <cell r="EM39" t="str">
            <v>No</v>
          </cell>
          <cell r="EN39"/>
          <cell r="EO39" t="str">
            <v>Anisotropic</v>
          </cell>
          <cell r="EP39" t="str">
            <v>Weak</v>
          </cell>
          <cell r="EQ39" t="str">
            <v>Dark light grey , yellow</v>
          </cell>
          <cell r="ER39" t="str">
            <v>Yes</v>
          </cell>
          <cell r="ES39" t="str">
            <v>V.Weak (Reddish orange brown)</v>
          </cell>
          <cell r="ET39"/>
          <cell r="EU39"/>
          <cell r="EV39"/>
          <cell r="EW39"/>
          <cell r="EX39" t="str">
            <v>internal Reflection sometimes blood red</v>
          </cell>
          <cell r="EY39"/>
          <cell r="EZ39"/>
          <cell r="FA39"/>
          <cell r="FB39"/>
          <cell r="FC39"/>
          <cell r="FD39"/>
          <cell r="FE39"/>
          <cell r="FF39"/>
          <cell r="FG39"/>
          <cell r="FH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L40"/>
          <cell r="M40"/>
          <cell r="N40"/>
          <cell r="O40"/>
          <cell r="P40"/>
          <cell r="Q40"/>
          <cell r="R40"/>
          <cell r="S40"/>
          <cell r="T40"/>
          <cell r="U40"/>
          <cell r="V40"/>
          <cell r="W40"/>
          <cell r="X40"/>
          <cell r="Y40"/>
          <cell r="Z40"/>
          <cell r="AA40"/>
          <cell r="AB40"/>
          <cell r="AC40"/>
          <cell r="AD40"/>
          <cell r="AE40"/>
          <cell r="AF40"/>
          <cell r="AG40"/>
          <cell r="AH40"/>
          <cell r="AI40"/>
          <cell r="AJ40"/>
          <cell r="AK40"/>
          <cell r="AL40"/>
          <cell r="AM40"/>
          <cell r="AN40"/>
          <cell r="AO40"/>
          <cell r="AP40"/>
          <cell r="AQ40"/>
          <cell r="AR40"/>
          <cell r="AS40"/>
          <cell r="AT40"/>
          <cell r="AU40"/>
          <cell r="AV40"/>
          <cell r="AW40"/>
          <cell r="AX40"/>
          <cell r="AY40"/>
          <cell r="AZ40"/>
          <cell r="BA40"/>
          <cell r="BB40"/>
          <cell r="BC40"/>
          <cell r="BD40"/>
          <cell r="BE40"/>
          <cell r="BF40"/>
          <cell r="BG40"/>
          <cell r="BH40"/>
          <cell r="BI40"/>
          <cell r="BJ40"/>
          <cell r="BK40"/>
          <cell r="BL40"/>
          <cell r="BM40"/>
          <cell r="BN40"/>
          <cell r="BO40"/>
          <cell r="BP40"/>
          <cell r="BQ40"/>
          <cell r="BR40"/>
          <cell r="BS40"/>
          <cell r="BT40"/>
          <cell r="BU40"/>
          <cell r="BV40"/>
          <cell r="BW40"/>
          <cell r="BX40"/>
          <cell r="BY40"/>
          <cell r="BZ40"/>
          <cell r="CA40"/>
          <cell r="CB40"/>
          <cell r="CC40"/>
          <cell r="CD40"/>
          <cell r="CE40"/>
          <cell r="CF40"/>
          <cell r="CG40"/>
          <cell r="CH40"/>
          <cell r="CI40"/>
          <cell r="CJ40"/>
          <cell r="CK40"/>
          <cell r="CL40"/>
          <cell r="CM40"/>
          <cell r="CN40"/>
          <cell r="CO40"/>
          <cell r="CP40"/>
          <cell r="CQ40"/>
          <cell r="CR40"/>
          <cell r="CS40"/>
          <cell r="CT40"/>
          <cell r="CU40"/>
          <cell r="CV40"/>
          <cell r="CW40"/>
          <cell r="CX40"/>
          <cell r="CY40"/>
          <cell r="CZ40"/>
          <cell r="DA40"/>
          <cell r="DB40"/>
          <cell r="DC40"/>
          <cell r="DD40"/>
          <cell r="DE40"/>
          <cell r="DF40"/>
          <cell r="DG40"/>
          <cell r="DH40"/>
          <cell r="DI40"/>
          <cell r="DJ40"/>
          <cell r="DK40"/>
          <cell r="DL40"/>
          <cell r="DM40"/>
          <cell r="DN40"/>
          <cell r="DO40"/>
          <cell r="DP40"/>
          <cell r="DQ40"/>
          <cell r="DR40"/>
          <cell r="DS40"/>
          <cell r="DT40"/>
          <cell r="DU40"/>
          <cell r="DV40"/>
          <cell r="DW40"/>
          <cell r="DX40"/>
          <cell r="DY40"/>
          <cell r="DZ40"/>
          <cell r="EA40"/>
          <cell r="EB40"/>
          <cell r="EC40"/>
          <cell r="ED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L41"/>
          <cell r="M41"/>
          <cell r="N41"/>
          <cell r="O41"/>
          <cell r="P41"/>
          <cell r="Q41"/>
          <cell r="R41"/>
          <cell r="S41"/>
          <cell r="T41"/>
          <cell r="U41"/>
          <cell r="V41"/>
          <cell r="W41"/>
          <cell r="X41"/>
          <cell r="Y41"/>
          <cell r="Z41"/>
          <cell r="AA41"/>
          <cell r="AB41"/>
          <cell r="AC41"/>
          <cell r="AD41"/>
          <cell r="AE41"/>
          <cell r="AF41"/>
          <cell r="AG41"/>
          <cell r="AH41"/>
          <cell r="AI41"/>
          <cell r="AJ41"/>
          <cell r="AK41"/>
          <cell r="AL41"/>
          <cell r="AM41"/>
          <cell r="AN41"/>
          <cell r="AO41"/>
          <cell r="AP41"/>
          <cell r="AQ41"/>
          <cell r="AR41"/>
          <cell r="AS41"/>
          <cell r="AT41"/>
          <cell r="AU41"/>
          <cell r="AV41"/>
          <cell r="AW41"/>
          <cell r="AX41"/>
          <cell r="AY41"/>
          <cell r="AZ41"/>
          <cell r="BA41"/>
          <cell r="BB41"/>
          <cell r="BC41"/>
          <cell r="BD41"/>
          <cell r="BE41"/>
          <cell r="BF41"/>
          <cell r="BG41"/>
          <cell r="BH41"/>
          <cell r="BI41"/>
          <cell r="BJ41"/>
          <cell r="BK41"/>
          <cell r="BL41"/>
          <cell r="BM41"/>
          <cell r="BN41"/>
          <cell r="BO41"/>
          <cell r="BP41"/>
          <cell r="BQ41"/>
          <cell r="BR41"/>
          <cell r="BS41"/>
          <cell r="BT41"/>
          <cell r="BU41"/>
          <cell r="BV41"/>
          <cell r="BW41"/>
          <cell r="BX41"/>
          <cell r="BY41"/>
          <cell r="BZ41"/>
          <cell r="CA41"/>
          <cell r="CB41"/>
          <cell r="CC41"/>
          <cell r="CD41"/>
          <cell r="CE41"/>
          <cell r="CF41"/>
          <cell r="CG41"/>
          <cell r="CH41"/>
          <cell r="CI41"/>
          <cell r="CJ41"/>
          <cell r="CK41"/>
          <cell r="CL41"/>
          <cell r="CM41"/>
          <cell r="CN41"/>
          <cell r="CO41"/>
          <cell r="CP41"/>
          <cell r="CQ41"/>
          <cell r="CR41"/>
          <cell r="CS41"/>
          <cell r="CT41"/>
          <cell r="CU41"/>
          <cell r="CV41"/>
          <cell r="CW41"/>
          <cell r="CX41"/>
          <cell r="CY41"/>
          <cell r="CZ41"/>
          <cell r="DA41"/>
          <cell r="DB41"/>
          <cell r="DC41"/>
          <cell r="DD41"/>
          <cell r="DE41"/>
          <cell r="DF41"/>
          <cell r="DG41"/>
          <cell r="DH41"/>
          <cell r="DI41"/>
          <cell r="DJ41"/>
          <cell r="DK41"/>
          <cell r="DL41"/>
          <cell r="DM41"/>
          <cell r="DN41"/>
          <cell r="DO41"/>
          <cell r="DP41"/>
          <cell r="DQ41"/>
          <cell r="DR41"/>
          <cell r="DS41"/>
          <cell r="DT41"/>
          <cell r="DU41"/>
          <cell r="DV41"/>
          <cell r="DW41"/>
          <cell r="DX41"/>
          <cell r="DY41"/>
          <cell r="DZ41"/>
          <cell r="EA41"/>
          <cell r="EB41"/>
          <cell r="EC41"/>
          <cell r="ED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L42"/>
          <cell r="M42"/>
          <cell r="N42"/>
          <cell r="O42"/>
          <cell r="P42"/>
          <cell r="Q42"/>
          <cell r="R42"/>
          <cell r="S42"/>
          <cell r="T42"/>
          <cell r="U42"/>
          <cell r="V42"/>
          <cell r="W42"/>
          <cell r="X42"/>
          <cell r="Y42"/>
          <cell r="Z42"/>
          <cell r="AA42"/>
          <cell r="AB42"/>
          <cell r="AC42"/>
          <cell r="AD42"/>
          <cell r="AE42"/>
          <cell r="AF42"/>
          <cell r="AG42"/>
          <cell r="AH42"/>
          <cell r="AI42"/>
          <cell r="AJ42"/>
          <cell r="AK42"/>
          <cell r="AL42"/>
          <cell r="AM42"/>
          <cell r="AN42"/>
          <cell r="AO42"/>
          <cell r="AP42"/>
          <cell r="AQ42"/>
          <cell r="AR42"/>
          <cell r="AS42"/>
          <cell r="AT42"/>
          <cell r="AU42"/>
          <cell r="AV42"/>
          <cell r="AW42"/>
          <cell r="AX42"/>
          <cell r="AY42"/>
          <cell r="AZ42"/>
          <cell r="BA42"/>
          <cell r="BB42"/>
          <cell r="BC42"/>
          <cell r="BD42"/>
          <cell r="BE42"/>
          <cell r="BF42"/>
          <cell r="BG42"/>
          <cell r="BH42"/>
          <cell r="BI42"/>
          <cell r="BJ42"/>
          <cell r="BK42"/>
          <cell r="BL42"/>
          <cell r="BM42"/>
          <cell r="BN42"/>
          <cell r="BO42"/>
          <cell r="BP42"/>
          <cell r="BQ42"/>
          <cell r="BR42"/>
          <cell r="BS42"/>
          <cell r="BT42"/>
          <cell r="BU42"/>
          <cell r="BV42"/>
          <cell r="BW42"/>
          <cell r="BX42"/>
          <cell r="BY42"/>
          <cell r="BZ42"/>
          <cell r="CA42"/>
          <cell r="CB42"/>
          <cell r="CC42"/>
          <cell r="CD42"/>
          <cell r="CE42"/>
          <cell r="CF42"/>
          <cell r="CG42"/>
          <cell r="CH42"/>
          <cell r="CI42"/>
          <cell r="CJ42"/>
          <cell r="CK42"/>
          <cell r="CL42"/>
          <cell r="CM42"/>
          <cell r="CN42"/>
          <cell r="CO42"/>
          <cell r="CP42"/>
          <cell r="CQ42"/>
          <cell r="CR42"/>
          <cell r="CS42"/>
          <cell r="CT42"/>
          <cell r="CU42"/>
          <cell r="CV42"/>
          <cell r="CW42"/>
          <cell r="CX42"/>
          <cell r="CY42"/>
          <cell r="CZ42"/>
          <cell r="DA42"/>
          <cell r="DB42"/>
          <cell r="DC42"/>
          <cell r="DD42"/>
          <cell r="DE42"/>
          <cell r="DF42"/>
          <cell r="DG42"/>
          <cell r="DH42"/>
          <cell r="DI42"/>
          <cell r="DJ42"/>
          <cell r="DK42"/>
          <cell r="DL42"/>
          <cell r="DM42"/>
          <cell r="DN42"/>
          <cell r="DO42"/>
          <cell r="DP42"/>
          <cell r="DQ42"/>
          <cell r="DR42"/>
          <cell r="DS42"/>
          <cell r="DT42"/>
          <cell r="DU42"/>
          <cell r="DV42"/>
          <cell r="DW42"/>
          <cell r="DX42"/>
          <cell r="DY42"/>
          <cell r="DZ42"/>
          <cell r="EA42"/>
          <cell r="EB42"/>
          <cell r="EC42"/>
          <cell r="ED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L43"/>
          <cell r="M43"/>
          <cell r="N43"/>
          <cell r="O43"/>
          <cell r="P43"/>
          <cell r="Q43"/>
          <cell r="R43"/>
          <cell r="S43"/>
          <cell r="T43"/>
          <cell r="U43"/>
          <cell r="V43"/>
          <cell r="W43"/>
          <cell r="X43"/>
          <cell r="Y43"/>
          <cell r="Z43"/>
          <cell r="AA43"/>
          <cell r="AB43"/>
          <cell r="AC43"/>
          <cell r="AD43"/>
          <cell r="AE43"/>
          <cell r="AF43"/>
          <cell r="AG43"/>
          <cell r="AH43"/>
          <cell r="AI43"/>
          <cell r="AJ43"/>
          <cell r="AK43"/>
          <cell r="AL43"/>
          <cell r="AM43"/>
          <cell r="AN43"/>
          <cell r="AO43"/>
          <cell r="AP43"/>
          <cell r="AQ43"/>
          <cell r="AR43"/>
          <cell r="AS43"/>
          <cell r="AT43"/>
          <cell r="AU43"/>
          <cell r="AV43"/>
          <cell r="AW43"/>
          <cell r="AX43"/>
          <cell r="AY43"/>
          <cell r="AZ43"/>
          <cell r="BA43"/>
          <cell r="BB43"/>
          <cell r="BC43"/>
          <cell r="BD43"/>
          <cell r="BE43"/>
          <cell r="BF43"/>
          <cell r="BG43"/>
          <cell r="BH43"/>
          <cell r="BI43"/>
          <cell r="BJ43"/>
          <cell r="BK43"/>
          <cell r="BL43"/>
          <cell r="BM43"/>
          <cell r="BN43"/>
          <cell r="BO43"/>
          <cell r="BP43"/>
          <cell r="BQ43"/>
          <cell r="BR43"/>
          <cell r="BS43"/>
          <cell r="BT43"/>
          <cell r="BU43"/>
          <cell r="BV43"/>
          <cell r="BW43"/>
          <cell r="BX43"/>
          <cell r="BY43"/>
          <cell r="BZ43"/>
          <cell r="CA43"/>
          <cell r="CB43"/>
          <cell r="CC43"/>
          <cell r="CD43"/>
          <cell r="CE43"/>
          <cell r="CF43"/>
          <cell r="CG43"/>
          <cell r="CH43"/>
          <cell r="CI43"/>
          <cell r="CJ43"/>
          <cell r="CK43"/>
          <cell r="CL43"/>
          <cell r="CM43"/>
          <cell r="CN43"/>
          <cell r="CO43"/>
          <cell r="CP43"/>
          <cell r="CQ43"/>
          <cell r="CR43"/>
          <cell r="CS43"/>
          <cell r="CT43"/>
          <cell r="CU43"/>
          <cell r="CV43"/>
          <cell r="CW43"/>
          <cell r="CX43"/>
          <cell r="CY43"/>
          <cell r="CZ43"/>
          <cell r="DA43"/>
          <cell r="DB43"/>
          <cell r="DC43"/>
          <cell r="DD43"/>
          <cell r="DE43"/>
          <cell r="DF43"/>
          <cell r="DG43"/>
          <cell r="DH43"/>
          <cell r="DI43"/>
          <cell r="DJ43"/>
          <cell r="DK43"/>
          <cell r="DL43"/>
          <cell r="DM43"/>
          <cell r="DN43"/>
          <cell r="DO43"/>
          <cell r="DP43"/>
          <cell r="DQ43"/>
          <cell r="DR43"/>
          <cell r="DS43"/>
          <cell r="DT43"/>
          <cell r="DU43"/>
          <cell r="DV43"/>
          <cell r="DW43"/>
          <cell r="DX43"/>
          <cell r="DY43"/>
          <cell r="DZ43"/>
          <cell r="EA43"/>
          <cell r="EB43"/>
          <cell r="EC43"/>
          <cell r="ED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K44"/>
          <cell r="L44"/>
          <cell r="M44"/>
          <cell r="N44"/>
          <cell r="O44"/>
          <cell r="P44"/>
          <cell r="Q44"/>
          <cell r="R44"/>
          <cell r="S44"/>
          <cell r="T44"/>
          <cell r="U44"/>
          <cell r="V44"/>
          <cell r="W44"/>
          <cell r="X44"/>
          <cell r="Y44"/>
          <cell r="Z44"/>
          <cell r="AA44"/>
          <cell r="AB44"/>
          <cell r="AC44"/>
          <cell r="AD44"/>
          <cell r="AE44"/>
          <cell r="AF44"/>
          <cell r="AG44"/>
          <cell r="AH44"/>
          <cell r="AI44"/>
          <cell r="AJ44"/>
          <cell r="AK44"/>
          <cell r="AL44"/>
          <cell r="AM44"/>
          <cell r="AN44"/>
          <cell r="AO44"/>
          <cell r="AP44"/>
          <cell r="AQ44"/>
          <cell r="AR44"/>
          <cell r="AS44"/>
          <cell r="AT44"/>
          <cell r="AU44"/>
          <cell r="AV44"/>
          <cell r="AW44"/>
          <cell r="AX44"/>
          <cell r="AY44"/>
          <cell r="AZ44"/>
          <cell r="BA44"/>
          <cell r="BB44"/>
          <cell r="BC44"/>
          <cell r="BD44"/>
          <cell r="BE44"/>
          <cell r="BF44"/>
          <cell r="BG44"/>
          <cell r="BH44"/>
          <cell r="BI44"/>
          <cell r="BJ44"/>
          <cell r="BK44"/>
          <cell r="BL44"/>
          <cell r="BM44"/>
          <cell r="BN44"/>
          <cell r="BO44"/>
          <cell r="BP44"/>
          <cell r="BQ44"/>
          <cell r="BR44"/>
          <cell r="BS44"/>
          <cell r="BT44"/>
          <cell r="BU44"/>
          <cell r="BV44"/>
          <cell r="BW44"/>
          <cell r="BX44"/>
          <cell r="BY44"/>
          <cell r="BZ44"/>
          <cell r="CA44"/>
          <cell r="CB44"/>
          <cell r="CC44"/>
          <cell r="CD44"/>
          <cell r="CE44"/>
          <cell r="CF44"/>
          <cell r="CG44"/>
          <cell r="CH44"/>
          <cell r="CI44"/>
          <cell r="CJ44"/>
          <cell r="CK44"/>
          <cell r="CL44"/>
          <cell r="CM44"/>
          <cell r="CN44"/>
          <cell r="CO44"/>
          <cell r="CP44"/>
          <cell r="CQ44"/>
          <cell r="CR44"/>
          <cell r="CS44"/>
          <cell r="CT44"/>
          <cell r="CU44"/>
          <cell r="CV44"/>
          <cell r="CW44"/>
          <cell r="CX44"/>
          <cell r="CY44"/>
          <cell r="CZ44"/>
          <cell r="DA44"/>
          <cell r="DB44"/>
          <cell r="DC44"/>
          <cell r="DD44"/>
          <cell r="DE44"/>
          <cell r="DF44"/>
          <cell r="DG44"/>
          <cell r="DH44"/>
          <cell r="DI44"/>
          <cell r="DJ44"/>
          <cell r="DK44"/>
          <cell r="DL44"/>
          <cell r="DM44"/>
          <cell r="DN44"/>
          <cell r="DO44"/>
          <cell r="DP44"/>
          <cell r="DQ44"/>
          <cell r="DR44"/>
          <cell r="DS44"/>
          <cell r="DT44"/>
          <cell r="DU44"/>
          <cell r="DV44"/>
          <cell r="DW44"/>
          <cell r="DX44"/>
          <cell r="DY44"/>
          <cell r="DZ44"/>
          <cell r="EA44"/>
          <cell r="ED44"/>
          <cell r="EE44"/>
          <cell r="EF44"/>
          <cell r="EG44"/>
          <cell r="EH44"/>
          <cell r="EI44"/>
          <cell r="EJ44"/>
          <cell r="EK44"/>
          <cell r="EL44"/>
          <cell r="EM44"/>
          <cell r="EN44"/>
          <cell r="EO44"/>
          <cell r="EP44"/>
          <cell r="EQ44"/>
          <cell r="ER44"/>
          <cell r="ES44"/>
          <cell r="ET44"/>
          <cell r="EU44"/>
          <cell r="EV44"/>
          <cell r="EW44"/>
          <cell r="EX44"/>
          <cell r="EY44"/>
          <cell r="EZ44"/>
          <cell r="FA44"/>
          <cell r="FB44"/>
          <cell r="FC44"/>
          <cell r="FD44"/>
          <cell r="FE44"/>
          <cell r="FF44"/>
          <cell r="FG44"/>
          <cell r="FH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K45"/>
          <cell r="L45"/>
          <cell r="M45"/>
          <cell r="N45"/>
          <cell r="O45"/>
          <cell r="P45"/>
          <cell r="Q45"/>
          <cell r="R45"/>
          <cell r="S45"/>
          <cell r="T45"/>
          <cell r="U45"/>
          <cell r="V45"/>
          <cell r="W45"/>
          <cell r="X45"/>
          <cell r="Y45"/>
          <cell r="Z45"/>
          <cell r="AA45"/>
          <cell r="AB45"/>
          <cell r="AC45"/>
          <cell r="AD45"/>
          <cell r="AE45"/>
          <cell r="AF45"/>
          <cell r="AG45"/>
          <cell r="AH45"/>
          <cell r="AI45"/>
          <cell r="AJ45"/>
          <cell r="AK45"/>
          <cell r="AL45"/>
          <cell r="AM45"/>
          <cell r="AN45"/>
          <cell r="AO45"/>
          <cell r="AP45"/>
          <cell r="AQ45"/>
          <cell r="AR45"/>
          <cell r="AS45"/>
          <cell r="AT45"/>
          <cell r="AU45"/>
          <cell r="AV45"/>
          <cell r="AW45"/>
          <cell r="AX45"/>
          <cell r="AY45"/>
          <cell r="AZ45"/>
          <cell r="BA45"/>
          <cell r="BB45"/>
          <cell r="BC45"/>
          <cell r="BD45"/>
          <cell r="BE45"/>
          <cell r="BF45"/>
          <cell r="BG45"/>
          <cell r="BH45"/>
          <cell r="BI45"/>
          <cell r="BJ45"/>
          <cell r="BK45"/>
          <cell r="BL45"/>
          <cell r="BM45"/>
          <cell r="BN45"/>
          <cell r="BO45"/>
          <cell r="BP45"/>
          <cell r="BQ45"/>
          <cell r="BR45"/>
          <cell r="BS45"/>
          <cell r="BT45"/>
          <cell r="BU45"/>
          <cell r="BV45"/>
          <cell r="BW45"/>
          <cell r="BX45"/>
          <cell r="BY45"/>
          <cell r="BZ45"/>
          <cell r="CA45"/>
          <cell r="CB45"/>
          <cell r="CC45"/>
          <cell r="CD45"/>
          <cell r="CE45"/>
          <cell r="CF45"/>
          <cell r="CG45"/>
          <cell r="CH45"/>
          <cell r="CI45"/>
          <cell r="CJ45"/>
          <cell r="CK45"/>
          <cell r="CL45"/>
          <cell r="CM45"/>
          <cell r="CN45"/>
          <cell r="CO45"/>
          <cell r="CP45"/>
          <cell r="CQ45"/>
          <cell r="CR45"/>
          <cell r="CS45"/>
          <cell r="CT45"/>
          <cell r="CU45"/>
          <cell r="CV45"/>
          <cell r="CW45"/>
          <cell r="CX45"/>
          <cell r="CY45"/>
          <cell r="CZ45"/>
          <cell r="DA45"/>
          <cell r="DB45"/>
          <cell r="DC45"/>
          <cell r="DD45"/>
          <cell r="DE45"/>
          <cell r="DF45"/>
          <cell r="DG45"/>
          <cell r="DH45"/>
          <cell r="DI45"/>
          <cell r="DJ45"/>
          <cell r="DK45"/>
          <cell r="DL45"/>
          <cell r="DM45"/>
          <cell r="DN45"/>
          <cell r="DO45"/>
          <cell r="DP45"/>
          <cell r="DQ45"/>
          <cell r="DR45"/>
          <cell r="DS45"/>
          <cell r="DT45"/>
          <cell r="DU45"/>
          <cell r="DV45"/>
          <cell r="DW45"/>
          <cell r="DX45"/>
          <cell r="DY45"/>
          <cell r="DZ45"/>
          <cell r="EA45"/>
          <cell r="ED45"/>
          <cell r="EE45"/>
          <cell r="EF45"/>
          <cell r="EG45"/>
          <cell r="EH45"/>
          <cell r="EI45"/>
          <cell r="EJ45"/>
          <cell r="EK45"/>
          <cell r="EL45"/>
          <cell r="EM45"/>
          <cell r="EN45"/>
          <cell r="EO45"/>
          <cell r="EP45"/>
          <cell r="EQ45"/>
          <cell r="ER45"/>
          <cell r="ES45"/>
          <cell r="ET45"/>
          <cell r="EU45"/>
          <cell r="EV45"/>
          <cell r="EW45"/>
          <cell r="EX45"/>
          <cell r="EY45"/>
          <cell r="EZ45"/>
          <cell r="FA45"/>
          <cell r="FB45"/>
          <cell r="FC45"/>
          <cell r="FD45"/>
          <cell r="FE45"/>
          <cell r="FF45"/>
          <cell r="FG45"/>
          <cell r="FH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K46"/>
          <cell r="L46"/>
          <cell r="M46"/>
          <cell r="N46"/>
          <cell r="O46"/>
          <cell r="P46"/>
          <cell r="Q46"/>
          <cell r="R46"/>
          <cell r="S46"/>
          <cell r="T46"/>
          <cell r="U46"/>
          <cell r="V46"/>
          <cell r="W46"/>
          <cell r="X46"/>
          <cell r="Y46"/>
          <cell r="Z46"/>
          <cell r="AA46"/>
          <cell r="AB46"/>
          <cell r="AC46"/>
          <cell r="AD46"/>
          <cell r="AE46"/>
          <cell r="AF46"/>
          <cell r="AG46"/>
          <cell r="AH46"/>
          <cell r="AI46"/>
          <cell r="AJ46"/>
          <cell r="AK46"/>
          <cell r="AL46"/>
          <cell r="AM46"/>
          <cell r="AN46"/>
          <cell r="AO46"/>
          <cell r="AP46"/>
          <cell r="AQ46"/>
          <cell r="AR46"/>
          <cell r="AS46"/>
          <cell r="AT46"/>
          <cell r="AU46"/>
          <cell r="AV46"/>
          <cell r="AW46"/>
          <cell r="AX46"/>
          <cell r="AY46"/>
          <cell r="AZ46"/>
          <cell r="BA46"/>
          <cell r="BB46"/>
          <cell r="BC46"/>
          <cell r="BD46"/>
          <cell r="BE46"/>
          <cell r="BF46"/>
          <cell r="BG46"/>
          <cell r="BH46"/>
          <cell r="BI46"/>
          <cell r="BJ46"/>
          <cell r="BK46"/>
          <cell r="BL46"/>
          <cell r="BM46"/>
          <cell r="BN46"/>
          <cell r="BO46"/>
          <cell r="BP46"/>
          <cell r="BQ46"/>
          <cell r="BR46"/>
          <cell r="BS46"/>
          <cell r="BT46"/>
          <cell r="BU46"/>
          <cell r="BV46"/>
          <cell r="BW46"/>
          <cell r="BX46"/>
          <cell r="BY46"/>
          <cell r="BZ46"/>
          <cell r="CA46"/>
          <cell r="CB46"/>
          <cell r="CC46"/>
          <cell r="CD46"/>
          <cell r="CE46"/>
          <cell r="CF46"/>
          <cell r="CG46"/>
          <cell r="CH46"/>
          <cell r="CI46"/>
          <cell r="CJ46"/>
          <cell r="CK46"/>
          <cell r="CL46"/>
          <cell r="CM46"/>
          <cell r="CN46"/>
          <cell r="CO46"/>
          <cell r="CP46"/>
          <cell r="CQ46"/>
          <cell r="CR46"/>
          <cell r="CS46"/>
          <cell r="CT46"/>
          <cell r="CU46"/>
          <cell r="CV46"/>
          <cell r="CW46"/>
          <cell r="CX46"/>
          <cell r="CY46"/>
          <cell r="CZ46"/>
          <cell r="DA46"/>
          <cell r="DB46"/>
          <cell r="DC46"/>
          <cell r="DD46"/>
          <cell r="DE46"/>
          <cell r="DF46"/>
          <cell r="DG46"/>
          <cell r="DH46"/>
          <cell r="DI46"/>
          <cell r="DJ46"/>
          <cell r="DK46"/>
          <cell r="DL46"/>
          <cell r="DM46"/>
          <cell r="DN46"/>
          <cell r="DO46"/>
          <cell r="DP46"/>
          <cell r="DQ46"/>
          <cell r="DR46"/>
          <cell r="DS46"/>
          <cell r="DT46"/>
          <cell r="DU46"/>
          <cell r="DV46"/>
          <cell r="DW46"/>
          <cell r="DX46"/>
          <cell r="DY46"/>
          <cell r="DZ46"/>
          <cell r="EA46"/>
          <cell r="ED46"/>
          <cell r="EE46"/>
          <cell r="EF46"/>
          <cell r="EG46"/>
          <cell r="EH46"/>
          <cell r="EI46"/>
          <cell r="EJ46"/>
          <cell r="EK46"/>
          <cell r="EL46"/>
          <cell r="EM46"/>
          <cell r="EN46"/>
          <cell r="EO46"/>
          <cell r="EP46"/>
          <cell r="EQ46"/>
          <cell r="ER46"/>
          <cell r="ES46"/>
          <cell r="ET46"/>
          <cell r="EU46"/>
          <cell r="EV46"/>
          <cell r="EW46"/>
          <cell r="EX46"/>
          <cell r="EY46"/>
          <cell r="EZ46"/>
          <cell r="FA46"/>
          <cell r="FB46"/>
          <cell r="FC46"/>
          <cell r="FD46"/>
          <cell r="FE46"/>
          <cell r="FF46"/>
          <cell r="FG46"/>
          <cell r="FH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K47"/>
          <cell r="L47"/>
          <cell r="M47"/>
          <cell r="N47"/>
          <cell r="O47"/>
          <cell r="P47"/>
          <cell r="Q47"/>
          <cell r="R47"/>
          <cell r="S47"/>
          <cell r="T47"/>
          <cell r="U47"/>
          <cell r="V47"/>
          <cell r="W47"/>
          <cell r="X47"/>
          <cell r="Y47"/>
          <cell r="Z47"/>
          <cell r="AA47"/>
          <cell r="AB47"/>
          <cell r="AC47"/>
          <cell r="AD47"/>
          <cell r="AE47"/>
          <cell r="AF47"/>
          <cell r="AG47"/>
          <cell r="AH47"/>
          <cell r="AI47"/>
          <cell r="AJ47"/>
          <cell r="AK47"/>
          <cell r="AL47"/>
          <cell r="AM47"/>
          <cell r="AN47"/>
          <cell r="AO47"/>
          <cell r="AP47"/>
          <cell r="AQ47"/>
          <cell r="AR47"/>
          <cell r="AS47"/>
          <cell r="AT47"/>
          <cell r="AU47"/>
          <cell r="AV47"/>
          <cell r="AW47"/>
          <cell r="AX47"/>
          <cell r="AY47"/>
          <cell r="AZ47"/>
          <cell r="BA47"/>
          <cell r="BB47"/>
          <cell r="BC47"/>
          <cell r="BD47"/>
          <cell r="BE47"/>
          <cell r="BF47"/>
          <cell r="BG47"/>
          <cell r="BH47"/>
          <cell r="BI47"/>
          <cell r="BJ47"/>
          <cell r="BK47"/>
          <cell r="BL47"/>
          <cell r="BM47"/>
          <cell r="BN47"/>
          <cell r="BO47"/>
          <cell r="BP47"/>
          <cell r="BQ47"/>
          <cell r="BR47"/>
          <cell r="BS47"/>
          <cell r="BT47"/>
          <cell r="BU47"/>
          <cell r="BV47"/>
          <cell r="BW47"/>
          <cell r="BX47"/>
          <cell r="BY47"/>
          <cell r="BZ47"/>
          <cell r="CA47"/>
          <cell r="CB47"/>
          <cell r="CC47"/>
          <cell r="CD47"/>
          <cell r="CE47"/>
          <cell r="CF47"/>
          <cell r="CG47"/>
          <cell r="CH47"/>
          <cell r="CI47"/>
          <cell r="CJ47"/>
          <cell r="CK47"/>
          <cell r="CL47"/>
          <cell r="CM47"/>
          <cell r="CN47"/>
          <cell r="CO47"/>
          <cell r="CP47"/>
          <cell r="CQ47"/>
          <cell r="CR47"/>
          <cell r="CS47"/>
          <cell r="CT47"/>
          <cell r="CU47"/>
          <cell r="CV47"/>
          <cell r="CW47"/>
          <cell r="CX47"/>
          <cell r="CY47"/>
          <cell r="CZ47"/>
          <cell r="DA47"/>
          <cell r="DB47"/>
          <cell r="DC47"/>
          <cell r="DD47"/>
          <cell r="DE47"/>
          <cell r="DF47"/>
          <cell r="DG47"/>
          <cell r="DH47"/>
          <cell r="DI47"/>
          <cell r="DJ47"/>
          <cell r="DK47"/>
          <cell r="DL47"/>
          <cell r="DM47"/>
          <cell r="DN47"/>
          <cell r="DO47"/>
          <cell r="DP47"/>
          <cell r="DQ47"/>
          <cell r="DR47"/>
          <cell r="DS47"/>
          <cell r="DT47"/>
          <cell r="DU47"/>
          <cell r="DV47"/>
          <cell r="DW47"/>
          <cell r="DX47"/>
          <cell r="DY47"/>
          <cell r="DZ47"/>
          <cell r="EA47"/>
          <cell r="ED47"/>
          <cell r="EE47"/>
          <cell r="EF47"/>
          <cell r="EG47"/>
          <cell r="EH47"/>
          <cell r="EI47"/>
          <cell r="EJ47"/>
          <cell r="EK47"/>
          <cell r="EL47"/>
          <cell r="EM47"/>
          <cell r="EN47"/>
          <cell r="EO47"/>
          <cell r="EP47"/>
          <cell r="EQ47"/>
          <cell r="ER47"/>
          <cell r="ES47"/>
          <cell r="ET47"/>
          <cell r="EU47"/>
          <cell r="EV47"/>
          <cell r="EW47"/>
          <cell r="EX47"/>
          <cell r="EY47"/>
          <cell r="EZ47"/>
          <cell r="FA47"/>
          <cell r="FB47"/>
          <cell r="FC47"/>
          <cell r="FD47"/>
          <cell r="FE47"/>
          <cell r="FF47"/>
          <cell r="FG47"/>
          <cell r="FH47"/>
        </row>
        <row r="48">
          <cell r="B48"/>
          <cell r="C48"/>
          <cell r="D48"/>
          <cell r="E48"/>
          <cell r="F48"/>
          <cell r="G48"/>
          <cell r="H48"/>
        </row>
        <row r="49">
          <cell r="B49"/>
          <cell r="C49"/>
          <cell r="D49"/>
          <cell r="E49"/>
          <cell r="F49"/>
          <cell r="G49"/>
          <cell r="H49"/>
        </row>
        <row r="50">
          <cell r="B50"/>
          <cell r="C50"/>
          <cell r="D50"/>
          <cell r="E50"/>
          <cell r="F50"/>
          <cell r="G50"/>
          <cell r="H50"/>
        </row>
        <row r="51">
          <cell r="B51"/>
          <cell r="C51"/>
          <cell r="D51"/>
          <cell r="E51"/>
          <cell r="F51"/>
          <cell r="G51"/>
          <cell r="H51"/>
        </row>
        <row r="52">
          <cell r="B52"/>
          <cell r="C52"/>
          <cell r="D52"/>
          <cell r="E52"/>
          <cell r="F52"/>
          <cell r="G52"/>
          <cell r="H52"/>
        </row>
        <row r="53">
          <cell r="B53"/>
          <cell r="C53"/>
          <cell r="D53"/>
          <cell r="E53"/>
          <cell r="F53"/>
          <cell r="G53"/>
          <cell r="H53"/>
        </row>
        <row r="54">
          <cell r="B54"/>
          <cell r="C54"/>
          <cell r="D54"/>
          <cell r="E54"/>
          <cell r="F54"/>
          <cell r="G54"/>
          <cell r="H54"/>
        </row>
        <row r="55">
          <cell r="B55"/>
          <cell r="C55"/>
          <cell r="D55"/>
          <cell r="E55"/>
          <cell r="F55"/>
          <cell r="G55"/>
          <cell r="H55"/>
        </row>
        <row r="56">
          <cell r="B56"/>
          <cell r="C56"/>
          <cell r="D56"/>
          <cell r="E56"/>
          <cell r="F56"/>
          <cell r="G56"/>
          <cell r="H56"/>
        </row>
        <row r="57">
          <cell r="B57"/>
          <cell r="C57"/>
          <cell r="D57"/>
          <cell r="E57"/>
          <cell r="F57"/>
          <cell r="G57"/>
          <cell r="H57"/>
        </row>
        <row r="58">
          <cell r="B58"/>
          <cell r="C58"/>
          <cell r="D58"/>
          <cell r="E58"/>
          <cell r="F58"/>
          <cell r="G58"/>
          <cell r="H58"/>
        </row>
        <row r="59">
          <cell r="B59"/>
          <cell r="C59"/>
          <cell r="D59"/>
          <cell r="E59"/>
          <cell r="F59"/>
          <cell r="G59"/>
          <cell r="H59"/>
        </row>
        <row r="60">
          <cell r="B60"/>
          <cell r="C60"/>
          <cell r="D60"/>
          <cell r="E60"/>
          <cell r="F60"/>
          <cell r="G60"/>
          <cell r="H60"/>
        </row>
        <row r="61">
          <cell r="B61"/>
          <cell r="C61"/>
          <cell r="D61"/>
          <cell r="E61"/>
          <cell r="F61"/>
          <cell r="G61"/>
          <cell r="H61"/>
        </row>
        <row r="62">
          <cell r="B62"/>
          <cell r="C62"/>
          <cell r="D62"/>
          <cell r="E62"/>
          <cell r="F62"/>
          <cell r="G62"/>
          <cell r="H62"/>
        </row>
        <row r="63">
          <cell r="B63"/>
          <cell r="C63"/>
          <cell r="D63"/>
          <cell r="E63"/>
          <cell r="F63"/>
          <cell r="G63"/>
          <cell r="H63"/>
        </row>
        <row r="64">
          <cell r="B64"/>
          <cell r="C64"/>
          <cell r="D64"/>
          <cell r="E64"/>
          <cell r="F64"/>
          <cell r="G64"/>
          <cell r="H64"/>
        </row>
        <row r="65">
          <cell r="B65"/>
          <cell r="C65"/>
          <cell r="D65"/>
          <cell r="E65"/>
          <cell r="F65"/>
          <cell r="G65"/>
          <cell r="H65"/>
        </row>
        <row r="66">
          <cell r="B66"/>
          <cell r="C66"/>
          <cell r="D66"/>
          <cell r="E66"/>
          <cell r="F66"/>
          <cell r="G66"/>
          <cell r="H66"/>
        </row>
        <row r="67">
          <cell r="B67"/>
          <cell r="C67"/>
          <cell r="D67"/>
          <cell r="E67"/>
          <cell r="F67"/>
          <cell r="G67"/>
          <cell r="H67"/>
        </row>
        <row r="68">
          <cell r="B68"/>
          <cell r="C68"/>
          <cell r="D68"/>
          <cell r="E68"/>
          <cell r="F68"/>
          <cell r="G68"/>
          <cell r="H68"/>
        </row>
        <row r="69">
          <cell r="B69"/>
          <cell r="C69"/>
          <cell r="D69"/>
          <cell r="E69"/>
          <cell r="F69"/>
          <cell r="G69"/>
          <cell r="H69"/>
        </row>
        <row r="70">
          <cell r="B70"/>
          <cell r="C70"/>
          <cell r="D70"/>
          <cell r="E70"/>
          <cell r="F70"/>
          <cell r="G70"/>
          <cell r="H70"/>
        </row>
        <row r="71">
          <cell r="B71"/>
          <cell r="C71"/>
          <cell r="D71"/>
          <cell r="E71"/>
          <cell r="F71"/>
          <cell r="G71"/>
          <cell r="H71"/>
        </row>
        <row r="72">
          <cell r="B72"/>
          <cell r="C72"/>
          <cell r="D72"/>
          <cell r="E72"/>
          <cell r="F72"/>
          <cell r="G72"/>
          <cell r="H72"/>
        </row>
        <row r="73">
          <cell r="B73"/>
          <cell r="C73"/>
          <cell r="D73"/>
          <cell r="E73"/>
          <cell r="F73"/>
          <cell r="G73"/>
          <cell r="H73"/>
        </row>
        <row r="74">
          <cell r="B74"/>
          <cell r="C74"/>
          <cell r="D74"/>
          <cell r="E74"/>
          <cell r="F74"/>
          <cell r="G74"/>
          <cell r="H74"/>
        </row>
        <row r="75">
          <cell r="B75"/>
          <cell r="C75"/>
          <cell r="D75"/>
          <cell r="E75"/>
          <cell r="F75"/>
          <cell r="G75"/>
          <cell r="H75"/>
        </row>
        <row r="76">
          <cell r="B76"/>
          <cell r="C76"/>
          <cell r="D76"/>
          <cell r="E76"/>
          <cell r="F76"/>
          <cell r="G76"/>
          <cell r="H76"/>
        </row>
        <row r="77">
          <cell r="B77"/>
          <cell r="C77"/>
          <cell r="D77"/>
          <cell r="E77"/>
          <cell r="F77"/>
          <cell r="G77"/>
          <cell r="H77"/>
        </row>
        <row r="78">
          <cell r="B78"/>
          <cell r="C78"/>
          <cell r="D78"/>
          <cell r="E78"/>
          <cell r="F78"/>
          <cell r="G78"/>
          <cell r="H78"/>
        </row>
        <row r="79">
          <cell r="B79"/>
          <cell r="C79"/>
          <cell r="D79"/>
          <cell r="E79"/>
          <cell r="F79"/>
          <cell r="G79"/>
          <cell r="H79"/>
        </row>
        <row r="80">
          <cell r="B80"/>
          <cell r="C80"/>
          <cell r="D80"/>
          <cell r="E80"/>
          <cell r="F80"/>
          <cell r="G80"/>
          <cell r="H80"/>
        </row>
        <row r="81">
          <cell r="B81"/>
          <cell r="C81"/>
          <cell r="D81"/>
          <cell r="E81"/>
          <cell r="F81"/>
          <cell r="G81"/>
          <cell r="H81"/>
        </row>
        <row r="82">
          <cell r="B82"/>
          <cell r="C82"/>
          <cell r="D82"/>
          <cell r="E82"/>
          <cell r="F82"/>
          <cell r="G82"/>
          <cell r="H82"/>
        </row>
        <row r="83">
          <cell r="B83"/>
          <cell r="C83"/>
          <cell r="D83"/>
          <cell r="E83"/>
          <cell r="F83"/>
          <cell r="G83"/>
          <cell r="H83"/>
        </row>
        <row r="84">
          <cell r="B84"/>
          <cell r="C84"/>
          <cell r="D84"/>
          <cell r="E84"/>
          <cell r="F84"/>
          <cell r="G84"/>
          <cell r="H84"/>
        </row>
        <row r="85">
          <cell r="B85"/>
          <cell r="C85"/>
          <cell r="D85"/>
          <cell r="E85"/>
          <cell r="F85"/>
          <cell r="G85"/>
          <cell r="H85"/>
        </row>
        <row r="86">
          <cell r="B86"/>
          <cell r="C86"/>
          <cell r="D86"/>
          <cell r="E86"/>
          <cell r="F86"/>
          <cell r="G86"/>
          <cell r="H86"/>
        </row>
        <row r="87">
          <cell r="B87"/>
          <cell r="C87"/>
          <cell r="D87"/>
          <cell r="E87"/>
          <cell r="F87"/>
          <cell r="G87"/>
          <cell r="H87"/>
        </row>
        <row r="88">
          <cell r="B88"/>
          <cell r="C88"/>
          <cell r="D88"/>
          <cell r="E88"/>
          <cell r="F88"/>
          <cell r="G88"/>
          <cell r="H88"/>
        </row>
        <row r="89">
          <cell r="B89"/>
          <cell r="C89"/>
          <cell r="D89"/>
          <cell r="E89"/>
          <cell r="F89"/>
          <cell r="G89"/>
          <cell r="H89"/>
        </row>
        <row r="90">
          <cell r="B90"/>
          <cell r="C90"/>
          <cell r="D90"/>
          <cell r="E90"/>
          <cell r="F90"/>
          <cell r="G90"/>
          <cell r="H90"/>
        </row>
        <row r="91">
          <cell r="B91"/>
          <cell r="C91"/>
          <cell r="D91"/>
          <cell r="E91"/>
          <cell r="F91"/>
          <cell r="G91"/>
          <cell r="H91"/>
        </row>
        <row r="92">
          <cell r="B92"/>
          <cell r="C92"/>
          <cell r="D92"/>
          <cell r="E92"/>
          <cell r="F92"/>
          <cell r="G92"/>
          <cell r="H92"/>
        </row>
        <row r="93">
          <cell r="B93"/>
          <cell r="C93"/>
          <cell r="D93"/>
          <cell r="E93"/>
          <cell r="F93"/>
          <cell r="G93"/>
          <cell r="H93"/>
        </row>
        <row r="94">
          <cell r="B94"/>
          <cell r="C94"/>
          <cell r="D94"/>
          <cell r="E94"/>
          <cell r="F94"/>
          <cell r="G94"/>
          <cell r="H94"/>
        </row>
        <row r="95">
          <cell r="B95"/>
          <cell r="C95"/>
          <cell r="D95"/>
          <cell r="E95"/>
          <cell r="F95"/>
          <cell r="G95"/>
          <cell r="H95"/>
        </row>
        <row r="96">
          <cell r="B96"/>
          <cell r="C96"/>
          <cell r="D96"/>
          <cell r="E96"/>
          <cell r="F96"/>
          <cell r="G96"/>
          <cell r="H96"/>
        </row>
      </sheetData>
      <sheetData sheetId="8"/>
      <sheetData sheetId="9">
        <row r="2">
          <cell r="B2" t="str">
            <v>covellite</v>
          </cell>
        </row>
      </sheetData>
      <sheetData sheetId="10">
        <row r="4">
          <cell r="A4" t="str">
            <v>Arsenopyrite</v>
          </cell>
          <cell r="C4" t="str">
            <v>'Photos of Minerals'!$B$4</v>
          </cell>
        </row>
        <row r="5">
          <cell r="A5" t="str">
            <v>Bornite</v>
          </cell>
          <cell r="C5" t="str">
            <v>'Photos of Minerals'!$B$5</v>
          </cell>
        </row>
        <row r="6">
          <cell r="A6" t="str">
            <v>Cassiterite</v>
          </cell>
          <cell r="C6" t="str">
            <v>'Photos of Minerals'!$B$6</v>
          </cell>
        </row>
        <row r="7">
          <cell r="A7" t="str">
            <v>Chalcocite</v>
          </cell>
          <cell r="C7" t="str">
            <v>'Photos of Minerals'!$B$7</v>
          </cell>
        </row>
        <row r="8">
          <cell r="A8" t="str">
            <v>Chalcopyrite</v>
          </cell>
          <cell r="C8" t="str">
            <v>'Photos of Minerals'!$B$8</v>
          </cell>
        </row>
        <row r="9">
          <cell r="A9" t="str">
            <v>Chromite</v>
          </cell>
          <cell r="C9" t="str">
            <v>'Photos of Minerals'!$B$9</v>
          </cell>
        </row>
        <row r="10">
          <cell r="A10" t="str">
            <v>Cobaltite</v>
          </cell>
          <cell r="C10" t="str">
            <v>'Photos of Minerals'!$B$10</v>
          </cell>
        </row>
        <row r="11">
          <cell r="A11" t="str">
            <v>Copper</v>
          </cell>
          <cell r="C11" t="str">
            <v>'Photos of Minerals'!$B$11</v>
          </cell>
        </row>
        <row r="12">
          <cell r="A12" t="str">
            <v>Covellite</v>
          </cell>
          <cell r="C12" t="str">
            <v>'Photos of Minerals'!$B$12</v>
          </cell>
        </row>
        <row r="13">
          <cell r="A13" t="str">
            <v>Cuprite</v>
          </cell>
          <cell r="C13" t="str">
            <v>'Photos of Minerals'!$B$13</v>
          </cell>
        </row>
        <row r="14">
          <cell r="A14" t="str">
            <v>Delafossite</v>
          </cell>
          <cell r="C14" t="str">
            <v>'Photos of Minerals'!$B$14</v>
          </cell>
        </row>
        <row r="15">
          <cell r="A15" t="str">
            <v>Digenite</v>
          </cell>
          <cell r="C15" t="str">
            <v>'Photos of Minerals'!$B$15</v>
          </cell>
        </row>
        <row r="16">
          <cell r="A16" t="str">
            <v>Galena</v>
          </cell>
          <cell r="C16" t="str">
            <v>'Photos of Minerals'!$B$16</v>
          </cell>
        </row>
        <row r="17">
          <cell r="A17" t="str">
            <v>Goethite</v>
          </cell>
          <cell r="C17" t="str">
            <v>'Photos of Minerals'!$B$17</v>
          </cell>
        </row>
        <row r="18">
          <cell r="A18" t="str">
            <v>Gold</v>
          </cell>
          <cell r="C18" t="str">
            <v>'Photos of Minerals'!$B$18</v>
          </cell>
        </row>
        <row r="19">
          <cell r="A19" t="str">
            <v>Graphite</v>
          </cell>
          <cell r="C19" t="str">
            <v>'Photos of Minerals'!$B$19</v>
          </cell>
        </row>
        <row r="20">
          <cell r="A20" t="str">
            <v>Hematite</v>
          </cell>
          <cell r="C20" t="str">
            <v>'Photos of Minerals'!$B$20</v>
          </cell>
        </row>
        <row r="21">
          <cell r="A21" t="str">
            <v>Ilmenite</v>
          </cell>
          <cell r="C21" t="str">
            <v>'Photos of Minerals'!$B$21</v>
          </cell>
        </row>
        <row r="22">
          <cell r="A22" t="str">
            <v>Magnetite</v>
          </cell>
          <cell r="C22" t="str">
            <v>'Photos of Minerals'!$B$22</v>
          </cell>
        </row>
        <row r="23">
          <cell r="A23" t="str">
            <v>Malachite</v>
          </cell>
          <cell r="C23" t="str">
            <v>'Photos of Minerals'!$B$23</v>
          </cell>
        </row>
        <row r="24">
          <cell r="A24" t="str">
            <v>Marcasite</v>
          </cell>
          <cell r="C24" t="str">
            <v>'Photos of Minerals'!$B$24</v>
          </cell>
        </row>
        <row r="25">
          <cell r="A25" t="str">
            <v>Molybdenite</v>
          </cell>
          <cell r="C25" t="str">
            <v>'Photos of Minerals'!$B$25</v>
          </cell>
        </row>
        <row r="26">
          <cell r="A26" t="str">
            <v>Nickeline</v>
          </cell>
          <cell r="C26" t="str">
            <v>'Photos of Minerals'!$B$26</v>
          </cell>
        </row>
        <row r="27">
          <cell r="A27" t="str">
            <v>Pentlandite</v>
          </cell>
          <cell r="C27" t="str">
            <v>'Photos of Minerals'!$B$27</v>
          </cell>
        </row>
        <row r="28">
          <cell r="A28" t="str">
            <v>Pyrite</v>
          </cell>
          <cell r="C28" t="str">
            <v>'Photos of Minerals'!$B$28</v>
          </cell>
        </row>
        <row r="29">
          <cell r="A29" t="str">
            <v>Pyrrhotite</v>
          </cell>
          <cell r="C29" t="str">
            <v>'Photos of Minerals'!$B$29</v>
          </cell>
        </row>
        <row r="30">
          <cell r="A30" t="str">
            <v>Rutile</v>
          </cell>
          <cell r="C30" t="str">
            <v>'Photos of Minerals'!$B$30</v>
          </cell>
        </row>
        <row r="31">
          <cell r="A31" t="str">
            <v>Semseyite</v>
          </cell>
          <cell r="C31" t="str">
            <v>'Photos of Minerals'!$B$31</v>
          </cell>
        </row>
        <row r="32">
          <cell r="A32" t="str">
            <v>Silver</v>
          </cell>
          <cell r="C32" t="str">
            <v>'Photos of Minerals'!$B$32</v>
          </cell>
        </row>
        <row r="33">
          <cell r="A33" t="str">
            <v>Skutterudite</v>
          </cell>
          <cell r="C33" t="str">
            <v>'Photos of Minerals'!$B$33</v>
          </cell>
        </row>
        <row r="34">
          <cell r="A34" t="str">
            <v>Sphalerite</v>
          </cell>
          <cell r="C34" t="str">
            <v>'Photos of Minerals'!$B$34</v>
          </cell>
        </row>
        <row r="35">
          <cell r="A35" t="str">
            <v>Stibnite</v>
          </cell>
          <cell r="C35" t="str">
            <v>'Photos of Minerals'!$B$35</v>
          </cell>
        </row>
        <row r="36">
          <cell r="A36" t="str">
            <v>Tetrahedrite</v>
          </cell>
          <cell r="C36" t="str">
            <v>'Photos of Minerals'!$B$36</v>
          </cell>
        </row>
        <row r="37">
          <cell r="A37" t="str">
            <v>Wolframite</v>
          </cell>
          <cell r="C37" t="str">
            <v>'Photos of Minerals'!$B$37</v>
          </cell>
        </row>
        <row r="38">
          <cell r="A38" t="str">
            <v/>
          </cell>
          <cell r="C38" t="str">
            <v>'Photos of Minerals'!$B$38</v>
          </cell>
        </row>
        <row r="39">
          <cell r="A39" t="str">
            <v/>
          </cell>
          <cell r="C39" t="str">
            <v>'Photos of Minerals'!$B$39</v>
          </cell>
        </row>
        <row r="40">
          <cell r="A40" t="str">
            <v/>
          </cell>
          <cell r="C40" t="str">
            <v>'Photos of Minerals'!$B$40</v>
          </cell>
        </row>
        <row r="41">
          <cell r="A41" t="str">
            <v/>
          </cell>
          <cell r="C41" t="str">
            <v>'Photos of Minerals'!$B$41</v>
          </cell>
        </row>
        <row r="42">
          <cell r="A42" t="str">
            <v/>
          </cell>
          <cell r="C42" t="str">
            <v>'Photos of Minerals'!$B$42</v>
          </cell>
        </row>
        <row r="43">
          <cell r="A43" t="str">
            <v/>
          </cell>
          <cell r="C43" t="str">
            <v>'Photos of Minerals'!$B$43</v>
          </cell>
        </row>
        <row r="44">
          <cell r="A44" t="str">
            <v/>
          </cell>
          <cell r="C44" t="str">
            <v>'Photos of Minerals'!$B$44</v>
          </cell>
        </row>
        <row r="45">
          <cell r="A45" t="str">
            <v/>
          </cell>
          <cell r="C45" t="str">
            <v>'Photos of Minerals'!$B$45</v>
          </cell>
        </row>
        <row r="46">
          <cell r="A46" t="str">
            <v/>
          </cell>
          <cell r="C46" t="str">
            <v>'Photos of Minerals'!$B$46</v>
          </cell>
        </row>
        <row r="47">
          <cell r="A47" t="str">
            <v/>
          </cell>
          <cell r="C47" t="str">
            <v>'Photos of Minerals'!$B$47</v>
          </cell>
        </row>
        <row r="48">
          <cell r="A48" t="str">
            <v/>
          </cell>
          <cell r="C48" t="str">
            <v>'Photos of Minerals'!$B$48</v>
          </cell>
        </row>
        <row r="49">
          <cell r="A49" t="str">
            <v/>
          </cell>
          <cell r="C49" t="str">
            <v>'Photos of Minerals'!$B$49</v>
          </cell>
        </row>
        <row r="50">
          <cell r="A50" t="str">
            <v/>
          </cell>
          <cell r="C50" t="str">
            <v>'Photos of Minerals'!$B$50</v>
          </cell>
        </row>
        <row r="51">
          <cell r="A51" t="str">
            <v/>
          </cell>
          <cell r="C51" t="str">
            <v>'Photos of Minerals'!$B$51</v>
          </cell>
        </row>
        <row r="52">
          <cell r="A52" t="str">
            <v/>
          </cell>
          <cell r="C52" t="str">
            <v>'Photos of Minerals'!$B$52</v>
          </cell>
        </row>
        <row r="53">
          <cell r="A53" t="str">
            <v/>
          </cell>
          <cell r="C53" t="str">
            <v>'Photos of Minerals'!$B$53</v>
          </cell>
        </row>
        <row r="54">
          <cell r="A54" t="str">
            <v/>
          </cell>
          <cell r="C54" t="str">
            <v>'Photos of Minerals'!$B$54</v>
          </cell>
        </row>
        <row r="55">
          <cell r="A55" t="str">
            <v/>
          </cell>
          <cell r="C55" t="str">
            <v>'Photos of Minerals'!$B$55</v>
          </cell>
        </row>
        <row r="56">
          <cell r="A56" t="str">
            <v/>
          </cell>
          <cell r="C56" t="str">
            <v>'Photos of Minerals'!$B$56</v>
          </cell>
        </row>
        <row r="57">
          <cell r="A57" t="str">
            <v/>
          </cell>
          <cell r="C57" t="str">
            <v>'Photos of Minerals'!$B$57</v>
          </cell>
        </row>
        <row r="58">
          <cell r="A58" t="str">
            <v/>
          </cell>
          <cell r="C58" t="str">
            <v>'Photos of Minerals'!$B$58</v>
          </cell>
        </row>
        <row r="59">
          <cell r="A59" t="str">
            <v/>
          </cell>
          <cell r="C59" t="str">
            <v>'Photos of Minerals'!$B$59</v>
          </cell>
        </row>
        <row r="60">
          <cell r="A60" t="str">
            <v/>
          </cell>
          <cell r="C60" t="str">
            <v>'Photos of Minerals'!$B$60</v>
          </cell>
        </row>
        <row r="61">
          <cell r="A61" t="str">
            <v/>
          </cell>
          <cell r="C61" t="str">
            <v>'Photos of Minerals'!$B$61</v>
          </cell>
        </row>
        <row r="62">
          <cell r="A62" t="str">
            <v/>
          </cell>
          <cell r="C62" t="str">
            <v>'Photos of Minerals'!$B$62</v>
          </cell>
        </row>
        <row r="63">
          <cell r="A63" t="str">
            <v/>
          </cell>
          <cell r="C63" t="str">
            <v>'Photos of Minerals'!$B$63</v>
          </cell>
        </row>
        <row r="64">
          <cell r="A64" t="str">
            <v/>
          </cell>
          <cell r="C64" t="str">
            <v>'Photos of Minerals'!$B$64</v>
          </cell>
        </row>
        <row r="65">
          <cell r="A65" t="str">
            <v/>
          </cell>
          <cell r="C65" t="str">
            <v>'Photos of Minerals'!$B$65</v>
          </cell>
        </row>
        <row r="66">
          <cell r="A66" t="str">
            <v/>
          </cell>
          <cell r="C66" t="str">
            <v>'Photos of Minerals'!$B$66</v>
          </cell>
        </row>
        <row r="67">
          <cell r="A67" t="str">
            <v/>
          </cell>
          <cell r="C67" t="str">
            <v>'Photos of Minerals'!$B$67</v>
          </cell>
        </row>
        <row r="68">
          <cell r="A68" t="str">
            <v/>
          </cell>
          <cell r="C68" t="str">
            <v>'Photos of Minerals'!$B$68</v>
          </cell>
        </row>
        <row r="69">
          <cell r="A69" t="str">
            <v/>
          </cell>
          <cell r="C69" t="str">
            <v>'Photos of Minerals'!$B$69</v>
          </cell>
        </row>
        <row r="70">
          <cell r="A70" t="str">
            <v/>
          </cell>
          <cell r="C70" t="str">
            <v>'Photos of Minerals'!$B$70</v>
          </cell>
        </row>
        <row r="71">
          <cell r="A71" t="str">
            <v/>
          </cell>
          <cell r="C71" t="str">
            <v>'Photos of Minerals'!$B$71</v>
          </cell>
        </row>
        <row r="72">
          <cell r="A72" t="str">
            <v/>
          </cell>
          <cell r="C72" t="str">
            <v>'Photos of Minerals'!$B$72</v>
          </cell>
        </row>
        <row r="73">
          <cell r="A73" t="str">
            <v/>
          </cell>
          <cell r="C73" t="str">
            <v>'Photos of Minerals'!$B$73</v>
          </cell>
        </row>
        <row r="74">
          <cell r="A74" t="str">
            <v/>
          </cell>
          <cell r="C74" t="str">
            <v>'Photos of Minerals'!$B$74</v>
          </cell>
        </row>
        <row r="75">
          <cell r="A75" t="str">
            <v/>
          </cell>
          <cell r="C75" t="str">
            <v>'Photos of Minerals'!$B$75</v>
          </cell>
        </row>
        <row r="76">
          <cell r="A76" t="str">
            <v/>
          </cell>
          <cell r="C76" t="str">
            <v>'Photos of Minerals'!$B$76</v>
          </cell>
        </row>
        <row r="77">
          <cell r="A77" t="str">
            <v/>
          </cell>
          <cell r="C77" t="str">
            <v>'Photos of Minerals'!$B$77</v>
          </cell>
        </row>
        <row r="78">
          <cell r="A78" t="str">
            <v/>
          </cell>
          <cell r="C78" t="str">
            <v>'Photos of Minerals'!$B$78</v>
          </cell>
        </row>
        <row r="79">
          <cell r="A79" t="str">
            <v/>
          </cell>
          <cell r="C79" t="str">
            <v>'Photos of Minerals'!$B$79</v>
          </cell>
        </row>
        <row r="80">
          <cell r="A80" t="str">
            <v/>
          </cell>
          <cell r="C80" t="str">
            <v>'Photos of Minerals'!$B$80</v>
          </cell>
        </row>
        <row r="81">
          <cell r="A81" t="str">
            <v/>
          </cell>
          <cell r="C81" t="str">
            <v>'Photos of Minerals'!$B$81</v>
          </cell>
        </row>
        <row r="82">
          <cell r="A82" t="str">
            <v/>
          </cell>
          <cell r="C82" t="str">
            <v>'Photos of Minerals'!$B$82</v>
          </cell>
        </row>
        <row r="83">
          <cell r="A83" t="str">
            <v/>
          </cell>
          <cell r="C83" t="str">
            <v>'Photos of Minerals'!$B$83</v>
          </cell>
        </row>
        <row r="84">
          <cell r="A84" t="str">
            <v/>
          </cell>
          <cell r="C84" t="str">
            <v>'Photos of Minerals'!$B$84</v>
          </cell>
        </row>
        <row r="85">
          <cell r="A85" t="str">
            <v/>
          </cell>
          <cell r="C85" t="str">
            <v>'Photos of Minerals'!$B$85</v>
          </cell>
        </row>
        <row r="86">
          <cell r="A86" t="str">
            <v/>
          </cell>
          <cell r="C86" t="str">
            <v>'Photos of Minerals'!$B$86</v>
          </cell>
        </row>
        <row r="87">
          <cell r="A87" t="str">
            <v/>
          </cell>
          <cell r="C87" t="str">
            <v>'Photos of Minerals'!$B$87</v>
          </cell>
        </row>
        <row r="88">
          <cell r="A88" t="str">
            <v/>
          </cell>
          <cell r="C88" t="str">
            <v>'Photos of Minerals'!$B$88</v>
          </cell>
        </row>
        <row r="89">
          <cell r="A89" t="str">
            <v/>
          </cell>
          <cell r="C89" t="str">
            <v>'Photos of Minerals'!$B$89</v>
          </cell>
        </row>
        <row r="90">
          <cell r="A90" t="str">
            <v/>
          </cell>
          <cell r="C90" t="str">
            <v>'Photos of Minerals'!$B$90</v>
          </cell>
        </row>
        <row r="91">
          <cell r="A91" t="str">
            <v/>
          </cell>
          <cell r="C91" t="str">
            <v>'Photos of Minerals'!$B$91</v>
          </cell>
        </row>
        <row r="92">
          <cell r="A92" t="str">
            <v/>
          </cell>
          <cell r="C92" t="str">
            <v>'Photos of Minerals'!$B$92</v>
          </cell>
        </row>
        <row r="93">
          <cell r="A93" t="str">
            <v/>
          </cell>
          <cell r="C93" t="str">
            <v>'Photos of Minerals'!$B$93</v>
          </cell>
        </row>
        <row r="94">
          <cell r="A94" t="str">
            <v/>
          </cell>
          <cell r="C94" t="str">
            <v>'Photos of Minerals'!$B$94</v>
          </cell>
        </row>
        <row r="95">
          <cell r="A95" t="str">
            <v/>
          </cell>
          <cell r="C95" t="str">
            <v>'Photos of Minerals'!$B$95</v>
          </cell>
        </row>
        <row r="96">
          <cell r="A96" t="str">
            <v/>
          </cell>
          <cell r="C96" t="str">
            <v>'Photos of Minerals'!$B$96</v>
          </cell>
        </row>
        <row r="97">
          <cell r="A97" t="str">
            <v/>
          </cell>
          <cell r="C97" t="str">
            <v>'Photos of Minerals'!$B$97</v>
          </cell>
        </row>
        <row r="98">
          <cell r="A98" t="str">
            <v/>
          </cell>
          <cell r="C98" t="str">
            <v>'Photos of Minerals'!$B$98</v>
          </cell>
        </row>
        <row r="99">
          <cell r="A99" t="str">
            <v/>
          </cell>
          <cell r="C99" t="str">
            <v>'Photos of Minerals'!$B$99</v>
          </cell>
        </row>
        <row r="100">
          <cell r="A100" t="str">
            <v/>
          </cell>
          <cell r="C100" t="str">
            <v>'Photos of Minerals'!$B$100</v>
          </cell>
        </row>
        <row r="101">
          <cell r="A101" t="str">
            <v/>
          </cell>
          <cell r="C101" t="str">
            <v>'Photos of Minerals'!$B$101</v>
          </cell>
        </row>
        <row r="102">
          <cell r="A102" t="str">
            <v/>
          </cell>
          <cell r="C102" t="str">
            <v>'Photos of Minerals'!$B$102</v>
          </cell>
        </row>
        <row r="103">
          <cell r="A103" t="str">
            <v/>
          </cell>
          <cell r="C103" t="str">
            <v>'Photos of Minerals'!$B$103</v>
          </cell>
        </row>
        <row r="104">
          <cell r="A104" t="str">
            <v/>
          </cell>
          <cell r="C104" t="str">
            <v>'Photos of Minerals'!$B$104</v>
          </cell>
        </row>
        <row r="105">
          <cell r="A105" t="str">
            <v/>
          </cell>
          <cell r="C105" t="str">
            <v>'Photos of Minerals'!$B$105</v>
          </cell>
        </row>
        <row r="106">
          <cell r="A106" t="str">
            <v/>
          </cell>
          <cell r="C106" t="str">
            <v>'Photos of Minerals'!$B$106</v>
          </cell>
        </row>
        <row r="107">
          <cell r="A107" t="str">
            <v/>
          </cell>
          <cell r="C107" t="str">
            <v>'Photos of Minerals'!$B$107</v>
          </cell>
        </row>
        <row r="108">
          <cell r="A108" t="str">
            <v/>
          </cell>
          <cell r="C108" t="str">
            <v>'Photos of Minerals'!$B$108</v>
          </cell>
        </row>
        <row r="109">
          <cell r="A109" t="str">
            <v/>
          </cell>
          <cell r="C109" t="str">
            <v>'Photos of Minerals'!$B$109</v>
          </cell>
        </row>
        <row r="110">
          <cell r="A110" t="str">
            <v/>
          </cell>
          <cell r="C110" t="str">
            <v>'Photos of Minerals'!$B$110</v>
          </cell>
        </row>
        <row r="111">
          <cell r="A111" t="str">
            <v/>
          </cell>
          <cell r="C111" t="str">
            <v>'Photos of Minerals'!$B$111</v>
          </cell>
        </row>
        <row r="112">
          <cell r="A112" t="str">
            <v/>
          </cell>
          <cell r="C112" t="str">
            <v>'Photos of Minerals'!$B$112</v>
          </cell>
        </row>
        <row r="113">
          <cell r="A113" t="str">
            <v/>
          </cell>
          <cell r="C113" t="str">
            <v>'Photos of Minerals'!$B$113</v>
          </cell>
        </row>
        <row r="114">
          <cell r="A114" t="str">
            <v/>
          </cell>
          <cell r="C114" t="str">
            <v>'Photos of Minerals'!$B$114</v>
          </cell>
        </row>
        <row r="115">
          <cell r="A115" t="str">
            <v/>
          </cell>
          <cell r="C115" t="str">
            <v>'Photos of Minerals'!$B$115</v>
          </cell>
        </row>
        <row r="116">
          <cell r="A116" t="str">
            <v/>
          </cell>
          <cell r="C116" t="str">
            <v>'Photos of Minerals'!$B$116</v>
          </cell>
        </row>
        <row r="117">
          <cell r="A117" t="str">
            <v/>
          </cell>
          <cell r="C117" t="str">
            <v>'Photos of Minerals'!$B$117</v>
          </cell>
        </row>
        <row r="118">
          <cell r="A118" t="str">
            <v/>
          </cell>
          <cell r="C118" t="str">
            <v>'Photos of Minerals'!$B$118</v>
          </cell>
        </row>
        <row r="119">
          <cell r="A119" t="str">
            <v/>
          </cell>
          <cell r="C119" t="str">
            <v>'Photos of Minerals'!$B$119</v>
          </cell>
        </row>
        <row r="120">
          <cell r="A120" t="str">
            <v/>
          </cell>
          <cell r="C120" t="str">
            <v>'Photos of Minerals'!$B$120</v>
          </cell>
        </row>
        <row r="121">
          <cell r="A121" t="str">
            <v/>
          </cell>
          <cell r="C121" t="str">
            <v>'Photos of Minerals'!$B$121</v>
          </cell>
        </row>
        <row r="122">
          <cell r="A122" t="str">
            <v/>
          </cell>
          <cell r="C122" t="str">
            <v>'Photos of Minerals'!$B$122</v>
          </cell>
        </row>
        <row r="123">
          <cell r="A123" t="str">
            <v/>
          </cell>
          <cell r="C123" t="str">
            <v>'Photos of Minerals'!$B$123</v>
          </cell>
        </row>
        <row r="124">
          <cell r="A124" t="str">
            <v/>
          </cell>
          <cell r="C124" t="str">
            <v>'Photos of Minerals'!$B$124</v>
          </cell>
        </row>
        <row r="125">
          <cell r="A125" t="str">
            <v/>
          </cell>
          <cell r="C125" t="str">
            <v>'Photos of Minerals'!$B$125</v>
          </cell>
        </row>
        <row r="126">
          <cell r="A126" t="str">
            <v/>
          </cell>
          <cell r="C126" t="str">
            <v>'Photos of Minerals'!$B$126</v>
          </cell>
        </row>
        <row r="127">
          <cell r="A127" t="str">
            <v/>
          </cell>
          <cell r="C127" t="str">
            <v>'Photos of Minerals'!$B$127</v>
          </cell>
        </row>
        <row r="128">
          <cell r="A128" t="str">
            <v/>
          </cell>
          <cell r="C128" t="str">
            <v>'Photos of Minerals'!$B$128</v>
          </cell>
        </row>
        <row r="129">
          <cell r="A129" t="str">
            <v/>
          </cell>
          <cell r="C129" t="str">
            <v>'Photos of Minerals'!$B$129</v>
          </cell>
        </row>
        <row r="130">
          <cell r="A130" t="str">
            <v/>
          </cell>
          <cell r="C130" t="str">
            <v>'Photos of Minerals'!$B$130</v>
          </cell>
        </row>
        <row r="131">
          <cell r="A131" t="str">
            <v/>
          </cell>
          <cell r="C131" t="str">
            <v>'Photos of Minerals'!$B$131</v>
          </cell>
        </row>
        <row r="132">
          <cell r="A132" t="str">
            <v/>
          </cell>
          <cell r="C132" t="str">
            <v>'Photos of Minerals'!$B$132</v>
          </cell>
        </row>
        <row r="133">
          <cell r="A133" t="str">
            <v/>
          </cell>
          <cell r="C133" t="str">
            <v>'Photos of Minerals'!$B$133</v>
          </cell>
        </row>
        <row r="134">
          <cell r="A134" t="str">
            <v/>
          </cell>
          <cell r="C134" t="str">
            <v>'Photos of Minerals'!$B$134</v>
          </cell>
        </row>
        <row r="135">
          <cell r="A135" t="str">
            <v/>
          </cell>
          <cell r="C135" t="str">
            <v>'Photos of Minerals'!$B$135</v>
          </cell>
        </row>
        <row r="136">
          <cell r="A136" t="str">
            <v/>
          </cell>
          <cell r="C136" t="str">
            <v>'Photos of Minerals'!$B$136</v>
          </cell>
        </row>
        <row r="137">
          <cell r="A137" t="str">
            <v/>
          </cell>
          <cell r="C137" t="str">
            <v>'Photos of Minerals'!$B$137</v>
          </cell>
        </row>
        <row r="138">
          <cell r="A138" t="str">
            <v/>
          </cell>
          <cell r="C138" t="str">
            <v>'Photos of Minerals'!$B$138</v>
          </cell>
        </row>
        <row r="139">
          <cell r="A139" t="str">
            <v/>
          </cell>
          <cell r="C139" t="str">
            <v>'Photos of Minerals'!$B$139</v>
          </cell>
        </row>
        <row r="140">
          <cell r="A140" t="str">
            <v/>
          </cell>
          <cell r="C140" t="str">
            <v>'Photos of Minerals'!$B$140</v>
          </cell>
        </row>
        <row r="141">
          <cell r="A141" t="str">
            <v/>
          </cell>
          <cell r="C141" t="str">
            <v>'Photos of Minerals'!$B$141</v>
          </cell>
        </row>
        <row r="142">
          <cell r="A142" t="str">
            <v/>
          </cell>
          <cell r="C142" t="str">
            <v>'Photos of Minerals'!$B$142</v>
          </cell>
        </row>
        <row r="143">
          <cell r="A143" t="str">
            <v/>
          </cell>
          <cell r="C143" t="str">
            <v>'Photos of Minerals'!$B$143</v>
          </cell>
        </row>
        <row r="144">
          <cell r="A144" t="str">
            <v/>
          </cell>
          <cell r="C144" t="str">
            <v>'Photos of Minerals'!$B$144</v>
          </cell>
        </row>
        <row r="145">
          <cell r="A145" t="str">
            <v/>
          </cell>
          <cell r="C145" t="str">
            <v>'Photos of Minerals'!$B$145</v>
          </cell>
        </row>
        <row r="146">
          <cell r="A146" t="str">
            <v/>
          </cell>
          <cell r="C146" t="str">
            <v>'Photos of Minerals'!$B$146</v>
          </cell>
        </row>
        <row r="147">
          <cell r="A147" t="str">
            <v/>
          </cell>
          <cell r="C147" t="str">
            <v>'Photos of Minerals'!$B$147</v>
          </cell>
        </row>
        <row r="148">
          <cell r="A148" t="str">
            <v/>
          </cell>
          <cell r="C148" t="str">
            <v>'Photos of Minerals'!$B$148</v>
          </cell>
        </row>
        <row r="149">
          <cell r="A149" t="str">
            <v/>
          </cell>
          <cell r="C149" t="str">
            <v>'Photos of Minerals'!$B$149</v>
          </cell>
        </row>
        <row r="150">
          <cell r="A150" t="str">
            <v/>
          </cell>
          <cell r="C150" t="str">
            <v>'Photos of Minerals'!$B$150</v>
          </cell>
        </row>
        <row r="151">
          <cell r="A151" t="str">
            <v/>
          </cell>
          <cell r="C151" t="str">
            <v>'Photos of Minerals'!$B$151</v>
          </cell>
        </row>
        <row r="152">
          <cell r="A152" t="str">
            <v/>
          </cell>
          <cell r="C152" t="str">
            <v>'Photos of Minerals'!$B$152</v>
          </cell>
        </row>
        <row r="153">
          <cell r="A153" t="str">
            <v/>
          </cell>
          <cell r="C153" t="str">
            <v>'Photos of Minerals'!$B$153</v>
          </cell>
        </row>
        <row r="154">
          <cell r="A154" t="str">
            <v/>
          </cell>
          <cell r="C154" t="str">
            <v>'Photos of Minerals'!$B$154</v>
          </cell>
        </row>
        <row r="155">
          <cell r="A155" t="str">
            <v/>
          </cell>
          <cell r="C155" t="str">
            <v>'Photos of Minerals'!$B$155</v>
          </cell>
        </row>
        <row r="156">
          <cell r="A156" t="str">
            <v/>
          </cell>
          <cell r="C156" t="str">
            <v>'Photos of Minerals'!$B$156</v>
          </cell>
        </row>
        <row r="157">
          <cell r="A157" t="str">
            <v/>
          </cell>
          <cell r="C157" t="str">
            <v>'Photos of Minerals'!$B$157</v>
          </cell>
        </row>
        <row r="158">
          <cell r="A158" t="str">
            <v/>
          </cell>
          <cell r="C158" t="str">
            <v>'Photos of Minerals'!$B$158</v>
          </cell>
        </row>
        <row r="159">
          <cell r="A159" t="str">
            <v/>
          </cell>
          <cell r="C159" t="str">
            <v>'Photos of Minerals'!$B$159</v>
          </cell>
        </row>
        <row r="160">
          <cell r="A160" t="str">
            <v/>
          </cell>
          <cell r="C160" t="str">
            <v>'Photos of Minerals'!$B$160</v>
          </cell>
        </row>
        <row r="161">
          <cell r="A161" t="str">
            <v/>
          </cell>
          <cell r="C161" t="str">
            <v>'Photos of Minerals'!$B$161</v>
          </cell>
        </row>
        <row r="162">
          <cell r="A162" t="str">
            <v/>
          </cell>
          <cell r="C162" t="str">
            <v>'Photos of Minerals'!$B$162</v>
          </cell>
        </row>
        <row r="163">
          <cell r="A163" t="str">
            <v/>
          </cell>
          <cell r="C163" t="str">
            <v>'Photos of Minerals'!$B$163</v>
          </cell>
        </row>
        <row r="164">
          <cell r="A164" t="str">
            <v/>
          </cell>
          <cell r="C164" t="str">
            <v>'Photos of Minerals'!$B$164</v>
          </cell>
        </row>
        <row r="165">
          <cell r="A165" t="str">
            <v/>
          </cell>
          <cell r="C165" t="str">
            <v>'Photos of Minerals'!$B$165</v>
          </cell>
        </row>
        <row r="166">
          <cell r="A166" t="str">
            <v/>
          </cell>
          <cell r="C166" t="str">
            <v>'Photos of Minerals'!$B$166</v>
          </cell>
        </row>
        <row r="167">
          <cell r="A167" t="str">
            <v/>
          </cell>
          <cell r="C167" t="str">
            <v>'Photos of Minerals'!$B$167</v>
          </cell>
        </row>
        <row r="168">
          <cell r="A168" t="str">
            <v/>
          </cell>
          <cell r="C168" t="str">
            <v>'Photos of Minerals'!$B$168</v>
          </cell>
        </row>
        <row r="169">
          <cell r="A169" t="str">
            <v/>
          </cell>
          <cell r="C169" t="str">
            <v>'Photos of Minerals'!$B$169</v>
          </cell>
        </row>
        <row r="170">
          <cell r="A170" t="str">
            <v/>
          </cell>
          <cell r="C170" t="str">
            <v>'Photos of Minerals'!$B$170</v>
          </cell>
        </row>
        <row r="171">
          <cell r="A171" t="str">
            <v/>
          </cell>
          <cell r="C171" t="str">
            <v>'Photos of Minerals'!$B$171</v>
          </cell>
        </row>
        <row r="172">
          <cell r="A172" t="str">
            <v/>
          </cell>
          <cell r="C172" t="str">
            <v>'Photos of Minerals'!$B$172</v>
          </cell>
        </row>
        <row r="173">
          <cell r="A173" t="str">
            <v/>
          </cell>
          <cell r="C173" t="str">
            <v>'Photos of Minerals'!$B$173</v>
          </cell>
        </row>
        <row r="174">
          <cell r="A174" t="str">
            <v/>
          </cell>
          <cell r="C174" t="str">
            <v>'Photos of Minerals'!$B$174</v>
          </cell>
        </row>
        <row r="175">
          <cell r="A175" t="str">
            <v/>
          </cell>
          <cell r="C175" t="str">
            <v>'Photos of Minerals'!$B$175</v>
          </cell>
        </row>
        <row r="176">
          <cell r="A176" t="str">
            <v/>
          </cell>
          <cell r="C176" t="str">
            <v>'Photos of Minerals'!$B$176</v>
          </cell>
        </row>
        <row r="177">
          <cell r="A177" t="str">
            <v/>
          </cell>
          <cell r="C177" t="str">
            <v>'Photos of Minerals'!$B$177</v>
          </cell>
        </row>
        <row r="178">
          <cell r="A178" t="str">
            <v/>
          </cell>
          <cell r="C178" t="str">
            <v>'Photos of Minerals'!$B$178</v>
          </cell>
        </row>
        <row r="179">
          <cell r="A179" t="str">
            <v/>
          </cell>
          <cell r="C179" t="str">
            <v>'Photos of Minerals'!$B$179</v>
          </cell>
        </row>
        <row r="180">
          <cell r="A180" t="str">
            <v/>
          </cell>
          <cell r="C180" t="str">
            <v>'Photos of Minerals'!$B$180</v>
          </cell>
        </row>
        <row r="181">
          <cell r="A181" t="str">
            <v/>
          </cell>
          <cell r="C181" t="str">
            <v>'Photos of Minerals'!$B$181</v>
          </cell>
        </row>
        <row r="182">
          <cell r="A182" t="str">
            <v/>
          </cell>
          <cell r="C182" t="str">
            <v>'Photos of Minerals'!$B$182</v>
          </cell>
        </row>
        <row r="183">
          <cell r="A183" t="str">
            <v/>
          </cell>
          <cell r="C183" t="str">
            <v>'Photos of Minerals'!$B$183</v>
          </cell>
        </row>
        <row r="184">
          <cell r="A184" t="str">
            <v/>
          </cell>
          <cell r="C184" t="str">
            <v>'Photos of Minerals'!$B$184</v>
          </cell>
        </row>
        <row r="185">
          <cell r="A185" t="str">
            <v/>
          </cell>
          <cell r="C185" t="str">
            <v>'Photos of Minerals'!$B$185</v>
          </cell>
        </row>
        <row r="186">
          <cell r="A186" t="str">
            <v/>
          </cell>
          <cell r="C186" t="str">
            <v>'Photos of Minerals'!$B$186</v>
          </cell>
        </row>
        <row r="187">
          <cell r="A187" t="str">
            <v/>
          </cell>
          <cell r="C187" t="str">
            <v>'Photos of Minerals'!$B$187</v>
          </cell>
        </row>
        <row r="188">
          <cell r="A188" t="str">
            <v/>
          </cell>
          <cell r="C188" t="str">
            <v>'Photos of Minerals'!$B$188</v>
          </cell>
        </row>
        <row r="189">
          <cell r="A189" t="str">
            <v/>
          </cell>
          <cell r="C189" t="str">
            <v>'Photos of Minerals'!$B$189</v>
          </cell>
        </row>
        <row r="190">
          <cell r="A190" t="str">
            <v/>
          </cell>
          <cell r="C190" t="str">
            <v>'Photos of Minerals'!$B$190</v>
          </cell>
        </row>
        <row r="191">
          <cell r="A191" t="str">
            <v/>
          </cell>
          <cell r="C191" t="str">
            <v>'Photos of Minerals'!$B$191</v>
          </cell>
        </row>
        <row r="192">
          <cell r="A192" t="str">
            <v/>
          </cell>
          <cell r="C192" t="str">
            <v>'Photos of Minerals'!$B$192</v>
          </cell>
        </row>
        <row r="193">
          <cell r="A193" t="str">
            <v/>
          </cell>
          <cell r="C193" t="str">
            <v>'Photos of Minerals'!$B$193</v>
          </cell>
        </row>
        <row r="194">
          <cell r="A194" t="str">
            <v/>
          </cell>
          <cell r="C194" t="str">
            <v>'Photos of Minerals'!$B$194</v>
          </cell>
        </row>
        <row r="195">
          <cell r="A195" t="str">
            <v/>
          </cell>
          <cell r="C195" t="str">
            <v>'Photos of Minerals'!$B$195</v>
          </cell>
        </row>
        <row r="196">
          <cell r="A196" t="str">
            <v/>
          </cell>
          <cell r="C196" t="str">
            <v>'Photos of Minerals'!$B$196</v>
          </cell>
        </row>
        <row r="197">
          <cell r="A197" t="str">
            <v/>
          </cell>
          <cell r="C197" t="str">
            <v>'Photos of Minerals'!$B$197</v>
          </cell>
        </row>
        <row r="198">
          <cell r="A198" t="str">
            <v/>
          </cell>
          <cell r="C198" t="str">
            <v>'Photos of Minerals'!$B$198</v>
          </cell>
        </row>
        <row r="199">
          <cell r="A199" t="str">
            <v/>
          </cell>
          <cell r="C199" t="str">
            <v>'Photos of Minerals'!$B$199</v>
          </cell>
        </row>
        <row r="200">
          <cell r="A200" t="str">
            <v/>
          </cell>
          <cell r="C200" t="str">
            <v>'Photos of Minerals'!$B$200</v>
          </cell>
        </row>
        <row r="201">
          <cell r="A201" t="str">
            <v/>
          </cell>
          <cell r="C201" t="str">
            <v>'Photos of Minerals'!$B$201</v>
          </cell>
        </row>
        <row r="202">
          <cell r="A202" t="str">
            <v/>
          </cell>
          <cell r="C202" t="str">
            <v>'Photos of Minerals'!$B$202</v>
          </cell>
        </row>
        <row r="203">
          <cell r="A203" t="str">
            <v/>
          </cell>
          <cell r="C203" t="str">
            <v>'Photos of Minerals'!$B$203</v>
          </cell>
        </row>
        <row r="204">
          <cell r="A204" t="str">
            <v/>
          </cell>
          <cell r="C204" t="str">
            <v>'Photos of Minerals'!$B$204</v>
          </cell>
        </row>
        <row r="205">
          <cell r="A205" t="str">
            <v/>
          </cell>
          <cell r="C205" t="str">
            <v>'Photos of Minerals'!$B$205</v>
          </cell>
        </row>
        <row r="206">
          <cell r="A206" t="str">
            <v/>
          </cell>
          <cell r="C206" t="str">
            <v>'Photos of Minerals'!$B$206</v>
          </cell>
        </row>
        <row r="207">
          <cell r="A207" t="str">
            <v/>
          </cell>
          <cell r="C207" t="str">
            <v>'Photos of Minerals'!$B$207</v>
          </cell>
        </row>
        <row r="208">
          <cell r="A208" t="str">
            <v/>
          </cell>
          <cell r="C208" t="str">
            <v>'Photos of Minerals'!$B$208</v>
          </cell>
        </row>
        <row r="209">
          <cell r="A209" t="str">
            <v/>
          </cell>
          <cell r="C209" t="str">
            <v>'Photos of Minerals'!$B$209</v>
          </cell>
        </row>
        <row r="210">
          <cell r="A210" t="str">
            <v/>
          </cell>
          <cell r="C210" t="str">
            <v>'Photos of Minerals'!$B$210</v>
          </cell>
        </row>
        <row r="211">
          <cell r="A211" t="str">
            <v/>
          </cell>
          <cell r="C211" t="str">
            <v>'Photos of Minerals'!$B$211</v>
          </cell>
        </row>
        <row r="212">
          <cell r="A212" t="str">
            <v/>
          </cell>
          <cell r="C212" t="str">
            <v>'Photos of Minerals'!$B$212</v>
          </cell>
        </row>
        <row r="213">
          <cell r="A213" t="str">
            <v/>
          </cell>
          <cell r="C213" t="str">
            <v>'Photos of Minerals'!$B$213</v>
          </cell>
        </row>
        <row r="214">
          <cell r="A214" t="str">
            <v/>
          </cell>
          <cell r="C214" t="str">
            <v>'Photos of Minerals'!$B$214</v>
          </cell>
        </row>
        <row r="215">
          <cell r="A215" t="str">
            <v/>
          </cell>
          <cell r="C215" t="str">
            <v>'Photos of Minerals'!$B$215</v>
          </cell>
        </row>
        <row r="216">
          <cell r="A216" t="str">
            <v/>
          </cell>
          <cell r="C216" t="str">
            <v>'Photos of Minerals'!$B$216</v>
          </cell>
        </row>
        <row r="217">
          <cell r="A217" t="str">
            <v/>
          </cell>
          <cell r="C217" t="str">
            <v>'Photos of Minerals'!$B$217</v>
          </cell>
        </row>
        <row r="218">
          <cell r="A218" t="str">
            <v/>
          </cell>
          <cell r="C218" t="str">
            <v>'Photos of Minerals'!$B$218</v>
          </cell>
        </row>
        <row r="219">
          <cell r="A219" t="str">
            <v/>
          </cell>
          <cell r="C219" t="str">
            <v>'Photos of Minerals'!$B$219</v>
          </cell>
        </row>
        <row r="220">
          <cell r="A220" t="str">
            <v/>
          </cell>
          <cell r="C220" t="str">
            <v>'Photos of Minerals'!$B$220</v>
          </cell>
        </row>
        <row r="221">
          <cell r="A221" t="str">
            <v/>
          </cell>
          <cell r="C221" t="str">
            <v>'Photos of Minerals'!$B$221</v>
          </cell>
        </row>
        <row r="222">
          <cell r="A222" t="str">
            <v/>
          </cell>
          <cell r="C222" t="str">
            <v>'Photos of Minerals'!$B$222</v>
          </cell>
        </row>
        <row r="223">
          <cell r="A223" t="str">
            <v/>
          </cell>
          <cell r="C223" t="str">
            <v>'Photos of Minerals'!$B$223</v>
          </cell>
        </row>
        <row r="224">
          <cell r="A224" t="str">
            <v/>
          </cell>
          <cell r="C224" t="str">
            <v>'Photos of Minerals'!$B$224</v>
          </cell>
        </row>
        <row r="225">
          <cell r="A225" t="str">
            <v/>
          </cell>
          <cell r="C225" t="str">
            <v>'Photos of Minerals'!$B$225</v>
          </cell>
        </row>
        <row r="226">
          <cell r="A226" t="str">
            <v/>
          </cell>
          <cell r="C226" t="str">
            <v>'Photos of Minerals'!$B$226</v>
          </cell>
        </row>
        <row r="227">
          <cell r="A227" t="str">
            <v/>
          </cell>
          <cell r="C227" t="str">
            <v>'Photos of Minerals'!$B$227</v>
          </cell>
        </row>
        <row r="228">
          <cell r="A228" t="str">
            <v/>
          </cell>
          <cell r="C228" t="str">
            <v>'Photos of Minerals'!$B$228</v>
          </cell>
        </row>
        <row r="229">
          <cell r="A229" t="str">
            <v/>
          </cell>
          <cell r="C229" t="str">
            <v>'Photos of Minerals'!$B$229</v>
          </cell>
        </row>
        <row r="230">
          <cell r="A230" t="str">
            <v/>
          </cell>
          <cell r="C230" t="str">
            <v>'Photos of Minerals'!$B$230</v>
          </cell>
        </row>
        <row r="231">
          <cell r="A231" t="str">
            <v/>
          </cell>
          <cell r="C231" t="str">
            <v>'Photos of Minerals'!$B$231</v>
          </cell>
        </row>
        <row r="232">
          <cell r="A232" t="str">
            <v/>
          </cell>
          <cell r="C232" t="str">
            <v>'Photos of Minerals'!$B$232</v>
          </cell>
        </row>
        <row r="233">
          <cell r="A233" t="str">
            <v/>
          </cell>
          <cell r="C233" t="str">
            <v>'Photos of Minerals'!$B$233</v>
          </cell>
        </row>
        <row r="234">
          <cell r="A234" t="str">
            <v/>
          </cell>
          <cell r="C234" t="str">
            <v>'Photos of Minerals'!$B$234</v>
          </cell>
        </row>
        <row r="235">
          <cell r="A235" t="str">
            <v/>
          </cell>
          <cell r="C235" t="str">
            <v>'Photos of Minerals'!$B$235</v>
          </cell>
        </row>
        <row r="236">
          <cell r="A236" t="str">
            <v/>
          </cell>
          <cell r="C236" t="str">
            <v>'Photos of Minerals'!$B$236</v>
          </cell>
        </row>
        <row r="237">
          <cell r="A237" t="str">
            <v/>
          </cell>
          <cell r="C237" t="str">
            <v>'Photos of Minerals'!$B$237</v>
          </cell>
        </row>
        <row r="238">
          <cell r="A238" t="str">
            <v/>
          </cell>
          <cell r="C238" t="str">
            <v>'Photos of Minerals'!$B$238</v>
          </cell>
        </row>
        <row r="239">
          <cell r="A239" t="str">
            <v/>
          </cell>
          <cell r="C239" t="str">
            <v>'Photos of Minerals'!$B$239</v>
          </cell>
        </row>
        <row r="240">
          <cell r="A240" t="str">
            <v/>
          </cell>
          <cell r="C240" t="str">
            <v>'Photos of Minerals'!$B$240</v>
          </cell>
        </row>
        <row r="241">
          <cell r="A241" t="str">
            <v/>
          </cell>
          <cell r="C241" t="str">
            <v>'Photos of Minerals'!$B$241</v>
          </cell>
        </row>
        <row r="242">
          <cell r="A242" t="str">
            <v/>
          </cell>
          <cell r="C242" t="str">
            <v>'Photos of Minerals'!$B$242</v>
          </cell>
        </row>
        <row r="243">
          <cell r="A243" t="str">
            <v/>
          </cell>
          <cell r="C243" t="str">
            <v>'Photos of Minerals'!$B$243</v>
          </cell>
        </row>
        <row r="244">
          <cell r="A244" t="str">
            <v/>
          </cell>
          <cell r="C244" t="str">
            <v>'Photos of Minerals'!$B$244</v>
          </cell>
        </row>
        <row r="245">
          <cell r="A245" t="str">
            <v/>
          </cell>
          <cell r="C245" t="str">
            <v>'Photos of Minerals'!$B$245</v>
          </cell>
        </row>
        <row r="246">
          <cell r="A246" t="str">
            <v/>
          </cell>
          <cell r="C246" t="str">
            <v>'Photos of Minerals'!$B$246</v>
          </cell>
        </row>
        <row r="247">
          <cell r="A247" t="str">
            <v/>
          </cell>
          <cell r="C247" t="str">
            <v>'Photos of Minerals'!$B$247</v>
          </cell>
        </row>
        <row r="248">
          <cell r="A248" t="str">
            <v/>
          </cell>
          <cell r="C248" t="str">
            <v>'Photos of Minerals'!$B$248</v>
          </cell>
        </row>
        <row r="249">
          <cell r="A249" t="str">
            <v/>
          </cell>
          <cell r="C249" t="str">
            <v>'Photos of Minerals'!$B$249</v>
          </cell>
        </row>
        <row r="250">
          <cell r="A250" t="str">
            <v/>
          </cell>
          <cell r="C250" t="str">
            <v>'Photos of Minerals'!$B$250</v>
          </cell>
        </row>
        <row r="251">
          <cell r="A251" t="str">
            <v/>
          </cell>
          <cell r="C251" t="str">
            <v>'Photos of Minerals'!$B$251</v>
          </cell>
        </row>
        <row r="252">
          <cell r="A252" t="str">
            <v/>
          </cell>
          <cell r="C252" t="str">
            <v>'Photos of Minerals'!$B$252</v>
          </cell>
        </row>
        <row r="253">
          <cell r="A253" t="str">
            <v/>
          </cell>
          <cell r="C253" t="str">
            <v>'Photos of Minerals'!$B$253</v>
          </cell>
        </row>
        <row r="254">
          <cell r="A254" t="str">
            <v/>
          </cell>
          <cell r="C254" t="str">
            <v>'Photos of Minerals'!$B$254</v>
          </cell>
        </row>
        <row r="255">
          <cell r="A255" t="str">
            <v/>
          </cell>
          <cell r="C255" t="str">
            <v>'Photos of Minerals'!$B$255</v>
          </cell>
        </row>
        <row r="256">
          <cell r="A256" t="str">
            <v/>
          </cell>
          <cell r="C256" t="str">
            <v>'Photos of Minerals'!$B$256</v>
          </cell>
        </row>
        <row r="257">
          <cell r="A257" t="str">
            <v/>
          </cell>
          <cell r="C257" t="str">
            <v>'Photos of Minerals'!$B$257</v>
          </cell>
        </row>
        <row r="258">
          <cell r="A258" t="str">
            <v/>
          </cell>
          <cell r="C258" t="str">
            <v>'Photos of Minerals'!$B$258</v>
          </cell>
        </row>
        <row r="259">
          <cell r="A259" t="str">
            <v/>
          </cell>
          <cell r="C259" t="str">
            <v>'Photos of Minerals'!$B$259</v>
          </cell>
        </row>
        <row r="260">
          <cell r="A260" t="str">
            <v/>
          </cell>
          <cell r="C260" t="str">
            <v>'Photos of Minerals'!$B$260</v>
          </cell>
        </row>
        <row r="261">
          <cell r="A261" t="str">
            <v/>
          </cell>
          <cell r="C261" t="str">
            <v>'Photos of Minerals'!$B$261</v>
          </cell>
        </row>
        <row r="262">
          <cell r="A262" t="str">
            <v/>
          </cell>
          <cell r="C262" t="str">
            <v>'Photos of Minerals'!$B$262</v>
          </cell>
        </row>
        <row r="263">
          <cell r="A263" t="str">
            <v/>
          </cell>
          <cell r="C263" t="str">
            <v>'Photos of Minerals'!$B$263</v>
          </cell>
        </row>
        <row r="264">
          <cell r="A264" t="str">
            <v/>
          </cell>
          <cell r="C264" t="str">
            <v>'Photos of Minerals'!$B$264</v>
          </cell>
        </row>
        <row r="265">
          <cell r="A265" t="str">
            <v/>
          </cell>
          <cell r="C265" t="str">
            <v>'Photos of Minerals'!$B$265</v>
          </cell>
        </row>
        <row r="266">
          <cell r="A266" t="str">
            <v/>
          </cell>
          <cell r="C266" t="str">
            <v>'Photos of Minerals'!$B$266</v>
          </cell>
        </row>
        <row r="267">
          <cell r="A267" t="str">
            <v/>
          </cell>
          <cell r="C267" t="str">
            <v>'Photos of Minerals'!$B$267</v>
          </cell>
        </row>
        <row r="268">
          <cell r="A268" t="str">
            <v/>
          </cell>
          <cell r="C268" t="str">
            <v>'Photos of Minerals'!$B$268</v>
          </cell>
        </row>
        <row r="269">
          <cell r="A269" t="str">
            <v/>
          </cell>
          <cell r="C269" t="str">
            <v>'Photos of Minerals'!$B$269</v>
          </cell>
        </row>
        <row r="270">
          <cell r="A270" t="str">
            <v/>
          </cell>
          <cell r="C270" t="str">
            <v>'Photos of Minerals'!$B$270</v>
          </cell>
        </row>
        <row r="271">
          <cell r="A271" t="str">
            <v/>
          </cell>
          <cell r="C271" t="str">
            <v>'Photos of Minerals'!$B$271</v>
          </cell>
        </row>
        <row r="272">
          <cell r="A272" t="str">
            <v/>
          </cell>
          <cell r="C272" t="str">
            <v>'Photos of Minerals'!$B$272</v>
          </cell>
        </row>
        <row r="273">
          <cell r="A273" t="str">
            <v/>
          </cell>
          <cell r="C273" t="str">
            <v>'Photos of Minerals'!$B$273</v>
          </cell>
        </row>
        <row r="274">
          <cell r="A274" t="str">
            <v/>
          </cell>
          <cell r="C274" t="str">
            <v>'Photos of Minerals'!$B$274</v>
          </cell>
        </row>
        <row r="275">
          <cell r="A275" t="str">
            <v/>
          </cell>
          <cell r="C275" t="str">
            <v>'Photos of Minerals'!$B$275</v>
          </cell>
        </row>
        <row r="276">
          <cell r="A276" t="str">
            <v/>
          </cell>
          <cell r="C276" t="str">
            <v>'Photos of Minerals'!$B$276</v>
          </cell>
        </row>
        <row r="277">
          <cell r="A277" t="str">
            <v/>
          </cell>
          <cell r="C277" t="str">
            <v>'Photos of Minerals'!$B$277</v>
          </cell>
        </row>
        <row r="278">
          <cell r="A278" t="str">
            <v/>
          </cell>
          <cell r="C278" t="str">
            <v>'Photos of Minerals'!$B$278</v>
          </cell>
        </row>
        <row r="279">
          <cell r="A279" t="str">
            <v/>
          </cell>
          <cell r="C279" t="str">
            <v>'Photos of Minerals'!$B$279</v>
          </cell>
        </row>
        <row r="280">
          <cell r="A280" t="str">
            <v/>
          </cell>
          <cell r="C280" t="str">
            <v>'Photos of Minerals'!$B$280</v>
          </cell>
        </row>
        <row r="281">
          <cell r="A281" t="str">
            <v/>
          </cell>
          <cell r="C281" t="str">
            <v>'Photos of Minerals'!$B$281</v>
          </cell>
        </row>
        <row r="282">
          <cell r="A282" t="str">
            <v/>
          </cell>
          <cell r="C282" t="str">
            <v>'Photos of Minerals'!$B$282</v>
          </cell>
        </row>
        <row r="283">
          <cell r="A283" t="str">
            <v/>
          </cell>
          <cell r="C283" t="str">
            <v>'Photos of Minerals'!$B$283</v>
          </cell>
        </row>
        <row r="284">
          <cell r="A284" t="str">
            <v/>
          </cell>
          <cell r="C284" t="str">
            <v>'Photos of Minerals'!$B$284</v>
          </cell>
        </row>
        <row r="285">
          <cell r="A285" t="str">
            <v/>
          </cell>
          <cell r="C285" t="str">
            <v>'Photos of Minerals'!$B$285</v>
          </cell>
        </row>
        <row r="286">
          <cell r="A286" t="str">
            <v/>
          </cell>
          <cell r="C286" t="str">
            <v>'Photos of Minerals'!$B$286</v>
          </cell>
        </row>
        <row r="287">
          <cell r="A287" t="str">
            <v/>
          </cell>
          <cell r="C287" t="str">
            <v>'Photos of Minerals'!$B$287</v>
          </cell>
        </row>
        <row r="288">
          <cell r="A288" t="str">
            <v/>
          </cell>
          <cell r="C288" t="str">
            <v>'Photos of Minerals'!$B$288</v>
          </cell>
        </row>
        <row r="289">
          <cell r="A289" t="str">
            <v/>
          </cell>
          <cell r="C289" t="str">
            <v>'Photos of Minerals'!$B$289</v>
          </cell>
        </row>
        <row r="290">
          <cell r="A290" t="str">
            <v/>
          </cell>
          <cell r="C290" t="str">
            <v>'Photos of Minerals'!$B$290</v>
          </cell>
        </row>
        <row r="291">
          <cell r="A291" t="str">
            <v/>
          </cell>
          <cell r="C291" t="str">
            <v>'Photos of Minerals'!$B$291</v>
          </cell>
        </row>
        <row r="292">
          <cell r="A292" t="str">
            <v/>
          </cell>
          <cell r="C292" t="str">
            <v>'Photos of Minerals'!$B$292</v>
          </cell>
        </row>
        <row r="293">
          <cell r="A293" t="str">
            <v/>
          </cell>
          <cell r="C293" t="str">
            <v>'Photos of Minerals'!$B$293</v>
          </cell>
        </row>
        <row r="294">
          <cell r="A294" t="str">
            <v/>
          </cell>
          <cell r="C294" t="str">
            <v>'Photos of Minerals'!$B$294</v>
          </cell>
        </row>
        <row r="295">
          <cell r="A295" t="str">
            <v/>
          </cell>
          <cell r="C295" t="str">
            <v>'Photos of Minerals'!$B$295</v>
          </cell>
        </row>
        <row r="296">
          <cell r="A296" t="str">
            <v/>
          </cell>
          <cell r="C296" t="str">
            <v>'Photos of Minerals'!$B$296</v>
          </cell>
        </row>
        <row r="297">
          <cell r="A297" t="str">
            <v/>
          </cell>
          <cell r="C297" t="str">
            <v>'Photos of Minerals'!$B$297</v>
          </cell>
        </row>
        <row r="298">
          <cell r="A298" t="str">
            <v/>
          </cell>
          <cell r="C298" t="str">
            <v>'Photos of Minerals'!$B$298</v>
          </cell>
        </row>
        <row r="299">
          <cell r="A299" t="str">
            <v/>
          </cell>
          <cell r="C299" t="str">
            <v>'Photos of Minerals'!$B$299</v>
          </cell>
        </row>
        <row r="300">
          <cell r="A300" t="str">
            <v/>
          </cell>
          <cell r="C300" t="str">
            <v>'Photos of Minerals'!$B$300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nr Con"/>
      <sheetName val="FL08 Flot Comps"/>
      <sheetName val="KZ Tests"/>
      <sheetName val="Task Flow Sheet"/>
      <sheetName val="Mill Statement EB1"/>
      <sheetName val=" Mill Statement EB2"/>
      <sheetName val=" Mill Statement EB3"/>
      <sheetName val=" Mill Statement EB4"/>
      <sheetName val=" Mill Statement EB5"/>
      <sheetName val="Mill Statement KZ1"/>
      <sheetName val="Mill Statement KZ2"/>
      <sheetName val="Mill Statement KZ3"/>
      <sheetName val="Mill Statement KZ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D3" t="str">
            <v>Zn Kinetic Rougher</v>
          </cell>
        </row>
        <row r="15">
          <cell r="D15" t="str">
            <v>Float</v>
          </cell>
          <cell r="E15" t="str">
            <v>Weight</v>
          </cell>
          <cell r="G15" t="str">
            <v>Assay</v>
          </cell>
          <cell r="N15" t="str">
            <v>Recovery</v>
          </cell>
        </row>
        <row r="16">
          <cell r="B16" t="str">
            <v>Product</v>
          </cell>
          <cell r="D16" t="str">
            <v>Time</v>
          </cell>
          <cell r="G16" t="str">
            <v>Zn</v>
          </cell>
          <cell r="H16" t="str">
            <v>Pb</v>
          </cell>
          <cell r="I16" t="str">
            <v>S</v>
          </cell>
          <cell r="J16" t="str">
            <v>Fe</v>
          </cell>
          <cell r="K16" t="str">
            <v>SiO2</v>
          </cell>
          <cell r="L16" t="str">
            <v>Mn</v>
          </cell>
          <cell r="M16" t="str">
            <v>TOEC</v>
          </cell>
          <cell r="N16" t="str">
            <v>Zn</v>
          </cell>
          <cell r="O16" t="str">
            <v>Pb</v>
          </cell>
          <cell r="P16" t="str">
            <v>S</v>
          </cell>
          <cell r="Q16" t="str">
            <v>Fe</v>
          </cell>
          <cell r="R16" t="str">
            <v>SiO2</v>
          </cell>
          <cell r="S16" t="str">
            <v>Mn</v>
          </cell>
          <cell r="T16" t="str">
            <v>TOEC</v>
          </cell>
        </row>
        <row r="17">
          <cell r="D17" t="str">
            <v>min</v>
          </cell>
          <cell r="E17" t="str">
            <v>g</v>
          </cell>
          <cell r="F17" t="str">
            <v>%</v>
          </cell>
          <cell r="G17" t="str">
            <v>%</v>
          </cell>
          <cell r="H17" t="str">
            <v>%</v>
          </cell>
          <cell r="I17" t="str">
            <v>%</v>
          </cell>
          <cell r="J17" t="str">
            <v>%</v>
          </cell>
          <cell r="K17" t="str">
            <v>%</v>
          </cell>
          <cell r="L17" t="str">
            <v>%</v>
          </cell>
          <cell r="M17" t="str">
            <v>%</v>
          </cell>
          <cell r="N17" t="str">
            <v>%</v>
          </cell>
          <cell r="O17" t="str">
            <v>%</v>
          </cell>
          <cell r="P17" t="str">
            <v>%</v>
          </cell>
          <cell r="Q17" t="str">
            <v>%</v>
          </cell>
          <cell r="R17" t="str">
            <v>%</v>
          </cell>
          <cell r="S17" t="str">
            <v>%</v>
          </cell>
          <cell r="T17" t="str">
            <v>%</v>
          </cell>
        </row>
        <row r="19">
          <cell r="B19" t="str">
            <v xml:space="preserve">   PRE-FLOAT</v>
          </cell>
          <cell r="F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</row>
        <row r="20">
          <cell r="B20" t="str">
            <v>Prefloat Cleaner 1 Con 1</v>
          </cell>
          <cell r="D20" t="str">
            <v>20 sec</v>
          </cell>
          <cell r="E20">
            <v>39.979999999999997</v>
          </cell>
          <cell r="F20">
            <v>3.9624960355217254</v>
          </cell>
          <cell r="G20">
            <v>4.74</v>
          </cell>
          <cell r="H20">
            <v>0.97499999999999998</v>
          </cell>
          <cell r="I20">
            <v>5.45</v>
          </cell>
          <cell r="J20">
            <v>4.4800000000000004</v>
          </cell>
          <cell r="K20">
            <v>39.4</v>
          </cell>
          <cell r="L20">
            <v>0.2</v>
          </cell>
          <cell r="M20">
            <v>20</v>
          </cell>
          <cell r="N20">
            <v>1.6560908866403514</v>
          </cell>
          <cell r="O20">
            <v>2.0627949486408745</v>
          </cell>
          <cell r="P20">
            <v>1.4201757694905424</v>
          </cell>
          <cell r="Q20">
            <v>1.4608856072519076</v>
          </cell>
          <cell r="R20">
            <v>4.324937004719275</v>
          </cell>
          <cell r="S20">
            <v>1.1740628145630483</v>
          </cell>
          <cell r="T20">
            <v>24.698980404095831</v>
          </cell>
        </row>
        <row r="21">
          <cell r="B21" t="str">
            <v>Prefloat Cleaner 1 Con 2</v>
          </cell>
          <cell r="D21" t="str">
            <v>40 sec</v>
          </cell>
          <cell r="E21">
            <v>42.1</v>
          </cell>
          <cell r="F21">
            <v>4.1726133840786561</v>
          </cell>
          <cell r="G21">
            <v>4.665</v>
          </cell>
          <cell r="H21">
            <v>0.92500000000000004</v>
          </cell>
          <cell r="I21">
            <v>5.34</v>
          </cell>
          <cell r="J21">
            <v>4.4400000000000004</v>
          </cell>
          <cell r="K21">
            <v>41.3</v>
          </cell>
          <cell r="L21">
            <v>0.20499999999999999</v>
          </cell>
          <cell r="M21">
            <v>20.9</v>
          </cell>
          <cell r="N21">
            <v>1.7163141371216293</v>
          </cell>
          <cell r="O21">
            <v>2.060784040416292</v>
          </cell>
          <cell r="P21">
            <v>1.4652986834804873</v>
          </cell>
          <cell r="Q21">
            <v>1.5246159980099181</v>
          </cell>
          <cell r="R21">
            <v>4.773895652277627</v>
          </cell>
          <cell r="S21">
            <v>1.2672272537626801</v>
          </cell>
          <cell r="T21">
            <v>27.179071870635173</v>
          </cell>
        </row>
        <row r="22">
          <cell r="B22" t="str">
            <v>Prefloat cleaner tail</v>
          </cell>
          <cell r="E22">
            <v>1.99</v>
          </cell>
          <cell r="F22">
            <v>0.19723279416428799</v>
          </cell>
          <cell r="G22">
            <v>4.8049999999999997</v>
          </cell>
          <cell r="H22">
            <v>0.83</v>
          </cell>
          <cell r="I22">
            <v>5.39</v>
          </cell>
          <cell r="J22">
            <v>5.3</v>
          </cell>
          <cell r="K22">
            <v>50.2</v>
          </cell>
          <cell r="L22">
            <v>0.26500000000000001</v>
          </cell>
          <cell r="M22">
            <v>8.19</v>
          </cell>
          <cell r="N22">
            <v>8.3562130503599397E-2</v>
          </cell>
          <cell r="O22">
            <v>8.740571354061985E-2</v>
          </cell>
          <cell r="P22">
            <v>6.9910860573096201E-2</v>
          </cell>
          <cell r="Q22">
            <v>8.6024934898732128E-2</v>
          </cell>
          <cell r="R22">
            <v>0.27428216449433229</v>
          </cell>
          <cell r="S22">
            <v>7.7431468891923899E-2</v>
          </cell>
          <cell r="T22">
            <v>0.50343478304651612</v>
          </cell>
        </row>
        <row r="23">
          <cell r="B23" t="str">
            <v xml:space="preserve">   LEAD</v>
          </cell>
          <cell r="F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</row>
        <row r="24">
          <cell r="B24" t="str">
            <v>Pb cleaner 3 con 1</v>
          </cell>
          <cell r="D24" t="str">
            <v>20 sec</v>
          </cell>
          <cell r="E24">
            <v>6.6</v>
          </cell>
          <cell r="F24">
            <v>0.65413891531874413</v>
          </cell>
          <cell r="G24">
            <v>1.4550000000000001</v>
          </cell>
          <cell r="H24">
            <v>81.900000000000006</v>
          </cell>
          <cell r="I24">
            <v>13.9</v>
          </cell>
          <cell r="J24">
            <v>0.88</v>
          </cell>
          <cell r="K24">
            <v>0.6</v>
          </cell>
          <cell r="L24">
            <v>6.5000000000000002E-2</v>
          </cell>
          <cell r="M24">
            <v>1.24</v>
          </cell>
          <cell r="N24">
            <v>8.3920867524518036E-2</v>
          </cell>
          <cell r="O24">
            <v>28.604640308316682</v>
          </cell>
          <cell r="P24">
            <v>0.59794541809006507</v>
          </cell>
          <cell r="Q24">
            <v>4.7372032036772184E-2</v>
          </cell>
          <cell r="R24">
            <v>1.0872663831083262E-2</v>
          </cell>
          <cell r="S24">
            <v>6.2990613737812368E-2</v>
          </cell>
          <cell r="T24">
            <v>0.2527969680179093</v>
          </cell>
        </row>
        <row r="25">
          <cell r="B25" t="str">
            <v>Pb cleaner 3 con 2</v>
          </cell>
          <cell r="D25" t="str">
            <v>40 sec</v>
          </cell>
          <cell r="E25">
            <v>5.53</v>
          </cell>
          <cell r="F25">
            <v>0.54808912147161437</v>
          </cell>
          <cell r="G25">
            <v>1.95</v>
          </cell>
          <cell r="H25">
            <v>80.7</v>
          </cell>
          <cell r="I25">
            <v>14</v>
          </cell>
          <cell r="J25">
            <v>1.18</v>
          </cell>
          <cell r="K25">
            <v>0.75</v>
          </cell>
          <cell r="L25">
            <v>8.5000000000000006E-2</v>
          </cell>
          <cell r="M25">
            <v>1.95</v>
          </cell>
          <cell r="N25">
            <v>9.4237287821580779E-2</v>
          </cell>
          <cell r="O25">
            <v>23.616053270863937</v>
          </cell>
          <cell r="P25">
            <v>0.50461014027177709</v>
          </cell>
          <cell r="Q25">
            <v>5.3223391503573199E-2</v>
          </cell>
          <cell r="R25">
            <v>1.1387467989751978E-2</v>
          </cell>
          <cell r="S25">
            <v>6.9018037266803528E-2</v>
          </cell>
          <cell r="T25">
            <v>0.33309336566729292</v>
          </cell>
        </row>
        <row r="26">
          <cell r="B26" t="str">
            <v>Pb cleaner 3 con 3</v>
          </cell>
          <cell r="D26" t="str">
            <v>60 sec</v>
          </cell>
          <cell r="E26">
            <v>3.83</v>
          </cell>
          <cell r="F26">
            <v>0.37959879479860453</v>
          </cell>
          <cell r="G26">
            <v>3.4049999999999998</v>
          </cell>
          <cell r="H26">
            <v>74.3</v>
          </cell>
          <cell r="I26">
            <v>14.2</v>
          </cell>
          <cell r="J26">
            <v>2.16</v>
          </cell>
          <cell r="K26">
            <v>1.35</v>
          </cell>
          <cell r="L26">
            <v>0.155</v>
          </cell>
          <cell r="M26">
            <v>3.83</v>
          </cell>
          <cell r="N26">
            <v>0.1139669500694958</v>
          </cell>
          <cell r="O26">
            <v>15.059003751613885</v>
          </cell>
          <cell r="P26">
            <v>0.35447852090959536</v>
          </cell>
          <cell r="Q26">
            <v>6.7475782822625507E-2</v>
          </cell>
          <cell r="R26">
            <v>1.4196239479448487E-2</v>
          </cell>
          <cell r="S26">
            <v>8.7166381924131273E-2</v>
          </cell>
          <cell r="T26">
            <v>0.45311014713561953</v>
          </cell>
        </row>
        <row r="27">
          <cell r="B27" t="str">
            <v>Pb cleaner 3 Tail</v>
          </cell>
          <cell r="E27">
            <v>6.95</v>
          </cell>
          <cell r="F27">
            <v>0.6888281002220108</v>
          </cell>
          <cell r="G27">
            <v>8.8000000000000007</v>
          </cell>
          <cell r="H27">
            <v>28.9</v>
          </cell>
          <cell r="I27">
            <v>13.3</v>
          </cell>
          <cell r="J27">
            <v>5.3</v>
          </cell>
          <cell r="K27">
            <v>8.1300000000000008</v>
          </cell>
          <cell r="L27">
            <v>0.38</v>
          </cell>
          <cell r="M27">
            <v>24.3</v>
          </cell>
          <cell r="N27">
            <v>0.53447883555134046</v>
          </cell>
          <cell r="O27">
            <v>10.628972932857783</v>
          </cell>
          <cell r="P27">
            <v>0.60247530762105028</v>
          </cell>
          <cell r="Q27">
            <v>0.3004388429880343</v>
          </cell>
          <cell r="R27">
            <v>0.15513726282313464</v>
          </cell>
          <cell r="S27">
            <v>0.38778137734629942</v>
          </cell>
          <cell r="T27">
            <v>5.2167174906774951</v>
          </cell>
        </row>
        <row r="28">
          <cell r="B28" t="str">
            <v>Pb cleaner 2 tail</v>
          </cell>
          <cell r="E28">
            <v>15.92</v>
          </cell>
          <cell r="F28">
            <v>1.5778623533143039</v>
          </cell>
          <cell r="G28">
            <v>7.64</v>
          </cell>
          <cell r="H28">
            <v>5.59</v>
          </cell>
          <cell r="I28">
            <v>9.23</v>
          </cell>
          <cell r="J28">
            <v>5.69</v>
          </cell>
          <cell r="K28">
            <v>26.8</v>
          </cell>
          <cell r="L28">
            <v>0.36</v>
          </cell>
          <cell r="M28">
            <v>23.5</v>
          </cell>
          <cell r="N28">
            <v>1.0629172562705507</v>
          </cell>
          <cell r="O28">
            <v>4.7093777223331568</v>
          </cell>
          <cell r="P28">
            <v>0.95773987842623831</v>
          </cell>
          <cell r="Q28">
            <v>0.73884057294156347</v>
          </cell>
          <cell r="R28">
            <v>1.1714361766451162</v>
          </cell>
          <cell r="S28">
            <v>0.84151936003298433</v>
          </cell>
          <cell r="T28">
            <v>11.556256314132483</v>
          </cell>
        </row>
        <row r="29">
          <cell r="B29" t="str">
            <v>Pb cleaner 1 tail</v>
          </cell>
          <cell r="E29">
            <v>6.95</v>
          </cell>
          <cell r="F29">
            <v>0.6888281002220108</v>
          </cell>
          <cell r="G29">
            <v>8.48</v>
          </cell>
          <cell r="H29">
            <v>1.1299999999999999</v>
          </cell>
          <cell r="I29">
            <v>9.94</v>
          </cell>
          <cell r="J29">
            <v>9.85</v>
          </cell>
          <cell r="K29">
            <v>44.5</v>
          </cell>
          <cell r="L29">
            <v>0.60499999999999998</v>
          </cell>
          <cell r="M29" t="str">
            <v xml:space="preserve">      I.S.</v>
          </cell>
          <cell r="N29">
            <v>0.51504324153129177</v>
          </cell>
          <cell r="O29">
            <v>0.41559651952004478</v>
          </cell>
          <cell r="P29">
            <v>0.45027101937994285</v>
          </cell>
          <cell r="Q29">
            <v>0.55836275536455426</v>
          </cell>
          <cell r="R29">
            <v>0.84915229958542326</v>
          </cell>
          <cell r="S29">
            <v>0.61738877182766094</v>
          </cell>
          <cell r="T29">
            <v>0</v>
          </cell>
        </row>
        <row r="30">
          <cell r="B30" t="str">
            <v xml:space="preserve">   ZINC</v>
          </cell>
          <cell r="F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</row>
        <row r="31">
          <cell r="B31" t="str">
            <v>Zn Rougher con 1</v>
          </cell>
          <cell r="D31" t="str">
            <v>10 sec</v>
          </cell>
          <cell r="E31">
            <v>97.78</v>
          </cell>
          <cell r="F31">
            <v>9.6911671424040602</v>
          </cell>
          <cell r="G31">
            <v>47</v>
          </cell>
          <cell r="H31">
            <v>0.375</v>
          </cell>
          <cell r="I31">
            <v>29.6</v>
          </cell>
          <cell r="J31">
            <v>9.81</v>
          </cell>
          <cell r="K31">
            <v>5.09</v>
          </cell>
          <cell r="L31">
            <v>2.12</v>
          </cell>
          <cell r="M31">
            <v>0.41</v>
          </cell>
          <cell r="N31">
            <v>40.161592632273923</v>
          </cell>
          <cell r="O31">
            <v>1.9403941401287632</v>
          </cell>
          <cell r="P31">
            <v>18.864467497635253</v>
          </cell>
          <cell r="Q31">
            <v>7.8237406749260128</v>
          </cell>
          <cell r="R31">
            <v>1.3664967078946733</v>
          </cell>
          <cell r="S31">
            <v>30.437182023124901</v>
          </cell>
          <cell r="T31">
            <v>1.2383406510806916</v>
          </cell>
        </row>
        <row r="32">
          <cell r="B32" t="str">
            <v>Zn Rougher con 2</v>
          </cell>
          <cell r="D32" t="str">
            <v>10 sec</v>
          </cell>
          <cell r="E32">
            <v>28.47</v>
          </cell>
          <cell r="F32">
            <v>2.8217174119885824</v>
          </cell>
          <cell r="G32">
            <v>48</v>
          </cell>
          <cell r="H32">
            <v>0.42</v>
          </cell>
          <cell r="I32">
            <v>29.8</v>
          </cell>
          <cell r="J32">
            <v>10.199999999999999</v>
          </cell>
          <cell r="K32">
            <v>3.86</v>
          </cell>
          <cell r="L32">
            <v>2.0499999999999998</v>
          </cell>
          <cell r="M32">
            <v>0.39</v>
          </cell>
          <cell r="N32">
            <v>11.942403491024194</v>
          </cell>
          <cell r="O32">
            <v>0.63276931591124763</v>
          </cell>
          <cell r="P32">
            <v>5.5297632480937402</v>
          </cell>
          <cell r="Q32">
            <v>2.368552663788984</v>
          </cell>
          <cell r="R32">
            <v>0.30172795292571469</v>
          </cell>
          <cell r="S32">
            <v>8.5695866780578367</v>
          </cell>
          <cell r="T32">
            <v>0.34297172226212763</v>
          </cell>
        </row>
        <row r="33">
          <cell r="B33" t="str">
            <v>Zn Rougher con 3</v>
          </cell>
          <cell r="D33" t="str">
            <v>20 sec</v>
          </cell>
          <cell r="E33">
            <v>47.06</v>
          </cell>
          <cell r="F33">
            <v>4.6642086901363786</v>
          </cell>
          <cell r="G33">
            <v>46.9</v>
          </cell>
          <cell r="H33">
            <v>0.48499999999999999</v>
          </cell>
          <cell r="I33">
            <v>30.3</v>
          </cell>
          <cell r="J33">
            <v>10.9</v>
          </cell>
          <cell r="K33">
            <v>4.3</v>
          </cell>
          <cell r="L33">
            <v>1.9750000000000001</v>
          </cell>
          <cell r="M33">
            <v>0.42</v>
          </cell>
          <cell r="N33">
            <v>19.288026825524216</v>
          </cell>
          <cell r="O33">
            <v>1.2078202739132178</v>
          </cell>
          <cell r="P33">
            <v>9.2938863600626718</v>
          </cell>
          <cell r="Q33">
            <v>4.1838280512035881</v>
          </cell>
          <cell r="R33">
            <v>0.55559861301271396</v>
          </cell>
          <cell r="S33">
            <v>13.647011906620897</v>
          </cell>
          <cell r="T33">
            <v>0.61053062466612684</v>
          </cell>
        </row>
        <row r="34">
          <cell r="B34" t="str">
            <v>Zn Scavenger con 1</v>
          </cell>
          <cell r="D34" t="str">
            <v>20 sec</v>
          </cell>
          <cell r="E34">
            <v>27.13</v>
          </cell>
          <cell r="F34">
            <v>2.688907389787504</v>
          </cell>
          <cell r="G34">
            <v>35.5</v>
          </cell>
          <cell r="H34">
            <v>0.48499999999999999</v>
          </cell>
          <cell r="I34">
            <v>33.5</v>
          </cell>
          <cell r="J34">
            <v>18.100000000000001</v>
          </cell>
          <cell r="K34">
            <v>5.26</v>
          </cell>
          <cell r="L34">
            <v>1.43</v>
          </cell>
          <cell r="M34">
            <v>0.4</v>
          </cell>
          <cell r="N34">
            <v>8.4166871108899493</v>
          </cell>
          <cell r="O34">
            <v>0.6963060780124436</v>
          </cell>
          <cell r="P34">
            <v>5.9237593520628513</v>
          </cell>
          <cell r="Q34">
            <v>4.0051960137315925</v>
          </cell>
          <cell r="R34">
            <v>0.39181071838841913</v>
          </cell>
          <cell r="S34">
            <v>5.696451169022831</v>
          </cell>
          <cell r="T34">
            <v>0.33520927381846921</v>
          </cell>
        </row>
        <row r="35">
          <cell r="B35" t="str">
            <v>Zn Scavenger con 2</v>
          </cell>
          <cell r="D35" t="str">
            <v>1 min</v>
          </cell>
          <cell r="E35">
            <v>27.49</v>
          </cell>
          <cell r="F35">
            <v>2.7245876942594354</v>
          </cell>
          <cell r="G35">
            <v>23.6</v>
          </cell>
          <cell r="H35">
            <v>0.55500000000000005</v>
          </cell>
          <cell r="I35">
            <v>36.1</v>
          </cell>
          <cell r="J35">
            <v>24.2</v>
          </cell>
          <cell r="K35">
            <v>8.0500000000000007</v>
          </cell>
          <cell r="L35">
            <v>0.94499999999999995</v>
          </cell>
          <cell r="M35">
            <v>0.59</v>
          </cell>
          <cell r="N35">
            <v>5.6695655210534639</v>
          </cell>
          <cell r="O35">
            <v>0.80737700623815467</v>
          </cell>
          <cell r="P35">
            <v>6.4682194845539733</v>
          </cell>
          <cell r="Q35">
            <v>5.4260715028786128</v>
          </cell>
          <cell r="R35">
            <v>0.60759108741607448</v>
          </cell>
          <cell r="S35">
            <v>3.8143900074861921</v>
          </cell>
          <cell r="T35">
            <v>0.50099453860939291</v>
          </cell>
        </row>
        <row r="36">
          <cell r="B36" t="str">
            <v>Zn Scavenger con 3</v>
          </cell>
          <cell r="D36" t="str">
            <v>2 min</v>
          </cell>
          <cell r="E36">
            <v>34.770000000000003</v>
          </cell>
          <cell r="F36">
            <v>3.4461227402473842</v>
          </cell>
          <cell r="G36">
            <v>13.2</v>
          </cell>
          <cell r="H36">
            <v>0.55000000000000004</v>
          </cell>
          <cell r="I36">
            <v>33.700000000000003</v>
          </cell>
          <cell r="J36">
            <v>27.9</v>
          </cell>
          <cell r="K36">
            <v>13.2</v>
          </cell>
          <cell r="L36">
            <v>0.61499999999999999</v>
          </cell>
          <cell r="M36">
            <v>0.95</v>
          </cell>
          <cell r="N36">
            <v>4.0108983695223257</v>
          </cell>
          <cell r="O36">
            <v>1.0119895640213381</v>
          </cell>
          <cell r="P36">
            <v>7.6372568748813574</v>
          </cell>
          <cell r="Q36">
            <v>7.9123283323567613</v>
          </cell>
          <cell r="R36">
            <v>1.2601417380225504</v>
          </cell>
          <cell r="S36">
            <v>3.1397737491682935</v>
          </cell>
          <cell r="T36">
            <v>1.0203156218332812</v>
          </cell>
        </row>
        <row r="37">
          <cell r="B37" t="str">
            <v>Zn Scavenger con 4</v>
          </cell>
          <cell r="D37" t="str">
            <v>3 min</v>
          </cell>
          <cell r="E37">
            <v>26.45</v>
          </cell>
          <cell r="F37">
            <v>2.6215112591183001</v>
          </cell>
          <cell r="G37">
            <v>7.98</v>
          </cell>
          <cell r="H37">
            <v>0.45</v>
          </cell>
          <cell r="I37">
            <v>28.3</v>
          </cell>
          <cell r="J37">
            <v>27</v>
          </cell>
          <cell r="K37">
            <v>20.2</v>
          </cell>
          <cell r="L37">
            <v>0.48499999999999999</v>
          </cell>
          <cell r="M37">
            <v>1.5</v>
          </cell>
          <cell r="N37">
            <v>1.8445549754522068</v>
          </cell>
          <cell r="O37">
            <v>0.62986408271310024</v>
          </cell>
          <cell r="P37">
            <v>4.8788213814044781</v>
          </cell>
          <cell r="Q37">
            <v>5.8248513565876117</v>
          </cell>
          <cell r="R37">
            <v>1.4669584743205748</v>
          </cell>
          <cell r="S37">
            <v>1.8835882067181622</v>
          </cell>
          <cell r="T37">
            <v>1.2255278233272913</v>
          </cell>
        </row>
        <row r="38">
          <cell r="B38" t="str">
            <v>Zn Scavenger con 5</v>
          </cell>
          <cell r="D38" t="str">
            <v>3 min</v>
          </cell>
          <cell r="E38">
            <v>20.28</v>
          </cell>
          <cell r="F38">
            <v>2.0099904852521409</v>
          </cell>
          <cell r="G38">
            <v>4.5949999999999998</v>
          </cell>
          <cell r="H38">
            <v>0.375</v>
          </cell>
          <cell r="I38">
            <v>28.4</v>
          </cell>
          <cell r="J38">
            <v>28.1</v>
          </cell>
          <cell r="K38">
            <v>23.1</v>
          </cell>
          <cell r="L38">
            <v>0.35</v>
          </cell>
          <cell r="M38">
            <v>1.24</v>
          </cell>
          <cell r="N38">
            <v>0.8143601284661306</v>
          </cell>
          <cell r="O38">
            <v>0.40244623810402247</v>
          </cell>
          <cell r="P38">
            <v>3.7539553023741998</v>
          </cell>
          <cell r="Q38">
            <v>4.6480380772608969</v>
          </cell>
          <cell r="R38">
            <v>1.28623613121715</v>
          </cell>
          <cell r="S38">
            <v>1.0422083363892589</v>
          </cell>
          <cell r="T38">
            <v>0.77677613809139412</v>
          </cell>
        </row>
        <row r="39">
          <cell r="B39" t="str">
            <v>Zn Scavenger Tail</v>
          </cell>
          <cell r="E39">
            <v>569.67999999999995</v>
          </cell>
          <cell r="F39">
            <v>56.462099587694262</v>
          </cell>
          <cell r="G39">
            <v>0.4</v>
          </cell>
          <cell r="H39">
            <v>0.18</v>
          </cell>
          <cell r="I39">
            <v>8.41</v>
          </cell>
          <cell r="J39">
            <v>11.4</v>
          </cell>
          <cell r="K39">
            <v>51.9</v>
          </cell>
          <cell r="L39">
            <v>0.32500000000000001</v>
          </cell>
          <cell r="M39">
            <v>1.35</v>
          </cell>
          <cell r="N39">
            <v>1.9913793527592389</v>
          </cell>
          <cell r="O39">
            <v>5.426404092854427</v>
          </cell>
          <cell r="P39">
            <v>31.226964900688692</v>
          </cell>
          <cell r="Q39">
            <v>52.970153409448258</v>
          </cell>
          <cell r="R39">
            <v>81.178141644956938</v>
          </cell>
          <cell r="S39">
            <v>27.185221844058294</v>
          </cell>
          <cell r="T39">
            <v>23.755872262902919</v>
          </cell>
        </row>
        <row r="41">
          <cell r="B41" t="str">
            <v>Calculated Head</v>
          </cell>
          <cell r="E41">
            <v>1008.9599999999999</v>
          </cell>
          <cell r="F41">
            <v>100</v>
          </cell>
          <cell r="G41">
            <v>11.341304610688233</v>
          </cell>
          <cell r="H41">
            <v>1.8729121075166513</v>
          </cell>
          <cell r="I41">
            <v>15.206289149222961</v>
          </cell>
          <cell r="J41">
            <v>12.15152107120203</v>
          </cell>
          <cell r="K41">
            <v>36.098177529337136</v>
          </cell>
          <cell r="L41">
            <v>0.67500579804947658</v>
          </cell>
          <cell r="M41">
            <v>3.2086312638756738</v>
          </cell>
          <cell r="N41">
            <v>100.00000000000003</v>
          </cell>
          <cell r="O41">
            <v>99.999999999999972</v>
          </cell>
          <cell r="P41">
            <v>100</v>
          </cell>
          <cell r="Q41">
            <v>100</v>
          </cell>
          <cell r="R41">
            <v>100</v>
          </cell>
          <cell r="S41">
            <v>100.00000000000001</v>
          </cell>
          <cell r="T41">
            <v>100</v>
          </cell>
        </row>
        <row r="42">
          <cell r="B42" t="str">
            <v>Assay Head</v>
          </cell>
          <cell r="G42">
            <v>11.5</v>
          </cell>
          <cell r="H42">
            <v>1.82</v>
          </cell>
          <cell r="I42">
            <v>15.3</v>
          </cell>
          <cell r="J42">
            <v>10.9</v>
          </cell>
          <cell r="K42">
            <v>38.700000000000003</v>
          </cell>
          <cell r="L42">
            <v>0.65</v>
          </cell>
          <cell r="M42">
            <v>3.6</v>
          </cell>
        </row>
        <row r="43">
          <cell r="B43" t="str">
            <v>Cumulative Products</v>
          </cell>
        </row>
        <row r="44">
          <cell r="D44" t="str">
            <v>Float</v>
          </cell>
          <cell r="E44" t="str">
            <v>Weight</v>
          </cell>
          <cell r="G44" t="str">
            <v>Assay</v>
          </cell>
          <cell r="N44" t="str">
            <v>Recovery</v>
          </cell>
        </row>
        <row r="45">
          <cell r="B45" t="str">
            <v>Product</v>
          </cell>
          <cell r="D45" t="str">
            <v>Time</v>
          </cell>
          <cell r="G45" t="str">
            <v>Zn</v>
          </cell>
          <cell r="H45" t="str">
            <v>Pb</v>
          </cell>
          <cell r="I45" t="str">
            <v>S</v>
          </cell>
          <cell r="J45" t="str">
            <v>Fe</v>
          </cell>
          <cell r="K45" t="str">
            <v>SiO2</v>
          </cell>
          <cell r="L45" t="str">
            <v>Mn</v>
          </cell>
          <cell r="M45" t="str">
            <v>TOEC</v>
          </cell>
          <cell r="N45" t="str">
            <v>Zn</v>
          </cell>
          <cell r="O45" t="str">
            <v>Pb</v>
          </cell>
          <cell r="P45" t="str">
            <v>S</v>
          </cell>
          <cell r="Q45" t="str">
            <v>Fe</v>
          </cell>
          <cell r="R45" t="str">
            <v>SiO2</v>
          </cell>
          <cell r="S45" t="str">
            <v>Mn</v>
          </cell>
          <cell r="T45" t="str">
            <v>TOEC</v>
          </cell>
        </row>
        <row r="46">
          <cell r="D46" t="str">
            <v>min</v>
          </cell>
          <cell r="E46" t="str">
            <v>g</v>
          </cell>
          <cell r="F46" t="str">
            <v>%</v>
          </cell>
          <cell r="G46" t="str">
            <v>%</v>
          </cell>
          <cell r="H46" t="str">
            <v>%</v>
          </cell>
          <cell r="I46" t="str">
            <v>%</v>
          </cell>
          <cell r="J46" t="str">
            <v>%</v>
          </cell>
          <cell r="K46" t="str">
            <v>%</v>
          </cell>
          <cell r="L46" t="str">
            <v>%</v>
          </cell>
          <cell r="M46" t="str">
            <v>%</v>
          </cell>
          <cell r="N46" t="str">
            <v>%</v>
          </cell>
          <cell r="O46" t="str">
            <v>%</v>
          </cell>
          <cell r="P46" t="str">
            <v>%</v>
          </cell>
          <cell r="Q46" t="str">
            <v>%</v>
          </cell>
          <cell r="R46" t="str">
            <v>%</v>
          </cell>
          <cell r="S46" t="str">
            <v>%</v>
          </cell>
          <cell r="T46" t="str">
            <v>%</v>
          </cell>
        </row>
        <row r="48">
          <cell r="B48" t="str">
            <v>Prefloat Cleaner Con 1</v>
          </cell>
          <cell r="E48">
            <v>39.979999999999997</v>
          </cell>
          <cell r="F48">
            <v>3.9624960355217254</v>
          </cell>
          <cell r="G48">
            <v>4.74</v>
          </cell>
          <cell r="H48">
            <v>0.97500000000000009</v>
          </cell>
          <cell r="I48">
            <v>5.4500000000000011</v>
          </cell>
          <cell r="J48">
            <v>4.4799999999999995</v>
          </cell>
          <cell r="K48">
            <v>39.400000000000006</v>
          </cell>
          <cell r="L48">
            <v>0.2</v>
          </cell>
          <cell r="M48">
            <v>20</v>
          </cell>
          <cell r="N48">
            <v>1.6560908866403514</v>
          </cell>
          <cell r="O48">
            <v>2.0627949486408745</v>
          </cell>
          <cell r="P48">
            <v>1.4201757694905424</v>
          </cell>
          <cell r="Q48">
            <v>1.4608856072519076</v>
          </cell>
          <cell r="R48">
            <v>4.324937004719275</v>
          </cell>
          <cell r="S48">
            <v>1.1740628145630483</v>
          </cell>
          <cell r="T48">
            <v>24.698980404095831</v>
          </cell>
        </row>
        <row r="49">
          <cell r="B49" t="str">
            <v>Prefloat Cleaner Con 1+2</v>
          </cell>
          <cell r="E49">
            <v>82.08</v>
          </cell>
          <cell r="F49">
            <v>8.135109419600381</v>
          </cell>
          <cell r="G49">
            <v>4.7015314327485385</v>
          </cell>
          <cell r="H49">
            <v>0.9493542884990257</v>
          </cell>
          <cell r="I49">
            <v>5.3935794346978572</v>
          </cell>
          <cell r="J49">
            <v>4.4594834307992208</v>
          </cell>
          <cell r="K49">
            <v>40.374537037037037</v>
          </cell>
          <cell r="L49">
            <v>0.20256457115009752</v>
          </cell>
          <cell r="M49">
            <v>20.461622807017545</v>
          </cell>
          <cell r="N49">
            <v>3.3724050237619805</v>
          </cell>
          <cell r="O49">
            <v>4.123578989057167</v>
          </cell>
          <cell r="P49">
            <v>2.8854744529710299</v>
          </cell>
          <cell r="Q49">
            <v>2.9855016052618257</v>
          </cell>
          <cell r="R49">
            <v>9.0988326569969011</v>
          </cell>
          <cell r="S49">
            <v>2.4412900683257286</v>
          </cell>
          <cell r="T49">
            <v>51.878052274731004</v>
          </cell>
        </row>
        <row r="50">
          <cell r="B50" t="str">
            <v>Pb Cleaner 3 Con 1</v>
          </cell>
          <cell r="E50">
            <v>6.6</v>
          </cell>
          <cell r="F50">
            <v>0.65413891531874413</v>
          </cell>
          <cell r="G50">
            <v>1.4550000000000001</v>
          </cell>
          <cell r="H50">
            <v>81.900000000000006</v>
          </cell>
          <cell r="I50">
            <v>13.9</v>
          </cell>
          <cell r="J50">
            <v>0.88</v>
          </cell>
          <cell r="K50">
            <v>0.6</v>
          </cell>
          <cell r="L50">
            <v>6.5000000000000002E-2</v>
          </cell>
          <cell r="M50">
            <v>1.2399999999999998</v>
          </cell>
          <cell r="N50">
            <v>8.3920867524518036E-2</v>
          </cell>
          <cell r="O50">
            <v>28.604640308316682</v>
          </cell>
          <cell r="P50">
            <v>0.59794541809006507</v>
          </cell>
          <cell r="Q50">
            <v>4.7372032036772184E-2</v>
          </cell>
          <cell r="R50">
            <v>1.0872663831083262E-2</v>
          </cell>
          <cell r="S50">
            <v>6.2990613737812368E-2</v>
          </cell>
          <cell r="T50">
            <v>0.2527969680179093</v>
          </cell>
        </row>
        <row r="51">
          <cell r="B51" t="str">
            <v>Pb Cleaner 3 Con 1+2</v>
          </cell>
          <cell r="E51">
            <v>12.129999999999999</v>
          </cell>
          <cell r="F51">
            <v>1.2022280367903584</v>
          </cell>
          <cell r="G51">
            <v>1.6806677658697446</v>
          </cell>
          <cell r="H51">
            <v>81.352926628194567</v>
          </cell>
          <cell r="I51">
            <v>13.945589447650457</v>
          </cell>
          <cell r="J51">
            <v>1.0167683429513603</v>
          </cell>
          <cell r="K51">
            <v>0.66838417147568019</v>
          </cell>
          <cell r="L51">
            <v>7.41178895300907E-2</v>
          </cell>
          <cell r="M51">
            <v>1.5636850783182192</v>
          </cell>
          <cell r="N51">
            <v>0.1781581553460988</v>
          </cell>
          <cell r="O51">
            <v>52.220693579180619</v>
          </cell>
          <cell r="P51">
            <v>1.1025555583618423</v>
          </cell>
          <cell r="Q51">
            <v>0.10059542354034538</v>
          </cell>
          <cell r="R51">
            <v>2.2260131820835242E-2</v>
          </cell>
          <cell r="S51">
            <v>0.1320086510046159</v>
          </cell>
          <cell r="T51">
            <v>0.58589033368520216</v>
          </cell>
        </row>
        <row r="52">
          <cell r="B52" t="str">
            <v>Pb Cleaner 3 Con 1+2+3</v>
          </cell>
          <cell r="E52">
            <v>15.959999999999999</v>
          </cell>
          <cell r="F52">
            <v>1.581826831588963</v>
          </cell>
          <cell r="G52">
            <v>2.0944642857142854</v>
          </cell>
          <cell r="H52">
            <v>79.660401002506262</v>
          </cell>
          <cell r="I52">
            <v>14.006641604010026</v>
          </cell>
          <cell r="J52">
            <v>1.2911152882205514</v>
          </cell>
          <cell r="K52">
            <v>0.831954887218045</v>
          </cell>
          <cell r="L52">
            <v>9.3527568922305765E-2</v>
          </cell>
          <cell r="M52">
            <v>2.1075438596491227</v>
          </cell>
          <cell r="N52">
            <v>0.29212510541559461</v>
          </cell>
          <cell r="O52">
            <v>67.279697330794505</v>
          </cell>
          <cell r="P52">
            <v>1.4570340792714376</v>
          </cell>
          <cell r="Q52">
            <v>0.1680712063629709</v>
          </cell>
          <cell r="R52">
            <v>3.645637130028373E-2</v>
          </cell>
          <cell r="S52">
            <v>0.21917503292874718</v>
          </cell>
          <cell r="T52">
            <v>1.0390004808208217</v>
          </cell>
        </row>
        <row r="53">
          <cell r="B53" t="str">
            <v>Pb Cleaner 2 Con</v>
          </cell>
          <cell r="E53">
            <v>22.91</v>
          </cell>
          <cell r="F53">
            <v>2.2706549318109741</v>
          </cell>
          <cell r="G53">
            <v>4.1286621562636387</v>
          </cell>
          <cell r="H53">
            <v>64.261676123963326</v>
          </cell>
          <cell r="I53">
            <v>13.792274116106503</v>
          </cell>
          <cell r="J53">
            <v>2.5072544740288079</v>
          </cell>
          <cell r="K53">
            <v>3.0458969882147531</v>
          </cell>
          <cell r="L53">
            <v>0.1804321257092972</v>
          </cell>
          <cell r="M53">
            <v>8.8398690528153647</v>
          </cell>
          <cell r="N53">
            <v>0.82660394096693501</v>
          </cell>
          <cell r="O53">
            <v>77.908670263652283</v>
          </cell>
          <cell r="P53">
            <v>2.0595093868924881</v>
          </cell>
          <cell r="Q53">
            <v>0.46851004935100521</v>
          </cell>
          <cell r="R53">
            <v>0.19159363412341837</v>
          </cell>
          <cell r="S53">
            <v>0.60695641027504665</v>
          </cell>
          <cell r="T53">
            <v>6.2557179714983171</v>
          </cell>
        </row>
        <row r="54">
          <cell r="B54" t="str">
            <v>Pb Cleaner 1 Con</v>
          </cell>
          <cell r="E54">
            <v>38.83</v>
          </cell>
          <cell r="F54">
            <v>3.8485172851252774</v>
          </cell>
          <cell r="G54">
            <v>5.5682835436518152</v>
          </cell>
          <cell r="H54">
            <v>40.206742209631727</v>
          </cell>
          <cell r="I54">
            <v>11.921776976564514</v>
          </cell>
          <cell r="J54">
            <v>3.8121555498326036</v>
          </cell>
          <cell r="K54">
            <v>12.784895699201648</v>
          </cell>
          <cell r="L54">
            <v>0.25405356682977082</v>
          </cell>
          <cell r="M54">
            <v>14.850409477208345</v>
          </cell>
          <cell r="N54">
            <v>1.8895211972374857</v>
          </cell>
          <cell r="O54">
            <v>82.618047985985442</v>
          </cell>
          <cell r="P54">
            <v>3.0172492653187266</v>
          </cell>
          <cell r="Q54">
            <v>1.2073506222925687</v>
          </cell>
          <cell r="R54">
            <v>1.3630298107685346</v>
          </cell>
          <cell r="S54">
            <v>1.4484757703080309</v>
          </cell>
          <cell r="T54">
            <v>17.8119742856308</v>
          </cell>
        </row>
        <row r="55">
          <cell r="B55" t="str">
            <v>Zn Ro Con 1</v>
          </cell>
          <cell r="E55">
            <v>97.78</v>
          </cell>
          <cell r="F55">
            <v>9.6911671424040602</v>
          </cell>
          <cell r="G55">
            <v>47</v>
          </cell>
          <cell r="H55">
            <v>0.37499999999999994</v>
          </cell>
          <cell r="I55">
            <v>29.6</v>
          </cell>
          <cell r="J55">
            <v>9.81</v>
          </cell>
          <cell r="K55">
            <v>5.09</v>
          </cell>
          <cell r="L55">
            <v>2.1199999999999997</v>
          </cell>
          <cell r="M55">
            <v>0.40999999999999992</v>
          </cell>
          <cell r="N55">
            <v>40.161592632273923</v>
          </cell>
          <cell r="O55">
            <v>1.9403941401287632</v>
          </cell>
          <cell r="P55">
            <v>18.864467497635253</v>
          </cell>
          <cell r="Q55">
            <v>7.8237406749260128</v>
          </cell>
          <cell r="R55">
            <v>1.3664967078946733</v>
          </cell>
          <cell r="S55">
            <v>30.437182023124901</v>
          </cell>
          <cell r="T55">
            <v>1.2383406510806916</v>
          </cell>
        </row>
        <row r="56">
          <cell r="B56" t="str">
            <v>Zn Ro Con 1+2</v>
          </cell>
          <cell r="E56">
            <v>126.25</v>
          </cell>
          <cell r="F56">
            <v>12.512884554392642</v>
          </cell>
          <cell r="G56">
            <v>47.225504950495043</v>
          </cell>
          <cell r="H56">
            <v>0.38514772277227721</v>
          </cell>
          <cell r="I56">
            <v>29.64510099009901</v>
          </cell>
          <cell r="J56">
            <v>9.8979469306930685</v>
          </cell>
          <cell r="K56">
            <v>4.8126289108910889</v>
          </cell>
          <cell r="L56">
            <v>2.1042146534653465</v>
          </cell>
          <cell r="M56">
            <v>0.40548990099009896</v>
          </cell>
          <cell r="N56">
            <v>52.103996123298117</v>
          </cell>
          <cell r="O56">
            <v>2.5731634560400107</v>
          </cell>
          <cell r="P56">
            <v>24.394230745728994</v>
          </cell>
          <cell r="Q56">
            <v>10.192293338714997</v>
          </cell>
          <cell r="R56">
            <v>1.6682246608203879</v>
          </cell>
          <cell r="S56">
            <v>39.006768701182736</v>
          </cell>
          <cell r="T56">
            <v>1.5813123733428192</v>
          </cell>
        </row>
        <row r="57">
          <cell r="B57" t="str">
            <v>Zn Ro Con 1+2+3</v>
          </cell>
          <cell r="E57">
            <v>173.31</v>
          </cell>
          <cell r="F57">
            <v>17.177093244529022</v>
          </cell>
          <cell r="G57">
            <v>47.137118458253994</v>
          </cell>
          <cell r="H57">
            <v>0.41226126593964563</v>
          </cell>
          <cell r="I57">
            <v>29.822930009809014</v>
          </cell>
          <cell r="J57">
            <v>10.170040967053255</v>
          </cell>
          <cell r="K57">
            <v>4.6734314234608503</v>
          </cell>
          <cell r="L57">
            <v>2.0691281518665972</v>
          </cell>
          <cell r="M57">
            <v>0.40942992325890021</v>
          </cell>
          <cell r="N57">
            <v>71.39202294882233</v>
          </cell>
          <cell r="O57">
            <v>3.7809837299532285</v>
          </cell>
          <cell r="P57">
            <v>33.688117105791662</v>
          </cell>
          <cell r="Q57">
            <v>14.376121389918584</v>
          </cell>
          <cell r="R57">
            <v>2.2238232738331019</v>
          </cell>
          <cell r="S57">
            <v>52.653780607803633</v>
          </cell>
          <cell r="T57">
            <v>2.191842998008946</v>
          </cell>
        </row>
        <row r="58">
          <cell r="B58" t="str">
            <v>Zn Ro Con 1-3 + Scav Con 1</v>
          </cell>
          <cell r="E58">
            <v>200.44</v>
          </cell>
          <cell r="F58">
            <v>19.866000634316524</v>
          </cell>
          <cell r="G58">
            <v>45.562008581121532</v>
          </cell>
          <cell r="H58">
            <v>0.42210661544601874</v>
          </cell>
          <cell r="I58">
            <v>30.320629614847338</v>
          </cell>
          <cell r="J58">
            <v>11.243378567152265</v>
          </cell>
          <cell r="K58">
            <v>4.7528247854719616</v>
          </cell>
          <cell r="L58">
            <v>1.9826207343843545</v>
          </cell>
          <cell r="M58">
            <v>0.40815356216324084</v>
          </cell>
          <cell r="N58">
            <v>79.808710059712283</v>
          </cell>
          <cell r="O58">
            <v>4.477289807965672</v>
          </cell>
          <cell r="P58">
            <v>39.611876457854514</v>
          </cell>
          <cell r="Q58">
            <v>18.381317403650176</v>
          </cell>
          <cell r="R58">
            <v>2.6156339922215208</v>
          </cell>
          <cell r="S58">
            <v>58.350231776826462</v>
          </cell>
          <cell r="T58">
            <v>2.5270522718274151</v>
          </cell>
        </row>
        <row r="59">
          <cell r="B59" t="str">
            <v>Zn Ro Con 1-3 + Scav Con 1-2</v>
          </cell>
          <cell r="E59">
            <v>227.93</v>
          </cell>
          <cell r="F59">
            <v>22.590588328575961</v>
          </cell>
          <cell r="G59">
            <v>42.913232132672306</v>
          </cell>
          <cell r="H59">
            <v>0.43813451498267009</v>
          </cell>
          <cell r="I59">
            <v>31.017663317685262</v>
          </cell>
          <cell r="J59">
            <v>12.806040451015662</v>
          </cell>
          <cell r="K59">
            <v>5.150487869082613</v>
          </cell>
          <cell r="L59">
            <v>1.8574761988329751</v>
          </cell>
          <cell r="M59">
            <v>0.43008555258193304</v>
          </cell>
          <cell r="N59">
            <v>85.47827558076574</v>
          </cell>
          <cell r="O59">
            <v>5.2846668142038267</v>
          </cell>
          <cell r="P59">
            <v>46.080095942408491</v>
          </cell>
          <cell r="Q59">
            <v>23.807388906528789</v>
          </cell>
          <cell r="R59">
            <v>3.2232250796375954</v>
          </cell>
          <cell r="S59">
            <v>62.164621784312651</v>
          </cell>
          <cell r="T59">
            <v>3.0280468104368081</v>
          </cell>
        </row>
        <row r="60">
          <cell r="B60" t="str">
            <v>Zn Ro Con 1-3 + Scav Con 1-3</v>
          </cell>
          <cell r="E60">
            <v>262.7</v>
          </cell>
          <cell r="F60">
            <v>26.036711068823344</v>
          </cell>
          <cell r="G60">
            <v>38.980498667681758</v>
          </cell>
          <cell r="H60">
            <v>0.452940616673011</v>
          </cell>
          <cell r="I60">
            <v>31.372687476208608</v>
          </cell>
          <cell r="J60">
            <v>14.803821088694329</v>
          </cell>
          <cell r="K60">
            <v>6.2158915112295405</v>
          </cell>
          <cell r="L60">
            <v>1.6930266463646744</v>
          </cell>
          <cell r="M60">
            <v>0.49889950513894177</v>
          </cell>
          <cell r="N60">
            <v>89.489173950288063</v>
          </cell>
          <cell r="O60">
            <v>6.2966563782251646</v>
          </cell>
          <cell r="P60">
            <v>53.71735281728985</v>
          </cell>
          <cell r="Q60">
            <v>31.719717238885551</v>
          </cell>
          <cell r="R60">
            <v>4.483366817660146</v>
          </cell>
          <cell r="S60">
            <v>65.304395533480943</v>
          </cell>
          <cell r="T60">
            <v>4.0483624322700891</v>
          </cell>
        </row>
        <row r="61">
          <cell r="B61" t="str">
            <v>Zn Ro Con 1-3 + Scav Con 1-4</v>
          </cell>
          <cell r="E61">
            <v>289.14999999999998</v>
          </cell>
          <cell r="F61">
            <v>28.65822232794164</v>
          </cell>
          <cell r="G61">
            <v>36.144727650008647</v>
          </cell>
          <cell r="H61">
            <v>0.45267162372471037</v>
          </cell>
          <cell r="I61">
            <v>31.091613349472599</v>
          </cell>
          <cell r="J61">
            <v>15.919466712778839</v>
          </cell>
          <cell r="K61">
            <v>7.4950880166003824</v>
          </cell>
          <cell r="L61">
            <v>1.5825223932215113</v>
          </cell>
          <cell r="M61">
            <v>0.59047518588967673</v>
          </cell>
          <cell r="N61">
            <v>91.333728925740274</v>
          </cell>
          <cell r="O61">
            <v>6.9265204609382645</v>
          </cell>
          <cell r="P61">
            <v>58.596174198694328</v>
          </cell>
          <cell r="Q61">
            <v>37.544568595473166</v>
          </cell>
          <cell r="R61">
            <v>5.9503252919807208</v>
          </cell>
          <cell r="S61">
            <v>67.187983740199101</v>
          </cell>
          <cell r="T61">
            <v>5.2738902555973803</v>
          </cell>
        </row>
        <row r="62">
          <cell r="B62" t="str">
            <v>Zn Ro Con 1-3 + Scav Con 1-5</v>
          </cell>
          <cell r="E62">
            <v>309.42999999999995</v>
          </cell>
          <cell r="F62">
            <v>30.668212813193779</v>
          </cell>
          <cell r="G62">
            <v>34.076962802572474</v>
          </cell>
          <cell r="H62">
            <v>0.44758103609863298</v>
          </cell>
          <cell r="I62">
            <v>30.915205377629846</v>
          </cell>
          <cell r="J62">
            <v>16.71777720324468</v>
          </cell>
          <cell r="K62">
            <v>8.5178318197976939</v>
          </cell>
          <cell r="L62">
            <v>1.5017430436609249</v>
          </cell>
          <cell r="M62">
            <v>0.63304495362440616</v>
          </cell>
          <cell r="N62">
            <v>92.148089054206409</v>
          </cell>
          <cell r="O62">
            <v>7.3289666990422866</v>
          </cell>
          <cell r="P62">
            <v>62.35012950106853</v>
          </cell>
          <cell r="Q62">
            <v>42.192606672734065</v>
          </cell>
          <cell r="R62">
            <v>7.2365614231978705</v>
          </cell>
          <cell r="S62">
            <v>68.230192076588366</v>
          </cell>
          <cell r="T62">
            <v>6.0506663936887746</v>
          </cell>
        </row>
        <row r="63">
          <cell r="B63" t="str">
            <v>De-Leaded Tails</v>
          </cell>
          <cell r="E63">
            <v>879.1099999999999</v>
          </cell>
          <cell r="F63">
            <v>87.130312400888045</v>
          </cell>
          <cell r="G63">
            <v>12.253650396423655</v>
          </cell>
          <cell r="H63">
            <v>0.27418343552001445</v>
          </cell>
          <cell r="I63">
            <v>16.331404261127734</v>
          </cell>
          <cell r="J63">
            <v>13.271756435485891</v>
          </cell>
          <cell r="K63">
            <v>36.630301896235956</v>
          </cell>
          <cell r="L63">
            <v>0.73919117061573625</v>
          </cell>
          <cell r="M63">
            <v>1.0976454596125629</v>
          </cell>
          <cell r="N63">
            <v>94.139468406965648</v>
          </cell>
          <cell r="O63">
            <v>12.755370791896713</v>
          </cell>
          <cell r="P63">
            <v>93.577094401757222</v>
          </cell>
          <cell r="Q63">
            <v>95.162760082182331</v>
          </cell>
          <cell r="R63">
            <v>88.414703068154807</v>
          </cell>
          <cell r="S63">
            <v>95.415413920646657</v>
          </cell>
          <cell r="T63">
            <v>29.806538656591695</v>
          </cell>
        </row>
        <row r="64">
          <cell r="B64" t="str">
            <v>Lead Float Feed</v>
          </cell>
          <cell r="E64">
            <v>917.93999999999994</v>
          </cell>
          <cell r="F64">
            <v>90.978829686013313</v>
          </cell>
          <cell r="G64">
            <v>11.970851090485219</v>
          </cell>
          <cell r="H64">
            <v>1.9633801773536397</v>
          </cell>
          <cell r="I64">
            <v>16.144871560232701</v>
          </cell>
          <cell r="J64">
            <v>12.871603590648629</v>
          </cell>
          <cell r="K64">
            <v>35.621611652177705</v>
          </cell>
          <cell r="L64">
            <v>0.71866924853476266</v>
          </cell>
          <cell r="M64">
            <v>1.6794044273046171</v>
          </cell>
          <cell r="N64">
            <v>96.028989604203133</v>
          </cell>
          <cell r="O64">
            <v>95.373418777882137</v>
          </cell>
          <cell r="P64">
            <v>96.594343667075947</v>
          </cell>
          <cell r="Q64">
            <v>96.370110704474882</v>
          </cell>
          <cell r="R64">
            <v>89.777732878923345</v>
          </cell>
          <cell r="S64">
            <v>96.863889690954693</v>
          </cell>
          <cell r="T64">
            <v>47.618512942222495</v>
          </cell>
        </row>
        <row r="71">
          <cell r="C71" t="str">
            <v>Test No.</v>
          </cell>
          <cell r="D71" t="str">
            <v>Zn Kinetic Rougher</v>
          </cell>
        </row>
        <row r="72">
          <cell r="C72" t="str">
            <v>Sample Tested</v>
          </cell>
          <cell r="D72" t="str">
            <v xml:space="preserve">  Expected Blend</v>
          </cell>
        </row>
        <row r="73">
          <cell r="C73" t="str">
            <v>Test Objective</v>
          </cell>
          <cell r="D73" t="str">
            <v xml:space="preserve">  To Determine the kinetics of the Zinc Flotation</v>
          </cell>
        </row>
        <row r="74">
          <cell r="D74" t="str">
            <v/>
          </cell>
        </row>
        <row r="75">
          <cell r="B75" t="str">
            <v/>
          </cell>
          <cell r="C75" t="str">
            <v/>
          </cell>
          <cell r="D75" t="str">
            <v>Float</v>
          </cell>
          <cell r="E75" t="str">
            <v>Weight</v>
          </cell>
          <cell r="G75" t="str">
            <v>Assay</v>
          </cell>
          <cell r="N75" t="str">
            <v>Recovery</v>
          </cell>
        </row>
        <row r="76">
          <cell r="B76" t="str">
            <v>Product</v>
          </cell>
          <cell r="C76" t="str">
            <v/>
          </cell>
          <cell r="D76" t="str">
            <v>Time</v>
          </cell>
          <cell r="E76" t="str">
            <v/>
          </cell>
          <cell r="F76" t="str">
            <v/>
          </cell>
          <cell r="G76" t="str">
            <v>Zn</v>
          </cell>
          <cell r="H76" t="str">
            <v>Pb</v>
          </cell>
          <cell r="I76" t="str">
            <v>S</v>
          </cell>
          <cell r="J76" t="str">
            <v>Fe</v>
          </cell>
          <cell r="K76" t="str">
            <v>SiO2</v>
          </cell>
          <cell r="L76" t="str">
            <v>Mn</v>
          </cell>
          <cell r="M76" t="str">
            <v>TOEC</v>
          </cell>
          <cell r="N76" t="str">
            <v>Zn</v>
          </cell>
          <cell r="O76" t="str">
            <v>Pb</v>
          </cell>
          <cell r="P76" t="str">
            <v>S</v>
          </cell>
          <cell r="Q76" t="str">
            <v>Fe</v>
          </cell>
          <cell r="R76" t="str">
            <v>SiO2</v>
          </cell>
          <cell r="S76" t="str">
            <v>Mn</v>
          </cell>
          <cell r="T76" t="str">
            <v>TOEC</v>
          </cell>
        </row>
        <row r="77">
          <cell r="B77" t="str">
            <v/>
          </cell>
          <cell r="C77" t="str">
            <v/>
          </cell>
          <cell r="D77" t="str">
            <v>min</v>
          </cell>
          <cell r="E77" t="str">
            <v>g</v>
          </cell>
          <cell r="F77" t="str">
            <v>%</v>
          </cell>
          <cell r="G77" t="str">
            <v>%</v>
          </cell>
          <cell r="H77" t="str">
            <v>%</v>
          </cell>
          <cell r="I77" t="str">
            <v>%</v>
          </cell>
          <cell r="J77" t="str">
            <v>%</v>
          </cell>
          <cell r="K77" t="str">
            <v>%</v>
          </cell>
          <cell r="L77" t="str">
            <v>%</v>
          </cell>
          <cell r="M77" t="str">
            <v>%</v>
          </cell>
          <cell r="N77" t="str">
            <v>%</v>
          </cell>
          <cell r="O77" t="str">
            <v>%</v>
          </cell>
          <cell r="P77" t="str">
            <v>%</v>
          </cell>
          <cell r="Q77" t="str">
            <v>%</v>
          </cell>
          <cell r="R77" t="str">
            <v>%</v>
          </cell>
          <cell r="S77" t="str">
            <v>%</v>
          </cell>
          <cell r="T77" t="str">
            <v>%</v>
          </cell>
        </row>
        <row r="79">
          <cell r="B79" t="str">
            <v xml:space="preserve">     PRE-FLOAT</v>
          </cell>
          <cell r="D79" t="str">
            <v/>
          </cell>
          <cell r="E79" t="str">
            <v/>
          </cell>
          <cell r="F79">
            <v>0</v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L79" t="str">
            <v/>
          </cell>
          <cell r="M79" t="str">
            <v/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</row>
        <row r="80">
          <cell r="B80" t="str">
            <v xml:space="preserve">  Prefloat Cleaner 1 Con 1</v>
          </cell>
          <cell r="D80" t="str">
            <v>20 sec</v>
          </cell>
          <cell r="E80">
            <v>39.979999999999997</v>
          </cell>
          <cell r="F80">
            <v>3.9624960355217254</v>
          </cell>
          <cell r="G80">
            <v>4.74</v>
          </cell>
          <cell r="H80">
            <v>0.97499999999999998</v>
          </cell>
          <cell r="I80">
            <v>5.45</v>
          </cell>
          <cell r="J80">
            <v>4.4800000000000004</v>
          </cell>
          <cell r="K80">
            <v>39.4</v>
          </cell>
          <cell r="L80">
            <v>0.2</v>
          </cell>
          <cell r="M80">
            <v>20</v>
          </cell>
          <cell r="N80">
            <v>1.6560908866403514</v>
          </cell>
          <cell r="O80">
            <v>2.0627949486408745</v>
          </cell>
          <cell r="P80">
            <v>1.4201757694905424</v>
          </cell>
          <cell r="Q80">
            <v>1.4608856072519076</v>
          </cell>
          <cell r="R80">
            <v>4.324937004719275</v>
          </cell>
          <cell r="S80">
            <v>1.1740628145630483</v>
          </cell>
          <cell r="T80">
            <v>24.698980404095831</v>
          </cell>
        </row>
        <row r="81">
          <cell r="B81" t="str">
            <v xml:space="preserve">  Prefloat Cleaner 1 Con 2</v>
          </cell>
          <cell r="D81" t="str">
            <v>40 sec</v>
          </cell>
          <cell r="E81">
            <v>42.1</v>
          </cell>
          <cell r="F81">
            <v>4.1726133840786561</v>
          </cell>
          <cell r="G81">
            <v>4.665</v>
          </cell>
          <cell r="H81">
            <v>0.92500000000000004</v>
          </cell>
          <cell r="I81">
            <v>5.34</v>
          </cell>
          <cell r="J81">
            <v>4.4400000000000004</v>
          </cell>
          <cell r="K81">
            <v>41.3</v>
          </cell>
          <cell r="L81">
            <v>0.20499999999999999</v>
          </cell>
          <cell r="M81">
            <v>20.9</v>
          </cell>
          <cell r="N81">
            <v>1.7163141371216293</v>
          </cell>
          <cell r="O81">
            <v>2.060784040416292</v>
          </cell>
          <cell r="P81">
            <v>1.4652986834804873</v>
          </cell>
          <cell r="Q81">
            <v>1.5246159980099181</v>
          </cell>
          <cell r="R81">
            <v>4.773895652277627</v>
          </cell>
          <cell r="S81">
            <v>1.2672272537626801</v>
          </cell>
          <cell r="T81">
            <v>27.179071870635173</v>
          </cell>
        </row>
        <row r="82">
          <cell r="B82" t="str">
            <v xml:space="preserve">  Prefloat cleaner tail</v>
          </cell>
          <cell r="D82" t="str">
            <v/>
          </cell>
          <cell r="E82">
            <v>1.99</v>
          </cell>
          <cell r="F82">
            <v>0.19723279416428799</v>
          </cell>
          <cell r="G82">
            <v>4.8049999999999997</v>
          </cell>
          <cell r="H82">
            <v>0.83</v>
          </cell>
          <cell r="I82">
            <v>5.39</v>
          </cell>
          <cell r="J82">
            <v>5.3</v>
          </cell>
          <cell r="K82">
            <v>50.2</v>
          </cell>
          <cell r="L82">
            <v>0.26500000000000001</v>
          </cell>
          <cell r="M82">
            <v>8.19</v>
          </cell>
          <cell r="N82">
            <v>8.3562130503599397E-2</v>
          </cell>
          <cell r="O82">
            <v>8.740571354061985E-2</v>
          </cell>
          <cell r="P82">
            <v>6.9910860573096201E-2</v>
          </cell>
          <cell r="Q82">
            <v>8.6024934898732128E-2</v>
          </cell>
          <cell r="R82">
            <v>0.27428216449433229</v>
          </cell>
          <cell r="S82">
            <v>7.7431468891923899E-2</v>
          </cell>
          <cell r="T82">
            <v>0.50343478304651612</v>
          </cell>
        </row>
        <row r="83">
          <cell r="B83" t="str">
            <v xml:space="preserve">     LEAD</v>
          </cell>
          <cell r="D83" t="str">
            <v/>
          </cell>
          <cell r="E83" t="str">
            <v/>
          </cell>
          <cell r="F83">
            <v>0</v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L83" t="str">
            <v/>
          </cell>
          <cell r="M83" t="str">
            <v/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</row>
        <row r="84">
          <cell r="B84" t="str">
            <v xml:space="preserve">  Pb cleaner 3 con 1</v>
          </cell>
          <cell r="D84" t="str">
            <v>20 sec</v>
          </cell>
          <cell r="E84">
            <v>6.6</v>
          </cell>
          <cell r="F84">
            <v>0.65413891531874413</v>
          </cell>
          <cell r="G84">
            <v>1.4550000000000001</v>
          </cell>
          <cell r="H84">
            <v>81.900000000000006</v>
          </cell>
          <cell r="I84">
            <v>13.9</v>
          </cell>
          <cell r="J84">
            <v>0.88</v>
          </cell>
          <cell r="K84">
            <v>0.6</v>
          </cell>
          <cell r="L84">
            <v>6.5000000000000002E-2</v>
          </cell>
          <cell r="M84">
            <v>1.24</v>
          </cell>
          <cell r="N84">
            <v>8.3920867524518036E-2</v>
          </cell>
          <cell r="O84">
            <v>28.604640308316682</v>
          </cell>
          <cell r="P84">
            <v>0.59794541809006507</v>
          </cell>
          <cell r="Q84">
            <v>4.7372032036772184E-2</v>
          </cell>
          <cell r="R84">
            <v>1.0872663831083262E-2</v>
          </cell>
          <cell r="S84">
            <v>6.2990613737812368E-2</v>
          </cell>
          <cell r="T84">
            <v>0.2527969680179093</v>
          </cell>
        </row>
        <row r="85">
          <cell r="B85" t="str">
            <v xml:space="preserve">  Pb cleaner 3 con 2</v>
          </cell>
          <cell r="D85" t="str">
            <v>40 sec</v>
          </cell>
          <cell r="E85">
            <v>5.53</v>
          </cell>
          <cell r="F85">
            <v>0.54808912147161437</v>
          </cell>
          <cell r="G85">
            <v>1.95</v>
          </cell>
          <cell r="H85">
            <v>80.7</v>
          </cell>
          <cell r="I85">
            <v>14</v>
          </cell>
          <cell r="J85">
            <v>1.18</v>
          </cell>
          <cell r="K85">
            <v>0.75</v>
          </cell>
          <cell r="L85">
            <v>8.5000000000000006E-2</v>
          </cell>
          <cell r="M85">
            <v>1.95</v>
          </cell>
          <cell r="N85">
            <v>9.4237287821580779E-2</v>
          </cell>
          <cell r="O85">
            <v>23.616053270863937</v>
          </cell>
          <cell r="P85">
            <v>0.50461014027177709</v>
          </cell>
          <cell r="Q85">
            <v>5.3223391503573199E-2</v>
          </cell>
          <cell r="R85">
            <v>1.1387467989751978E-2</v>
          </cell>
          <cell r="S85">
            <v>6.9018037266803528E-2</v>
          </cell>
          <cell r="T85">
            <v>0.33309336566729292</v>
          </cell>
        </row>
        <row r="86">
          <cell r="B86" t="str">
            <v xml:space="preserve">  Pb cleaner 3 con 3</v>
          </cell>
          <cell r="D86" t="str">
            <v>60 sec</v>
          </cell>
          <cell r="E86">
            <v>3.83</v>
          </cell>
          <cell r="F86">
            <v>0.37959879479860453</v>
          </cell>
          <cell r="G86">
            <v>3.4049999999999998</v>
          </cell>
          <cell r="H86">
            <v>74.3</v>
          </cell>
          <cell r="I86">
            <v>14.2</v>
          </cell>
          <cell r="J86">
            <v>2.16</v>
          </cell>
          <cell r="K86">
            <v>1.35</v>
          </cell>
          <cell r="L86">
            <v>0.155</v>
          </cell>
          <cell r="M86">
            <v>3.83</v>
          </cell>
          <cell r="N86">
            <v>0.1139669500694958</v>
          </cell>
          <cell r="O86">
            <v>15.059003751613885</v>
          </cell>
          <cell r="P86">
            <v>0.35447852090959536</v>
          </cell>
          <cell r="Q86">
            <v>6.7475782822625507E-2</v>
          </cell>
          <cell r="R86">
            <v>1.4196239479448487E-2</v>
          </cell>
          <cell r="S86">
            <v>8.7166381924131273E-2</v>
          </cell>
          <cell r="T86">
            <v>0.45311014713561953</v>
          </cell>
        </row>
        <row r="87">
          <cell r="B87" t="str">
            <v xml:space="preserve">  Pb cleaner 3 Tail</v>
          </cell>
          <cell r="D87" t="str">
            <v/>
          </cell>
          <cell r="E87">
            <v>6.95</v>
          </cell>
          <cell r="F87">
            <v>0.6888281002220108</v>
          </cell>
          <cell r="G87">
            <v>8.8000000000000007</v>
          </cell>
          <cell r="H87">
            <v>28.9</v>
          </cell>
          <cell r="I87">
            <v>13.3</v>
          </cell>
          <cell r="J87">
            <v>5.3</v>
          </cell>
          <cell r="K87">
            <v>8.1300000000000008</v>
          </cell>
          <cell r="L87">
            <v>0.38</v>
          </cell>
          <cell r="M87">
            <v>24.3</v>
          </cell>
          <cell r="N87">
            <v>0.53447883555134046</v>
          </cell>
          <cell r="O87">
            <v>10.628972932857783</v>
          </cell>
          <cell r="P87">
            <v>0.60247530762105028</v>
          </cell>
          <cell r="Q87">
            <v>0.3004388429880343</v>
          </cell>
          <cell r="R87">
            <v>0.15513726282313464</v>
          </cell>
          <cell r="S87">
            <v>0.38778137734629942</v>
          </cell>
          <cell r="T87">
            <v>5.2167174906774951</v>
          </cell>
        </row>
        <row r="88">
          <cell r="B88" t="str">
            <v xml:space="preserve">  Pb cleaner 2 tail</v>
          </cell>
          <cell r="D88" t="str">
            <v/>
          </cell>
          <cell r="E88">
            <v>15.92</v>
          </cell>
          <cell r="F88">
            <v>1.5778623533143039</v>
          </cell>
          <cell r="G88">
            <v>7.64</v>
          </cell>
          <cell r="H88">
            <v>5.59</v>
          </cell>
          <cell r="I88">
            <v>9.23</v>
          </cell>
          <cell r="J88">
            <v>5.69</v>
          </cell>
          <cell r="K88">
            <v>26.8</v>
          </cell>
          <cell r="L88">
            <v>0.36</v>
          </cell>
          <cell r="M88">
            <v>23.5</v>
          </cell>
          <cell r="N88">
            <v>1.0629172562705507</v>
          </cell>
          <cell r="O88">
            <v>4.7093777223331568</v>
          </cell>
          <cell r="P88">
            <v>0.95773987842623831</v>
          </cell>
          <cell r="Q88">
            <v>0.73884057294156347</v>
          </cell>
          <cell r="R88">
            <v>1.1714361766451162</v>
          </cell>
          <cell r="S88">
            <v>0.84151936003298433</v>
          </cell>
          <cell r="T88">
            <v>11.556256314132483</v>
          </cell>
        </row>
        <row r="89">
          <cell r="B89" t="str">
            <v xml:space="preserve">  Pb cleaner 1 tail</v>
          </cell>
          <cell r="D89" t="str">
            <v/>
          </cell>
          <cell r="E89">
            <v>6.95</v>
          </cell>
          <cell r="F89">
            <v>0.6888281002220108</v>
          </cell>
          <cell r="G89">
            <v>8.48</v>
          </cell>
          <cell r="H89">
            <v>1.1299999999999999</v>
          </cell>
          <cell r="I89">
            <v>9.94</v>
          </cell>
          <cell r="J89">
            <v>9.85</v>
          </cell>
          <cell r="K89">
            <v>44.5</v>
          </cell>
          <cell r="L89">
            <v>0.60499999999999998</v>
          </cell>
          <cell r="M89" t="str">
            <v xml:space="preserve">      I.S.</v>
          </cell>
          <cell r="N89">
            <v>0.51504324153129177</v>
          </cell>
          <cell r="O89">
            <v>0.41559651952004478</v>
          </cell>
          <cell r="P89">
            <v>0.45027101937994285</v>
          </cell>
          <cell r="Q89">
            <v>0.55836275536455426</v>
          </cell>
          <cell r="R89">
            <v>0.84915229958542326</v>
          </cell>
          <cell r="S89">
            <v>0.61738877182766094</v>
          </cell>
          <cell r="T89">
            <v>0</v>
          </cell>
        </row>
        <row r="90">
          <cell r="B90" t="str">
            <v xml:space="preserve">     ZINC</v>
          </cell>
          <cell r="D90" t="str">
            <v/>
          </cell>
          <cell r="E90" t="str">
            <v/>
          </cell>
          <cell r="F90">
            <v>0</v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L90" t="str">
            <v/>
          </cell>
          <cell r="M90" t="str">
            <v/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</row>
        <row r="91">
          <cell r="B91" t="str">
            <v xml:space="preserve">  Zn Rougher con 1</v>
          </cell>
          <cell r="D91" t="str">
            <v>10 sec</v>
          </cell>
          <cell r="E91">
            <v>97.78</v>
          </cell>
          <cell r="F91">
            <v>9.6911671424040602</v>
          </cell>
          <cell r="G91">
            <v>47</v>
          </cell>
          <cell r="H91">
            <v>0.375</v>
          </cell>
          <cell r="I91">
            <v>29.6</v>
          </cell>
          <cell r="J91">
            <v>9.81</v>
          </cell>
          <cell r="K91">
            <v>5.09</v>
          </cell>
          <cell r="L91">
            <v>2.12</v>
          </cell>
          <cell r="M91">
            <v>0.41</v>
          </cell>
          <cell r="N91">
            <v>40.161592632273923</v>
          </cell>
          <cell r="O91">
            <v>1.9403941401287632</v>
          </cell>
          <cell r="P91">
            <v>18.864467497635253</v>
          </cell>
          <cell r="Q91">
            <v>7.8237406749260128</v>
          </cell>
          <cell r="R91">
            <v>1.3664967078946733</v>
          </cell>
          <cell r="S91">
            <v>30.437182023124901</v>
          </cell>
          <cell r="T91">
            <v>1.2383406510806916</v>
          </cell>
        </row>
        <row r="92">
          <cell r="B92" t="str">
            <v xml:space="preserve">  Zn Rougher con 2</v>
          </cell>
          <cell r="D92" t="str">
            <v>10 sec</v>
          </cell>
          <cell r="E92">
            <v>28.47</v>
          </cell>
          <cell r="F92">
            <v>2.8217174119885824</v>
          </cell>
          <cell r="G92">
            <v>48</v>
          </cell>
          <cell r="H92">
            <v>0.42</v>
          </cell>
          <cell r="I92">
            <v>29.8</v>
          </cell>
          <cell r="J92">
            <v>10.199999999999999</v>
          </cell>
          <cell r="K92">
            <v>3.86</v>
          </cell>
          <cell r="L92">
            <v>2.0499999999999998</v>
          </cell>
          <cell r="M92">
            <v>0.39</v>
          </cell>
          <cell r="N92">
            <v>11.942403491024194</v>
          </cell>
          <cell r="O92">
            <v>0.63276931591124763</v>
          </cell>
          <cell r="P92">
            <v>5.5297632480937402</v>
          </cell>
          <cell r="Q92">
            <v>2.368552663788984</v>
          </cell>
          <cell r="R92">
            <v>0.30172795292571469</v>
          </cell>
          <cell r="S92">
            <v>8.5695866780578367</v>
          </cell>
          <cell r="T92">
            <v>0.34297172226212763</v>
          </cell>
        </row>
        <row r="93">
          <cell r="B93" t="str">
            <v xml:space="preserve">  Zn Rougher con 3</v>
          </cell>
          <cell r="D93" t="str">
            <v>20 sec</v>
          </cell>
          <cell r="E93">
            <v>47.06</v>
          </cell>
          <cell r="F93">
            <v>4.6642086901363786</v>
          </cell>
          <cell r="G93">
            <v>46.9</v>
          </cell>
          <cell r="H93">
            <v>0.48499999999999999</v>
          </cell>
          <cell r="I93">
            <v>30.3</v>
          </cell>
          <cell r="J93">
            <v>10.9</v>
          </cell>
          <cell r="K93">
            <v>4.3</v>
          </cell>
          <cell r="L93">
            <v>1.9750000000000001</v>
          </cell>
          <cell r="M93">
            <v>0.42</v>
          </cell>
          <cell r="N93">
            <v>19.288026825524216</v>
          </cell>
          <cell r="O93">
            <v>1.2078202739132178</v>
          </cell>
          <cell r="P93">
            <v>9.2938863600626718</v>
          </cell>
          <cell r="Q93">
            <v>4.1838280512035881</v>
          </cell>
          <cell r="R93">
            <v>0.55559861301271396</v>
          </cell>
          <cell r="S93">
            <v>13.647011906620897</v>
          </cell>
          <cell r="T93">
            <v>0.61053062466612684</v>
          </cell>
        </row>
        <row r="94">
          <cell r="B94" t="str">
            <v xml:space="preserve">  Zn Scavenger con 1</v>
          </cell>
          <cell r="D94" t="str">
            <v>20 sec</v>
          </cell>
          <cell r="E94">
            <v>27.13</v>
          </cell>
          <cell r="F94">
            <v>2.688907389787504</v>
          </cell>
          <cell r="G94">
            <v>35.5</v>
          </cell>
          <cell r="H94">
            <v>0.48499999999999999</v>
          </cell>
          <cell r="I94">
            <v>33.5</v>
          </cell>
          <cell r="J94">
            <v>18.100000000000001</v>
          </cell>
          <cell r="K94">
            <v>5.26</v>
          </cell>
          <cell r="L94">
            <v>1.43</v>
          </cell>
          <cell r="M94">
            <v>0.4</v>
          </cell>
          <cell r="N94">
            <v>8.4166871108899493</v>
          </cell>
          <cell r="O94">
            <v>0.6963060780124436</v>
          </cell>
          <cell r="P94">
            <v>5.9237593520628513</v>
          </cell>
          <cell r="Q94">
            <v>4.0051960137315925</v>
          </cell>
          <cell r="R94">
            <v>0.39181071838841913</v>
          </cell>
          <cell r="S94">
            <v>5.696451169022831</v>
          </cell>
          <cell r="T94">
            <v>0.33520927381846921</v>
          </cell>
        </row>
        <row r="95">
          <cell r="B95" t="str">
            <v xml:space="preserve">  Zn Scavenger con 2</v>
          </cell>
          <cell r="D95" t="str">
            <v>1 min</v>
          </cell>
          <cell r="E95">
            <v>27.49</v>
          </cell>
          <cell r="F95">
            <v>2.7245876942594354</v>
          </cell>
          <cell r="G95">
            <v>23.6</v>
          </cell>
          <cell r="H95">
            <v>0.55500000000000005</v>
          </cell>
          <cell r="I95">
            <v>36.1</v>
          </cell>
          <cell r="J95">
            <v>24.2</v>
          </cell>
          <cell r="K95">
            <v>8.0500000000000007</v>
          </cell>
          <cell r="L95">
            <v>0.94499999999999995</v>
          </cell>
          <cell r="M95">
            <v>0.59</v>
          </cell>
          <cell r="N95">
            <v>5.6695655210534639</v>
          </cell>
          <cell r="O95">
            <v>0.80737700623815467</v>
          </cell>
          <cell r="P95">
            <v>6.4682194845539733</v>
          </cell>
          <cell r="Q95">
            <v>5.4260715028786128</v>
          </cell>
          <cell r="R95">
            <v>0.60759108741607448</v>
          </cell>
          <cell r="S95">
            <v>3.8143900074861921</v>
          </cell>
          <cell r="T95">
            <v>0.50099453860939291</v>
          </cell>
        </row>
        <row r="96">
          <cell r="B96" t="str">
            <v xml:space="preserve">  Zn Scavenger con 3</v>
          </cell>
          <cell r="D96" t="str">
            <v>2 min</v>
          </cell>
          <cell r="E96">
            <v>34.770000000000003</v>
          </cell>
          <cell r="F96">
            <v>3.4461227402473842</v>
          </cell>
          <cell r="G96">
            <v>13.2</v>
          </cell>
          <cell r="H96">
            <v>0.55000000000000004</v>
          </cell>
          <cell r="I96">
            <v>33.700000000000003</v>
          </cell>
          <cell r="J96">
            <v>27.9</v>
          </cell>
          <cell r="K96">
            <v>13.2</v>
          </cell>
          <cell r="L96">
            <v>0.61499999999999999</v>
          </cell>
          <cell r="M96">
            <v>0.95</v>
          </cell>
          <cell r="N96">
            <v>4.0108983695223257</v>
          </cell>
          <cell r="O96">
            <v>1.0119895640213381</v>
          </cell>
          <cell r="P96">
            <v>7.6372568748813574</v>
          </cell>
          <cell r="Q96">
            <v>7.9123283323567613</v>
          </cell>
          <cell r="R96">
            <v>1.2601417380225504</v>
          </cell>
          <cell r="S96">
            <v>3.1397737491682935</v>
          </cell>
          <cell r="T96">
            <v>1.0203156218332812</v>
          </cell>
        </row>
        <row r="97">
          <cell r="B97" t="str">
            <v xml:space="preserve">  Zn Scavenger con 4</v>
          </cell>
          <cell r="D97" t="str">
            <v>3 min</v>
          </cell>
          <cell r="E97">
            <v>26.45</v>
          </cell>
          <cell r="F97">
            <v>2.6215112591183001</v>
          </cell>
          <cell r="G97">
            <v>7.98</v>
          </cell>
          <cell r="H97">
            <v>0.45</v>
          </cell>
          <cell r="I97">
            <v>28.3</v>
          </cell>
          <cell r="J97">
            <v>27</v>
          </cell>
          <cell r="K97">
            <v>20.2</v>
          </cell>
          <cell r="L97">
            <v>0.48499999999999999</v>
          </cell>
          <cell r="M97">
            <v>1.5</v>
          </cell>
          <cell r="N97">
            <v>1.8445549754522068</v>
          </cell>
          <cell r="O97">
            <v>0.62986408271310024</v>
          </cell>
          <cell r="P97">
            <v>4.8788213814044781</v>
          </cell>
          <cell r="Q97">
            <v>5.8248513565876117</v>
          </cell>
          <cell r="R97">
            <v>1.4669584743205748</v>
          </cell>
          <cell r="S97">
            <v>1.8835882067181622</v>
          </cell>
          <cell r="T97">
            <v>1.2255278233272913</v>
          </cell>
        </row>
        <row r="98">
          <cell r="B98" t="str">
            <v xml:space="preserve">  Zn Scavenger con 5</v>
          </cell>
          <cell r="D98" t="str">
            <v>3 min</v>
          </cell>
          <cell r="E98">
            <v>20.28</v>
          </cell>
          <cell r="F98">
            <v>2.0099904852521409</v>
          </cell>
          <cell r="G98">
            <v>4.5949999999999998</v>
          </cell>
          <cell r="H98">
            <v>0.375</v>
          </cell>
          <cell r="I98">
            <v>28.4</v>
          </cell>
          <cell r="J98">
            <v>28.1</v>
          </cell>
          <cell r="K98">
            <v>23.1</v>
          </cell>
          <cell r="L98">
            <v>0.35</v>
          </cell>
          <cell r="M98">
            <v>1.24</v>
          </cell>
          <cell r="N98">
            <v>0.8143601284661306</v>
          </cell>
          <cell r="O98">
            <v>0.40244623810402247</v>
          </cell>
          <cell r="P98">
            <v>3.7539553023741998</v>
          </cell>
          <cell r="Q98">
            <v>4.6480380772608969</v>
          </cell>
          <cell r="R98">
            <v>1.28623613121715</v>
          </cell>
          <cell r="S98">
            <v>1.0422083363892589</v>
          </cell>
          <cell r="T98">
            <v>0.77677613809139412</v>
          </cell>
        </row>
        <row r="99">
          <cell r="B99" t="str">
            <v xml:space="preserve">  Zn Scavenger Tail</v>
          </cell>
          <cell r="D99" t="str">
            <v/>
          </cell>
          <cell r="E99">
            <v>569.67999999999995</v>
          </cell>
          <cell r="F99">
            <v>56.462099587694262</v>
          </cell>
          <cell r="G99">
            <v>0.4</v>
          </cell>
          <cell r="H99">
            <v>0.18</v>
          </cell>
          <cell r="I99">
            <v>8.41</v>
          </cell>
          <cell r="J99">
            <v>11.4</v>
          </cell>
          <cell r="K99">
            <v>51.9</v>
          </cell>
          <cell r="L99">
            <v>0.32500000000000001</v>
          </cell>
          <cell r="M99">
            <v>1.35</v>
          </cell>
          <cell r="N99">
            <v>1.9913793527592389</v>
          </cell>
          <cell r="O99">
            <v>5.426404092854427</v>
          </cell>
          <cell r="P99">
            <v>31.226964900688692</v>
          </cell>
          <cell r="Q99">
            <v>52.970153409448258</v>
          </cell>
          <cell r="R99">
            <v>81.178141644956938</v>
          </cell>
          <cell r="S99">
            <v>27.185221844058294</v>
          </cell>
          <cell r="T99">
            <v>23.755872262902919</v>
          </cell>
        </row>
        <row r="101">
          <cell r="B101" t="str">
            <v>Calculated Head</v>
          </cell>
          <cell r="C101" t="str">
            <v/>
          </cell>
          <cell r="E101">
            <v>1008.9599999999999</v>
          </cell>
          <cell r="F101">
            <v>100</v>
          </cell>
          <cell r="G101">
            <v>11.341304610688233</v>
          </cell>
          <cell r="H101">
            <v>1.8729121075166513</v>
          </cell>
          <cell r="I101">
            <v>15.206289149222961</v>
          </cell>
          <cell r="J101">
            <v>12.15152107120203</v>
          </cell>
          <cell r="K101">
            <v>36.098177529337136</v>
          </cell>
          <cell r="L101">
            <v>0.67500579804947658</v>
          </cell>
          <cell r="M101">
            <v>3.2086312638756738</v>
          </cell>
          <cell r="N101">
            <v>100.00000000000003</v>
          </cell>
          <cell r="O101">
            <v>99.999999999999972</v>
          </cell>
          <cell r="P101">
            <v>100</v>
          </cell>
          <cell r="Q101">
            <v>100</v>
          </cell>
          <cell r="R101">
            <v>100</v>
          </cell>
          <cell r="S101">
            <v>100.00000000000001</v>
          </cell>
          <cell r="T101">
            <v>100</v>
          </cell>
        </row>
        <row r="102">
          <cell r="B102" t="str">
            <v>Assay Head</v>
          </cell>
          <cell r="C102" t="str">
            <v/>
          </cell>
          <cell r="E102" t="str">
            <v/>
          </cell>
          <cell r="F102" t="str">
            <v/>
          </cell>
          <cell r="G102">
            <v>11.5</v>
          </cell>
          <cell r="H102">
            <v>1.82</v>
          </cell>
          <cell r="I102">
            <v>15.3</v>
          </cell>
          <cell r="J102">
            <v>10.9</v>
          </cell>
          <cell r="K102">
            <v>38.700000000000003</v>
          </cell>
          <cell r="L102">
            <v>0.65</v>
          </cell>
          <cell r="M102">
            <v>3.6</v>
          </cell>
          <cell r="N102" t="str">
            <v/>
          </cell>
          <cell r="O102" t="str">
            <v/>
          </cell>
          <cell r="P102" t="str">
            <v/>
          </cell>
          <cell r="Q102" t="str">
            <v/>
          </cell>
          <cell r="R102" t="str">
            <v/>
          </cell>
          <cell r="S102" t="str">
            <v/>
          </cell>
          <cell r="T102" t="str">
            <v/>
          </cell>
        </row>
        <row r="103">
          <cell r="B103" t="str">
            <v>Cumulative Products</v>
          </cell>
        </row>
        <row r="104">
          <cell r="B104" t="str">
            <v/>
          </cell>
          <cell r="C104" t="str">
            <v/>
          </cell>
          <cell r="D104" t="str">
            <v>Float</v>
          </cell>
          <cell r="E104" t="str">
            <v>Weight</v>
          </cell>
          <cell r="G104" t="str">
            <v>Assay</v>
          </cell>
          <cell r="N104" t="str">
            <v>Recovery</v>
          </cell>
        </row>
        <row r="105">
          <cell r="B105" t="str">
            <v>Product</v>
          </cell>
          <cell r="C105" t="str">
            <v/>
          </cell>
          <cell r="D105" t="str">
            <v>Time</v>
          </cell>
          <cell r="E105" t="str">
            <v/>
          </cell>
          <cell r="F105" t="str">
            <v/>
          </cell>
          <cell r="G105" t="str">
            <v>Zn</v>
          </cell>
          <cell r="H105" t="str">
            <v>Pb</v>
          </cell>
          <cell r="I105" t="str">
            <v>S</v>
          </cell>
          <cell r="J105" t="str">
            <v>Fe</v>
          </cell>
          <cell r="K105" t="str">
            <v>SiO2</v>
          </cell>
          <cell r="L105" t="str">
            <v>Mn</v>
          </cell>
          <cell r="M105" t="str">
            <v>TOEC</v>
          </cell>
          <cell r="N105" t="str">
            <v>Zn</v>
          </cell>
          <cell r="O105" t="str">
            <v>Pb</v>
          </cell>
          <cell r="P105" t="str">
            <v>S</v>
          </cell>
          <cell r="Q105" t="str">
            <v>Fe</v>
          </cell>
          <cell r="R105" t="str">
            <v>SiO2</v>
          </cell>
          <cell r="S105" t="str">
            <v>Mn</v>
          </cell>
          <cell r="T105" t="str">
            <v>TOEC</v>
          </cell>
        </row>
        <row r="106">
          <cell r="B106" t="str">
            <v/>
          </cell>
          <cell r="C106" t="str">
            <v/>
          </cell>
          <cell r="D106" t="str">
            <v>min</v>
          </cell>
          <cell r="E106" t="str">
            <v>g</v>
          </cell>
          <cell r="F106" t="str">
            <v>%</v>
          </cell>
          <cell r="G106" t="str">
            <v>%</v>
          </cell>
          <cell r="H106" t="str">
            <v>%</v>
          </cell>
          <cell r="I106" t="str">
            <v>%</v>
          </cell>
          <cell r="J106" t="str">
            <v>%</v>
          </cell>
          <cell r="K106" t="str">
            <v>%</v>
          </cell>
          <cell r="L106" t="str">
            <v>%</v>
          </cell>
          <cell r="M106" t="str">
            <v>%</v>
          </cell>
          <cell r="N106" t="str">
            <v>%</v>
          </cell>
          <cell r="O106" t="str">
            <v>%</v>
          </cell>
          <cell r="P106" t="str">
            <v>%</v>
          </cell>
          <cell r="Q106" t="str">
            <v>%</v>
          </cell>
          <cell r="R106" t="str">
            <v>%</v>
          </cell>
          <cell r="S106" t="str">
            <v>%</v>
          </cell>
          <cell r="T106" t="str">
            <v>%</v>
          </cell>
        </row>
        <row r="108">
          <cell r="B108" t="str">
            <v xml:space="preserve">  Prefloat Cleaner Con 1</v>
          </cell>
          <cell r="D108" t="str">
            <v/>
          </cell>
          <cell r="E108">
            <v>39.979999999999997</v>
          </cell>
          <cell r="F108">
            <v>3.9624960355217254</v>
          </cell>
          <cell r="G108">
            <v>4.74</v>
          </cell>
          <cell r="H108">
            <v>0.97500000000000009</v>
          </cell>
          <cell r="I108">
            <v>5.4500000000000011</v>
          </cell>
          <cell r="J108">
            <v>4.4799999999999995</v>
          </cell>
          <cell r="K108">
            <v>39.400000000000006</v>
          </cell>
          <cell r="L108">
            <v>0.2</v>
          </cell>
          <cell r="M108">
            <v>20</v>
          </cell>
          <cell r="N108">
            <v>1.6560908866403514</v>
          </cell>
          <cell r="O108">
            <v>2.0627949486408745</v>
          </cell>
          <cell r="P108">
            <v>1.4201757694905424</v>
          </cell>
          <cell r="Q108">
            <v>1.4608856072519076</v>
          </cell>
          <cell r="R108">
            <v>4.324937004719275</v>
          </cell>
          <cell r="S108">
            <v>1.1740628145630483</v>
          </cell>
          <cell r="T108">
            <v>24.698980404095831</v>
          </cell>
        </row>
        <row r="109">
          <cell r="B109" t="str">
            <v xml:space="preserve">  Prefloat Cleaner Con 1+2</v>
          </cell>
          <cell r="D109" t="str">
            <v/>
          </cell>
          <cell r="E109">
            <v>82.08</v>
          </cell>
          <cell r="F109">
            <v>8.135109419600381</v>
          </cell>
          <cell r="G109">
            <v>4.7015314327485385</v>
          </cell>
          <cell r="H109">
            <v>0.9493542884990257</v>
          </cell>
          <cell r="I109">
            <v>5.3935794346978572</v>
          </cell>
          <cell r="J109">
            <v>4.4594834307992208</v>
          </cell>
          <cell r="K109">
            <v>40.374537037037037</v>
          </cell>
          <cell r="L109">
            <v>0.20256457115009752</v>
          </cell>
          <cell r="M109">
            <v>20.461622807017545</v>
          </cell>
          <cell r="N109">
            <v>3.3724050237619805</v>
          </cell>
          <cell r="O109">
            <v>4.123578989057167</v>
          </cell>
          <cell r="P109">
            <v>2.8854744529710299</v>
          </cell>
          <cell r="Q109">
            <v>2.9855016052618257</v>
          </cell>
          <cell r="R109">
            <v>9.0988326569969011</v>
          </cell>
          <cell r="S109">
            <v>2.4412900683257286</v>
          </cell>
          <cell r="T109">
            <v>51.878052274731004</v>
          </cell>
        </row>
        <row r="110">
          <cell r="B110" t="str">
            <v xml:space="preserve">  Pb Cleaner 3 Con 1</v>
          </cell>
          <cell r="D110" t="str">
            <v/>
          </cell>
          <cell r="E110">
            <v>6.6</v>
          </cell>
          <cell r="F110">
            <v>0.65413891531874413</v>
          </cell>
          <cell r="G110">
            <v>1.4550000000000001</v>
          </cell>
          <cell r="H110">
            <v>81.900000000000006</v>
          </cell>
          <cell r="I110">
            <v>13.9</v>
          </cell>
          <cell r="J110">
            <v>0.88</v>
          </cell>
          <cell r="K110">
            <v>0.6</v>
          </cell>
          <cell r="L110">
            <v>6.5000000000000002E-2</v>
          </cell>
          <cell r="M110">
            <v>1.2399999999999998</v>
          </cell>
          <cell r="N110">
            <v>8.3920867524518036E-2</v>
          </cell>
          <cell r="O110">
            <v>28.604640308316682</v>
          </cell>
          <cell r="P110">
            <v>0.59794541809006507</v>
          </cell>
          <cell r="Q110">
            <v>4.7372032036772184E-2</v>
          </cell>
          <cell r="R110">
            <v>1.0872663831083262E-2</v>
          </cell>
          <cell r="S110">
            <v>6.2990613737812368E-2</v>
          </cell>
          <cell r="T110">
            <v>0.2527969680179093</v>
          </cell>
        </row>
        <row r="111">
          <cell r="B111" t="str">
            <v xml:space="preserve">  Pb Cleaner 3 Con 1+2</v>
          </cell>
          <cell r="D111" t="str">
            <v/>
          </cell>
          <cell r="E111">
            <v>12.129999999999999</v>
          </cell>
          <cell r="F111">
            <v>1.2022280367903584</v>
          </cell>
          <cell r="G111">
            <v>1.6806677658697446</v>
          </cell>
          <cell r="H111">
            <v>81.352926628194567</v>
          </cell>
          <cell r="I111">
            <v>13.945589447650457</v>
          </cell>
          <cell r="J111">
            <v>1.0167683429513603</v>
          </cell>
          <cell r="K111">
            <v>0.66838417147568019</v>
          </cell>
          <cell r="L111">
            <v>7.41178895300907E-2</v>
          </cell>
          <cell r="M111">
            <v>1.5636850783182192</v>
          </cell>
          <cell r="N111">
            <v>0.1781581553460988</v>
          </cell>
          <cell r="O111">
            <v>52.220693579180619</v>
          </cell>
          <cell r="P111">
            <v>1.1025555583618423</v>
          </cell>
          <cell r="Q111">
            <v>0.10059542354034538</v>
          </cell>
          <cell r="R111">
            <v>2.2260131820835242E-2</v>
          </cell>
          <cell r="S111">
            <v>0.1320086510046159</v>
          </cell>
          <cell r="T111">
            <v>0.58589033368520216</v>
          </cell>
        </row>
        <row r="112">
          <cell r="B112" t="str">
            <v xml:space="preserve">  Pb Cleaner 3 Con 1+2+3</v>
          </cell>
          <cell r="D112" t="str">
            <v/>
          </cell>
          <cell r="E112">
            <v>15.959999999999999</v>
          </cell>
          <cell r="F112">
            <v>1.581826831588963</v>
          </cell>
          <cell r="G112">
            <v>2.0944642857142854</v>
          </cell>
          <cell r="H112">
            <v>79.660401002506262</v>
          </cell>
          <cell r="I112">
            <v>14.006641604010026</v>
          </cell>
          <cell r="J112">
            <v>1.2911152882205514</v>
          </cell>
          <cell r="K112">
            <v>0.831954887218045</v>
          </cell>
          <cell r="L112">
            <v>9.3527568922305765E-2</v>
          </cell>
          <cell r="M112">
            <v>2.1075438596491227</v>
          </cell>
          <cell r="N112">
            <v>0.29212510541559461</v>
          </cell>
          <cell r="O112">
            <v>67.279697330794505</v>
          </cell>
          <cell r="P112">
            <v>1.4570340792714376</v>
          </cell>
          <cell r="Q112">
            <v>0.1680712063629709</v>
          </cell>
          <cell r="R112">
            <v>3.645637130028373E-2</v>
          </cell>
          <cell r="S112">
            <v>0.21917503292874718</v>
          </cell>
          <cell r="T112">
            <v>1.0390004808208217</v>
          </cell>
        </row>
        <row r="113">
          <cell r="B113" t="str">
            <v xml:space="preserve">  Pb Cleaner 2 Con</v>
          </cell>
          <cell r="D113" t="str">
            <v/>
          </cell>
          <cell r="E113">
            <v>22.91</v>
          </cell>
          <cell r="F113">
            <v>2.2706549318109741</v>
          </cell>
          <cell r="G113">
            <v>4.1286621562636387</v>
          </cell>
          <cell r="H113">
            <v>64.261676123963326</v>
          </cell>
          <cell r="I113">
            <v>13.792274116106503</v>
          </cell>
          <cell r="J113">
            <v>2.5072544740288079</v>
          </cell>
          <cell r="K113">
            <v>3.0458969882147531</v>
          </cell>
          <cell r="L113">
            <v>0.1804321257092972</v>
          </cell>
          <cell r="M113">
            <v>8.8398690528153647</v>
          </cell>
          <cell r="N113">
            <v>0.82660394096693501</v>
          </cell>
          <cell r="O113">
            <v>77.908670263652283</v>
          </cell>
          <cell r="P113">
            <v>2.0595093868924881</v>
          </cell>
          <cell r="Q113">
            <v>0.46851004935100521</v>
          </cell>
          <cell r="R113">
            <v>0.19159363412341837</v>
          </cell>
          <cell r="S113">
            <v>0.60695641027504665</v>
          </cell>
          <cell r="T113">
            <v>6.2557179714983171</v>
          </cell>
        </row>
        <row r="114">
          <cell r="B114" t="str">
            <v xml:space="preserve">  Pb Cleaner 1 Con</v>
          </cell>
          <cell r="D114" t="str">
            <v/>
          </cell>
          <cell r="E114">
            <v>38.83</v>
          </cell>
          <cell r="F114">
            <v>3.8485172851252774</v>
          </cell>
          <cell r="G114">
            <v>5.5682835436518152</v>
          </cell>
          <cell r="H114">
            <v>40.206742209631727</v>
          </cell>
          <cell r="I114">
            <v>11.921776976564514</v>
          </cell>
          <cell r="J114">
            <v>3.8121555498326036</v>
          </cell>
          <cell r="K114">
            <v>12.784895699201648</v>
          </cell>
          <cell r="L114">
            <v>0.25405356682977082</v>
          </cell>
          <cell r="M114">
            <v>14.850409477208345</v>
          </cell>
          <cell r="N114">
            <v>1.8895211972374857</v>
          </cell>
          <cell r="O114">
            <v>82.618047985985442</v>
          </cell>
          <cell r="P114">
            <v>3.0172492653187266</v>
          </cell>
          <cell r="Q114">
            <v>1.2073506222925687</v>
          </cell>
          <cell r="R114">
            <v>1.3630298107685346</v>
          </cell>
          <cell r="S114">
            <v>1.4484757703080309</v>
          </cell>
          <cell r="T114">
            <v>17.8119742856308</v>
          </cell>
        </row>
        <row r="115">
          <cell r="B115" t="str">
            <v xml:space="preserve">  Zn Ro Con 1</v>
          </cell>
          <cell r="D115" t="str">
            <v/>
          </cell>
          <cell r="E115">
            <v>97.78</v>
          </cell>
          <cell r="F115">
            <v>9.6911671424040602</v>
          </cell>
          <cell r="G115">
            <v>47</v>
          </cell>
          <cell r="H115">
            <v>0.37499999999999994</v>
          </cell>
          <cell r="I115">
            <v>29.6</v>
          </cell>
          <cell r="J115">
            <v>9.81</v>
          </cell>
          <cell r="K115">
            <v>5.09</v>
          </cell>
          <cell r="L115">
            <v>2.1199999999999997</v>
          </cell>
          <cell r="M115">
            <v>0.40999999999999992</v>
          </cell>
          <cell r="N115">
            <v>40.161592632273923</v>
          </cell>
          <cell r="O115">
            <v>1.9403941401287632</v>
          </cell>
          <cell r="P115">
            <v>18.864467497635253</v>
          </cell>
          <cell r="Q115">
            <v>7.8237406749260128</v>
          </cell>
          <cell r="R115">
            <v>1.3664967078946733</v>
          </cell>
          <cell r="S115">
            <v>30.437182023124901</v>
          </cell>
          <cell r="T115">
            <v>1.2383406510806916</v>
          </cell>
        </row>
        <row r="116">
          <cell r="B116" t="str">
            <v xml:space="preserve">  Zn Ro Con 1+2</v>
          </cell>
          <cell r="D116" t="str">
            <v/>
          </cell>
          <cell r="E116">
            <v>126.25</v>
          </cell>
          <cell r="F116">
            <v>12.512884554392642</v>
          </cell>
          <cell r="G116">
            <v>47.225504950495043</v>
          </cell>
          <cell r="H116">
            <v>0.38514772277227721</v>
          </cell>
          <cell r="I116">
            <v>29.64510099009901</v>
          </cell>
          <cell r="J116">
            <v>9.8979469306930685</v>
          </cell>
          <cell r="K116">
            <v>4.8126289108910889</v>
          </cell>
          <cell r="L116">
            <v>2.1042146534653465</v>
          </cell>
          <cell r="M116">
            <v>0.40548990099009896</v>
          </cell>
          <cell r="N116">
            <v>52.103996123298117</v>
          </cell>
          <cell r="O116">
            <v>2.5731634560400107</v>
          </cell>
          <cell r="P116">
            <v>24.394230745728994</v>
          </cell>
          <cell r="Q116">
            <v>10.192293338714997</v>
          </cell>
          <cell r="R116">
            <v>1.6682246608203879</v>
          </cell>
          <cell r="S116">
            <v>39.006768701182736</v>
          </cell>
          <cell r="T116">
            <v>1.5813123733428192</v>
          </cell>
        </row>
        <row r="117">
          <cell r="B117" t="str">
            <v xml:space="preserve">  Zn Ro Con 1+2+3</v>
          </cell>
          <cell r="D117" t="str">
            <v/>
          </cell>
          <cell r="E117">
            <v>173.31</v>
          </cell>
          <cell r="F117">
            <v>17.177093244529022</v>
          </cell>
          <cell r="G117">
            <v>47.137118458253994</v>
          </cell>
          <cell r="H117">
            <v>0.41226126593964563</v>
          </cell>
          <cell r="I117">
            <v>29.822930009809014</v>
          </cell>
          <cell r="J117">
            <v>10.170040967053255</v>
          </cell>
          <cell r="K117">
            <v>4.6734314234608503</v>
          </cell>
          <cell r="L117">
            <v>2.0691281518665972</v>
          </cell>
          <cell r="M117">
            <v>0.40942992325890021</v>
          </cell>
          <cell r="N117">
            <v>71.39202294882233</v>
          </cell>
          <cell r="O117">
            <v>3.7809837299532285</v>
          </cell>
          <cell r="P117">
            <v>33.688117105791662</v>
          </cell>
          <cell r="Q117">
            <v>14.376121389918584</v>
          </cell>
          <cell r="R117">
            <v>2.2238232738331019</v>
          </cell>
          <cell r="S117">
            <v>52.653780607803633</v>
          </cell>
          <cell r="T117">
            <v>2.191842998008946</v>
          </cell>
        </row>
        <row r="118">
          <cell r="B118" t="str">
            <v xml:space="preserve">  Zn Ro Con 1-3 + Scav Con 1</v>
          </cell>
          <cell r="D118" t="str">
            <v/>
          </cell>
          <cell r="E118">
            <v>200.44</v>
          </cell>
          <cell r="F118">
            <v>19.866000634316524</v>
          </cell>
          <cell r="G118">
            <v>45.562008581121532</v>
          </cell>
          <cell r="H118">
            <v>0.42210661544601874</v>
          </cell>
          <cell r="I118">
            <v>30.320629614847338</v>
          </cell>
          <cell r="J118">
            <v>11.243378567152265</v>
          </cell>
          <cell r="K118">
            <v>4.7528247854719616</v>
          </cell>
          <cell r="L118">
            <v>1.9826207343843545</v>
          </cell>
          <cell r="M118">
            <v>0.40815356216324084</v>
          </cell>
          <cell r="N118">
            <v>79.808710059712283</v>
          </cell>
          <cell r="O118">
            <v>4.477289807965672</v>
          </cell>
          <cell r="P118">
            <v>39.611876457854514</v>
          </cell>
          <cell r="Q118">
            <v>18.381317403650176</v>
          </cell>
          <cell r="R118">
            <v>2.6156339922215208</v>
          </cell>
          <cell r="S118">
            <v>58.350231776826462</v>
          </cell>
          <cell r="T118">
            <v>2.5270522718274151</v>
          </cell>
        </row>
        <row r="119">
          <cell r="B119" t="str">
            <v xml:space="preserve">  Zn Ro Con 1-3 + Scav Con 1-2</v>
          </cell>
          <cell r="D119" t="str">
            <v/>
          </cell>
          <cell r="E119">
            <v>227.93</v>
          </cell>
          <cell r="F119">
            <v>22.590588328575961</v>
          </cell>
          <cell r="G119">
            <v>42.913232132672306</v>
          </cell>
          <cell r="H119">
            <v>0.43813451498267009</v>
          </cell>
          <cell r="I119">
            <v>31.017663317685262</v>
          </cell>
          <cell r="J119">
            <v>12.806040451015662</v>
          </cell>
          <cell r="K119">
            <v>5.150487869082613</v>
          </cell>
          <cell r="L119">
            <v>1.8574761988329751</v>
          </cell>
          <cell r="M119">
            <v>0.43008555258193304</v>
          </cell>
          <cell r="N119">
            <v>85.47827558076574</v>
          </cell>
          <cell r="O119">
            <v>5.2846668142038267</v>
          </cell>
          <cell r="P119">
            <v>46.080095942408491</v>
          </cell>
          <cell r="Q119">
            <v>23.807388906528789</v>
          </cell>
          <cell r="R119">
            <v>3.2232250796375954</v>
          </cell>
          <cell r="S119">
            <v>62.164621784312651</v>
          </cell>
          <cell r="T119">
            <v>3.0280468104368081</v>
          </cell>
        </row>
        <row r="120">
          <cell r="B120" t="str">
            <v xml:space="preserve">  Zn Ro Con 1-3 + Scav Con 1-3</v>
          </cell>
          <cell r="D120" t="str">
            <v/>
          </cell>
          <cell r="E120">
            <v>262.7</v>
          </cell>
          <cell r="F120">
            <v>26.036711068823344</v>
          </cell>
          <cell r="G120">
            <v>38.980498667681758</v>
          </cell>
          <cell r="H120">
            <v>0.452940616673011</v>
          </cell>
          <cell r="I120">
            <v>31.372687476208608</v>
          </cell>
          <cell r="J120">
            <v>14.803821088694329</v>
          </cell>
          <cell r="K120">
            <v>6.2158915112295405</v>
          </cell>
          <cell r="L120">
            <v>1.6930266463646744</v>
          </cell>
          <cell r="M120">
            <v>0.49889950513894177</v>
          </cell>
          <cell r="N120">
            <v>89.489173950288063</v>
          </cell>
          <cell r="O120">
            <v>6.2966563782251646</v>
          </cell>
          <cell r="P120">
            <v>53.71735281728985</v>
          </cell>
          <cell r="Q120">
            <v>31.719717238885551</v>
          </cell>
          <cell r="R120">
            <v>4.483366817660146</v>
          </cell>
          <cell r="S120">
            <v>65.304395533480943</v>
          </cell>
          <cell r="T120">
            <v>4.0483624322700891</v>
          </cell>
        </row>
        <row r="121">
          <cell r="B121" t="str">
            <v xml:space="preserve">  Zn Ro Con 1-3 + Scav Con 1-4</v>
          </cell>
          <cell r="D121" t="str">
            <v/>
          </cell>
          <cell r="E121">
            <v>289.14999999999998</v>
          </cell>
          <cell r="F121">
            <v>28.65822232794164</v>
          </cell>
          <cell r="G121">
            <v>36.144727650008647</v>
          </cell>
          <cell r="H121">
            <v>0.45267162372471037</v>
          </cell>
          <cell r="I121">
            <v>31.091613349472599</v>
          </cell>
          <cell r="J121">
            <v>15.919466712778839</v>
          </cell>
          <cell r="K121">
            <v>7.4950880166003824</v>
          </cell>
          <cell r="L121">
            <v>1.5825223932215113</v>
          </cell>
          <cell r="M121">
            <v>0.59047518588967673</v>
          </cell>
          <cell r="N121">
            <v>91.333728925740274</v>
          </cell>
          <cell r="O121">
            <v>6.9265204609382645</v>
          </cell>
          <cell r="P121">
            <v>58.596174198694328</v>
          </cell>
          <cell r="Q121">
            <v>37.544568595473166</v>
          </cell>
          <cell r="R121">
            <v>5.9503252919807208</v>
          </cell>
          <cell r="S121">
            <v>67.187983740199101</v>
          </cell>
          <cell r="T121">
            <v>5.2738902555973803</v>
          </cell>
        </row>
        <row r="122">
          <cell r="B122" t="str">
            <v xml:space="preserve">  Zn Ro Con 1-3 + Scav Con 1-5</v>
          </cell>
          <cell r="D122" t="str">
            <v/>
          </cell>
          <cell r="E122">
            <v>309.42999999999995</v>
          </cell>
          <cell r="F122">
            <v>30.668212813193779</v>
          </cell>
          <cell r="G122">
            <v>34.076962802572474</v>
          </cell>
          <cell r="H122">
            <v>0.44758103609863298</v>
          </cell>
          <cell r="I122">
            <v>30.915205377629846</v>
          </cell>
          <cell r="J122">
            <v>16.71777720324468</v>
          </cell>
          <cell r="K122">
            <v>8.5178318197976939</v>
          </cell>
          <cell r="L122">
            <v>1.5017430436609249</v>
          </cell>
          <cell r="M122">
            <v>0.63304495362440616</v>
          </cell>
          <cell r="N122">
            <v>92.148089054206409</v>
          </cell>
          <cell r="O122">
            <v>7.3289666990422866</v>
          </cell>
          <cell r="P122">
            <v>62.35012950106853</v>
          </cell>
          <cell r="Q122">
            <v>42.192606672734065</v>
          </cell>
          <cell r="R122">
            <v>7.2365614231978705</v>
          </cell>
          <cell r="S122">
            <v>68.230192076588366</v>
          </cell>
          <cell r="T122">
            <v>6.0506663936887746</v>
          </cell>
        </row>
        <row r="123">
          <cell r="B123" t="str">
            <v xml:space="preserve">  De-Leaded Tails</v>
          </cell>
          <cell r="D123" t="str">
            <v/>
          </cell>
          <cell r="E123">
            <v>879.1099999999999</v>
          </cell>
          <cell r="F123">
            <v>87.130312400888045</v>
          </cell>
          <cell r="G123">
            <v>12.253650396423655</v>
          </cell>
          <cell r="H123">
            <v>0.27418343552001445</v>
          </cell>
          <cell r="I123">
            <v>16.331404261127734</v>
          </cell>
          <cell r="J123">
            <v>13.271756435485891</v>
          </cell>
          <cell r="K123">
            <v>36.630301896235956</v>
          </cell>
          <cell r="L123">
            <v>0.73919117061573625</v>
          </cell>
          <cell r="M123">
            <v>1.0976454596125629</v>
          </cell>
          <cell r="N123">
            <v>94.139468406965648</v>
          </cell>
          <cell r="O123">
            <v>12.755370791896713</v>
          </cell>
          <cell r="P123">
            <v>93.577094401757222</v>
          </cell>
          <cell r="Q123">
            <v>95.162760082182331</v>
          </cell>
          <cell r="R123">
            <v>88.414703068154807</v>
          </cell>
          <cell r="S123">
            <v>95.415413920646657</v>
          </cell>
          <cell r="T123">
            <v>29.806538656591695</v>
          </cell>
        </row>
        <row r="124">
          <cell r="B124" t="str">
            <v xml:space="preserve">  Lead Float Feed</v>
          </cell>
          <cell r="D124" t="str">
            <v/>
          </cell>
          <cell r="E124">
            <v>917.93999999999994</v>
          </cell>
          <cell r="F124">
            <v>90.978829686013313</v>
          </cell>
          <cell r="G124">
            <v>11.970851090485219</v>
          </cell>
          <cell r="H124">
            <v>1.9633801773536397</v>
          </cell>
          <cell r="I124">
            <v>16.144871560232701</v>
          </cell>
          <cell r="J124">
            <v>12.871603590648629</v>
          </cell>
          <cell r="K124">
            <v>35.621611652177705</v>
          </cell>
          <cell r="L124">
            <v>0.71866924853476266</v>
          </cell>
          <cell r="M124">
            <v>1.6794044273046171</v>
          </cell>
          <cell r="N124">
            <v>96.028989604203133</v>
          </cell>
          <cell r="O124">
            <v>95.373418777882137</v>
          </cell>
          <cell r="P124">
            <v>96.594343667075947</v>
          </cell>
          <cell r="Q124">
            <v>96.370110704474882</v>
          </cell>
          <cell r="R124">
            <v>89.777732878923345</v>
          </cell>
          <cell r="S124">
            <v>96.863889690954693</v>
          </cell>
          <cell r="T124">
            <v>47.618512942222495</v>
          </cell>
        </row>
        <row r="126">
          <cell r="B126" t="str">
            <v>Printed             07/10/10</v>
          </cell>
          <cell r="E126" t="str">
            <v>Comments</v>
          </cell>
        </row>
        <row r="127">
          <cell r="B127" t="str">
            <v>Job No.            N3080FL08</v>
          </cell>
          <cell r="E127" t="str">
            <v/>
          </cell>
        </row>
        <row r="128">
          <cell r="B128" t="str">
            <v>Technician      RB</v>
          </cell>
          <cell r="E128" t="str">
            <v/>
          </cell>
        </row>
        <row r="129">
          <cell r="B129" t="str">
            <v>Test Date        30/10/08</v>
          </cell>
          <cell r="E129" t="str">
            <v/>
          </cell>
        </row>
        <row r="130">
          <cell r="B130" t="str">
            <v>File ref               KZ1</v>
          </cell>
          <cell r="E130" t="str">
            <v/>
          </cell>
        </row>
        <row r="131">
          <cell r="E131" t="str">
            <v/>
          </cell>
        </row>
        <row r="133">
          <cell r="C133" t="str">
            <v xml:space="preserve">Flotation.xls 10Nov2008   </v>
          </cell>
          <cell r="D133" t="str">
            <v>Version 5</v>
          </cell>
        </row>
      </sheetData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ms-échantillons"/>
      <sheetName val="ICP"/>
      <sheetName val="XRF"/>
      <sheetName val="C-S"/>
      <sheetName val="Calculs minéralogiquesold"/>
      <sheetName val="Réconciliation 1"/>
      <sheetName val="Feuil4"/>
      <sheetName val="Feuil2"/>
      <sheetName val="Famille de minéraux"/>
      <sheetName val="Compilation-Minéralogie"/>
      <sheetName val="BD-minéraux"/>
      <sheetName val="Feuil3"/>
      <sheetName val="Feuil1"/>
      <sheetName val="Feuil1 (2)"/>
      <sheetName val="Z"/>
      <sheetName val="Conversion Massique-atomique"/>
      <sheetName val="Tableau périodique"/>
      <sheetName val="Analyse E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A3" t="str">
            <v>K feldspar</v>
          </cell>
        </row>
        <row r="4">
          <cell r="A4" t="str">
            <v>Quartz2</v>
          </cell>
        </row>
        <row r="5">
          <cell r="A5" t="str">
            <v>Tennantite-Sb</v>
          </cell>
        </row>
        <row r="6">
          <cell r="A6" t="str">
            <v>Actinolite</v>
          </cell>
        </row>
        <row r="7">
          <cell r="A7" t="str">
            <v>Aluminobarroisite</v>
          </cell>
        </row>
        <row r="8">
          <cell r="A8" t="str">
            <v>Aluminoferrobarroisite</v>
          </cell>
        </row>
        <row r="9">
          <cell r="A9" t="str">
            <v>Aluminoferrotschermakite</v>
          </cell>
        </row>
        <row r="10">
          <cell r="A10" t="str">
            <v>Alumino-magnesiotaramite</v>
          </cell>
        </row>
        <row r="11">
          <cell r="A11" t="str">
            <v>Aluminotaramite</v>
          </cell>
        </row>
        <row r="12">
          <cell r="A12" t="str">
            <v>Anthophyllite</v>
          </cell>
        </row>
        <row r="13">
          <cell r="A13" t="str">
            <v>Arfvedsonite</v>
          </cell>
        </row>
        <row r="14">
          <cell r="A14" t="str">
            <v>Barroisite</v>
          </cell>
        </row>
        <row r="15">
          <cell r="A15" t="str">
            <v>Cannilloite</v>
          </cell>
        </row>
        <row r="16">
          <cell r="A16" t="str">
            <v>Cannilloite!</v>
          </cell>
        </row>
        <row r="17">
          <cell r="A17" t="str">
            <v>Chloro-potassichastingsite</v>
          </cell>
        </row>
        <row r="18">
          <cell r="A18" t="str">
            <v>Clinoferroholmquistite</v>
          </cell>
        </row>
        <row r="19">
          <cell r="A19" t="str">
            <v>Crossite</v>
          </cell>
        </row>
        <row r="20">
          <cell r="A20" t="str">
            <v>Cummingtonite</v>
          </cell>
        </row>
        <row r="21">
          <cell r="A21" t="str">
            <v>Dellaventuraite</v>
          </cell>
        </row>
        <row r="22">
          <cell r="A22" t="str">
            <v>Eckermannite</v>
          </cell>
        </row>
        <row r="23">
          <cell r="A23" t="str">
            <v>Edenite</v>
          </cell>
        </row>
        <row r="24">
          <cell r="A24" t="str">
            <v>Ferribarroisite</v>
          </cell>
        </row>
        <row r="25">
          <cell r="A25" t="str">
            <v>Ferric-ferronyboite</v>
          </cell>
        </row>
        <row r="26">
          <cell r="A26" t="str">
            <v>Ferri-clinoferroholmquistite</v>
          </cell>
        </row>
        <row r="27">
          <cell r="A27" t="str">
            <v>Ferri-ferrobarroisite</v>
          </cell>
        </row>
        <row r="28">
          <cell r="A28" t="str">
            <v>Ferri-ferrotschermakite</v>
          </cell>
        </row>
        <row r="29">
          <cell r="A29" t="str">
            <v>Ferrikatophorite</v>
          </cell>
        </row>
        <row r="30">
          <cell r="A30" t="str">
            <v>Ferri-magnesiotaramite</v>
          </cell>
        </row>
        <row r="31">
          <cell r="A31" t="str">
            <v>Ferri-ottoliniite</v>
          </cell>
        </row>
        <row r="32">
          <cell r="A32" t="str">
            <v>Ferripedrizite</v>
          </cell>
        </row>
        <row r="33">
          <cell r="A33" t="str">
            <v>Ferritaramite</v>
          </cell>
        </row>
        <row r="34">
          <cell r="A34" t="str">
            <v>Ferritschermakite</v>
          </cell>
        </row>
        <row r="35">
          <cell r="A35" t="str">
            <v>Ferriwhittakerite</v>
          </cell>
        </row>
        <row r="36">
          <cell r="A36" t="str">
            <v>Ferriwinchite</v>
          </cell>
        </row>
        <row r="37">
          <cell r="A37" t="str">
            <v>Ferro-actinolite</v>
          </cell>
        </row>
        <row r="38">
          <cell r="A38" t="str">
            <v>Ferro-aluminotschermakite</v>
          </cell>
        </row>
        <row r="39">
          <cell r="A39" t="str">
            <v>Ferro-anthophyllite</v>
          </cell>
        </row>
        <row r="40">
          <cell r="A40" t="str">
            <v>Ferrobarroisite</v>
          </cell>
        </row>
        <row r="41">
          <cell r="A41" t="str">
            <v>Ferrochloropargasite</v>
          </cell>
        </row>
        <row r="42">
          <cell r="A42" t="str">
            <v>Ferro-eckermannite</v>
          </cell>
        </row>
        <row r="43">
          <cell r="A43" t="str">
            <v>Ferro-edenite</v>
          </cell>
        </row>
        <row r="44">
          <cell r="A44" t="str">
            <v>Ferroferribarroisite</v>
          </cell>
        </row>
        <row r="45">
          <cell r="A45" t="str">
            <v>Ferroferritschermakite</v>
          </cell>
        </row>
        <row r="46">
          <cell r="A46" t="str">
            <v>Ferroferriwinchite</v>
          </cell>
        </row>
        <row r="47">
          <cell r="A47" t="str">
            <v>Ferrogedrite</v>
          </cell>
        </row>
        <row r="48">
          <cell r="A48" t="str">
            <v>Ferroglaucophane</v>
          </cell>
        </row>
        <row r="49">
          <cell r="A49" t="str">
            <v>Ferroholmquistite</v>
          </cell>
        </row>
        <row r="50">
          <cell r="A50" t="str">
            <v>Ferrohornblende</v>
          </cell>
        </row>
        <row r="51">
          <cell r="A51" t="str">
            <v>Ferrokaersutite</v>
          </cell>
        </row>
        <row r="52">
          <cell r="A52" t="str">
            <v>Ferroleakeite</v>
          </cell>
        </row>
        <row r="53">
          <cell r="A53" t="str">
            <v>Ferronyboite</v>
          </cell>
        </row>
        <row r="54">
          <cell r="A54" t="str">
            <v>Ferropargasite</v>
          </cell>
        </row>
        <row r="55">
          <cell r="A55" t="str">
            <v>Ferrorichterite</v>
          </cell>
        </row>
        <row r="56">
          <cell r="A56" t="str">
            <v>Ferrotschermakite</v>
          </cell>
        </row>
        <row r="57">
          <cell r="A57" t="str">
            <v>Ferrowinchite</v>
          </cell>
        </row>
        <row r="58">
          <cell r="A58" t="str">
            <v>Fluoro-alumino-magnesiotaramite</v>
          </cell>
        </row>
        <row r="59">
          <cell r="A59" t="str">
            <v>Fluorocannilloite</v>
          </cell>
        </row>
        <row r="60">
          <cell r="A60" t="str">
            <v>Fluoro-edenite</v>
          </cell>
        </row>
        <row r="61">
          <cell r="A61" t="str">
            <v>Fluoro-ferroleakeite</v>
          </cell>
        </row>
        <row r="62">
          <cell r="A62" t="str">
            <v>Fluoro-magnesio-arfvedsonite</v>
          </cell>
        </row>
        <row r="63">
          <cell r="A63" t="str">
            <v>Fluoro-magnesiohastingsite</v>
          </cell>
        </row>
        <row r="64">
          <cell r="A64" t="str">
            <v>Fluoronyboite</v>
          </cell>
        </row>
        <row r="65">
          <cell r="A65" t="str">
            <v>Fluoropargasite</v>
          </cell>
        </row>
        <row r="66">
          <cell r="A66" t="str">
            <v>Fluoro-potassichastingsite</v>
          </cell>
        </row>
        <row r="67">
          <cell r="A67" t="str">
            <v>Fluororichterite</v>
          </cell>
        </row>
        <row r="68">
          <cell r="A68" t="str">
            <v>Fluoro-sodic-pedrizite</v>
          </cell>
        </row>
        <row r="69">
          <cell r="A69" t="str">
            <v>Gedrite</v>
          </cell>
        </row>
        <row r="70">
          <cell r="A70" t="str">
            <v>Glaucophane</v>
          </cell>
        </row>
        <row r="71">
          <cell r="A71" t="str">
            <v>Grunerite</v>
          </cell>
        </row>
        <row r="72">
          <cell r="A72" t="str">
            <v>Hastingsite</v>
          </cell>
        </row>
        <row r="73">
          <cell r="A73" t="str">
            <v>Holmquistite</v>
          </cell>
        </row>
        <row r="74">
          <cell r="A74" t="str">
            <v>Joesmithite</v>
          </cell>
        </row>
        <row r="75">
          <cell r="A75" t="str">
            <v>Kaersutite</v>
          </cell>
        </row>
        <row r="76">
          <cell r="A76" t="str">
            <v>Katophorite</v>
          </cell>
        </row>
        <row r="77">
          <cell r="A77" t="str">
            <v>Kornite</v>
          </cell>
        </row>
        <row r="78">
          <cell r="A78" t="str">
            <v>Kozulite</v>
          </cell>
        </row>
        <row r="79">
          <cell r="A79" t="str">
            <v>Leakeite</v>
          </cell>
        </row>
        <row r="80">
          <cell r="A80" t="str">
            <v>Magnesioanthophyllite</v>
          </cell>
        </row>
        <row r="81">
          <cell r="A81" t="str">
            <v>Magnesio-arfvedsonite</v>
          </cell>
        </row>
        <row r="82">
          <cell r="A82" t="str">
            <v>Magnesiocummingtonite</v>
          </cell>
        </row>
        <row r="83">
          <cell r="A83" t="str">
            <v>Magnesioferrikatophorite</v>
          </cell>
        </row>
        <row r="84">
          <cell r="A84" t="str">
            <v>Magnesiohastingsite</v>
          </cell>
        </row>
        <row r="85">
          <cell r="A85" t="str">
            <v>Magnesiohornblende</v>
          </cell>
        </row>
        <row r="86">
          <cell r="A86" t="str">
            <v>Magnesiokatophorite</v>
          </cell>
        </row>
        <row r="87">
          <cell r="A87" t="str">
            <v>Magnesioriebeckite</v>
          </cell>
        </row>
        <row r="88">
          <cell r="A88" t="str">
            <v>Magnesiosadanagaite</v>
          </cell>
        </row>
        <row r="89">
          <cell r="A89" t="str">
            <v>Magnesiotaramite</v>
          </cell>
        </row>
        <row r="90">
          <cell r="A90" t="str">
            <v>Manganocummingtonite</v>
          </cell>
        </row>
        <row r="91">
          <cell r="A91" t="str">
            <v>Manganogrunerite</v>
          </cell>
        </row>
        <row r="92">
          <cell r="A92" t="str">
            <v>Nyboite</v>
          </cell>
        </row>
        <row r="93">
          <cell r="A93" t="str">
            <v>Obertiite</v>
          </cell>
        </row>
        <row r="94">
          <cell r="A94" t="str">
            <v>Pargasite</v>
          </cell>
        </row>
        <row r="95">
          <cell r="A95" t="str">
            <v>Parvo-mangano-edenite</v>
          </cell>
        </row>
        <row r="96">
          <cell r="A96" t="str">
            <v>Parvo-manganotremolite</v>
          </cell>
        </row>
        <row r="97">
          <cell r="A97" t="str">
            <v>Parvowinchite</v>
          </cell>
        </row>
        <row r="98">
          <cell r="A98" t="str">
            <v>Permanganogrunerite</v>
          </cell>
        </row>
        <row r="99">
          <cell r="A99" t="str">
            <v>Potassicarfvedsonite</v>
          </cell>
        </row>
        <row r="100">
          <cell r="A100" t="str">
            <v>Potassic-chlorohastingsite</v>
          </cell>
        </row>
        <row r="101">
          <cell r="A101" t="str">
            <v>Potassic-chloropargasite</v>
          </cell>
        </row>
        <row r="102">
          <cell r="A102" t="str">
            <v>Potassicferrisadanagaite</v>
          </cell>
        </row>
        <row r="103">
          <cell r="A103" t="str">
            <v>Potassic-ferropargasite</v>
          </cell>
        </row>
        <row r="104">
          <cell r="A104" t="str">
            <v>Potassic-fluororichterite</v>
          </cell>
        </row>
        <row r="105">
          <cell r="A105" t="str">
            <v>Potassicleakeite</v>
          </cell>
        </row>
        <row r="106">
          <cell r="A106" t="str">
            <v>Potassic-magnesiohastingsite</v>
          </cell>
        </row>
        <row r="107">
          <cell r="A107" t="str">
            <v>Potassic-magnesiosadanagaite</v>
          </cell>
        </row>
        <row r="108">
          <cell r="A108" t="str">
            <v>Potassicpargasite</v>
          </cell>
        </row>
        <row r="109">
          <cell r="A109" t="str">
            <v>Potassicrichterite</v>
          </cell>
        </row>
        <row r="110">
          <cell r="A110" t="str">
            <v>Potassicsadanagaite</v>
          </cell>
        </row>
        <row r="111">
          <cell r="A111" t="str">
            <v>Protoanthophyllite</v>
          </cell>
        </row>
        <row r="112">
          <cell r="A112" t="str">
            <v>Protoferro-anthophyllite</v>
          </cell>
        </row>
        <row r="113">
          <cell r="A113" t="str">
            <v>Protomangano-ferro-anthophyllite</v>
          </cell>
        </row>
        <row r="114">
          <cell r="A114" t="str">
            <v>Richterite</v>
          </cell>
        </row>
        <row r="115">
          <cell r="A115" t="str">
            <v>Riebeckite</v>
          </cell>
        </row>
        <row r="116">
          <cell r="A116" t="str">
            <v>Sadanagaite</v>
          </cell>
        </row>
        <row r="117">
          <cell r="A117" t="str">
            <v>Sodicanthophyllite</v>
          </cell>
        </row>
        <row r="118">
          <cell r="A118" t="str">
            <v>Sodic-ferri-ferropedrizite</v>
          </cell>
        </row>
        <row r="119">
          <cell r="A119" t="str">
            <v>Sodic-ferripedrizite</v>
          </cell>
        </row>
        <row r="120">
          <cell r="A120" t="str">
            <v>Sodic-ferro-anthophyllite</v>
          </cell>
        </row>
        <row r="121">
          <cell r="A121" t="str">
            <v>Sodic-ferrogedrite</v>
          </cell>
        </row>
        <row r="122">
          <cell r="A122" t="str">
            <v>Sodicgedrite</v>
          </cell>
        </row>
        <row r="123">
          <cell r="A123" t="str">
            <v>Taramite</v>
          </cell>
        </row>
        <row r="124">
          <cell r="A124" t="str">
            <v>Tremolite</v>
          </cell>
        </row>
        <row r="125">
          <cell r="A125" t="str">
            <v>Tschermakite</v>
          </cell>
        </row>
        <row r="126">
          <cell r="A126" t="str">
            <v>Ungarettiite</v>
          </cell>
        </row>
        <row r="127">
          <cell r="A127" t="str">
            <v>Winchite</v>
          </cell>
        </row>
        <row r="128">
          <cell r="A128" t="str">
            <v> Apatite-(CaCl)</v>
          </cell>
        </row>
        <row r="129">
          <cell r="A129" t="str">
            <v>Apatite</v>
          </cell>
        </row>
        <row r="130">
          <cell r="A130" t="str">
            <v>Apatite-(CaCl)</v>
          </cell>
        </row>
        <row r="131">
          <cell r="A131" t="str">
            <v>Apatite-(CaF)</v>
          </cell>
        </row>
        <row r="132">
          <cell r="A132" t="str">
            <v>Apatite-(CaOH)</v>
          </cell>
        </row>
        <row r="133">
          <cell r="A133" t="str">
            <v>Apatite-(CaOH)</v>
          </cell>
        </row>
        <row r="134">
          <cell r="A134" t="str">
            <v>Apatite-(SrOH)</v>
          </cell>
        </row>
        <row r="135">
          <cell r="A135" t="str">
            <v>Belovite-(Ce)</v>
          </cell>
        </row>
        <row r="136">
          <cell r="A136" t="str">
            <v>Belovite-(La)</v>
          </cell>
        </row>
        <row r="137">
          <cell r="A137" t="str">
            <v>Carbonate-fluorapatite</v>
          </cell>
        </row>
        <row r="138">
          <cell r="A138" t="str">
            <v>Carbonate-hydroxylapatite</v>
          </cell>
        </row>
        <row r="139">
          <cell r="A139" t="str">
            <v>Fluorcaphite</v>
          </cell>
        </row>
        <row r="140">
          <cell r="A140" t="str">
            <v>Kuannersuite-(Ce)</v>
          </cell>
        </row>
        <row r="141">
          <cell r="A141" t="str">
            <v>Phosphohedyphane</v>
          </cell>
        </row>
        <row r="142">
          <cell r="A142" t="str">
            <v>Broyeur-1</v>
          </cell>
        </row>
        <row r="143">
          <cell r="A143" t="str">
            <v>Broyeur-2</v>
          </cell>
        </row>
        <row r="144">
          <cell r="A144" t="str">
            <v>Alstonite</v>
          </cell>
        </row>
        <row r="145">
          <cell r="A145" t="str">
            <v>Ankerite</v>
          </cell>
        </row>
        <row r="146">
          <cell r="A146" t="str">
            <v>Aragonite</v>
          </cell>
        </row>
        <row r="147">
          <cell r="A147" t="str">
            <v>Barytocalcite</v>
          </cell>
        </row>
        <row r="148">
          <cell r="A148" t="str">
            <v>Benstonite</v>
          </cell>
        </row>
        <row r="149">
          <cell r="A149" t="str">
            <v>Calcite</v>
          </cell>
        </row>
        <row r="150">
          <cell r="A150" t="str">
            <v>Carbocernaite</v>
          </cell>
        </row>
        <row r="151">
          <cell r="A151" t="str">
            <v>Cerussite</v>
          </cell>
        </row>
        <row r="152">
          <cell r="A152" t="str">
            <v>Dolomite</v>
          </cell>
        </row>
        <row r="153">
          <cell r="A153" t="str">
            <v>Gaspeite</v>
          </cell>
        </row>
        <row r="154">
          <cell r="A154" t="str">
            <v>Huntite</v>
          </cell>
        </row>
        <row r="155">
          <cell r="A155" t="str">
            <v>Juangodoyite</v>
          </cell>
        </row>
        <row r="156">
          <cell r="A156" t="str">
            <v>Kutnohorite</v>
          </cell>
        </row>
        <row r="157">
          <cell r="A157" t="str">
            <v>Magnesite</v>
          </cell>
        </row>
        <row r="158">
          <cell r="A158" t="str">
            <v>Minrecordite</v>
          </cell>
        </row>
        <row r="159">
          <cell r="A159" t="str">
            <v>Norsethite</v>
          </cell>
        </row>
        <row r="160">
          <cell r="A160" t="str">
            <v>Olekminskite</v>
          </cell>
        </row>
        <row r="161">
          <cell r="A161" t="str">
            <v>Otavite</v>
          </cell>
        </row>
        <row r="162">
          <cell r="A162" t="str">
            <v>Paralstonite</v>
          </cell>
        </row>
        <row r="163">
          <cell r="A163" t="str">
            <v>Rhodochrosite</v>
          </cell>
        </row>
        <row r="164">
          <cell r="A164" t="str">
            <v>Siderite</v>
          </cell>
        </row>
        <row r="165">
          <cell r="A165" t="str">
            <v>Smithsonite</v>
          </cell>
        </row>
        <row r="166">
          <cell r="A166" t="str">
            <v>Sphaerocobaltite</v>
          </cell>
        </row>
        <row r="167">
          <cell r="A167" t="str">
            <v>Strontianite</v>
          </cell>
        </row>
        <row r="168">
          <cell r="A168" t="str">
            <v>Vaterite</v>
          </cell>
        </row>
        <row r="169">
          <cell r="A169" t="str">
            <v>Witherite</v>
          </cell>
        </row>
        <row r="170">
          <cell r="A170" t="str">
            <v>Baileychlore</v>
          </cell>
        </row>
        <row r="171">
          <cell r="A171" t="str">
            <v>Borocookeite</v>
          </cell>
        </row>
        <row r="172">
          <cell r="A172" t="str">
            <v>Chamosite</v>
          </cell>
        </row>
        <row r="173">
          <cell r="A173" t="str">
            <v>Clinochlore</v>
          </cell>
        </row>
        <row r="174">
          <cell r="A174" t="str">
            <v>Cookeite</v>
          </cell>
        </row>
        <row r="175">
          <cell r="A175" t="str">
            <v>Donbassite</v>
          </cell>
        </row>
        <row r="176">
          <cell r="A176" t="str">
            <v>Nimite</v>
          </cell>
        </row>
        <row r="177">
          <cell r="A177" t="str">
            <v>Orthochamosite</v>
          </cell>
        </row>
        <row r="178">
          <cell r="A178" t="str">
            <v>Pennantite</v>
          </cell>
        </row>
        <row r="179">
          <cell r="A179" t="str">
            <v>Sudoite</v>
          </cell>
        </row>
        <row r="180">
          <cell r="A180" t="str">
            <v>Argentotennantite</v>
          </cell>
        </row>
        <row r="181">
          <cell r="A181" t="str">
            <v>Freibergite</v>
          </cell>
        </row>
        <row r="182">
          <cell r="A182" t="str">
            <v>Giraudite</v>
          </cell>
        </row>
        <row r="183">
          <cell r="A183" t="str">
            <v>Goldfieldite</v>
          </cell>
        </row>
        <row r="184">
          <cell r="A184" t="str">
            <v>Hakite</v>
          </cell>
        </row>
        <row r="185">
          <cell r="A185" t="str">
            <v>Tennantite</v>
          </cell>
        </row>
        <row r="186">
          <cell r="A186" t="str">
            <v>Tetrahedrite</v>
          </cell>
        </row>
        <row r="187">
          <cell r="A187" t="str">
            <v>Celsian</v>
          </cell>
        </row>
        <row r="188">
          <cell r="A188" t="str">
            <v>Filatovite</v>
          </cell>
        </row>
        <row r="189">
          <cell r="A189" t="str">
            <v>Hyalophane</v>
          </cell>
        </row>
        <row r="190">
          <cell r="A190" t="str">
            <v>Microcline</v>
          </cell>
        </row>
        <row r="191">
          <cell r="A191" t="str">
            <v>Orthoclase</v>
          </cell>
        </row>
        <row r="192">
          <cell r="A192" t="str">
            <v>Rubicline</v>
          </cell>
        </row>
        <row r="193">
          <cell r="A193" t="str">
            <v>Sanidine</v>
          </cell>
        </row>
        <row r="194">
          <cell r="A194" t="str">
            <v>Dickite</v>
          </cell>
        </row>
        <row r="195">
          <cell r="A195" t="str">
            <v>Endellite</v>
          </cell>
        </row>
        <row r="196">
          <cell r="A196" t="str">
            <v>Halloysite</v>
          </cell>
        </row>
        <row r="197">
          <cell r="A197" t="str">
            <v>Kaolinite</v>
          </cell>
        </row>
        <row r="198">
          <cell r="A198" t="str">
            <v>Nacrite</v>
          </cell>
        </row>
        <row r="199">
          <cell r="A199" t="str">
            <v>Odinite</v>
          </cell>
        </row>
        <row r="200">
          <cell r="A200" t="str">
            <v>Tyrrellite</v>
          </cell>
        </row>
        <row r="201">
          <cell r="A201" t="str">
            <v>Aluminoceladonite</v>
          </cell>
        </row>
        <row r="202">
          <cell r="A202" t="str">
            <v>Boromuscovite</v>
          </cell>
        </row>
        <row r="203">
          <cell r="A203" t="str">
            <v>Celadonite</v>
          </cell>
        </row>
        <row r="204">
          <cell r="A204" t="str">
            <v>Chernykhite</v>
          </cell>
        </row>
        <row r="205">
          <cell r="A205" t="str">
            <v>Chromceladonite</v>
          </cell>
        </row>
        <row r="206">
          <cell r="A206" t="str">
            <v>Chromphyllite</v>
          </cell>
        </row>
        <row r="207">
          <cell r="A207" t="str">
            <v>Ferroaluminoceladonite</v>
          </cell>
        </row>
        <row r="208">
          <cell r="A208" t="str">
            <v>Ferroceladonite</v>
          </cell>
        </row>
        <row r="209">
          <cell r="A209" t="str">
            <v>Glauconite</v>
          </cell>
        </row>
        <row r="210">
          <cell r="A210" t="str">
            <v>Montdorite</v>
          </cell>
        </row>
        <row r="211">
          <cell r="A211" t="str">
            <v>Muscovite</v>
          </cell>
        </row>
        <row r="212">
          <cell r="A212" t="str">
            <v>Nanpingite</v>
          </cell>
        </row>
        <row r="213">
          <cell r="A213" t="str">
            <v>Paragonite</v>
          </cell>
        </row>
        <row r="214">
          <cell r="A214" t="str">
            <v>Roscoelite</v>
          </cell>
        </row>
        <row r="215">
          <cell r="A215" t="str">
            <v>Shirokshinite</v>
          </cell>
        </row>
        <row r="216">
          <cell r="A216" t="str">
            <v>Tobelite</v>
          </cell>
        </row>
        <row r="217">
          <cell r="A217" t="str">
            <v>Fayalite</v>
          </cell>
        </row>
        <row r="218">
          <cell r="A218" t="str">
            <v>Forsterite</v>
          </cell>
        </row>
        <row r="219">
          <cell r="A219" t="str">
            <v>Laihunite</v>
          </cell>
        </row>
        <row r="220">
          <cell r="A220" t="str">
            <v>Liebenbergite</v>
          </cell>
        </row>
        <row r="221">
          <cell r="A221" t="str">
            <v>Olivine</v>
          </cell>
        </row>
        <row r="222">
          <cell r="A222" t="str">
            <v>Tephroite</v>
          </cell>
        </row>
        <row r="223">
          <cell r="A223" t="str">
            <v>Adamite</v>
          </cell>
        </row>
        <row r="224">
          <cell r="A224" t="str">
            <v>Adelite</v>
          </cell>
        </row>
        <row r="225">
          <cell r="A225" t="str">
            <v>Aerugite</v>
          </cell>
        </row>
        <row r="226">
          <cell r="A226" t="str">
            <v>Alforsite</v>
          </cell>
        </row>
        <row r="227">
          <cell r="A227" t="str">
            <v>Allactite</v>
          </cell>
        </row>
        <row r="228">
          <cell r="A228" t="str">
            <v>Althausite</v>
          </cell>
        </row>
        <row r="229">
          <cell r="A229" t="str">
            <v>Amblygonite</v>
          </cell>
        </row>
        <row r="230">
          <cell r="A230" t="str">
            <v>Angelellite</v>
          </cell>
        </row>
        <row r="231">
          <cell r="A231" t="str">
            <v>Arakiite</v>
          </cell>
        </row>
        <row r="232">
          <cell r="A232" t="str">
            <v>Arctite</v>
          </cell>
        </row>
        <row r="233">
          <cell r="A233" t="str">
            <v>Arhbarite</v>
          </cell>
        </row>
        <row r="234">
          <cell r="A234" t="str">
            <v>Arrojadite</v>
          </cell>
        </row>
        <row r="235">
          <cell r="A235" t="str">
            <v>Arrojadite-(BaFe)</v>
          </cell>
        </row>
        <row r="236">
          <cell r="A236" t="str">
            <v>Arrojadite-(BaNa)</v>
          </cell>
        </row>
        <row r="237">
          <cell r="A237" t="str">
            <v>Arrojadite-(KFe)</v>
          </cell>
        </row>
        <row r="238">
          <cell r="A238" t="str">
            <v>Arrojadite-(KNa)</v>
          </cell>
        </row>
        <row r="239">
          <cell r="A239" t="str">
            <v>Arrojadite-(NaFe)</v>
          </cell>
        </row>
        <row r="240">
          <cell r="A240" t="str">
            <v>Arrojadite-(PbFe)</v>
          </cell>
        </row>
        <row r="241">
          <cell r="A241" t="str">
            <v>Arrojadite-(SrFe)</v>
          </cell>
        </row>
        <row r="242">
          <cell r="A242" t="str">
            <v>Arsenbrackebuschite</v>
          </cell>
        </row>
        <row r="243">
          <cell r="A243" t="str">
            <v>Arsendescloizite</v>
          </cell>
        </row>
        <row r="244">
          <cell r="A244" t="str">
            <v>Arsenoclasite</v>
          </cell>
        </row>
        <row r="245">
          <cell r="A245" t="str">
            <v>Arsenocrandallite</v>
          </cell>
        </row>
        <row r="246">
          <cell r="A246" t="str">
            <v>Arsenoflorencite-(Ce)</v>
          </cell>
        </row>
        <row r="247">
          <cell r="A247" t="str">
            <v>Arsenoflorencite-(La)</v>
          </cell>
        </row>
        <row r="248">
          <cell r="A248" t="str">
            <v>Arsenoflorencite-(Nd)</v>
          </cell>
        </row>
        <row r="249">
          <cell r="A249" t="str">
            <v>Arsenogorceixite</v>
          </cell>
        </row>
        <row r="250">
          <cell r="A250" t="str">
            <v>Arsenogoyazite</v>
          </cell>
        </row>
        <row r="251">
          <cell r="A251" t="str">
            <v>Arsenowaylandite</v>
          </cell>
        </row>
        <row r="252">
          <cell r="A252" t="str">
            <v>Arsentsumebite</v>
          </cell>
        </row>
        <row r="253">
          <cell r="A253" t="str">
            <v>Artsmithite</v>
          </cell>
        </row>
        <row r="254">
          <cell r="A254" t="str">
            <v>Atelestite</v>
          </cell>
        </row>
        <row r="255">
          <cell r="A255" t="str">
            <v>Attakolite</v>
          </cell>
        </row>
        <row r="256">
          <cell r="A256" t="str">
            <v>Augelite</v>
          </cell>
        </row>
        <row r="257">
          <cell r="A257" t="str">
            <v>Austinite</v>
          </cell>
        </row>
        <row r="258">
          <cell r="A258" t="str">
            <v>Averievite</v>
          </cell>
        </row>
        <row r="259">
          <cell r="A259" t="str">
            <v>Babefphite</v>
          </cell>
        </row>
        <row r="260">
          <cell r="A260" t="str">
            <v>Barbosalite</v>
          </cell>
        </row>
        <row r="261">
          <cell r="A261" t="str">
            <v>Bayldonite</v>
          </cell>
        </row>
        <row r="262">
          <cell r="A262" t="str">
            <v>Bearthite</v>
          </cell>
        </row>
        <row r="263">
          <cell r="A263" t="str">
            <v>Benauite</v>
          </cell>
        </row>
        <row r="264">
          <cell r="A264" t="str">
            <v>Bergslagite</v>
          </cell>
        </row>
        <row r="265">
          <cell r="A265" t="str">
            <v>Bertossaite</v>
          </cell>
        </row>
        <row r="266">
          <cell r="A266" t="str">
            <v>Beudantite</v>
          </cell>
        </row>
        <row r="267">
          <cell r="A267" t="str">
            <v>Bjarebyite</v>
          </cell>
        </row>
        <row r="268">
          <cell r="A268" t="str">
            <v>Brackebuschite</v>
          </cell>
        </row>
        <row r="269">
          <cell r="A269" t="str">
            <v>Brazilianite</v>
          </cell>
        </row>
        <row r="270">
          <cell r="A270" t="str">
            <v>Brendelite</v>
          </cell>
        </row>
        <row r="271">
          <cell r="A271" t="str">
            <v>Bushmakinite</v>
          </cell>
        </row>
        <row r="272">
          <cell r="A272" t="str">
            <v>Calderonite</v>
          </cell>
        </row>
        <row r="273">
          <cell r="A273" t="str">
            <v>Carminite</v>
          </cell>
        </row>
        <row r="274">
          <cell r="A274" t="str">
            <v>Cechite</v>
          </cell>
        </row>
        <row r="275">
          <cell r="A275" t="str">
            <v>Cheremnykhite</v>
          </cell>
        </row>
        <row r="276">
          <cell r="A276" t="str">
            <v>Chlorophoenicite</v>
          </cell>
        </row>
        <row r="277">
          <cell r="A277" t="str">
            <v>Clinoclase</v>
          </cell>
        </row>
        <row r="278">
          <cell r="A278" t="str">
            <v>Clinomimetite</v>
          </cell>
        </row>
        <row r="279">
          <cell r="A279" t="str">
            <v>Cobaltaustinite</v>
          </cell>
        </row>
        <row r="280">
          <cell r="A280" t="str">
            <v>Cobaltneustadtelite</v>
          </cell>
        </row>
        <row r="281">
          <cell r="A281" t="str">
            <v>Conichalcite</v>
          </cell>
        </row>
        <row r="282">
          <cell r="A282" t="str">
            <v>Coparsite</v>
          </cell>
        </row>
        <row r="283">
          <cell r="A283" t="str">
            <v>Corkite</v>
          </cell>
        </row>
        <row r="284">
          <cell r="A284" t="str">
            <v>Cornetite</v>
          </cell>
        </row>
        <row r="285">
          <cell r="A285" t="str">
            <v>Cornubite</v>
          </cell>
        </row>
        <row r="286">
          <cell r="A286" t="str">
            <v>Cornwallite</v>
          </cell>
        </row>
        <row r="287">
          <cell r="A287" t="str">
            <v>Crandallite</v>
          </cell>
        </row>
        <row r="288">
          <cell r="A288" t="str">
            <v>Curetonite</v>
          </cell>
        </row>
        <row r="289">
          <cell r="A289" t="str">
            <v>Deloneite-(Ce)</v>
          </cell>
        </row>
        <row r="290">
          <cell r="A290" t="str">
            <v>Descloizite</v>
          </cell>
        </row>
        <row r="291">
          <cell r="A291" t="str">
            <v>Dickinsonite</v>
          </cell>
        </row>
        <row r="292">
          <cell r="A292" t="str">
            <v>Dickinsonite-(KMnNa)</v>
          </cell>
        </row>
        <row r="293">
          <cell r="A293" t="str">
            <v>Dickinsonite-(KNa)</v>
          </cell>
        </row>
        <row r="294">
          <cell r="A294" t="str">
            <v>Dickinsonite-(KNaNa)</v>
          </cell>
        </row>
        <row r="295">
          <cell r="A295" t="str">
            <v>Dickinsonite-(NaNa)</v>
          </cell>
        </row>
        <row r="296">
          <cell r="A296" t="str">
            <v>Dixenite</v>
          </cell>
        </row>
        <row r="297">
          <cell r="A297" t="str">
            <v>Drugmanite</v>
          </cell>
        </row>
        <row r="298">
          <cell r="A298" t="str">
            <v>Duftite-alpha</v>
          </cell>
        </row>
        <row r="299">
          <cell r="A299" t="str">
            <v>Duftite-beta</v>
          </cell>
        </row>
        <row r="300">
          <cell r="A300" t="str">
            <v>Dugganite</v>
          </cell>
        </row>
        <row r="301">
          <cell r="A301" t="str">
            <v>Duhamelite</v>
          </cell>
        </row>
        <row r="302">
          <cell r="A302" t="str">
            <v>Durangite</v>
          </cell>
        </row>
        <row r="303">
          <cell r="A303" t="str">
            <v>Dussertite</v>
          </cell>
        </row>
        <row r="304">
          <cell r="A304" t="str">
            <v>Eveite</v>
          </cell>
        </row>
        <row r="305">
          <cell r="A305" t="str">
            <v>Eylettersite</v>
          </cell>
        </row>
        <row r="306">
          <cell r="A306" t="str">
            <v>Feinglosite</v>
          </cell>
        </row>
        <row r="307">
          <cell r="A307" t="str">
            <v>Fermorite</v>
          </cell>
        </row>
        <row r="308">
          <cell r="A308" t="str">
            <v>Ferrazite</v>
          </cell>
        </row>
        <row r="309">
          <cell r="A309" t="str">
            <v>Ferri-arrojadite-(BaNa)</v>
          </cell>
        </row>
        <row r="310">
          <cell r="A310" t="str">
            <v>Fingerite</v>
          </cell>
        </row>
        <row r="311">
          <cell r="A311" t="str">
            <v>Flinkite</v>
          </cell>
        </row>
        <row r="312">
          <cell r="A312" t="str">
            <v>Florencite-(Ce)</v>
          </cell>
        </row>
        <row r="313">
          <cell r="A313" t="str">
            <v>Florencite-(La)</v>
          </cell>
        </row>
        <row r="314">
          <cell r="A314" t="str">
            <v>Florencite-(Nd)</v>
          </cell>
        </row>
        <row r="315">
          <cell r="A315" t="str">
            <v>Fluorarrojadite-(BaFe)</v>
          </cell>
        </row>
        <row r="316">
          <cell r="A316" t="str">
            <v>Fluorarrojadite-(BaNa)</v>
          </cell>
        </row>
        <row r="317">
          <cell r="A317" t="str">
            <v>Fluorarrojadite-(KNa)</v>
          </cell>
        </row>
        <row r="318">
          <cell r="A318" t="str">
            <v>Frondelite</v>
          </cell>
        </row>
        <row r="319">
          <cell r="A319" t="str">
            <v>Gabrielsonite</v>
          </cell>
        </row>
        <row r="320">
          <cell r="A320" t="str">
            <v>Gallobeudantite</v>
          </cell>
        </row>
        <row r="321">
          <cell r="A321" t="str">
            <v>Gamagarite</v>
          </cell>
        </row>
        <row r="322">
          <cell r="A322" t="str">
            <v>Gatehouseite</v>
          </cell>
        </row>
        <row r="323">
          <cell r="A323" t="str">
            <v>Gerdtremmelite</v>
          </cell>
        </row>
        <row r="324">
          <cell r="A324" t="str">
            <v>Gilmarite</v>
          </cell>
        </row>
        <row r="325">
          <cell r="A325" t="str">
            <v>Goedkenite</v>
          </cell>
        </row>
        <row r="326">
          <cell r="A326" t="str">
            <v>Gorceixite</v>
          </cell>
        </row>
        <row r="327">
          <cell r="A327" t="str">
            <v>Gottlobite</v>
          </cell>
        </row>
        <row r="328">
          <cell r="A328" t="str">
            <v>Goyazite</v>
          </cell>
        </row>
        <row r="329">
          <cell r="A329" t="str">
            <v>Grattarolaite</v>
          </cell>
        </row>
        <row r="330">
          <cell r="A330" t="str">
            <v>Graulichite-(Ce)</v>
          </cell>
        </row>
        <row r="331">
          <cell r="A331" t="str">
            <v>Griphite</v>
          </cell>
        </row>
        <row r="332">
          <cell r="A332" t="str">
            <v>Hechtsbergite</v>
          </cell>
        </row>
        <row r="333">
          <cell r="A333" t="str">
            <v>Hedyphane</v>
          </cell>
        </row>
        <row r="334">
          <cell r="A334" t="str">
            <v>Hematolite</v>
          </cell>
        </row>
        <row r="335">
          <cell r="A335" t="str">
            <v>Heneuite</v>
          </cell>
        </row>
        <row r="336">
          <cell r="A336" t="str">
            <v>Hentschelite</v>
          </cell>
        </row>
        <row r="337">
          <cell r="A337" t="str">
            <v>Herderite</v>
          </cell>
        </row>
        <row r="338">
          <cell r="A338" t="str">
            <v>Heyite</v>
          </cell>
        </row>
        <row r="339">
          <cell r="A339" t="str">
            <v>Hidalgoite</v>
          </cell>
        </row>
        <row r="340">
          <cell r="A340" t="str">
            <v>Hinsdalite</v>
          </cell>
        </row>
        <row r="341">
          <cell r="A341" t="str">
            <v>Holdenite</v>
          </cell>
        </row>
        <row r="342">
          <cell r="A342" t="str">
            <v>Holtedahlite</v>
          </cell>
        </row>
        <row r="343">
          <cell r="A343" t="str">
            <v>Hydroxylherderite</v>
          </cell>
        </row>
        <row r="344">
          <cell r="A344" t="str">
            <v>Hydroxylpyromorphite</v>
          </cell>
        </row>
        <row r="345">
          <cell r="A345" t="str">
            <v>Hydroxylwagnerite</v>
          </cell>
        </row>
        <row r="346">
          <cell r="A346" t="str">
            <v>IMA2008-009</v>
          </cell>
        </row>
        <row r="347">
          <cell r="A347" t="str">
            <v>IMA2008-068</v>
          </cell>
        </row>
        <row r="348">
          <cell r="A348" t="str">
            <v>Isokite</v>
          </cell>
        </row>
        <row r="349">
          <cell r="A349" t="str">
            <v>Jagowerite</v>
          </cell>
        </row>
        <row r="350">
          <cell r="A350" t="str">
            <v>Jamesite</v>
          </cell>
        </row>
        <row r="351">
          <cell r="A351" t="str">
            <v>Jarosewichite</v>
          </cell>
        </row>
        <row r="352">
          <cell r="A352" t="str">
            <v>Johnbaumite</v>
          </cell>
        </row>
        <row r="353">
          <cell r="A353" t="str">
            <v>Johntomaite</v>
          </cell>
        </row>
        <row r="354">
          <cell r="A354" t="str">
            <v>Joosteite</v>
          </cell>
        </row>
        <row r="355">
          <cell r="A355" t="str">
            <v>Kemmlitzite</v>
          </cell>
        </row>
        <row r="356">
          <cell r="A356" t="str">
            <v>Kintoreite</v>
          </cell>
        </row>
        <row r="357">
          <cell r="A357" t="str">
            <v>Kolicite</v>
          </cell>
        </row>
        <row r="358">
          <cell r="A358" t="str">
            <v>Kombatite</v>
          </cell>
        </row>
        <row r="359">
          <cell r="A359" t="str">
            <v>Kraisslite</v>
          </cell>
        </row>
        <row r="360">
          <cell r="A360" t="str">
            <v>Kuksite</v>
          </cell>
        </row>
        <row r="361">
          <cell r="A361" t="str">
            <v>Kulanite</v>
          </cell>
        </row>
        <row r="362">
          <cell r="A362" t="str">
            <v>Kuznetsovite</v>
          </cell>
        </row>
        <row r="363">
          <cell r="A363" t="str">
            <v>Lacroixite</v>
          </cell>
        </row>
        <row r="364">
          <cell r="A364" t="str">
            <v>Lazulite</v>
          </cell>
        </row>
        <row r="365">
          <cell r="A365" t="str">
            <v>Leningradite</v>
          </cell>
        </row>
        <row r="366">
          <cell r="A366" t="str">
            <v>Libethenite</v>
          </cell>
        </row>
        <row r="367">
          <cell r="A367" t="str">
            <v>Lipscombite</v>
          </cell>
        </row>
        <row r="368">
          <cell r="A368" t="str">
            <v>Ludjibaite</v>
          </cell>
        </row>
        <row r="369">
          <cell r="A369" t="str">
            <v>Lulzacite</v>
          </cell>
        </row>
        <row r="370">
          <cell r="A370" t="str">
            <v>Lusungite?</v>
          </cell>
        </row>
        <row r="371">
          <cell r="A371" t="str">
            <v>Magnesiochlorophoenicite</v>
          </cell>
        </row>
        <row r="372">
          <cell r="A372" t="str">
            <v>Magniotriplite</v>
          </cell>
        </row>
        <row r="373">
          <cell r="A373" t="str">
            <v>Maxwellite</v>
          </cell>
        </row>
        <row r="374">
          <cell r="A374" t="str">
            <v>Mcgovernite</v>
          </cell>
        </row>
        <row r="375">
          <cell r="A375" t="str">
            <v>Medenbachite</v>
          </cell>
        </row>
        <row r="376">
          <cell r="A376" t="str">
            <v>Melonjosephite</v>
          </cell>
        </row>
        <row r="377">
          <cell r="A377" t="str">
            <v>Mimetite</v>
          </cell>
        </row>
        <row r="378">
          <cell r="A378" t="str">
            <v>Montebrasite</v>
          </cell>
        </row>
        <row r="379">
          <cell r="A379" t="str">
            <v>Morelandite</v>
          </cell>
        </row>
        <row r="380">
          <cell r="A380" t="str">
            <v>Mottramite</v>
          </cell>
        </row>
        <row r="381">
          <cell r="A381" t="str">
            <v>Nabiasite</v>
          </cell>
        </row>
        <row r="382">
          <cell r="A382" t="str">
            <v>Nacaphite</v>
          </cell>
        </row>
        <row r="383">
          <cell r="A383" t="str">
            <v>Namibite</v>
          </cell>
        </row>
        <row r="384">
          <cell r="A384" t="str">
            <v>Natromontebrasite</v>
          </cell>
        </row>
        <row r="385">
          <cell r="A385" t="str">
            <v>Nefedovite</v>
          </cell>
        </row>
        <row r="386">
          <cell r="A386" t="str">
            <v>Neustadtelite</v>
          </cell>
        </row>
        <row r="387">
          <cell r="A387" t="str">
            <v>Nickelaustinite</v>
          </cell>
        </row>
        <row r="388">
          <cell r="A388" t="str">
            <v>Olivenite</v>
          </cell>
        </row>
        <row r="389">
          <cell r="A389" t="str">
            <v>Orpheite</v>
          </cell>
        </row>
        <row r="390">
          <cell r="A390" t="str">
            <v>Paganoite</v>
          </cell>
        </row>
        <row r="391">
          <cell r="A391" t="str">
            <v>Palermoite</v>
          </cell>
        </row>
        <row r="392">
          <cell r="A392" t="str">
            <v>Panasqueiraite</v>
          </cell>
        </row>
        <row r="393">
          <cell r="A393" t="str">
            <v>Paradamite</v>
          </cell>
        </row>
        <row r="394">
          <cell r="A394" t="str">
            <v>Parwelite</v>
          </cell>
        </row>
        <row r="395">
          <cell r="A395" t="str">
            <v>Pattersonite</v>
          </cell>
        </row>
        <row r="396">
          <cell r="A396" t="str">
            <v>Paulkellerite</v>
          </cell>
        </row>
        <row r="397">
          <cell r="A397" t="str">
            <v>Penikisite</v>
          </cell>
        </row>
        <row r="398">
          <cell r="A398" t="str">
            <v>Perloffite</v>
          </cell>
        </row>
        <row r="399">
          <cell r="A399" t="str">
            <v>Petitjeanite</v>
          </cell>
        </row>
        <row r="400">
          <cell r="A400" t="str">
            <v>Philipsbornite</v>
          </cell>
        </row>
        <row r="401">
          <cell r="A401" t="str">
            <v>Phosphoellenbergerite</v>
          </cell>
        </row>
        <row r="402">
          <cell r="A402" t="str">
            <v>Plimerite</v>
          </cell>
        </row>
        <row r="403">
          <cell r="A403" t="str">
            <v>Plumbogummite</v>
          </cell>
        </row>
        <row r="404">
          <cell r="A404" t="str">
            <v>Preisingerite</v>
          </cell>
        </row>
        <row r="405">
          <cell r="A405" t="str">
            <v>Pseudomalachite</v>
          </cell>
        </row>
        <row r="406">
          <cell r="A406" t="str">
            <v>Pyrobelonite</v>
          </cell>
        </row>
        <row r="407">
          <cell r="A407" t="str">
            <v>Pyromorphite</v>
          </cell>
        </row>
        <row r="408">
          <cell r="A408" t="str">
            <v>Raadeite</v>
          </cell>
        </row>
        <row r="409">
          <cell r="A409" t="str">
            <v>Reichenbachite</v>
          </cell>
        </row>
        <row r="410">
          <cell r="A410" t="str">
            <v>Reppiaite</v>
          </cell>
        </row>
        <row r="411">
          <cell r="A411" t="str">
            <v>Retzian-(Ce)</v>
          </cell>
        </row>
        <row r="412">
          <cell r="A412" t="str">
            <v>Retzian-(La)</v>
          </cell>
        </row>
        <row r="413">
          <cell r="A413" t="str">
            <v>Retzian-(Nd)</v>
          </cell>
        </row>
        <row r="414">
          <cell r="A414" t="str">
            <v>Richellite</v>
          </cell>
        </row>
        <row r="415">
          <cell r="A415" t="str">
            <v>Rockbridgeite</v>
          </cell>
        </row>
        <row r="416">
          <cell r="A416" t="str">
            <v>Sabelliite</v>
          </cell>
        </row>
        <row r="417">
          <cell r="A417" t="str">
            <v>Sahlinite</v>
          </cell>
        </row>
        <row r="418">
          <cell r="A418" t="str">
            <v>Samuelsonite</v>
          </cell>
        </row>
        <row r="419">
          <cell r="A419" t="str">
            <v>Sarkinite</v>
          </cell>
        </row>
        <row r="420">
          <cell r="A420" t="str">
            <v>Satterlyite</v>
          </cell>
        </row>
        <row r="421">
          <cell r="A421" t="str">
            <v>Schlegelite</v>
          </cell>
        </row>
        <row r="422">
          <cell r="A422" t="str">
            <v>Schumacherite</v>
          </cell>
        </row>
        <row r="423">
          <cell r="A423" t="str">
            <v>Scorzalite</v>
          </cell>
        </row>
        <row r="424">
          <cell r="A424" t="str">
            <v>Segnitite</v>
          </cell>
        </row>
        <row r="425">
          <cell r="A425" t="str">
            <v>Sewardite</v>
          </cell>
        </row>
        <row r="426">
          <cell r="A426" t="str">
            <v>Smrkovecite</v>
          </cell>
        </row>
        <row r="427">
          <cell r="A427" t="str">
            <v>Springcreekite</v>
          </cell>
        </row>
        <row r="428">
          <cell r="A428" t="str">
            <v>Stanekite</v>
          </cell>
        </row>
        <row r="429">
          <cell r="A429" t="str">
            <v>Stoiberite</v>
          </cell>
        </row>
        <row r="430">
          <cell r="A430" t="str">
            <v>Svabite</v>
          </cell>
        </row>
        <row r="431">
          <cell r="A431" t="str">
            <v>Svanbergite</v>
          </cell>
        </row>
        <row r="432">
          <cell r="A432" t="str">
            <v>Synadelphite</v>
          </cell>
        </row>
        <row r="433">
          <cell r="A433" t="str">
            <v>Tancoite</v>
          </cell>
        </row>
        <row r="434">
          <cell r="A434" t="str">
            <v>Tangeite</v>
          </cell>
        </row>
        <row r="435">
          <cell r="A435" t="str">
            <v>Tarbuttite</v>
          </cell>
        </row>
        <row r="436">
          <cell r="A436" t="str">
            <v>Tavorite</v>
          </cell>
        </row>
        <row r="437">
          <cell r="A437" t="str">
            <v>Thadeuite</v>
          </cell>
        </row>
        <row r="438">
          <cell r="A438" t="str">
            <v>Theisite</v>
          </cell>
        </row>
        <row r="439">
          <cell r="A439" t="str">
            <v>Theoparacelsite</v>
          </cell>
        </row>
        <row r="440">
          <cell r="A440" t="str">
            <v>Tilasite</v>
          </cell>
        </row>
        <row r="441">
          <cell r="A441" t="str">
            <v>Tokyoite</v>
          </cell>
        </row>
        <row r="442">
          <cell r="A442" t="str">
            <v>Triplite</v>
          </cell>
        </row>
        <row r="443">
          <cell r="A443" t="str">
            <v>Triploidite</v>
          </cell>
        </row>
        <row r="444">
          <cell r="A444" t="str">
            <v>Trolleite</v>
          </cell>
        </row>
        <row r="445">
          <cell r="A445" t="str">
            <v>Tsumebite</v>
          </cell>
        </row>
        <row r="446">
          <cell r="A446" t="str">
            <v>Turanite</v>
          </cell>
        </row>
        <row r="447">
          <cell r="A447" t="str">
            <v>Turneaureite</v>
          </cell>
        </row>
        <row r="448">
          <cell r="A448" t="str">
            <v>Turtmannite</v>
          </cell>
        </row>
        <row r="449">
          <cell r="A449" t="str">
            <v>Urusovite</v>
          </cell>
        </row>
        <row r="450">
          <cell r="A450" t="str">
            <v>Vanadinite</v>
          </cell>
        </row>
        <row r="451">
          <cell r="A451" t="str">
            <v>Vayrynenite</v>
          </cell>
        </row>
        <row r="452">
          <cell r="A452" t="str">
            <v>Vesignieite</v>
          </cell>
        </row>
        <row r="453">
          <cell r="A453" t="str">
            <v>Viitaniemiite</v>
          </cell>
        </row>
        <row r="454">
          <cell r="A454" t="str">
            <v>Wagnerite</v>
          </cell>
        </row>
        <row r="455">
          <cell r="A455" t="str">
            <v>Waterhouseite</v>
          </cell>
        </row>
        <row r="456">
          <cell r="A456" t="str">
            <v>Waylandite</v>
          </cell>
        </row>
        <row r="457">
          <cell r="A457" t="str">
            <v>Weilerite</v>
          </cell>
        </row>
        <row r="458">
          <cell r="A458" t="str">
            <v>Wilhelmkleinite</v>
          </cell>
        </row>
        <row r="459">
          <cell r="A459" t="str">
            <v>Wolfeite</v>
          </cell>
        </row>
        <row r="460">
          <cell r="A460" t="str">
            <v>Woodhouseite</v>
          </cell>
        </row>
        <row r="461">
          <cell r="A461" t="str">
            <v>Zairite</v>
          </cell>
        </row>
        <row r="462">
          <cell r="A462" t="str">
            <v>Zinclipscombite</v>
          </cell>
        </row>
        <row r="463">
          <cell r="A463" t="str">
            <v>Zincolibethenite</v>
          </cell>
        </row>
        <row r="464">
          <cell r="A464" t="str">
            <v>Zincolivenite</v>
          </cell>
        </row>
        <row r="465">
          <cell r="A465" t="str">
            <v>Zwieselite</v>
          </cell>
        </row>
        <row r="466">
          <cell r="A466" t="str">
            <v>Albite</v>
          </cell>
        </row>
        <row r="467">
          <cell r="A467" t="str">
            <v>Andesine</v>
          </cell>
        </row>
        <row r="468">
          <cell r="A468" t="str">
            <v>Anorthite</v>
          </cell>
        </row>
        <row r="469">
          <cell r="A469" t="str">
            <v>Bytownite</v>
          </cell>
        </row>
        <row r="470">
          <cell r="A470" t="str">
            <v>Labradorite</v>
          </cell>
        </row>
        <row r="471">
          <cell r="A471" t="str">
            <v>Oligoclase</v>
          </cell>
        </row>
        <row r="472">
          <cell r="A472" t="str">
            <v>Plagioclase</v>
          </cell>
        </row>
        <row r="473">
          <cell r="A473" t="str">
            <v>Brinrobertsite</v>
          </cell>
        </row>
        <row r="474">
          <cell r="A474" t="str">
            <v>Ferripyrophyllite</v>
          </cell>
        </row>
        <row r="475">
          <cell r="A475" t="str">
            <v>Minnesotaite</v>
          </cell>
        </row>
        <row r="476">
          <cell r="A476" t="str">
            <v>Pyrophyllite</v>
          </cell>
        </row>
        <row r="477">
          <cell r="A477" t="str">
            <v>Talc</v>
          </cell>
        </row>
        <row r="478">
          <cell r="A478" t="str">
            <v>Willemseite</v>
          </cell>
        </row>
        <row r="479">
          <cell r="A479" t="str">
            <v>Aegirine</v>
          </cell>
        </row>
        <row r="480">
          <cell r="A480" t="str">
            <v>Aegirine-augite</v>
          </cell>
        </row>
        <row r="481">
          <cell r="A481" t="str">
            <v>Akimotoite</v>
          </cell>
        </row>
        <row r="482">
          <cell r="A482" t="str">
            <v>Augite</v>
          </cell>
        </row>
        <row r="483">
          <cell r="A483" t="str">
            <v>Clinoenstatite</v>
          </cell>
        </row>
        <row r="484">
          <cell r="A484" t="str">
            <v>Clinoferrosilite</v>
          </cell>
        </row>
        <row r="485">
          <cell r="A485" t="str">
            <v>Davisite</v>
          </cell>
        </row>
        <row r="486">
          <cell r="A486" t="str">
            <v>Diopside</v>
          </cell>
        </row>
        <row r="487">
          <cell r="A487" t="str">
            <v>Donpeacorite</v>
          </cell>
        </row>
        <row r="488">
          <cell r="A488" t="str">
            <v>Enstatite</v>
          </cell>
        </row>
        <row r="489">
          <cell r="A489" t="str">
            <v>Esseneite</v>
          </cell>
        </row>
        <row r="490">
          <cell r="A490" t="str">
            <v>Ferrosilite</v>
          </cell>
        </row>
        <row r="491">
          <cell r="A491" t="str">
            <v>Hedenbergite</v>
          </cell>
        </row>
        <row r="492">
          <cell r="A492" t="str">
            <v>Hedenbergite-Mg</v>
          </cell>
        </row>
        <row r="493">
          <cell r="A493" t="str">
            <v>Jadeite</v>
          </cell>
        </row>
        <row r="494">
          <cell r="A494" t="str">
            <v>Jervisite</v>
          </cell>
        </row>
        <row r="495">
          <cell r="A495" t="str">
            <v>Johannsenite</v>
          </cell>
        </row>
        <row r="496">
          <cell r="A496" t="str">
            <v>Kanoite</v>
          </cell>
        </row>
        <row r="497">
          <cell r="A497" t="str">
            <v>Kosmochlor</v>
          </cell>
        </row>
        <row r="498">
          <cell r="A498" t="str">
            <v>Namansilite</v>
          </cell>
        </row>
        <row r="499">
          <cell r="A499" t="str">
            <v>Natalyite</v>
          </cell>
        </row>
        <row r="500">
          <cell r="A500" t="str">
            <v>Omphacite</v>
          </cell>
        </row>
        <row r="501">
          <cell r="A501" t="str">
            <v>Petedunnite</v>
          </cell>
        </row>
        <row r="502">
          <cell r="A502" t="str">
            <v>Pigeonite</v>
          </cell>
        </row>
        <row r="503">
          <cell r="A503" t="str">
            <v>Spodumene</v>
          </cell>
        </row>
        <row r="504">
          <cell r="A504" t="str">
            <v>Caryopilite</v>
          </cell>
        </row>
        <row r="505">
          <cell r="A505" t="str">
            <v>Greenalite</v>
          </cell>
        </row>
        <row r="506">
          <cell r="A506" t="str">
            <v>Lizardite</v>
          </cell>
        </row>
        <row r="507">
          <cell r="A507" t="str">
            <v>Nepouite</v>
          </cell>
        </row>
        <row r="508">
          <cell r="A508" t="str">
            <v>Alpersite</v>
          </cell>
        </row>
        <row r="509">
          <cell r="A509" t="str">
            <v>Alum-(K)</v>
          </cell>
        </row>
        <row r="510">
          <cell r="A510" t="str">
            <v>Alum-(Na)</v>
          </cell>
        </row>
        <row r="511">
          <cell r="A511" t="str">
            <v>Alunogen</v>
          </cell>
        </row>
        <row r="512">
          <cell r="A512" t="str">
            <v>Amarillite</v>
          </cell>
        </row>
        <row r="513">
          <cell r="A513" t="str">
            <v>Apjohnite</v>
          </cell>
        </row>
        <row r="514">
          <cell r="A514" t="str">
            <v>Aplowite</v>
          </cell>
        </row>
        <row r="515">
          <cell r="A515" t="str">
            <v>Bassanite</v>
          </cell>
        </row>
        <row r="516">
          <cell r="A516" t="str">
            <v>Bianchite</v>
          </cell>
        </row>
        <row r="517">
          <cell r="A517" t="str">
            <v>Bieberite</v>
          </cell>
        </row>
        <row r="518">
          <cell r="A518" t="str">
            <v>Bilinite</v>
          </cell>
        </row>
        <row r="519">
          <cell r="A519" t="str">
            <v>Blodite</v>
          </cell>
        </row>
        <row r="520">
          <cell r="A520" t="str">
            <v>Bonattite</v>
          </cell>
        </row>
        <row r="521">
          <cell r="A521" t="str">
            <v>Boothite</v>
          </cell>
        </row>
        <row r="522">
          <cell r="A522" t="str">
            <v>Boussingaultite</v>
          </cell>
        </row>
        <row r="523">
          <cell r="A523" t="str">
            <v>Boyleite</v>
          </cell>
        </row>
        <row r="524">
          <cell r="A524" t="str">
            <v>Caichengyunite</v>
          </cell>
        </row>
        <row r="525">
          <cell r="A525" t="str">
            <v>Chalcanthite</v>
          </cell>
        </row>
        <row r="526">
          <cell r="A526" t="str">
            <v>Changoite</v>
          </cell>
        </row>
        <row r="527">
          <cell r="A527" t="str">
            <v>Chvaleticeite</v>
          </cell>
        </row>
        <row r="528">
          <cell r="A528" t="str">
            <v>Cobaltkieserite</v>
          </cell>
        </row>
        <row r="529">
          <cell r="A529" t="str">
            <v>Coquimbite</v>
          </cell>
        </row>
        <row r="530">
          <cell r="A530" t="str">
            <v>Cyanochroite</v>
          </cell>
        </row>
        <row r="531">
          <cell r="A531" t="str">
            <v>Dietrichite</v>
          </cell>
        </row>
        <row r="532">
          <cell r="A532" t="str">
            <v>Dwornikite</v>
          </cell>
        </row>
        <row r="533">
          <cell r="A533" t="str">
            <v>Epsomite</v>
          </cell>
        </row>
        <row r="534">
          <cell r="A534" t="str">
            <v>Eugsterite</v>
          </cell>
        </row>
        <row r="535">
          <cell r="A535" t="str">
            <v>Ferrinatrite</v>
          </cell>
        </row>
        <row r="536">
          <cell r="A536" t="str">
            <v>Ferrohexahydrite</v>
          </cell>
        </row>
        <row r="537">
          <cell r="A537" t="str">
            <v>Goldichite</v>
          </cell>
        </row>
        <row r="538">
          <cell r="A538" t="str">
            <v>Gorgeyite</v>
          </cell>
        </row>
        <row r="539">
          <cell r="A539" t="str">
            <v>Goslarite</v>
          </cell>
        </row>
        <row r="540">
          <cell r="A540" t="str">
            <v>Gunningite</v>
          </cell>
        </row>
        <row r="541">
          <cell r="A541" t="str">
            <v>Gypsum</v>
          </cell>
        </row>
        <row r="542">
          <cell r="A542" t="str">
            <v>Halotrichite</v>
          </cell>
        </row>
        <row r="543">
          <cell r="A543" t="str">
            <v>Hexahydrite</v>
          </cell>
        </row>
        <row r="544">
          <cell r="A544" t="str">
            <v>Hydroglauberite</v>
          </cell>
        </row>
        <row r="545">
          <cell r="A545" t="str">
            <v>Ilesite</v>
          </cell>
        </row>
        <row r="546">
          <cell r="A546" t="str">
            <v>IMA2002-034</v>
          </cell>
        </row>
        <row r="547">
          <cell r="A547" t="str">
            <v>Jokokuite</v>
          </cell>
        </row>
        <row r="548">
          <cell r="A548" t="str">
            <v>Kalinite</v>
          </cell>
        </row>
        <row r="549">
          <cell r="A549" t="str">
            <v>Kieserite</v>
          </cell>
        </row>
        <row r="550">
          <cell r="A550" t="str">
            <v>Koktaite</v>
          </cell>
        </row>
        <row r="551">
          <cell r="A551" t="str">
            <v>Konyaite</v>
          </cell>
        </row>
        <row r="552">
          <cell r="A552" t="str">
            <v>Kornelite</v>
          </cell>
        </row>
        <row r="553">
          <cell r="A553" t="str">
            <v>Krausite</v>
          </cell>
        </row>
        <row r="554">
          <cell r="A554" t="str">
            <v>Krohnkite</v>
          </cell>
        </row>
        <row r="555">
          <cell r="A555" t="str">
            <v>Lanmuchangite</v>
          </cell>
        </row>
        <row r="556">
          <cell r="A556" t="str">
            <v>Lausenite</v>
          </cell>
        </row>
        <row r="557">
          <cell r="A557" t="str">
            <v>Lecontite</v>
          </cell>
        </row>
        <row r="558">
          <cell r="A558" t="str">
            <v>Leightonite</v>
          </cell>
        </row>
        <row r="559">
          <cell r="A559" t="str">
            <v>Leonite</v>
          </cell>
        </row>
        <row r="560">
          <cell r="A560" t="str">
            <v>Lishizhenite</v>
          </cell>
        </row>
        <row r="561">
          <cell r="A561" t="str">
            <v>Lonecreekite</v>
          </cell>
        </row>
        <row r="562">
          <cell r="A562" t="str">
            <v>Loweite</v>
          </cell>
        </row>
        <row r="563">
          <cell r="A563" t="str">
            <v>Mallardite</v>
          </cell>
        </row>
        <row r="564">
          <cell r="A564" t="str">
            <v>Matteuccite</v>
          </cell>
        </row>
        <row r="565">
          <cell r="A565" t="str">
            <v>Melanterite</v>
          </cell>
        </row>
        <row r="566">
          <cell r="A566" t="str">
            <v>Mendozite</v>
          </cell>
        </row>
        <row r="567">
          <cell r="A567" t="str">
            <v>Mereiterite</v>
          </cell>
        </row>
        <row r="568">
          <cell r="A568" t="str">
            <v>Meridianiite</v>
          </cell>
        </row>
        <row r="569">
          <cell r="A569" t="str">
            <v>Meta-alunogen</v>
          </cell>
        </row>
        <row r="570">
          <cell r="A570" t="str">
            <v>Mirabilite</v>
          </cell>
        </row>
        <row r="571">
          <cell r="A571" t="str">
            <v>Mohrite</v>
          </cell>
        </row>
        <row r="572">
          <cell r="A572" t="str">
            <v>Monsmedite</v>
          </cell>
        </row>
        <row r="573">
          <cell r="A573" t="str">
            <v>Montanite</v>
          </cell>
        </row>
        <row r="574">
          <cell r="A574" t="str">
            <v>Moorhouseite</v>
          </cell>
        </row>
        <row r="575">
          <cell r="A575" t="str">
            <v>Morenosite</v>
          </cell>
        </row>
        <row r="576">
          <cell r="A576" t="str">
            <v>Nickelblodite</v>
          </cell>
        </row>
        <row r="577">
          <cell r="A577" t="str">
            <v>Nickelboussingaultite</v>
          </cell>
        </row>
        <row r="578">
          <cell r="A578" t="str">
            <v>Nickelhexahydrite</v>
          </cell>
        </row>
        <row r="579">
          <cell r="A579" t="str">
            <v>Omongwaite</v>
          </cell>
        </row>
        <row r="580">
          <cell r="A580" t="str">
            <v>Paracoquimbite</v>
          </cell>
        </row>
        <row r="581">
          <cell r="A581" t="str">
            <v>Pentahydrite</v>
          </cell>
        </row>
        <row r="582">
          <cell r="A582" t="str">
            <v>Pertlikite</v>
          </cell>
        </row>
        <row r="583">
          <cell r="A583" t="str">
            <v>Pickeringite</v>
          </cell>
        </row>
        <row r="584">
          <cell r="A584" t="str">
            <v>Picromerite</v>
          </cell>
        </row>
        <row r="585">
          <cell r="A585" t="str">
            <v>Poitevinite</v>
          </cell>
        </row>
        <row r="586">
          <cell r="A586" t="str">
            <v>Polyhalite</v>
          </cell>
        </row>
        <row r="587">
          <cell r="A587" t="str">
            <v>Quenstedtite</v>
          </cell>
        </row>
        <row r="588">
          <cell r="A588" t="str">
            <v>Ransomite</v>
          </cell>
        </row>
        <row r="589">
          <cell r="A589" t="str">
            <v>Redingtonite</v>
          </cell>
        </row>
        <row r="590">
          <cell r="A590" t="str">
            <v>Retgersite</v>
          </cell>
        </row>
        <row r="591">
          <cell r="A591" t="str">
            <v>Rhomboclase</v>
          </cell>
        </row>
        <row r="592">
          <cell r="A592" t="str">
            <v>Romerite</v>
          </cell>
        </row>
        <row r="593">
          <cell r="A593" t="str">
            <v>Rozenite</v>
          </cell>
        </row>
        <row r="594">
          <cell r="A594" t="str">
            <v>Sanderite</v>
          </cell>
        </row>
        <row r="595">
          <cell r="A595" t="str">
            <v>Schieffelinite</v>
          </cell>
        </row>
        <row r="596">
          <cell r="A596" t="str">
            <v>Siderotil</v>
          </cell>
        </row>
        <row r="597">
          <cell r="A597" t="str">
            <v>Starkeyite</v>
          </cell>
        </row>
        <row r="598">
          <cell r="A598" t="str">
            <v>Syngenite</v>
          </cell>
        </row>
        <row r="599">
          <cell r="A599" t="str">
            <v>Szmikite</v>
          </cell>
        </row>
        <row r="600">
          <cell r="A600" t="str">
            <v>Szomolnokite</v>
          </cell>
        </row>
        <row r="601">
          <cell r="A601" t="str">
            <v>Tamarugite</v>
          </cell>
        </row>
        <row r="602">
          <cell r="A602" t="str">
            <v>Tschermigite</v>
          </cell>
        </row>
        <row r="603">
          <cell r="A603" t="str">
            <v>Voltaite</v>
          </cell>
        </row>
        <row r="604">
          <cell r="A604" t="str">
            <v>Wattevilleite</v>
          </cell>
        </row>
        <row r="605">
          <cell r="A605" t="str">
            <v>Wupatkiite</v>
          </cell>
        </row>
        <row r="606">
          <cell r="A606" t="str">
            <v>Zincmelanterite</v>
          </cell>
        </row>
        <row r="607">
          <cell r="A607" t="str">
            <v>Zincovoltaite</v>
          </cell>
        </row>
        <row r="608">
          <cell r="A608" t="str">
            <v>Zircosulfate</v>
          </cell>
        </row>
        <row r="609">
          <cell r="A609" t="str">
            <v>Palladoarsenide</v>
          </cell>
        </row>
        <row r="610">
          <cell r="A610" t="str">
            <v>Abelsonite</v>
          </cell>
        </row>
        <row r="611">
          <cell r="A611" t="str">
            <v>Abenakiite-(Ce)</v>
          </cell>
        </row>
        <row r="612">
          <cell r="A612" t="str">
            <v>Abernathyite</v>
          </cell>
        </row>
        <row r="613">
          <cell r="A613" t="str">
            <v>Abhurite</v>
          </cell>
        </row>
        <row r="614">
          <cell r="A614" t="str">
            <v>Abramovite</v>
          </cell>
        </row>
        <row r="615">
          <cell r="A615" t="str">
            <v>Abswurmbachite</v>
          </cell>
        </row>
        <row r="616">
          <cell r="A616" t="str">
            <v>Acanthite</v>
          </cell>
        </row>
        <row r="617">
          <cell r="A617" t="str">
            <v>Acetamide</v>
          </cell>
        </row>
        <row r="618">
          <cell r="A618" t="str">
            <v>Achavalite</v>
          </cell>
        </row>
        <row r="619">
          <cell r="A619" t="str">
            <v>Acuminite</v>
          </cell>
        </row>
        <row r="620">
          <cell r="A620" t="str">
            <v>Adamsite-(Y)</v>
          </cell>
        </row>
        <row r="621">
          <cell r="A621" t="str">
            <v>Admontite</v>
          </cell>
        </row>
        <row r="622">
          <cell r="A622" t="str">
            <v>Adranosite</v>
          </cell>
        </row>
        <row r="623">
          <cell r="A623" t="str">
            <v>Aenigmatite</v>
          </cell>
        </row>
        <row r="624">
          <cell r="A624" t="str">
            <v>Aerinite</v>
          </cell>
        </row>
        <row r="625">
          <cell r="A625" t="str">
            <v>Aeschynite-(Ce)</v>
          </cell>
        </row>
        <row r="626">
          <cell r="A626" t="str">
            <v>Aeschynite-(Nd)</v>
          </cell>
        </row>
        <row r="627">
          <cell r="A627" t="str">
            <v>Aeschynite-(Y)</v>
          </cell>
        </row>
        <row r="628">
          <cell r="A628" t="str">
            <v>Afghanite</v>
          </cell>
        </row>
        <row r="629">
          <cell r="A629" t="str">
            <v>Afwillite</v>
          </cell>
        </row>
        <row r="630">
          <cell r="A630" t="str">
            <v>Agardite-(Ca)</v>
          </cell>
        </row>
        <row r="631">
          <cell r="A631" t="str">
            <v>Agardite-(Ce)</v>
          </cell>
        </row>
        <row r="632">
          <cell r="A632" t="str">
            <v>Agardite-(Dy)</v>
          </cell>
        </row>
        <row r="633">
          <cell r="A633" t="str">
            <v>Agardite-(La)</v>
          </cell>
        </row>
        <row r="634">
          <cell r="A634" t="str">
            <v>Agardite-(Nd)</v>
          </cell>
        </row>
        <row r="635">
          <cell r="A635" t="str">
            <v>Agardite-(Y)</v>
          </cell>
        </row>
        <row r="636">
          <cell r="A636" t="str">
            <v>Agrellite</v>
          </cell>
        </row>
        <row r="637">
          <cell r="A637" t="str">
            <v>Agrinierite</v>
          </cell>
        </row>
        <row r="638">
          <cell r="A638" t="str">
            <v>Aguilarite</v>
          </cell>
        </row>
        <row r="639">
          <cell r="A639" t="str">
            <v>Aheylite</v>
          </cell>
        </row>
        <row r="640">
          <cell r="A640" t="str">
            <v>Ahlfeldite</v>
          </cell>
        </row>
        <row r="641">
          <cell r="A641" t="str">
            <v>Aikinite</v>
          </cell>
        </row>
        <row r="642">
          <cell r="A642" t="str">
            <v>Aiolosite</v>
          </cell>
        </row>
        <row r="643">
          <cell r="A643" t="str">
            <v>Ajoite</v>
          </cell>
        </row>
        <row r="644">
          <cell r="A644" t="str">
            <v>Akaganeite</v>
          </cell>
        </row>
        <row r="645">
          <cell r="A645" t="str">
            <v>Akatoreite</v>
          </cell>
        </row>
        <row r="646">
          <cell r="A646" t="str">
            <v>Akdalaite</v>
          </cell>
        </row>
        <row r="647">
          <cell r="A647" t="str">
            <v>Akermanite</v>
          </cell>
        </row>
        <row r="648">
          <cell r="A648" t="str">
            <v>Akhtenskite</v>
          </cell>
        </row>
        <row r="649">
          <cell r="A649" t="str">
            <v>Akrochordite</v>
          </cell>
        </row>
        <row r="650">
          <cell r="A650" t="str">
            <v>Aksaite</v>
          </cell>
        </row>
        <row r="651">
          <cell r="A651" t="str">
            <v>Aktashite</v>
          </cell>
        </row>
        <row r="652">
          <cell r="A652" t="str">
            <v>Alabandite</v>
          </cell>
        </row>
        <row r="653">
          <cell r="A653" t="str">
            <v>Alacranite</v>
          </cell>
        </row>
        <row r="654">
          <cell r="A654" t="str">
            <v>Alamosite</v>
          </cell>
        </row>
        <row r="655">
          <cell r="A655" t="str">
            <v>Alarsite</v>
          </cell>
        </row>
        <row r="656">
          <cell r="A656" t="str">
            <v>Albrechtschraufite</v>
          </cell>
        </row>
        <row r="657">
          <cell r="A657" t="str">
            <v>Aldermanite</v>
          </cell>
        </row>
        <row r="658">
          <cell r="A658" t="str">
            <v>Aldzhanite</v>
          </cell>
        </row>
        <row r="659">
          <cell r="A659" t="str">
            <v>Aleksite</v>
          </cell>
        </row>
        <row r="660">
          <cell r="A660" t="str">
            <v>Alflarsenite</v>
          </cell>
        </row>
        <row r="661">
          <cell r="A661" t="str">
            <v>Alfredstelznerite</v>
          </cell>
        </row>
        <row r="662">
          <cell r="A662" t="str">
            <v>Algodonite</v>
          </cell>
        </row>
        <row r="663">
          <cell r="A663" t="str">
            <v>Aliettite</v>
          </cell>
        </row>
        <row r="664">
          <cell r="A664" t="str">
            <v>Allabogdanite</v>
          </cell>
        </row>
        <row r="665">
          <cell r="A665" t="str">
            <v>Allanite-(Ce)</v>
          </cell>
        </row>
        <row r="666">
          <cell r="A666" t="str">
            <v>Allanite-(La)</v>
          </cell>
        </row>
        <row r="667">
          <cell r="A667" t="str">
            <v>Allanite-(Y)</v>
          </cell>
        </row>
        <row r="668">
          <cell r="A668" t="str">
            <v>Allanpringite</v>
          </cell>
        </row>
        <row r="669">
          <cell r="A669" t="str">
            <v>Allargentum</v>
          </cell>
        </row>
        <row r="670">
          <cell r="A670" t="str">
            <v>Alleghanyite</v>
          </cell>
        </row>
        <row r="671">
          <cell r="A671" t="str">
            <v>Allendeite</v>
          </cell>
        </row>
        <row r="672">
          <cell r="A672" t="str">
            <v>Allochalcoselite</v>
          </cell>
        </row>
        <row r="673">
          <cell r="A673" t="str">
            <v>Alloclasite</v>
          </cell>
        </row>
        <row r="674">
          <cell r="A674" t="str">
            <v>Allophane</v>
          </cell>
        </row>
        <row r="675">
          <cell r="A675" t="str">
            <v>Alloriite</v>
          </cell>
        </row>
        <row r="676">
          <cell r="A676" t="str">
            <v>Alluaivite</v>
          </cell>
        </row>
        <row r="677">
          <cell r="A677" t="str">
            <v>Alluaudite</v>
          </cell>
        </row>
        <row r="678">
          <cell r="A678" t="str">
            <v>Almandine</v>
          </cell>
        </row>
        <row r="679">
          <cell r="A679" t="str">
            <v>Almarudite</v>
          </cell>
        </row>
        <row r="680">
          <cell r="A680" t="str">
            <v>Almbosite</v>
          </cell>
        </row>
        <row r="681">
          <cell r="A681" t="str">
            <v>Alsakharovite-Zn</v>
          </cell>
        </row>
        <row r="682">
          <cell r="A682" t="str">
            <v>Altaite</v>
          </cell>
        </row>
        <row r="683">
          <cell r="A683" t="str">
            <v>Althupite</v>
          </cell>
        </row>
        <row r="684">
          <cell r="A684" t="str">
            <v>Altisite</v>
          </cell>
        </row>
        <row r="685">
          <cell r="A685" t="str">
            <v>Aluminite</v>
          </cell>
        </row>
        <row r="686">
          <cell r="A686" t="str">
            <v>Aluminocerite-(Ce)</v>
          </cell>
        </row>
        <row r="687">
          <cell r="A687" t="str">
            <v>Aluminocopiapite</v>
          </cell>
        </row>
        <row r="688">
          <cell r="A688" t="str">
            <v>Aluminomagnesiohulsite</v>
          </cell>
        </row>
        <row r="689">
          <cell r="A689" t="str">
            <v>Aluminum</v>
          </cell>
        </row>
        <row r="690">
          <cell r="A690" t="str">
            <v>Alumoakermanite</v>
          </cell>
        </row>
        <row r="691">
          <cell r="A691" t="str">
            <v>Alumohydrocalcite</v>
          </cell>
        </row>
        <row r="692">
          <cell r="A692" t="str">
            <v>Alumoklyuchevskite</v>
          </cell>
        </row>
        <row r="693">
          <cell r="A693" t="str">
            <v>Alumopharmacosiderite</v>
          </cell>
        </row>
        <row r="694">
          <cell r="A694" t="str">
            <v>Alumotantite</v>
          </cell>
        </row>
        <row r="695">
          <cell r="A695" t="str">
            <v>Alumotungstite</v>
          </cell>
        </row>
        <row r="696">
          <cell r="A696" t="str">
            <v>Alunite</v>
          </cell>
        </row>
        <row r="697">
          <cell r="A697" t="str">
            <v>Alvanite</v>
          </cell>
        </row>
        <row r="698">
          <cell r="A698" t="str">
            <v>Amakinite</v>
          </cell>
        </row>
        <row r="699">
          <cell r="A699" t="str">
            <v>Amalgam</v>
          </cell>
        </row>
        <row r="700">
          <cell r="A700" t="str">
            <v>Amarantite</v>
          </cell>
        </row>
        <row r="701">
          <cell r="A701" t="str">
            <v>Amber</v>
          </cell>
        </row>
        <row r="702">
          <cell r="A702" t="str">
            <v>Ameghinite</v>
          </cell>
        </row>
        <row r="703">
          <cell r="A703" t="str">
            <v>Amesite</v>
          </cell>
        </row>
        <row r="704">
          <cell r="A704" t="str">
            <v>Amicite</v>
          </cell>
        </row>
        <row r="705">
          <cell r="A705" t="str">
            <v>Aminoffite</v>
          </cell>
        </row>
        <row r="706">
          <cell r="A706" t="str">
            <v>Ammonioalunite</v>
          </cell>
        </row>
        <row r="707">
          <cell r="A707" t="str">
            <v>Ammonioborite</v>
          </cell>
        </row>
        <row r="708">
          <cell r="A708" t="str">
            <v>Ammoniojarosite</v>
          </cell>
        </row>
        <row r="709">
          <cell r="A709" t="str">
            <v>Ammonioleucite</v>
          </cell>
        </row>
        <row r="710">
          <cell r="A710" t="str">
            <v>Amphibole</v>
          </cell>
        </row>
        <row r="711">
          <cell r="A711" t="str">
            <v>Amstallite</v>
          </cell>
        </row>
        <row r="712">
          <cell r="A712" t="str">
            <v>Analcime</v>
          </cell>
        </row>
        <row r="713">
          <cell r="A713" t="str">
            <v>Anandite</v>
          </cell>
        </row>
        <row r="714">
          <cell r="A714" t="str">
            <v>Anapaite</v>
          </cell>
        </row>
        <row r="715">
          <cell r="A715" t="str">
            <v>Anatase</v>
          </cell>
        </row>
        <row r="716">
          <cell r="A716" t="str">
            <v>Ancylite-(Ce)</v>
          </cell>
        </row>
        <row r="717">
          <cell r="A717" t="str">
            <v>Ancylite-(La)</v>
          </cell>
        </row>
        <row r="718">
          <cell r="A718" t="str">
            <v>Andalusite</v>
          </cell>
        </row>
        <row r="719">
          <cell r="A719" t="str">
            <v>Andersonite</v>
          </cell>
        </row>
        <row r="720">
          <cell r="A720" t="str">
            <v>Andorite</v>
          </cell>
        </row>
        <row r="721">
          <cell r="A721" t="str">
            <v>Andradite</v>
          </cell>
        </row>
        <row r="722">
          <cell r="A722" t="str">
            <v>Andremeyerite</v>
          </cell>
        </row>
        <row r="723">
          <cell r="A723" t="str">
            <v>Andreyivanovite</v>
          </cell>
        </row>
        <row r="724">
          <cell r="A724" t="str">
            <v>Anduoite</v>
          </cell>
        </row>
        <row r="725">
          <cell r="A725" t="str">
            <v>Andyrobertsite</v>
          </cell>
        </row>
        <row r="726">
          <cell r="A726" t="str">
            <v>Angastonite</v>
          </cell>
        </row>
        <row r="727">
          <cell r="A727" t="str">
            <v>Angelaite</v>
          </cell>
        </row>
        <row r="728">
          <cell r="A728" t="str">
            <v>Anglesite</v>
          </cell>
        </row>
        <row r="729">
          <cell r="A729" t="str">
            <v>Anhydrite</v>
          </cell>
        </row>
        <row r="730">
          <cell r="A730" t="str">
            <v>Anilite</v>
          </cell>
        </row>
        <row r="731">
          <cell r="A731" t="str">
            <v>Ankangite</v>
          </cell>
        </row>
        <row r="732">
          <cell r="A732" t="str">
            <v>ankerite-ST</v>
          </cell>
        </row>
        <row r="733">
          <cell r="A733" t="str">
            <v>Ankinovichite</v>
          </cell>
        </row>
        <row r="734">
          <cell r="A734" t="str">
            <v>Annabergite</v>
          </cell>
        </row>
        <row r="735">
          <cell r="A735" t="str">
            <v>Annite</v>
          </cell>
        </row>
        <row r="736">
          <cell r="A736" t="str">
            <v>Anorthoclase</v>
          </cell>
        </row>
        <row r="737">
          <cell r="A737" t="str">
            <v>Anorthominasragrite</v>
          </cell>
        </row>
        <row r="738">
          <cell r="A738" t="str">
            <v>Ansermetite</v>
          </cell>
        </row>
        <row r="739">
          <cell r="A739" t="str">
            <v>Antarcticite</v>
          </cell>
        </row>
        <row r="740">
          <cell r="A740" t="str">
            <v>Anthoinite</v>
          </cell>
        </row>
        <row r="741">
          <cell r="A741" t="str">
            <v>Anthonyite</v>
          </cell>
        </row>
        <row r="742">
          <cell r="A742" t="str">
            <v>Antigorite</v>
          </cell>
        </row>
        <row r="743">
          <cell r="A743" t="str">
            <v>Antimonpearceite</v>
          </cell>
        </row>
        <row r="744">
          <cell r="A744" t="str">
            <v>Antimonselite</v>
          </cell>
        </row>
        <row r="745">
          <cell r="A745" t="str">
            <v>Antimony</v>
          </cell>
        </row>
        <row r="746">
          <cell r="A746" t="str">
            <v>Antitaenite</v>
          </cell>
        </row>
        <row r="747">
          <cell r="A747" t="str">
            <v>Antlerite</v>
          </cell>
        </row>
        <row r="748">
          <cell r="A748" t="str">
            <v>Anyuiite</v>
          </cell>
        </row>
        <row r="749">
          <cell r="A749" t="str">
            <v>Apachite</v>
          </cell>
        </row>
        <row r="750">
          <cell r="A750" t="str">
            <v>Aphthitalite</v>
          </cell>
        </row>
        <row r="751">
          <cell r="A751" t="str">
            <v>Apophyllite</v>
          </cell>
        </row>
        <row r="752">
          <cell r="A752" t="str">
            <v>Apophyllite-(KF)</v>
          </cell>
        </row>
        <row r="753">
          <cell r="A753" t="str">
            <v>Apophyllite-(KOH)</v>
          </cell>
        </row>
        <row r="754">
          <cell r="A754" t="str">
            <v>Apophyllite-(NaF)</v>
          </cell>
        </row>
        <row r="755">
          <cell r="A755" t="str">
            <v>Apuanite</v>
          </cell>
        </row>
        <row r="756">
          <cell r="A756" t="str">
            <v>Aqualite</v>
          </cell>
        </row>
        <row r="757">
          <cell r="A757" t="str">
            <v>Aramayoite</v>
          </cell>
        </row>
        <row r="758">
          <cell r="A758" t="str">
            <v>Arapovite</v>
          </cell>
        </row>
        <row r="759">
          <cell r="A759" t="str">
            <v>Aravaipaite</v>
          </cell>
        </row>
        <row r="760">
          <cell r="A760" t="str">
            <v>Arcanite</v>
          </cell>
        </row>
        <row r="761">
          <cell r="A761" t="str">
            <v>Archerite</v>
          </cell>
        </row>
        <row r="762">
          <cell r="A762" t="str">
            <v>Arcubisite</v>
          </cell>
        </row>
        <row r="763">
          <cell r="A763" t="str">
            <v>Ardaite</v>
          </cell>
        </row>
        <row r="764">
          <cell r="A764" t="str">
            <v>Ardealite</v>
          </cell>
        </row>
        <row r="765">
          <cell r="A765" t="str">
            <v>Ardennite-(As)</v>
          </cell>
        </row>
        <row r="766">
          <cell r="A766" t="str">
            <v>Ardennite-(V)</v>
          </cell>
        </row>
        <row r="767">
          <cell r="A767" t="str">
            <v>Argentite</v>
          </cell>
        </row>
        <row r="768">
          <cell r="A768" t="str">
            <v>Argentojarosite</v>
          </cell>
        </row>
        <row r="769">
          <cell r="A769" t="str">
            <v>Argentopentlandite</v>
          </cell>
        </row>
        <row r="770">
          <cell r="A770" t="str">
            <v>Argentopyrite</v>
          </cell>
        </row>
        <row r="771">
          <cell r="A771" t="str">
            <v>Argutite</v>
          </cell>
        </row>
        <row r="772">
          <cell r="A772" t="str">
            <v>Argyrodite</v>
          </cell>
        </row>
        <row r="773">
          <cell r="A773" t="str">
            <v>Aristarainite</v>
          </cell>
        </row>
        <row r="774">
          <cell r="A774" t="str">
            <v>Armalcolite</v>
          </cell>
        </row>
        <row r="775">
          <cell r="A775" t="str">
            <v>Armangite</v>
          </cell>
        </row>
        <row r="776">
          <cell r="A776" t="str">
            <v>Armbrusterite</v>
          </cell>
        </row>
        <row r="777">
          <cell r="A777" t="str">
            <v>Armenite</v>
          </cell>
        </row>
        <row r="778">
          <cell r="A778" t="str">
            <v>Armstrongite</v>
          </cell>
        </row>
        <row r="779">
          <cell r="A779" t="str">
            <v>Arnhemite</v>
          </cell>
        </row>
        <row r="780">
          <cell r="A780" t="str">
            <v>Arsenic</v>
          </cell>
        </row>
        <row r="781">
          <cell r="A781" t="str">
            <v>Arseniopleite</v>
          </cell>
        </row>
        <row r="782">
          <cell r="A782" t="str">
            <v>Arseniosiderite</v>
          </cell>
        </row>
        <row r="783">
          <cell r="A783" t="str">
            <v>Arsenobismite</v>
          </cell>
        </row>
        <row r="784">
          <cell r="A784" t="str">
            <v>Arsenohauchecornite</v>
          </cell>
        </row>
        <row r="785">
          <cell r="A785" t="str">
            <v>Arsenolamprite</v>
          </cell>
        </row>
        <row r="786">
          <cell r="A786" t="str">
            <v>Arsenolite</v>
          </cell>
        </row>
        <row r="787">
          <cell r="A787" t="str">
            <v>Arsenopalladinite</v>
          </cell>
        </row>
        <row r="788">
          <cell r="A788" t="str">
            <v>Arsenopyrite</v>
          </cell>
        </row>
        <row r="789">
          <cell r="A789" t="str">
            <v>Arsenosulvanite</v>
          </cell>
        </row>
        <row r="790">
          <cell r="A790" t="str">
            <v>Arsenovanmeersscheite</v>
          </cell>
        </row>
        <row r="791">
          <cell r="A791" t="str">
            <v>Arsenpolybasite</v>
          </cell>
        </row>
        <row r="792">
          <cell r="A792" t="str">
            <v>Arsenuranospathite</v>
          </cell>
        </row>
        <row r="793">
          <cell r="A793" t="str">
            <v>Arsenuranylite</v>
          </cell>
        </row>
        <row r="794">
          <cell r="A794" t="str">
            <v>Arthurite</v>
          </cell>
        </row>
        <row r="795">
          <cell r="A795" t="str">
            <v>Artinite</v>
          </cell>
        </row>
        <row r="796">
          <cell r="A796" t="str">
            <v>Artroeite</v>
          </cell>
        </row>
        <row r="797">
          <cell r="A797" t="str">
            <v>Arupite</v>
          </cell>
        </row>
        <row r="798">
          <cell r="A798" t="str">
            <v>Arzakite</v>
          </cell>
        </row>
        <row r="799">
          <cell r="A799" t="str">
            <v>Arzrunite</v>
          </cell>
        </row>
        <row r="800">
          <cell r="A800" t="str">
            <v>Asbecasite</v>
          </cell>
        </row>
        <row r="801">
          <cell r="A801" t="str">
            <v>Asbolane</v>
          </cell>
        </row>
        <row r="802">
          <cell r="A802" t="str">
            <v>Aschamalmite</v>
          </cell>
        </row>
        <row r="803">
          <cell r="A803" t="str">
            <v>Ashanite</v>
          </cell>
        </row>
        <row r="804">
          <cell r="A804" t="str">
            <v>Ashburtonite</v>
          </cell>
        </row>
        <row r="805">
          <cell r="A805" t="str">
            <v>Ashcroftine-(Ce)</v>
          </cell>
        </row>
        <row r="806">
          <cell r="A806" t="str">
            <v>Ashcroftine-(Y)</v>
          </cell>
        </row>
        <row r="807">
          <cell r="A807" t="str">
            <v>Ashoverite</v>
          </cell>
        </row>
        <row r="808">
          <cell r="A808" t="str">
            <v>Asisite</v>
          </cell>
        </row>
        <row r="809">
          <cell r="A809" t="str">
            <v>Aspidolite</v>
          </cell>
        </row>
        <row r="810">
          <cell r="A810" t="str">
            <v>Asselbornite</v>
          </cell>
        </row>
        <row r="811">
          <cell r="A811" t="str">
            <v>Astrocyanite-(Ce)</v>
          </cell>
        </row>
        <row r="812">
          <cell r="A812" t="str">
            <v>Astrophyllite</v>
          </cell>
        </row>
        <row r="813">
          <cell r="A813" t="str">
            <v>Atacamite</v>
          </cell>
        </row>
        <row r="814">
          <cell r="A814" t="str">
            <v>Atencioite</v>
          </cell>
        </row>
        <row r="815">
          <cell r="A815" t="str">
            <v>Athabascaite</v>
          </cell>
        </row>
        <row r="816">
          <cell r="A816" t="str">
            <v>Atheneite</v>
          </cell>
        </row>
        <row r="817">
          <cell r="A817" t="str">
            <v>Atlasovite</v>
          </cell>
        </row>
        <row r="818">
          <cell r="A818" t="str">
            <v>Atokite</v>
          </cell>
        </row>
        <row r="819">
          <cell r="A819" t="str">
            <v>Attikaite</v>
          </cell>
        </row>
        <row r="820">
          <cell r="A820" t="str">
            <v>Aubertite</v>
          </cell>
        </row>
        <row r="821">
          <cell r="A821" t="str">
            <v>Aurichalcite</v>
          </cell>
        </row>
        <row r="822">
          <cell r="A822" t="str">
            <v>Auricupride</v>
          </cell>
        </row>
        <row r="823">
          <cell r="A823" t="str">
            <v>Aurivilliusite</v>
          </cell>
        </row>
        <row r="824">
          <cell r="A824" t="str">
            <v>Auroantimonate</v>
          </cell>
        </row>
        <row r="825">
          <cell r="A825" t="str">
            <v>Aurorite</v>
          </cell>
        </row>
        <row r="826">
          <cell r="A826" t="str">
            <v>Aurostibite</v>
          </cell>
        </row>
        <row r="827">
          <cell r="A827" t="str">
            <v>Autunite</v>
          </cell>
        </row>
        <row r="828">
          <cell r="A828" t="str">
            <v>Avdoninite</v>
          </cell>
        </row>
        <row r="829">
          <cell r="A829" t="str">
            <v>Avicennite</v>
          </cell>
        </row>
        <row r="830">
          <cell r="A830" t="str">
            <v>Avogadrite</v>
          </cell>
        </row>
        <row r="831">
          <cell r="A831" t="str">
            <v>Awaruite</v>
          </cell>
        </row>
        <row r="832">
          <cell r="A832" t="str">
            <v>Axinite-(Fe)</v>
          </cell>
        </row>
        <row r="833">
          <cell r="A833" t="str">
            <v>Axinite-(Mg)</v>
          </cell>
        </row>
        <row r="834">
          <cell r="A834" t="str">
            <v>Axinite-(Mn)</v>
          </cell>
        </row>
        <row r="835">
          <cell r="A835" t="str">
            <v>Azoproite</v>
          </cell>
        </row>
        <row r="836">
          <cell r="A836" t="str">
            <v>Azurite</v>
          </cell>
        </row>
        <row r="837">
          <cell r="A837" t="str">
            <v>Babingtonite</v>
          </cell>
        </row>
        <row r="838">
          <cell r="A838" t="str">
            <v>Babkinite</v>
          </cell>
        </row>
        <row r="839">
          <cell r="A839" t="str">
            <v>Baddeleyite</v>
          </cell>
        </row>
        <row r="840">
          <cell r="A840" t="str">
            <v>Bafertisite</v>
          </cell>
        </row>
        <row r="841">
          <cell r="A841" t="str">
            <v>Baghdadite</v>
          </cell>
        </row>
        <row r="842">
          <cell r="A842" t="str">
            <v>Bahianite</v>
          </cell>
        </row>
        <row r="843">
          <cell r="A843" t="str">
            <v>Bakerite</v>
          </cell>
        </row>
        <row r="844">
          <cell r="A844" t="str">
            <v>Bakhchisaraitsevite</v>
          </cell>
        </row>
        <row r="845">
          <cell r="A845" t="str">
            <v>Baksanite</v>
          </cell>
        </row>
        <row r="846">
          <cell r="A846" t="str">
            <v>Balangeroite</v>
          </cell>
        </row>
        <row r="847">
          <cell r="A847" t="str">
            <v>Balavinskite</v>
          </cell>
        </row>
        <row r="848">
          <cell r="A848" t="str">
            <v>Balipholite</v>
          </cell>
        </row>
        <row r="849">
          <cell r="A849" t="str">
            <v>Balkanite</v>
          </cell>
        </row>
        <row r="850">
          <cell r="A850" t="str">
            <v>Balyakinite</v>
          </cell>
        </row>
        <row r="851">
          <cell r="A851" t="str">
            <v>Bambollaite</v>
          </cell>
        </row>
        <row r="852">
          <cell r="A852" t="str">
            <v>Bamfordite</v>
          </cell>
        </row>
        <row r="853">
          <cell r="A853" t="str">
            <v>Banalsite</v>
          </cell>
        </row>
        <row r="854">
          <cell r="A854" t="str">
            <v>Bandylite</v>
          </cell>
        </row>
        <row r="855">
          <cell r="A855" t="str">
            <v>Bannermanite</v>
          </cell>
        </row>
        <row r="856">
          <cell r="A856" t="str">
            <v>Bannisterite</v>
          </cell>
        </row>
        <row r="857">
          <cell r="A857" t="str">
            <v>Baotite</v>
          </cell>
        </row>
        <row r="858">
          <cell r="A858" t="str">
            <v>Barahonaite-(Al)</v>
          </cell>
        </row>
        <row r="859">
          <cell r="A859" t="str">
            <v>Barahonaite-(Fe)</v>
          </cell>
        </row>
        <row r="860">
          <cell r="A860" t="str">
            <v>Bararite</v>
          </cell>
        </row>
        <row r="861">
          <cell r="A861" t="str">
            <v>Baratovite</v>
          </cell>
        </row>
        <row r="862">
          <cell r="A862" t="str">
            <v>Barberiite</v>
          </cell>
        </row>
        <row r="863">
          <cell r="A863" t="str">
            <v>Barbertonite</v>
          </cell>
        </row>
        <row r="864">
          <cell r="A864" t="str">
            <v>Barentsite</v>
          </cell>
        </row>
        <row r="865">
          <cell r="A865" t="str">
            <v>Bariandite</v>
          </cell>
        </row>
        <row r="866">
          <cell r="A866" t="str">
            <v>Baricite</v>
          </cell>
        </row>
        <row r="867">
          <cell r="A867" t="str">
            <v>Bariomicrolite</v>
          </cell>
        </row>
        <row r="868">
          <cell r="A868" t="str">
            <v>Bario-olgite</v>
          </cell>
        </row>
        <row r="869">
          <cell r="A869" t="str">
            <v>Bario-orthojoaquinite</v>
          </cell>
        </row>
        <row r="870">
          <cell r="A870" t="str">
            <v>Barioperovskite</v>
          </cell>
        </row>
        <row r="871">
          <cell r="A871" t="str">
            <v>Bariopharmacosiderite</v>
          </cell>
        </row>
        <row r="872">
          <cell r="A872" t="str">
            <v>Bariopyrochlore</v>
          </cell>
        </row>
        <row r="873">
          <cell r="A873" t="str">
            <v>Bariosincosite</v>
          </cell>
        </row>
        <row r="874">
          <cell r="A874" t="str">
            <v>Barite</v>
          </cell>
        </row>
        <row r="875">
          <cell r="A875" t="str">
            <v>Barium-alumopharmacosiderite</v>
          </cell>
        </row>
        <row r="876">
          <cell r="A876" t="str">
            <v>Bariumbannisterite</v>
          </cell>
        </row>
        <row r="877">
          <cell r="A877" t="str">
            <v>Barium-zinc-alumopharmacosiderite</v>
          </cell>
        </row>
        <row r="878">
          <cell r="A878" t="str">
            <v>Barnesite</v>
          </cell>
        </row>
        <row r="879">
          <cell r="A879" t="str">
            <v>Barquillite</v>
          </cell>
        </row>
        <row r="880">
          <cell r="A880" t="str">
            <v>Barrerite</v>
          </cell>
        </row>
        <row r="881">
          <cell r="A881" t="str">
            <v>Barringerite</v>
          </cell>
        </row>
        <row r="882">
          <cell r="A882" t="str">
            <v>Barringtonite</v>
          </cell>
        </row>
        <row r="883">
          <cell r="A883" t="str">
            <v>Barstowite</v>
          </cell>
        </row>
        <row r="884">
          <cell r="A884" t="str">
            <v>Bartelkeite</v>
          </cell>
        </row>
        <row r="885">
          <cell r="A885" t="str">
            <v>Bartonite</v>
          </cell>
        </row>
        <row r="886">
          <cell r="A886" t="str">
            <v>Barylite</v>
          </cell>
        </row>
        <row r="887">
          <cell r="A887" t="str">
            <v>Barysilite</v>
          </cell>
        </row>
        <row r="888">
          <cell r="A888" t="str">
            <v>Barytolamprophyllite</v>
          </cell>
        </row>
        <row r="889">
          <cell r="A889" t="str">
            <v>Basaluminite</v>
          </cell>
        </row>
        <row r="890">
          <cell r="A890" t="str">
            <v>Bassetite</v>
          </cell>
        </row>
        <row r="891">
          <cell r="A891" t="str">
            <v>Bastnasite-(Ce)</v>
          </cell>
        </row>
        <row r="892">
          <cell r="A892" t="str">
            <v>Bastnasite-(La)</v>
          </cell>
        </row>
        <row r="893">
          <cell r="A893" t="str">
            <v>Bastnasite-(Y)</v>
          </cell>
        </row>
        <row r="894">
          <cell r="A894" t="str">
            <v>Batiferrite</v>
          </cell>
        </row>
        <row r="895">
          <cell r="A895" t="str">
            <v>Batisite</v>
          </cell>
        </row>
        <row r="896">
          <cell r="A896" t="str">
            <v>Batisivite</v>
          </cell>
        </row>
        <row r="897">
          <cell r="A897" t="str">
            <v>Baumhauerite</v>
          </cell>
        </row>
        <row r="898">
          <cell r="A898" t="str">
            <v>Baumhauerite-2a</v>
          </cell>
        </row>
        <row r="899">
          <cell r="A899" t="str">
            <v>Baumstarkite</v>
          </cell>
        </row>
        <row r="900">
          <cell r="A900" t="str">
            <v>Bauranoite</v>
          </cell>
        </row>
        <row r="901">
          <cell r="A901" t="str">
            <v>Bavenite</v>
          </cell>
        </row>
        <row r="902">
          <cell r="A902" t="str">
            <v>Bayankhanite</v>
          </cell>
        </row>
        <row r="903">
          <cell r="A903" t="str">
            <v>Bayerite</v>
          </cell>
        </row>
        <row r="904">
          <cell r="A904" t="str">
            <v>Bayleyite</v>
          </cell>
        </row>
        <row r="905">
          <cell r="A905" t="str">
            <v>Baylissite</v>
          </cell>
        </row>
        <row r="906">
          <cell r="A906" t="str">
            <v>Bazhenovite</v>
          </cell>
        </row>
        <row r="907">
          <cell r="A907" t="str">
            <v>Bazirite</v>
          </cell>
        </row>
        <row r="908">
          <cell r="A908" t="str">
            <v>Bazzite</v>
          </cell>
        </row>
        <row r="909">
          <cell r="A909" t="str">
            <v>Bearsite</v>
          </cell>
        </row>
        <row r="910">
          <cell r="A910" t="str">
            <v>Beaverite</v>
          </cell>
        </row>
        <row r="911">
          <cell r="A911" t="str">
            <v>Bechererite</v>
          </cell>
        </row>
        <row r="912">
          <cell r="A912" t="str">
            <v>Becquerelite</v>
          </cell>
        </row>
        <row r="913">
          <cell r="A913" t="str">
            <v>Bederite</v>
          </cell>
        </row>
        <row r="914">
          <cell r="A914" t="str">
            <v>Behierite</v>
          </cell>
        </row>
        <row r="915">
          <cell r="A915" t="str">
            <v>Behoite</v>
          </cell>
        </row>
        <row r="916">
          <cell r="A916" t="str">
            <v>Beidellite</v>
          </cell>
        </row>
        <row r="917">
          <cell r="A917" t="str">
            <v>Belendorffite</v>
          </cell>
        </row>
        <row r="918">
          <cell r="A918" t="str">
            <v>Belkovite</v>
          </cell>
        </row>
        <row r="919">
          <cell r="A919" t="str">
            <v>Bellbergite</v>
          </cell>
        </row>
        <row r="920">
          <cell r="A920" t="str">
            <v>Bellidoite</v>
          </cell>
        </row>
        <row r="921">
          <cell r="A921" t="str">
            <v>Bellingerite</v>
          </cell>
        </row>
        <row r="922">
          <cell r="A922" t="str">
            <v>Belloite</v>
          </cell>
        </row>
        <row r="923">
          <cell r="A923" t="str">
            <v>Belyankinite</v>
          </cell>
        </row>
        <row r="924">
          <cell r="A924" t="str">
            <v>Bementite</v>
          </cell>
        </row>
        <row r="925">
          <cell r="A925" t="str">
            <v>Benavidesite</v>
          </cell>
        </row>
        <row r="926">
          <cell r="A926" t="str">
            <v>Bendadaite</v>
          </cell>
        </row>
        <row r="927">
          <cell r="A927" t="str">
            <v>Benitoite</v>
          </cell>
        </row>
        <row r="928">
          <cell r="A928" t="str">
            <v>Benjaminite</v>
          </cell>
        </row>
        <row r="929">
          <cell r="A929" t="str">
            <v>Benleonardite</v>
          </cell>
        </row>
        <row r="930">
          <cell r="A930" t="str">
            <v>Bentorite</v>
          </cell>
        </row>
        <row r="931">
          <cell r="A931" t="str">
            <v>Benyacarite</v>
          </cell>
        </row>
        <row r="932">
          <cell r="A932" t="str">
            <v>Beraunite</v>
          </cell>
        </row>
        <row r="933">
          <cell r="A933" t="str">
            <v>Berborite</v>
          </cell>
        </row>
        <row r="934">
          <cell r="A934" t="str">
            <v>Berdesinskiite</v>
          </cell>
        </row>
        <row r="935">
          <cell r="A935" t="str">
            <v>Berezanskite</v>
          </cell>
        </row>
        <row r="936">
          <cell r="A936" t="str">
            <v>Bergenite</v>
          </cell>
        </row>
        <row r="937">
          <cell r="A937" t="str">
            <v>Berlinite</v>
          </cell>
        </row>
        <row r="938">
          <cell r="A938" t="str">
            <v>Bermanite</v>
          </cell>
        </row>
        <row r="939">
          <cell r="A939" t="str">
            <v>Bernalite</v>
          </cell>
        </row>
        <row r="940">
          <cell r="A940" t="str">
            <v>Bernardite</v>
          </cell>
        </row>
        <row r="941">
          <cell r="A941" t="str">
            <v>Berndtite</v>
          </cell>
        </row>
        <row r="942">
          <cell r="A942" t="str">
            <v>Berryite</v>
          </cell>
        </row>
        <row r="943">
          <cell r="A943" t="str">
            <v>Berthierine</v>
          </cell>
        </row>
        <row r="944">
          <cell r="A944" t="str">
            <v>Berthierite</v>
          </cell>
        </row>
        <row r="945">
          <cell r="A945" t="str">
            <v>Bertrandite</v>
          </cell>
        </row>
        <row r="946">
          <cell r="A946" t="str">
            <v>Beryl</v>
          </cell>
        </row>
        <row r="947">
          <cell r="A947" t="str">
            <v>Beryllite</v>
          </cell>
        </row>
        <row r="948">
          <cell r="A948" t="str">
            <v>Beryllonite</v>
          </cell>
        </row>
        <row r="949">
          <cell r="A949" t="str">
            <v>Berzelianite</v>
          </cell>
        </row>
        <row r="950">
          <cell r="A950" t="str">
            <v>Berzeliite</v>
          </cell>
        </row>
        <row r="951">
          <cell r="A951" t="str">
            <v>Betafite</v>
          </cell>
        </row>
        <row r="952">
          <cell r="A952" t="str">
            <v>Betekhtinite</v>
          </cell>
        </row>
        <row r="953">
          <cell r="A953" t="str">
            <v>Betpakdalite</v>
          </cell>
        </row>
        <row r="954">
          <cell r="A954" t="str">
            <v>Beusite</v>
          </cell>
        </row>
        <row r="955">
          <cell r="A955" t="str">
            <v>Beyerite</v>
          </cell>
        </row>
        <row r="956">
          <cell r="A956" t="str">
            <v>Bezsmertnovite</v>
          </cell>
        </row>
        <row r="957">
          <cell r="A957" t="str">
            <v>Biachellaite</v>
          </cell>
        </row>
        <row r="958">
          <cell r="A958" t="str">
            <v>Bicchulite</v>
          </cell>
        </row>
        <row r="959">
          <cell r="A959" t="str">
            <v>Bideauxite</v>
          </cell>
        </row>
        <row r="960">
          <cell r="A960" t="str">
            <v>Biehlite</v>
          </cell>
        </row>
        <row r="961">
          <cell r="A961" t="str">
            <v>Bigcreekite</v>
          </cell>
        </row>
        <row r="962">
          <cell r="A962" t="str">
            <v>Bijvoetite-(Y)</v>
          </cell>
        </row>
        <row r="963">
          <cell r="A963" t="str">
            <v>Bikitaite</v>
          </cell>
        </row>
        <row r="964">
          <cell r="A964" t="str">
            <v>Bilibinskite</v>
          </cell>
        </row>
        <row r="965">
          <cell r="A965" t="str">
            <v>Billietite</v>
          </cell>
        </row>
        <row r="966">
          <cell r="A966" t="str">
            <v>Billingsleyite</v>
          </cell>
        </row>
        <row r="967">
          <cell r="A967" t="str">
            <v>Bindheimite</v>
          </cell>
        </row>
        <row r="968">
          <cell r="A968" t="str">
            <v>Biotite</v>
          </cell>
        </row>
        <row r="969">
          <cell r="A969" t="str">
            <v>Biphosphammite</v>
          </cell>
        </row>
        <row r="970">
          <cell r="A970" t="str">
            <v>Biraite-(Ce)</v>
          </cell>
        </row>
        <row r="971">
          <cell r="A971" t="str">
            <v>Birchite</v>
          </cell>
        </row>
        <row r="972">
          <cell r="A972" t="str">
            <v>Biringuccite</v>
          </cell>
        </row>
        <row r="973">
          <cell r="A973" t="str">
            <v>Birnessite</v>
          </cell>
        </row>
        <row r="974">
          <cell r="A974" t="str">
            <v>Bischofite</v>
          </cell>
        </row>
        <row r="975">
          <cell r="A975" t="str">
            <v>Bismite</v>
          </cell>
        </row>
        <row r="976">
          <cell r="A976" t="str">
            <v>Bismoclite</v>
          </cell>
        </row>
        <row r="977">
          <cell r="A977" t="str">
            <v>Bismuth</v>
          </cell>
        </row>
        <row r="978">
          <cell r="A978" t="str">
            <v>Bismuthinite</v>
          </cell>
        </row>
        <row r="979">
          <cell r="A979" t="str">
            <v>Bismutite</v>
          </cell>
        </row>
        <row r="980">
          <cell r="A980" t="str">
            <v>Bismutocolumbite</v>
          </cell>
        </row>
        <row r="981">
          <cell r="A981" t="str">
            <v>Bismutoferrite</v>
          </cell>
        </row>
        <row r="982">
          <cell r="A982" t="str">
            <v>Bismutohauchecornite</v>
          </cell>
        </row>
        <row r="983">
          <cell r="A983" t="str">
            <v>Bismutomicrolite</v>
          </cell>
        </row>
        <row r="984">
          <cell r="A984" t="str">
            <v>Bismutoplagionite</v>
          </cell>
        </row>
        <row r="985">
          <cell r="A985" t="str">
            <v>Bismutopyrochlore</v>
          </cell>
        </row>
        <row r="986">
          <cell r="A986" t="str">
            <v>Bismutostibiconite</v>
          </cell>
        </row>
        <row r="987">
          <cell r="A987" t="str">
            <v>Bismutotantalite</v>
          </cell>
        </row>
        <row r="988">
          <cell r="A988" t="str">
            <v>Bityite</v>
          </cell>
        </row>
        <row r="989">
          <cell r="A989" t="str">
            <v>Bixbyite</v>
          </cell>
        </row>
        <row r="990">
          <cell r="A990" t="str">
            <v>Blakeite</v>
          </cell>
        </row>
        <row r="991">
          <cell r="A991" t="str">
            <v>Blatonite</v>
          </cell>
        </row>
        <row r="992">
          <cell r="A992" t="str">
            <v>Blatterite</v>
          </cell>
        </row>
        <row r="993">
          <cell r="A993" t="str">
            <v>Bleasdaleite</v>
          </cell>
        </row>
        <row r="994">
          <cell r="A994" t="str">
            <v>Blixite</v>
          </cell>
        </row>
        <row r="995">
          <cell r="A995" t="str">
            <v>Blossite</v>
          </cell>
        </row>
        <row r="996">
          <cell r="A996" t="str">
            <v>Bobdownsite</v>
          </cell>
        </row>
        <row r="997">
          <cell r="A997" t="str">
            <v>Bobfergusonite</v>
          </cell>
        </row>
        <row r="998">
          <cell r="A998" t="str">
            <v>Bobierrite</v>
          </cell>
        </row>
        <row r="999">
          <cell r="A999" t="str">
            <v>Bobjonesite</v>
          </cell>
        </row>
        <row r="1000">
          <cell r="A1000" t="str">
            <v>Bobkingite</v>
          </cell>
        </row>
        <row r="1001">
          <cell r="A1001" t="str">
            <v>Bobtraillite</v>
          </cell>
        </row>
        <row r="1002">
          <cell r="A1002" t="str">
            <v>Boehmite</v>
          </cell>
        </row>
        <row r="1003">
          <cell r="A1003" t="str">
            <v>Bogdanovite</v>
          </cell>
        </row>
        <row r="1004">
          <cell r="A1004" t="str">
            <v>Boggildite</v>
          </cell>
        </row>
        <row r="1005">
          <cell r="A1005" t="str">
            <v>Boggsite</v>
          </cell>
        </row>
        <row r="1006">
          <cell r="A1006" t="str">
            <v>Bogvadite</v>
          </cell>
        </row>
        <row r="1007">
          <cell r="A1007" t="str">
            <v>Bohdanowiczite</v>
          </cell>
        </row>
        <row r="1008">
          <cell r="A1008" t="str">
            <v>Bokite</v>
          </cell>
        </row>
        <row r="1009">
          <cell r="A1009" t="str">
            <v>Boldyrevite</v>
          </cell>
        </row>
        <row r="1010">
          <cell r="A1010" t="str">
            <v>Boleite</v>
          </cell>
        </row>
        <row r="1011">
          <cell r="A1011" t="str">
            <v>Bolivarite</v>
          </cell>
        </row>
        <row r="1012">
          <cell r="A1012" t="str">
            <v>Boltwoodite</v>
          </cell>
        </row>
        <row r="1013">
          <cell r="A1013" t="str">
            <v>Bonaccordite</v>
          </cell>
        </row>
        <row r="1014">
          <cell r="A1014" t="str">
            <v>Bonshtedtite</v>
          </cell>
        </row>
        <row r="1015">
          <cell r="A1015" t="str">
            <v>Boracite</v>
          </cell>
        </row>
        <row r="1016">
          <cell r="A1016" t="str">
            <v>Boralsilite</v>
          </cell>
        </row>
        <row r="1017">
          <cell r="A1017" t="str">
            <v>Borax</v>
          </cell>
        </row>
        <row r="1018">
          <cell r="A1018" t="str">
            <v>Borcarite</v>
          </cell>
        </row>
        <row r="1019">
          <cell r="A1019" t="str">
            <v>Borishanskiite</v>
          </cell>
        </row>
        <row r="1020">
          <cell r="A1020" t="str">
            <v>Bornemanite</v>
          </cell>
        </row>
        <row r="1021">
          <cell r="A1021" t="str">
            <v>Bornhardtite</v>
          </cell>
        </row>
        <row r="1022">
          <cell r="A1022" t="str">
            <v>Bornite</v>
          </cell>
        </row>
        <row r="1023">
          <cell r="A1023" t="str">
            <v>Borodaevite</v>
          </cell>
        </row>
        <row r="1024">
          <cell r="A1024" t="str">
            <v>Boromullite</v>
          </cell>
        </row>
        <row r="1025">
          <cell r="A1025" t="str">
            <v>Borovskite</v>
          </cell>
        </row>
        <row r="1026">
          <cell r="A1026" t="str">
            <v>Bortnikovite</v>
          </cell>
        </row>
        <row r="1027">
          <cell r="A1027" t="str">
            <v>Bostwickite</v>
          </cell>
        </row>
        <row r="1028">
          <cell r="A1028" t="str">
            <v>Botallackite</v>
          </cell>
        </row>
        <row r="1029">
          <cell r="A1029" t="str">
            <v>Botryogen</v>
          </cell>
        </row>
        <row r="1030">
          <cell r="A1030" t="str">
            <v>Bottinoite</v>
          </cell>
        </row>
        <row r="1031">
          <cell r="A1031" t="str">
            <v>Bouazzerite</v>
          </cell>
        </row>
        <row r="1032">
          <cell r="A1032" t="str">
            <v>Boulangerite</v>
          </cell>
        </row>
        <row r="1033">
          <cell r="A1033" t="str">
            <v>Bournonite</v>
          </cell>
        </row>
        <row r="1034">
          <cell r="A1034" t="str">
            <v>Bowieite</v>
          </cell>
        </row>
        <row r="1035">
          <cell r="A1035" t="str">
            <v>Brabantite</v>
          </cell>
        </row>
        <row r="1036">
          <cell r="A1036" t="str">
            <v>Bracewellite</v>
          </cell>
        </row>
        <row r="1037">
          <cell r="A1037" t="str">
            <v>Bradaczekite</v>
          </cell>
        </row>
        <row r="1038">
          <cell r="A1038" t="str">
            <v>Bradleyite</v>
          </cell>
        </row>
        <row r="1039">
          <cell r="A1039" t="str">
            <v>Braggite</v>
          </cell>
        </row>
        <row r="1040">
          <cell r="A1040" t="str">
            <v>Braithwaiteite</v>
          </cell>
        </row>
        <row r="1041">
          <cell r="A1041" t="str">
            <v>Braitschite-(Ce)</v>
          </cell>
        </row>
        <row r="1042">
          <cell r="A1042" t="str">
            <v>Brammallite</v>
          </cell>
        </row>
        <row r="1043">
          <cell r="A1043" t="str">
            <v>Brandholzite</v>
          </cell>
        </row>
        <row r="1044">
          <cell r="A1044" t="str">
            <v>Brandtite</v>
          </cell>
        </row>
        <row r="1045">
          <cell r="A1045" t="str">
            <v>Brannerite</v>
          </cell>
        </row>
        <row r="1046">
          <cell r="A1046" t="str">
            <v>Brannockite</v>
          </cell>
        </row>
        <row r="1047">
          <cell r="A1047" t="str">
            <v>Brass</v>
          </cell>
        </row>
        <row r="1048">
          <cell r="A1048" t="str">
            <v>Brassite</v>
          </cell>
        </row>
        <row r="1049">
          <cell r="A1049" t="str">
            <v>Braunite-I</v>
          </cell>
        </row>
        <row r="1050">
          <cell r="A1050" t="str">
            <v>Braunite-II</v>
          </cell>
        </row>
        <row r="1051">
          <cell r="A1051" t="str">
            <v>Bravoite</v>
          </cell>
        </row>
        <row r="1052">
          <cell r="A1052" t="str">
            <v>Bredigite</v>
          </cell>
        </row>
        <row r="1053">
          <cell r="A1053" t="str">
            <v>Breithauptite</v>
          </cell>
        </row>
        <row r="1054">
          <cell r="A1054" t="str">
            <v>Brenkite</v>
          </cell>
        </row>
        <row r="1055">
          <cell r="A1055" t="str">
            <v>Brewsterite-Ba</v>
          </cell>
        </row>
        <row r="1056">
          <cell r="A1056" t="str">
            <v>Brewsterite-Sr</v>
          </cell>
        </row>
        <row r="1057">
          <cell r="A1057" t="str">
            <v>Brezinaite</v>
          </cell>
        </row>
        <row r="1058">
          <cell r="A1058" t="str">
            <v>Brianite</v>
          </cell>
        </row>
        <row r="1059">
          <cell r="A1059" t="str">
            <v>Brianroulstonite</v>
          </cell>
        </row>
        <row r="1060">
          <cell r="A1060" t="str">
            <v>Brianyoungite</v>
          </cell>
        </row>
        <row r="1061">
          <cell r="A1061" t="str">
            <v>Briartite</v>
          </cell>
        </row>
        <row r="1062">
          <cell r="A1062" t="str">
            <v>Brindleyite</v>
          </cell>
        </row>
        <row r="1063">
          <cell r="A1063" t="str">
            <v>Britholite-(Ce)</v>
          </cell>
        </row>
        <row r="1064">
          <cell r="A1064" t="str">
            <v>Britholite-(Y)</v>
          </cell>
        </row>
        <row r="1065">
          <cell r="A1065" t="str">
            <v>Britvinite</v>
          </cell>
        </row>
        <row r="1066">
          <cell r="A1066" t="str">
            <v>Brizziite-III</v>
          </cell>
        </row>
        <row r="1067">
          <cell r="A1067" t="str">
            <v>Brizziite-VII</v>
          </cell>
        </row>
        <row r="1068">
          <cell r="A1068" t="str">
            <v>Brochantite</v>
          </cell>
        </row>
        <row r="1069">
          <cell r="A1069" t="str">
            <v>Brockite</v>
          </cell>
        </row>
        <row r="1070">
          <cell r="A1070" t="str">
            <v>Brodtkorbite</v>
          </cell>
        </row>
        <row r="1071">
          <cell r="A1071" t="str">
            <v>Brokenhillite</v>
          </cell>
        </row>
        <row r="1072">
          <cell r="A1072" t="str">
            <v>Bromargyrite</v>
          </cell>
        </row>
        <row r="1073">
          <cell r="A1073" t="str">
            <v>Bromellite</v>
          </cell>
        </row>
        <row r="1074">
          <cell r="A1074" t="str">
            <v>Brookite</v>
          </cell>
        </row>
        <row r="1075">
          <cell r="A1075" t="str">
            <v>Brownleeite</v>
          </cell>
        </row>
        <row r="1076">
          <cell r="A1076" t="str">
            <v>Brownmillerite</v>
          </cell>
        </row>
        <row r="1077">
          <cell r="A1077" t="str">
            <v>Brucite</v>
          </cell>
        </row>
        <row r="1078">
          <cell r="A1078" t="str">
            <v>Bruggenite</v>
          </cell>
        </row>
        <row r="1079">
          <cell r="A1079" t="str">
            <v>Brugnatellite</v>
          </cell>
        </row>
        <row r="1080">
          <cell r="A1080" t="str">
            <v>Brumadoite</v>
          </cell>
        </row>
        <row r="1081">
          <cell r="A1081" t="str">
            <v>Brunogeierite</v>
          </cell>
        </row>
        <row r="1082">
          <cell r="A1082" t="str">
            <v>Brushite</v>
          </cell>
        </row>
        <row r="1083">
          <cell r="A1083" t="str">
            <v>Buchwaldite</v>
          </cell>
        </row>
        <row r="1084">
          <cell r="A1084" t="str">
            <v>Buckhornite</v>
          </cell>
        </row>
        <row r="1085">
          <cell r="A1085" t="str">
            <v>Buddingtonite</v>
          </cell>
        </row>
        <row r="1086">
          <cell r="A1086" t="str">
            <v>Buergerite</v>
          </cell>
        </row>
        <row r="1087">
          <cell r="A1087" t="str">
            <v>Bukovite</v>
          </cell>
        </row>
        <row r="1088">
          <cell r="A1088" t="str">
            <v>Bukovskyite</v>
          </cell>
        </row>
        <row r="1089">
          <cell r="A1089" t="str">
            <v>Bulachite</v>
          </cell>
        </row>
        <row r="1090">
          <cell r="A1090" t="str">
            <v>Bultfonteinite</v>
          </cell>
        </row>
        <row r="1091">
          <cell r="A1091" t="str">
            <v>Bunsenite</v>
          </cell>
        </row>
        <row r="1092">
          <cell r="A1092" t="str">
            <v>Burangaite</v>
          </cell>
        </row>
        <row r="1093">
          <cell r="A1093" t="str">
            <v>Burbankite</v>
          </cell>
        </row>
        <row r="1094">
          <cell r="A1094" t="str">
            <v>Burckhardtite</v>
          </cell>
        </row>
        <row r="1095">
          <cell r="A1095" t="str">
            <v>Burgessite</v>
          </cell>
        </row>
        <row r="1096">
          <cell r="A1096" t="str">
            <v>Burkeite</v>
          </cell>
        </row>
        <row r="1097">
          <cell r="A1097" t="str">
            <v>Burnsite</v>
          </cell>
        </row>
        <row r="1098">
          <cell r="A1098" t="str">
            <v>Burovaite-Ca</v>
          </cell>
        </row>
        <row r="1099">
          <cell r="A1099" t="str">
            <v>Burpalite</v>
          </cell>
        </row>
        <row r="1100">
          <cell r="A1100" t="str">
            <v>Bursaite</v>
          </cell>
        </row>
        <row r="1101">
          <cell r="A1101" t="str">
            <v>Burtite</v>
          </cell>
        </row>
        <row r="1102">
          <cell r="A1102" t="str">
            <v>Buryatite</v>
          </cell>
        </row>
        <row r="1103">
          <cell r="A1103" t="str">
            <v>Bussenite</v>
          </cell>
        </row>
        <row r="1104">
          <cell r="A1104" t="str">
            <v>Bussyite-(Ce)</v>
          </cell>
        </row>
        <row r="1105">
          <cell r="A1105" t="str">
            <v>Bustamite</v>
          </cell>
        </row>
        <row r="1106">
          <cell r="A1106" t="str">
            <v>Butlerite</v>
          </cell>
        </row>
        <row r="1107">
          <cell r="A1107" t="str">
            <v>Butschliite</v>
          </cell>
        </row>
        <row r="1108">
          <cell r="A1108" t="str">
            <v>Buttgenbachite</v>
          </cell>
        </row>
        <row r="1109">
          <cell r="A1109" t="str">
            <v>Byelorussite-(Ce)</v>
          </cell>
        </row>
        <row r="1110">
          <cell r="A1110" t="str">
            <v>Bykovaite</v>
          </cell>
        </row>
        <row r="1111">
          <cell r="A1111" t="str">
            <v>Bystrite</v>
          </cell>
        </row>
        <row r="1112">
          <cell r="A1112" t="str">
            <v>Bystromite</v>
          </cell>
        </row>
        <row r="1113">
          <cell r="A1113" t="str">
            <v>Cabalzarite</v>
          </cell>
        </row>
        <row r="1114">
          <cell r="A1114" t="str">
            <v>Cabriite</v>
          </cell>
        </row>
        <row r="1115">
          <cell r="A1115" t="str">
            <v>Cacoxenite</v>
          </cell>
        </row>
        <row r="1116">
          <cell r="A1116" t="str">
            <v>Cadmium</v>
          </cell>
        </row>
        <row r="1117">
          <cell r="A1117" t="str">
            <v>Cadmoindite</v>
          </cell>
        </row>
        <row r="1118">
          <cell r="A1118" t="str">
            <v>Cadmoselite</v>
          </cell>
        </row>
        <row r="1119">
          <cell r="A1119" t="str">
            <v>Cadwaladerite</v>
          </cell>
        </row>
        <row r="1120">
          <cell r="A1120" t="str">
            <v>Cafarsite</v>
          </cell>
        </row>
        <row r="1121">
          <cell r="A1121" t="str">
            <v>Cafetite</v>
          </cell>
        </row>
        <row r="1122">
          <cell r="A1122" t="str">
            <v>Cahnite</v>
          </cell>
        </row>
        <row r="1123">
          <cell r="A1123" t="str">
            <v>Calaverite</v>
          </cell>
        </row>
        <row r="1124">
          <cell r="A1124" t="str">
            <v>Calciborite</v>
          </cell>
        </row>
        <row r="1125">
          <cell r="A1125" t="str">
            <v>Calcioancylite-(Ce)</v>
          </cell>
        </row>
        <row r="1126">
          <cell r="A1126" t="str">
            <v>Calcioancylite-(Nd)</v>
          </cell>
        </row>
        <row r="1127">
          <cell r="A1127" t="str">
            <v>Calcioandyrobertsite-1M</v>
          </cell>
        </row>
        <row r="1128">
          <cell r="A1128" t="str">
            <v>Calcioandyrobertsite-2O</v>
          </cell>
        </row>
        <row r="1129">
          <cell r="A1129" t="str">
            <v>Calcioaravaipaite</v>
          </cell>
        </row>
        <row r="1130">
          <cell r="A1130" t="str">
            <v>Calciobetafite</v>
          </cell>
        </row>
        <row r="1131">
          <cell r="A1131" t="str">
            <v>Calcioburbankite</v>
          </cell>
        </row>
        <row r="1132">
          <cell r="A1132" t="str">
            <v>Calciocatapleiite</v>
          </cell>
        </row>
        <row r="1133">
          <cell r="A1133" t="str">
            <v>Calciocopiapite</v>
          </cell>
        </row>
        <row r="1134">
          <cell r="A1134" t="str">
            <v>Calcioferrite</v>
          </cell>
        </row>
        <row r="1135">
          <cell r="A1135" t="str">
            <v>Calciogadolinite</v>
          </cell>
        </row>
        <row r="1136">
          <cell r="A1136" t="str">
            <v>Calciohilairite</v>
          </cell>
        </row>
        <row r="1137">
          <cell r="A1137" t="str">
            <v>Calciopetersite</v>
          </cell>
        </row>
        <row r="1138">
          <cell r="A1138" t="str">
            <v>Calciotantite</v>
          </cell>
        </row>
        <row r="1139">
          <cell r="A1139" t="str">
            <v>Calciouranoite</v>
          </cell>
        </row>
        <row r="1140">
          <cell r="A1140" t="str">
            <v>Calcjarlite</v>
          </cell>
        </row>
        <row r="1141">
          <cell r="A1141" t="str">
            <v>Calclacite</v>
          </cell>
        </row>
        <row r="1142">
          <cell r="A1142" t="str">
            <v>Calcurmolite</v>
          </cell>
        </row>
        <row r="1143">
          <cell r="A1143" t="str">
            <v>Calcybeborosilite-(Y)</v>
          </cell>
        </row>
        <row r="1144">
          <cell r="A1144" t="str">
            <v>Calderite</v>
          </cell>
        </row>
        <row r="1145">
          <cell r="A1145" t="str">
            <v>Caledonite</v>
          </cell>
        </row>
        <row r="1146">
          <cell r="A1146" t="str">
            <v>Calkinsite-(Ce)</v>
          </cell>
        </row>
        <row r="1147">
          <cell r="A1147" t="str">
            <v>Callaghanite</v>
          </cell>
        </row>
        <row r="1148">
          <cell r="A1148" t="str">
            <v>Calomel</v>
          </cell>
        </row>
        <row r="1149">
          <cell r="A1149" t="str">
            <v>Calumetite</v>
          </cell>
        </row>
        <row r="1150">
          <cell r="A1150" t="str">
            <v>Calvertite</v>
          </cell>
        </row>
        <row r="1151">
          <cell r="A1151" t="str">
            <v>Calzirtite</v>
          </cell>
        </row>
        <row r="1152">
          <cell r="A1152" t="str">
            <v>Camerolaite</v>
          </cell>
        </row>
        <row r="1153">
          <cell r="A1153" t="str">
            <v>Cameronite</v>
          </cell>
        </row>
        <row r="1154">
          <cell r="A1154" t="str">
            <v>Camgasite</v>
          </cell>
        </row>
        <row r="1155">
          <cell r="A1155" t="str">
            <v>Caminite</v>
          </cell>
        </row>
        <row r="1156">
          <cell r="A1156" t="str">
            <v>Campigliaite</v>
          </cell>
        </row>
        <row r="1157">
          <cell r="A1157" t="str">
            <v>Canaphite</v>
          </cell>
        </row>
        <row r="1158">
          <cell r="A1158" t="str">
            <v>Canasite</v>
          </cell>
        </row>
        <row r="1159">
          <cell r="A1159" t="str">
            <v>Canavesite</v>
          </cell>
        </row>
        <row r="1160">
          <cell r="A1160" t="str">
            <v>Cancrinite</v>
          </cell>
        </row>
        <row r="1161">
          <cell r="A1161" t="str">
            <v>Cancrisilite</v>
          </cell>
        </row>
        <row r="1162">
          <cell r="A1162" t="str">
            <v>Canfieldite</v>
          </cell>
        </row>
        <row r="1163">
          <cell r="A1163" t="str">
            <v>Cannizzarite</v>
          </cell>
        </row>
        <row r="1164">
          <cell r="A1164" t="str">
            <v>Cannonite</v>
          </cell>
        </row>
        <row r="1165">
          <cell r="A1165" t="str">
            <v>Caoxite</v>
          </cell>
        </row>
        <row r="1166">
          <cell r="A1166" t="str">
            <v>Capgaronnite</v>
          </cell>
        </row>
        <row r="1167">
          <cell r="A1167" t="str">
            <v>Cappelenite-(Y)</v>
          </cell>
        </row>
        <row r="1168">
          <cell r="A1168" t="str">
            <v>Caracolite</v>
          </cell>
        </row>
        <row r="1169">
          <cell r="A1169" t="str">
            <v>Carboborite</v>
          </cell>
        </row>
        <row r="1170">
          <cell r="A1170" t="str">
            <v>Carboirite-III</v>
          </cell>
        </row>
        <row r="1171">
          <cell r="A1171" t="str">
            <v>Carboirite-VIII</v>
          </cell>
        </row>
        <row r="1172">
          <cell r="A1172" t="str">
            <v>Carbokentbrooksite</v>
          </cell>
        </row>
        <row r="1173">
          <cell r="A1173" t="str">
            <v>Carbonatecyanotrichite</v>
          </cell>
        </row>
        <row r="1174">
          <cell r="A1174" t="str">
            <v>Caresite</v>
          </cell>
        </row>
        <row r="1175">
          <cell r="A1175" t="str">
            <v>Carletonite</v>
          </cell>
        </row>
        <row r="1176">
          <cell r="A1176" t="str">
            <v>Carlfriesite</v>
          </cell>
        </row>
        <row r="1177">
          <cell r="A1177" t="str">
            <v>Carlhintzeite</v>
          </cell>
        </row>
        <row r="1178">
          <cell r="A1178" t="str">
            <v>Carlinite</v>
          </cell>
        </row>
        <row r="1179">
          <cell r="A1179" t="str">
            <v>Carlosruizite</v>
          </cell>
        </row>
        <row r="1180">
          <cell r="A1180" t="str">
            <v>Carlosturanite</v>
          </cell>
        </row>
        <row r="1181">
          <cell r="A1181" t="str">
            <v>Carlsbergite</v>
          </cell>
        </row>
        <row r="1182">
          <cell r="A1182" t="str">
            <v>Carmichaelite</v>
          </cell>
        </row>
        <row r="1183">
          <cell r="A1183" t="str">
            <v>Carnallite</v>
          </cell>
        </row>
        <row r="1184">
          <cell r="A1184" t="str">
            <v>Carnotite</v>
          </cell>
        </row>
        <row r="1185">
          <cell r="A1185" t="str">
            <v>Carobbiite</v>
          </cell>
        </row>
        <row r="1186">
          <cell r="A1186" t="str">
            <v>Carpholite</v>
          </cell>
        </row>
        <row r="1187">
          <cell r="A1187" t="str">
            <v>Carraraite</v>
          </cell>
        </row>
        <row r="1188">
          <cell r="A1188" t="str">
            <v>Carrboydite</v>
          </cell>
        </row>
        <row r="1189">
          <cell r="A1189" t="str">
            <v>Carrollite</v>
          </cell>
        </row>
        <row r="1190">
          <cell r="A1190" t="str">
            <v>Caryinite</v>
          </cell>
        </row>
        <row r="1191">
          <cell r="A1191" t="str">
            <v>Caryochroite</v>
          </cell>
        </row>
        <row r="1192">
          <cell r="A1192" t="str">
            <v>Cascandite</v>
          </cell>
        </row>
        <row r="1193">
          <cell r="A1193" t="str">
            <v>Cassagnaite</v>
          </cell>
        </row>
        <row r="1194">
          <cell r="A1194" t="str">
            <v>Cassedanneite</v>
          </cell>
        </row>
        <row r="1195">
          <cell r="A1195" t="str">
            <v>Cassidyite</v>
          </cell>
        </row>
        <row r="1196">
          <cell r="A1196" t="str">
            <v>Cassiterite</v>
          </cell>
        </row>
        <row r="1197">
          <cell r="A1197" t="str">
            <v>Caswellsilverite</v>
          </cell>
        </row>
        <row r="1198">
          <cell r="A1198" t="str">
            <v>Catalanoite</v>
          </cell>
        </row>
        <row r="1199">
          <cell r="A1199" t="str">
            <v>Catamarcaite</v>
          </cell>
        </row>
        <row r="1200">
          <cell r="A1200" t="str">
            <v>Catapleiite</v>
          </cell>
        </row>
        <row r="1201">
          <cell r="A1201" t="str">
            <v>Cattierite</v>
          </cell>
        </row>
        <row r="1202">
          <cell r="A1202" t="str">
            <v>Cattiite</v>
          </cell>
        </row>
        <row r="1203">
          <cell r="A1203" t="str">
            <v>Cavansite</v>
          </cell>
        </row>
        <row r="1204">
          <cell r="A1204" t="str">
            <v>Cavoite</v>
          </cell>
        </row>
        <row r="1205">
          <cell r="A1205" t="str">
            <v>Caysichite-(Y)</v>
          </cell>
        </row>
        <row r="1206">
          <cell r="A1206" t="str">
            <v>Cebaite-(Ce)</v>
          </cell>
        </row>
        <row r="1207">
          <cell r="A1207" t="str">
            <v>Cebaite-(Nd)</v>
          </cell>
        </row>
        <row r="1208">
          <cell r="A1208" t="str">
            <v>Cebollite</v>
          </cell>
        </row>
        <row r="1209">
          <cell r="A1209" t="str">
            <v>Cejkaite</v>
          </cell>
        </row>
        <row r="1210">
          <cell r="A1210" t="str">
            <v>Celestine</v>
          </cell>
        </row>
        <row r="1211">
          <cell r="A1211" t="str">
            <v>Cerchiaraite</v>
          </cell>
        </row>
        <row r="1212">
          <cell r="A1212" t="str">
            <v>Cerianite-(Ce)</v>
          </cell>
        </row>
        <row r="1213">
          <cell r="A1213" t="str">
            <v>Ceriopyrochlore-(Ce)</v>
          </cell>
        </row>
        <row r="1214">
          <cell r="A1214" t="str">
            <v>Cerite-(Ce)</v>
          </cell>
        </row>
        <row r="1215">
          <cell r="A1215" t="str">
            <v>Cerite-(La)</v>
          </cell>
        </row>
        <row r="1216">
          <cell r="A1216" t="str">
            <v>Cernyite</v>
          </cell>
        </row>
        <row r="1217">
          <cell r="A1217" t="str">
            <v>Cerotungstite-(Ce)</v>
          </cell>
        </row>
        <row r="1218">
          <cell r="A1218" t="str">
            <v>Ceruleite</v>
          </cell>
        </row>
        <row r="1219">
          <cell r="A1219" t="str">
            <v>Cervandonite-(Ce)</v>
          </cell>
        </row>
        <row r="1220">
          <cell r="A1220" t="str">
            <v>Cervantite</v>
          </cell>
        </row>
        <row r="1221">
          <cell r="A1221" t="str">
            <v>Cervelleite</v>
          </cell>
        </row>
        <row r="1222">
          <cell r="A1222" t="str">
            <v>Cesanite</v>
          </cell>
        </row>
        <row r="1223">
          <cell r="A1223" t="str">
            <v>Cesarolite</v>
          </cell>
        </row>
        <row r="1224">
          <cell r="A1224" t="str">
            <v>Cesbronite</v>
          </cell>
        </row>
        <row r="1225">
          <cell r="A1225" t="str">
            <v>Cesbronite-x</v>
          </cell>
        </row>
        <row r="1226">
          <cell r="A1226" t="str">
            <v>Cesplumtantite</v>
          </cell>
        </row>
        <row r="1227">
          <cell r="A1227" t="str">
            <v>Cesstibtantite</v>
          </cell>
        </row>
        <row r="1228">
          <cell r="A1228" t="str">
            <v>Cetineite</v>
          </cell>
        </row>
        <row r="1229">
          <cell r="A1229" t="str">
            <v>Chabazite-Ca</v>
          </cell>
        </row>
        <row r="1230">
          <cell r="A1230" t="str">
            <v>Chabazite-K</v>
          </cell>
        </row>
        <row r="1231">
          <cell r="A1231" t="str">
            <v>Chabazite-Na</v>
          </cell>
        </row>
        <row r="1232">
          <cell r="A1232" t="str">
            <v>Chabazite-Sr</v>
          </cell>
        </row>
        <row r="1233">
          <cell r="A1233" t="str">
            <v>Chabourneite</v>
          </cell>
        </row>
        <row r="1234">
          <cell r="A1234" t="str">
            <v>Chadwickite</v>
          </cell>
        </row>
        <row r="1235">
          <cell r="A1235" t="str">
            <v>Chaidamuite</v>
          </cell>
        </row>
        <row r="1236">
          <cell r="A1236" t="str">
            <v>Chalcoalumite</v>
          </cell>
        </row>
        <row r="1237">
          <cell r="A1237" t="str">
            <v>Chalcocite</v>
          </cell>
        </row>
        <row r="1238">
          <cell r="A1238" t="str">
            <v>Chalcocyanite</v>
          </cell>
        </row>
        <row r="1239">
          <cell r="A1239" t="str">
            <v>Chalcomenite</v>
          </cell>
        </row>
        <row r="1240">
          <cell r="A1240" t="str">
            <v>Chalconatronite</v>
          </cell>
        </row>
        <row r="1241">
          <cell r="A1241" t="str">
            <v>Chalcophanite</v>
          </cell>
        </row>
        <row r="1242">
          <cell r="A1242" t="str">
            <v>Chalcophyllite</v>
          </cell>
        </row>
        <row r="1243">
          <cell r="A1243" t="str">
            <v>Chalcopyrite</v>
          </cell>
        </row>
        <row r="1244">
          <cell r="A1244" t="str">
            <v>Chalcosiderite</v>
          </cell>
        </row>
        <row r="1245">
          <cell r="A1245" t="str">
            <v>Chalcostibite</v>
          </cell>
        </row>
        <row r="1246">
          <cell r="A1246" t="str">
            <v>Chalcothallite</v>
          </cell>
        </row>
        <row r="1247">
          <cell r="A1247" t="str">
            <v>Challacolloite</v>
          </cell>
        </row>
        <row r="1248">
          <cell r="A1248" t="str">
            <v>Chambersite</v>
          </cell>
        </row>
        <row r="1249">
          <cell r="A1249" t="str">
            <v>Chameanite</v>
          </cell>
        </row>
        <row r="1250">
          <cell r="A1250" t="str">
            <v>Changbaiite</v>
          </cell>
        </row>
        <row r="1251">
          <cell r="A1251" t="str">
            <v>Changchengite</v>
          </cell>
        </row>
        <row r="1252">
          <cell r="A1252" t="str">
            <v>Chantalite</v>
          </cell>
        </row>
        <row r="1253">
          <cell r="A1253" t="str">
            <v>Chaoite</v>
          </cell>
        </row>
        <row r="1254">
          <cell r="A1254" t="str">
            <v>Chapmanite</v>
          </cell>
        </row>
        <row r="1255">
          <cell r="A1255" t="str">
            <v>Charlesite</v>
          </cell>
        </row>
        <row r="1256">
          <cell r="A1256" t="str">
            <v>Charmarite-2H</v>
          </cell>
        </row>
        <row r="1257">
          <cell r="A1257" t="str">
            <v>Charmarite-3T</v>
          </cell>
        </row>
        <row r="1258">
          <cell r="A1258" t="str">
            <v>Charoite</v>
          </cell>
        </row>
        <row r="1259">
          <cell r="A1259" t="str">
            <v>Chatkalite</v>
          </cell>
        </row>
        <row r="1260">
          <cell r="A1260" t="str">
            <v>Chayesite</v>
          </cell>
        </row>
        <row r="1261">
          <cell r="A1261" t="str">
            <v>Chegemite</v>
          </cell>
        </row>
        <row r="1262">
          <cell r="A1262" t="str">
            <v>Chekhovichite</v>
          </cell>
        </row>
        <row r="1263">
          <cell r="A1263" t="str">
            <v>Chelkarite</v>
          </cell>
        </row>
        <row r="1264">
          <cell r="A1264" t="str">
            <v>Chelyabinskite</v>
          </cell>
        </row>
        <row r="1265">
          <cell r="A1265" t="str">
            <v>Chenevixite</v>
          </cell>
        </row>
        <row r="1266">
          <cell r="A1266" t="str">
            <v>Chengdeite</v>
          </cell>
        </row>
        <row r="1267">
          <cell r="A1267" t="str">
            <v>Chenguodaite</v>
          </cell>
        </row>
        <row r="1268">
          <cell r="A1268" t="str">
            <v>Chenite</v>
          </cell>
        </row>
        <row r="1269">
          <cell r="A1269" t="str">
            <v>Cheralite-(Ce)</v>
          </cell>
        </row>
        <row r="1270">
          <cell r="A1270" t="str">
            <v>Cherepanovite</v>
          </cell>
        </row>
        <row r="1271">
          <cell r="A1271" t="str">
            <v>Chernikovite</v>
          </cell>
        </row>
        <row r="1272">
          <cell r="A1272" t="str">
            <v>Chernovite-(Ce)</v>
          </cell>
        </row>
        <row r="1273">
          <cell r="A1273" t="str">
            <v>Chernovite-(Y)</v>
          </cell>
        </row>
        <row r="1274">
          <cell r="A1274" t="str">
            <v>Chervetite</v>
          </cell>
        </row>
        <row r="1275">
          <cell r="A1275" t="str">
            <v>Chesnokovite</v>
          </cell>
        </row>
        <row r="1276">
          <cell r="A1276" t="str">
            <v>Chessexite</v>
          </cell>
        </row>
        <row r="1277">
          <cell r="A1277" t="str">
            <v>Chesterite</v>
          </cell>
        </row>
        <row r="1278">
          <cell r="A1278" t="str">
            <v>Chestermanite</v>
          </cell>
        </row>
        <row r="1279">
          <cell r="A1279" t="str">
            <v>Chevkinite-(Ce)</v>
          </cell>
        </row>
        <row r="1280">
          <cell r="A1280" t="str">
            <v>Chiavennite</v>
          </cell>
        </row>
        <row r="1281">
          <cell r="A1281" t="str">
            <v>Childrenite</v>
          </cell>
        </row>
        <row r="1282">
          <cell r="A1282" t="str">
            <v>Chiluite</v>
          </cell>
        </row>
        <row r="1283">
          <cell r="A1283" t="str">
            <v>Chiolite</v>
          </cell>
        </row>
        <row r="1284">
          <cell r="A1284" t="str">
            <v>Chistyakovaite</v>
          </cell>
        </row>
        <row r="1285">
          <cell r="A1285" t="str">
            <v>Chivruaiite</v>
          </cell>
        </row>
        <row r="1286">
          <cell r="A1286" t="str">
            <v>Chkalovite</v>
          </cell>
        </row>
        <row r="1287">
          <cell r="A1287" t="str">
            <v>Chladniite</v>
          </cell>
        </row>
        <row r="1288">
          <cell r="A1288" t="str">
            <v>Chloraluminite</v>
          </cell>
        </row>
        <row r="1289">
          <cell r="A1289" t="str">
            <v>Chlorargyrite</v>
          </cell>
        </row>
        <row r="1290">
          <cell r="A1290" t="str">
            <v>Chlorartinite</v>
          </cell>
        </row>
        <row r="1291">
          <cell r="A1291" t="str">
            <v>Chlorbartonite</v>
          </cell>
        </row>
        <row r="1292">
          <cell r="A1292" t="str">
            <v>Chlorite</v>
          </cell>
        </row>
        <row r="1293">
          <cell r="A1293" t="str">
            <v>Chloritoid</v>
          </cell>
        </row>
        <row r="1294">
          <cell r="A1294" t="str">
            <v>Chlormagaluminite</v>
          </cell>
        </row>
        <row r="1295">
          <cell r="A1295" t="str">
            <v>Chlormanganokalite</v>
          </cell>
        </row>
        <row r="1296">
          <cell r="A1296" t="str">
            <v>Chlorocalcite</v>
          </cell>
        </row>
        <row r="1297">
          <cell r="A1297" t="str">
            <v>Chloromagnesite</v>
          </cell>
        </row>
        <row r="1298">
          <cell r="A1298" t="str">
            <v>Chloromenite</v>
          </cell>
        </row>
        <row r="1299">
          <cell r="A1299" t="str">
            <v>Chlorothionite</v>
          </cell>
        </row>
        <row r="1300">
          <cell r="A1300" t="str">
            <v>Chloroxiphite</v>
          </cell>
        </row>
        <row r="1301">
          <cell r="A1301" t="str">
            <v>Choloalite</v>
          </cell>
        </row>
        <row r="1302">
          <cell r="A1302" t="str">
            <v>Chondrodite</v>
          </cell>
        </row>
        <row r="1303">
          <cell r="A1303" t="str">
            <v>Chopinite</v>
          </cell>
        </row>
        <row r="1304">
          <cell r="A1304" t="str">
            <v>Chrisstanleyite</v>
          </cell>
        </row>
        <row r="1305">
          <cell r="A1305" t="str">
            <v>Christelite</v>
          </cell>
        </row>
        <row r="1306">
          <cell r="A1306" t="str">
            <v>Christite</v>
          </cell>
        </row>
        <row r="1307">
          <cell r="A1307" t="str">
            <v>Chromatite</v>
          </cell>
        </row>
        <row r="1308">
          <cell r="A1308" t="str">
            <v>Chrombismite</v>
          </cell>
        </row>
        <row r="1309">
          <cell r="A1309" t="str">
            <v>Chromdravite</v>
          </cell>
        </row>
        <row r="1310">
          <cell r="A1310" t="str">
            <v>Chromferide</v>
          </cell>
        </row>
        <row r="1311">
          <cell r="A1311" t="str">
            <v>Chromite</v>
          </cell>
        </row>
        <row r="1312">
          <cell r="A1312" t="str">
            <v>Chromium</v>
          </cell>
        </row>
        <row r="1313">
          <cell r="A1313" t="str">
            <v>Chrysoberyl</v>
          </cell>
        </row>
        <row r="1314">
          <cell r="A1314" t="str">
            <v>Chrysocolla</v>
          </cell>
        </row>
        <row r="1315">
          <cell r="A1315" t="str">
            <v>Chrysotile</v>
          </cell>
        </row>
        <row r="1316">
          <cell r="A1316" t="str">
            <v>Chubutite</v>
          </cell>
        </row>
        <row r="1317">
          <cell r="A1317" t="str">
            <v>Chudobaite</v>
          </cell>
        </row>
        <row r="1318">
          <cell r="A1318" t="str">
            <v>Chukanovite</v>
          </cell>
        </row>
        <row r="1319">
          <cell r="A1319" t="str">
            <v>Chukhrovite-(Ce)</v>
          </cell>
        </row>
        <row r="1320">
          <cell r="A1320" t="str">
            <v>Chukhrovite-(Nd)</v>
          </cell>
        </row>
        <row r="1321">
          <cell r="A1321" t="str">
            <v>Chukhrovite-(Y)</v>
          </cell>
        </row>
        <row r="1322">
          <cell r="A1322" t="str">
            <v>Churchite-(Dy)</v>
          </cell>
        </row>
        <row r="1323">
          <cell r="A1323" t="str">
            <v>Churchite-(Nd)</v>
          </cell>
        </row>
        <row r="1324">
          <cell r="A1324" t="str">
            <v>Churchite-(Y)</v>
          </cell>
        </row>
        <row r="1325">
          <cell r="A1325" t="str">
            <v>Chursinite</v>
          </cell>
        </row>
        <row r="1326">
          <cell r="A1326" t="str">
            <v>Chvilevaite</v>
          </cell>
        </row>
        <row r="1327">
          <cell r="A1327" t="str">
            <v>Cianciulliite</v>
          </cell>
        </row>
        <row r="1328">
          <cell r="A1328" t="str">
            <v>Cinnabar</v>
          </cell>
        </row>
        <row r="1329">
          <cell r="A1329" t="str">
            <v>Ciprianiite</v>
          </cell>
        </row>
        <row r="1330">
          <cell r="A1330" t="str">
            <v>Clairite</v>
          </cell>
        </row>
        <row r="1331">
          <cell r="A1331" t="str">
            <v>Claraite</v>
          </cell>
        </row>
        <row r="1332">
          <cell r="A1332" t="str">
            <v>Claringbullite</v>
          </cell>
        </row>
        <row r="1333">
          <cell r="A1333" t="str">
            <v>Clarkeite</v>
          </cell>
        </row>
        <row r="1334">
          <cell r="A1334" t="str">
            <v>Claudetite</v>
          </cell>
        </row>
        <row r="1335">
          <cell r="A1335" t="str">
            <v>Clausthalite</v>
          </cell>
        </row>
        <row r="1336">
          <cell r="A1336" t="str">
            <v>Clearcreekite</v>
          </cell>
        </row>
        <row r="1337">
          <cell r="A1337" t="str">
            <v>Clerite</v>
          </cell>
        </row>
        <row r="1338">
          <cell r="A1338" t="str">
            <v>Cleusonite</v>
          </cell>
        </row>
        <row r="1339">
          <cell r="A1339" t="str">
            <v>Cliffordite</v>
          </cell>
        </row>
        <row r="1340">
          <cell r="A1340" t="str">
            <v>Clinoatacamite</v>
          </cell>
        </row>
        <row r="1341">
          <cell r="A1341" t="str">
            <v>Clinobarylite</v>
          </cell>
        </row>
        <row r="1342">
          <cell r="A1342" t="str">
            <v>Clinobehoite</v>
          </cell>
        </row>
        <row r="1343">
          <cell r="A1343" t="str">
            <v>Clinobirnessite</v>
          </cell>
        </row>
        <row r="1344">
          <cell r="A1344" t="str">
            <v>Clinobisvanite</v>
          </cell>
        </row>
        <row r="1345">
          <cell r="A1345" t="str">
            <v>Clinocervantite</v>
          </cell>
        </row>
        <row r="1346">
          <cell r="A1346" t="str">
            <v>Clinochalcomenite</v>
          </cell>
        </row>
        <row r="1347">
          <cell r="A1347" t="str">
            <v>Clinochrysotile</v>
          </cell>
        </row>
        <row r="1348">
          <cell r="A1348" t="str">
            <v>Clinohedrite</v>
          </cell>
        </row>
        <row r="1349">
          <cell r="A1349" t="str">
            <v>Clinoholmquistite</v>
          </cell>
        </row>
        <row r="1350">
          <cell r="A1350" t="str">
            <v>Clinohumite</v>
          </cell>
        </row>
        <row r="1351">
          <cell r="A1351" t="str">
            <v>Clinojimthompsonite</v>
          </cell>
        </row>
        <row r="1352">
          <cell r="A1352" t="str">
            <v>Clinokurchatovite</v>
          </cell>
        </row>
        <row r="1353">
          <cell r="A1353" t="str">
            <v>Clinophosinaite</v>
          </cell>
        </row>
        <row r="1354">
          <cell r="A1354" t="str">
            <v>Clinoptilolite-Ca</v>
          </cell>
        </row>
        <row r="1355">
          <cell r="A1355" t="str">
            <v>Clinoptilolite-K</v>
          </cell>
        </row>
        <row r="1356">
          <cell r="A1356" t="str">
            <v>Clinoptilolite-Na</v>
          </cell>
        </row>
        <row r="1357">
          <cell r="A1357" t="str">
            <v>Clinosafflorite</v>
          </cell>
        </row>
        <row r="1358">
          <cell r="A1358" t="str">
            <v>Clinotobermorite</v>
          </cell>
        </row>
        <row r="1359">
          <cell r="A1359" t="str">
            <v>Clinotyrolite</v>
          </cell>
        </row>
        <row r="1360">
          <cell r="A1360" t="str">
            <v>Clinoungemachite</v>
          </cell>
        </row>
        <row r="1361">
          <cell r="A1361" t="str">
            <v>Clinozoisite</v>
          </cell>
        </row>
        <row r="1362">
          <cell r="A1362" t="str">
            <v>Clinozoisite-(Sr)</v>
          </cell>
        </row>
        <row r="1363">
          <cell r="A1363" t="str">
            <v>Clintonite</v>
          </cell>
        </row>
        <row r="1364">
          <cell r="A1364" t="str">
            <v>Cloncurryite</v>
          </cell>
        </row>
        <row r="1365">
          <cell r="A1365" t="str">
            <v>Coalingite</v>
          </cell>
        </row>
        <row r="1366">
          <cell r="A1366" t="str">
            <v>Cobaltarthurite</v>
          </cell>
        </row>
        <row r="1367">
          <cell r="A1367" t="str">
            <v>Cobaltite</v>
          </cell>
        </row>
        <row r="1368">
          <cell r="A1368" t="str">
            <v>Cobaltkoritnigite</v>
          </cell>
        </row>
        <row r="1369">
          <cell r="A1369" t="str">
            <v>Cobaltlotharmeyerite</v>
          </cell>
        </row>
        <row r="1370">
          <cell r="A1370" t="str">
            <v>Cobaltomenite</v>
          </cell>
        </row>
        <row r="1371">
          <cell r="A1371" t="str">
            <v>Cobaltpentlandite</v>
          </cell>
        </row>
        <row r="1372">
          <cell r="A1372" t="str">
            <v>Cobalttsumcorite</v>
          </cell>
        </row>
        <row r="1373">
          <cell r="A1373" t="str">
            <v>Cobaltzippeite</v>
          </cell>
        </row>
        <row r="1374">
          <cell r="A1374" t="str">
            <v>Coccinite</v>
          </cell>
        </row>
        <row r="1375">
          <cell r="A1375" t="str">
            <v>Cochromite</v>
          </cell>
        </row>
        <row r="1376">
          <cell r="A1376" t="str">
            <v>Coconinoite</v>
          </cell>
        </row>
        <row r="1377">
          <cell r="A1377" t="str">
            <v>Coeruleolactite</v>
          </cell>
        </row>
        <row r="1378">
          <cell r="A1378" t="str">
            <v>Coesite</v>
          </cell>
        </row>
        <row r="1379">
          <cell r="A1379" t="str">
            <v>Coffinite</v>
          </cell>
        </row>
        <row r="1380">
          <cell r="A1380" t="str">
            <v>Cohenite</v>
          </cell>
        </row>
        <row r="1381">
          <cell r="A1381" t="str">
            <v>Coiraite</v>
          </cell>
        </row>
        <row r="1382">
          <cell r="A1382" t="str">
            <v>Colemanite</v>
          </cell>
        </row>
        <row r="1383">
          <cell r="A1383" t="str">
            <v>Colimaite</v>
          </cell>
        </row>
        <row r="1384">
          <cell r="A1384" t="str">
            <v>Collinsite</v>
          </cell>
        </row>
        <row r="1385">
          <cell r="A1385" t="str">
            <v>Coloradoite</v>
          </cell>
        </row>
        <row r="1386">
          <cell r="A1386" t="str">
            <v>Colquiriite</v>
          </cell>
        </row>
        <row r="1387">
          <cell r="A1387" t="str">
            <v>Columbite-(Fe)</v>
          </cell>
        </row>
        <row r="1388">
          <cell r="A1388" t="str">
            <v>Columbite-(Mg)</v>
          </cell>
        </row>
        <row r="1389">
          <cell r="A1389" t="str">
            <v>Columbite-(Mn)</v>
          </cell>
        </row>
        <row r="1390">
          <cell r="A1390" t="str">
            <v>Colusite</v>
          </cell>
        </row>
        <row r="1391">
          <cell r="A1391" t="str">
            <v>Comancheite</v>
          </cell>
        </row>
        <row r="1392">
          <cell r="A1392" t="str">
            <v>Combeite</v>
          </cell>
        </row>
        <row r="1393">
          <cell r="A1393" t="str">
            <v>Comblainite</v>
          </cell>
        </row>
        <row r="1394">
          <cell r="A1394" t="str">
            <v>Compreignacite</v>
          </cell>
        </row>
        <row r="1395">
          <cell r="A1395" t="str">
            <v>Congolite</v>
          </cell>
        </row>
        <row r="1396">
          <cell r="A1396" t="str">
            <v>Connellite</v>
          </cell>
        </row>
        <row r="1397">
          <cell r="A1397" t="str">
            <v>Coombsite</v>
          </cell>
        </row>
        <row r="1398">
          <cell r="A1398" t="str">
            <v>Cooperite</v>
          </cell>
        </row>
        <row r="1399">
          <cell r="A1399" t="str">
            <v>Copiapite</v>
          </cell>
        </row>
        <row r="1400">
          <cell r="A1400" t="str">
            <v>Copper</v>
          </cell>
        </row>
        <row r="1401">
          <cell r="A1401" t="str">
            <v>Coquandite</v>
          </cell>
        </row>
        <row r="1402">
          <cell r="A1402" t="str">
            <v>Corderoite</v>
          </cell>
        </row>
        <row r="1403">
          <cell r="A1403" t="str">
            <v>Cordierite</v>
          </cell>
        </row>
        <row r="1404">
          <cell r="A1404" t="str">
            <v>Cordylite-(Ce)</v>
          </cell>
        </row>
        <row r="1405">
          <cell r="A1405" t="str">
            <v>Coronadite</v>
          </cell>
        </row>
        <row r="1406">
          <cell r="A1406" t="str">
            <v>Corrensite</v>
          </cell>
        </row>
        <row r="1407">
          <cell r="A1407" t="str">
            <v>Corundum</v>
          </cell>
        </row>
        <row r="1408">
          <cell r="A1408" t="str">
            <v>Corvusite</v>
          </cell>
        </row>
        <row r="1409">
          <cell r="A1409" t="str">
            <v>Cosalite</v>
          </cell>
        </row>
        <row r="1410">
          <cell r="A1410" t="str">
            <v>Coskrenite-(Ce)</v>
          </cell>
        </row>
        <row r="1411">
          <cell r="A1411" t="str">
            <v>Costibite</v>
          </cell>
        </row>
        <row r="1412">
          <cell r="A1412" t="str">
            <v>Cotunnite</v>
          </cell>
        </row>
        <row r="1413">
          <cell r="A1413" t="str">
            <v>Coulsonite</v>
          </cell>
        </row>
        <row r="1414">
          <cell r="A1414" t="str">
            <v>Cousinite</v>
          </cell>
        </row>
        <row r="1415">
          <cell r="A1415" t="str">
            <v>Coutinhoite</v>
          </cell>
        </row>
        <row r="1416">
          <cell r="A1416" t="str">
            <v>Covellite</v>
          </cell>
        </row>
        <row r="1417">
          <cell r="A1417" t="str">
            <v>Cowlesite</v>
          </cell>
        </row>
        <row r="1418">
          <cell r="A1418" t="str">
            <v>Coyoteite</v>
          </cell>
        </row>
        <row r="1419">
          <cell r="A1419" t="str">
            <v>Crawfordite</v>
          </cell>
        </row>
        <row r="1420">
          <cell r="A1420" t="str">
            <v>Creaseyite</v>
          </cell>
        </row>
        <row r="1421">
          <cell r="A1421" t="str">
            <v>Crednerite</v>
          </cell>
        </row>
        <row r="1422">
          <cell r="A1422" t="str">
            <v>Creedite</v>
          </cell>
        </row>
        <row r="1423">
          <cell r="A1423" t="str">
            <v>Crerarite</v>
          </cell>
        </row>
        <row r="1424">
          <cell r="A1424" t="str">
            <v>Crichtonite</v>
          </cell>
        </row>
        <row r="1425">
          <cell r="A1425" t="str">
            <v>Criddleite</v>
          </cell>
        </row>
        <row r="1426">
          <cell r="A1426" t="str">
            <v>Cristobalite</v>
          </cell>
        </row>
        <row r="1427">
          <cell r="A1427" t="str">
            <v>Crocoite</v>
          </cell>
        </row>
        <row r="1428">
          <cell r="A1428" t="str">
            <v>Cronstedtite</v>
          </cell>
        </row>
        <row r="1429">
          <cell r="A1429" t="str">
            <v>Cronusite</v>
          </cell>
        </row>
        <row r="1430">
          <cell r="A1430" t="str">
            <v>Crookesite</v>
          </cell>
        </row>
        <row r="1431">
          <cell r="A1431" t="str">
            <v>Cryolite</v>
          </cell>
        </row>
        <row r="1432">
          <cell r="A1432" t="str">
            <v>Cryolithionite</v>
          </cell>
        </row>
        <row r="1433">
          <cell r="A1433" t="str">
            <v>Cryptohalite</v>
          </cell>
        </row>
        <row r="1434">
          <cell r="A1434" t="str">
            <v>Cryptomelane</v>
          </cell>
        </row>
        <row r="1435">
          <cell r="A1435" t="str">
            <v>Cryptophyllite</v>
          </cell>
        </row>
        <row r="1436">
          <cell r="A1436" t="str">
            <v>Cualstibite</v>
          </cell>
        </row>
        <row r="1437">
          <cell r="A1437" t="str">
            <v>Cubanite</v>
          </cell>
        </row>
        <row r="1438">
          <cell r="A1438" t="str">
            <v>Cuboargyrite</v>
          </cell>
        </row>
        <row r="1439">
          <cell r="A1439" t="str">
            <v>Cumengite</v>
          </cell>
        </row>
        <row r="1440">
          <cell r="A1440" t="str">
            <v>Cupalite</v>
          </cell>
        </row>
        <row r="1441">
          <cell r="A1441" t="str">
            <v>Cuprite</v>
          </cell>
        </row>
        <row r="1442">
          <cell r="A1442" t="str">
            <v>Cuprobismutite</v>
          </cell>
        </row>
        <row r="1443">
          <cell r="A1443" t="str">
            <v>Cuprocopiapite</v>
          </cell>
        </row>
        <row r="1444">
          <cell r="A1444" t="str">
            <v>Cuproiridsite</v>
          </cell>
        </row>
        <row r="1445">
          <cell r="A1445" t="str">
            <v>Cupromakovickyite</v>
          </cell>
        </row>
        <row r="1446">
          <cell r="A1446" t="str">
            <v>Cupropavonite</v>
          </cell>
        </row>
        <row r="1447">
          <cell r="A1447" t="str">
            <v>Cupropearceite</v>
          </cell>
        </row>
        <row r="1448">
          <cell r="A1448" t="str">
            <v>Cupropolybasite</v>
          </cell>
        </row>
        <row r="1449">
          <cell r="A1449" t="str">
            <v>Cuprorhodsite</v>
          </cell>
        </row>
        <row r="1450">
          <cell r="A1450" t="str">
            <v>Cuprorivaite</v>
          </cell>
        </row>
        <row r="1451">
          <cell r="A1451" t="str">
            <v>Cuprosklodowskite</v>
          </cell>
        </row>
        <row r="1452">
          <cell r="A1452" t="str">
            <v>Cuprospinel</v>
          </cell>
        </row>
        <row r="1453">
          <cell r="A1453" t="str">
            <v>Cuprostibite</v>
          </cell>
        </row>
        <row r="1454">
          <cell r="A1454" t="str">
            <v>Cuprotungstite</v>
          </cell>
        </row>
        <row r="1455">
          <cell r="A1455" t="str">
            <v>Curienite</v>
          </cell>
        </row>
        <row r="1456">
          <cell r="A1456" t="str">
            <v>Curite</v>
          </cell>
        </row>
        <row r="1457">
          <cell r="A1457" t="str">
            <v>Cuspidine</v>
          </cell>
        </row>
        <row r="1458">
          <cell r="A1458" t="str">
            <v>Cuzticite</v>
          </cell>
        </row>
        <row r="1459">
          <cell r="A1459" t="str">
            <v>Cyanophyllite</v>
          </cell>
        </row>
        <row r="1460">
          <cell r="A1460" t="str">
            <v>Cyanotrichite</v>
          </cell>
        </row>
        <row r="1461">
          <cell r="A1461" t="str">
            <v>Cylindrite</v>
          </cell>
        </row>
        <row r="1462">
          <cell r="A1462" t="str">
            <v>Cymrite</v>
          </cell>
        </row>
        <row r="1463">
          <cell r="A1463" t="str">
            <v>Cyrilovite</v>
          </cell>
        </row>
        <row r="1464">
          <cell r="A1464" t="str">
            <v>Dachiardite-Ca</v>
          </cell>
        </row>
        <row r="1465">
          <cell r="A1465" t="str">
            <v>Dachiardite-Na</v>
          </cell>
        </row>
        <row r="1466">
          <cell r="A1466" t="str">
            <v>Dadsonite</v>
          </cell>
        </row>
        <row r="1467">
          <cell r="A1467" t="str">
            <v>Dalyite</v>
          </cell>
        </row>
        <row r="1468">
          <cell r="A1468" t="str">
            <v>Damaraite</v>
          </cell>
        </row>
        <row r="1469">
          <cell r="A1469" t="str">
            <v>Damiaoite</v>
          </cell>
        </row>
        <row r="1470">
          <cell r="A1470" t="str">
            <v>Danalite</v>
          </cell>
        </row>
        <row r="1471">
          <cell r="A1471" t="str">
            <v>Danbaite</v>
          </cell>
        </row>
        <row r="1472">
          <cell r="A1472" t="str">
            <v>Danburite</v>
          </cell>
        </row>
        <row r="1473">
          <cell r="A1473" t="str">
            <v>Danielsite</v>
          </cell>
        </row>
        <row r="1474">
          <cell r="A1474" t="str">
            <v>Dansite</v>
          </cell>
        </row>
        <row r="1475">
          <cell r="A1475" t="str">
            <v>Daomanite</v>
          </cell>
        </row>
        <row r="1476">
          <cell r="A1476" t="str">
            <v>Daqingshanite-(Ce)</v>
          </cell>
        </row>
        <row r="1477">
          <cell r="A1477" t="str">
            <v>Darapiosite</v>
          </cell>
        </row>
        <row r="1478">
          <cell r="A1478" t="str">
            <v>Darapskite</v>
          </cell>
        </row>
        <row r="1479">
          <cell r="A1479" t="str">
            <v>Dashkovaite</v>
          </cell>
        </row>
        <row r="1480">
          <cell r="A1480" t="str">
            <v>Datolite</v>
          </cell>
        </row>
        <row r="1481">
          <cell r="A1481" t="str">
            <v>Daubreeite</v>
          </cell>
        </row>
        <row r="1482">
          <cell r="A1482" t="str">
            <v>Daubreelite</v>
          </cell>
        </row>
        <row r="1483">
          <cell r="A1483" t="str">
            <v>Davanite</v>
          </cell>
        </row>
        <row r="1484">
          <cell r="A1484" t="str">
            <v>Davidite-(Ce)</v>
          </cell>
        </row>
        <row r="1485">
          <cell r="A1485" t="str">
            <v>Davidite-(La)</v>
          </cell>
        </row>
        <row r="1486">
          <cell r="A1486" t="str">
            <v>Davreuxite</v>
          </cell>
        </row>
        <row r="1487">
          <cell r="A1487" t="str">
            <v>Davyne</v>
          </cell>
        </row>
        <row r="1488">
          <cell r="A1488" t="str">
            <v>Dawsonite</v>
          </cell>
        </row>
        <row r="1489">
          <cell r="A1489" t="str">
            <v>Dayingite</v>
          </cell>
        </row>
        <row r="1490">
          <cell r="A1490" t="str">
            <v>Deanesmithite</v>
          </cell>
        </row>
        <row r="1491">
          <cell r="A1491" t="str">
            <v>Decrespignyite-(Y)</v>
          </cell>
        </row>
        <row r="1492">
          <cell r="A1492" t="str">
            <v>Deerite</v>
          </cell>
        </row>
        <row r="1493">
          <cell r="A1493" t="str">
            <v>Defernite</v>
          </cell>
        </row>
        <row r="1494">
          <cell r="A1494" t="str">
            <v>Delafossite</v>
          </cell>
        </row>
        <row r="1495">
          <cell r="A1495" t="str">
            <v>Delhayelite</v>
          </cell>
        </row>
        <row r="1496">
          <cell r="A1496" t="str">
            <v>Deliensite</v>
          </cell>
        </row>
        <row r="1497">
          <cell r="A1497" t="str">
            <v>Delindeite</v>
          </cell>
        </row>
        <row r="1498">
          <cell r="A1498" t="str">
            <v>Dellaite</v>
          </cell>
        </row>
        <row r="1499">
          <cell r="A1499" t="str">
            <v>Deloryite</v>
          </cell>
        </row>
        <row r="1500">
          <cell r="A1500" t="str">
            <v>Delrioite</v>
          </cell>
        </row>
        <row r="1501">
          <cell r="A1501" t="str">
            <v>Delvauxite</v>
          </cell>
        </row>
        <row r="1502">
          <cell r="A1502" t="str">
            <v>Demartinite</v>
          </cell>
        </row>
        <row r="1503">
          <cell r="A1503" t="str">
            <v>Demesmaekerite</v>
          </cell>
        </row>
        <row r="1504">
          <cell r="A1504" t="str">
            <v>Demicheleite-(Br)</v>
          </cell>
        </row>
        <row r="1505">
          <cell r="A1505" t="str">
            <v>Demicheleite-(Cl)</v>
          </cell>
        </row>
        <row r="1506">
          <cell r="A1506" t="str">
            <v>Denisovite</v>
          </cell>
        </row>
        <row r="1507">
          <cell r="A1507" t="str">
            <v>Denningite</v>
          </cell>
        </row>
        <row r="1508">
          <cell r="A1508" t="str">
            <v>Derbylite</v>
          </cell>
        </row>
        <row r="1509">
          <cell r="A1509" t="str">
            <v>Derriksite</v>
          </cell>
        </row>
        <row r="1510">
          <cell r="A1510" t="str">
            <v>Dervillite</v>
          </cell>
        </row>
        <row r="1511">
          <cell r="A1511" t="str">
            <v>Desautelsite</v>
          </cell>
        </row>
        <row r="1512">
          <cell r="A1512" t="str">
            <v>Despujolsite</v>
          </cell>
        </row>
        <row r="1513">
          <cell r="A1513" t="str">
            <v>Dessauite</v>
          </cell>
        </row>
        <row r="1514">
          <cell r="A1514" t="str">
            <v>Devilline</v>
          </cell>
        </row>
        <row r="1515">
          <cell r="A1515" t="str">
            <v>Dewindtite</v>
          </cell>
        </row>
        <row r="1516">
          <cell r="A1516" t="str">
            <v>Diaboleite</v>
          </cell>
        </row>
        <row r="1517">
          <cell r="A1517" t="str">
            <v>Diadochite</v>
          </cell>
        </row>
        <row r="1518">
          <cell r="A1518" t="str">
            <v>Diamond</v>
          </cell>
        </row>
        <row r="1519">
          <cell r="A1519" t="str">
            <v>Diaoyudaoite</v>
          </cell>
        </row>
        <row r="1520">
          <cell r="A1520" t="str">
            <v>Diaphorite</v>
          </cell>
        </row>
        <row r="1521">
          <cell r="A1521" t="str">
            <v>Diaspore</v>
          </cell>
        </row>
        <row r="1522">
          <cell r="A1522" t="str">
            <v>Dickthomssenite</v>
          </cell>
        </row>
        <row r="1523">
          <cell r="A1523" t="str">
            <v>Dienerite</v>
          </cell>
        </row>
        <row r="1524">
          <cell r="A1524" t="str">
            <v>Dietzeite</v>
          </cell>
        </row>
        <row r="1525">
          <cell r="A1525" t="str">
            <v>Digenite</v>
          </cell>
        </row>
        <row r="1526">
          <cell r="A1526" t="str">
            <v>Dilithium</v>
          </cell>
        </row>
        <row r="1527">
          <cell r="A1527" t="str">
            <v>Dimorphite</v>
          </cell>
        </row>
        <row r="1528">
          <cell r="A1528" t="str">
            <v>Dingdaohengite-(Ce)</v>
          </cell>
        </row>
        <row r="1529">
          <cell r="A1529" t="str">
            <v>Dinite</v>
          </cell>
        </row>
        <row r="1530">
          <cell r="A1530" t="str">
            <v>Diomignite</v>
          </cell>
        </row>
        <row r="1531">
          <cell r="A1531" t="str">
            <v>Dioptase</v>
          </cell>
        </row>
        <row r="1532">
          <cell r="A1532" t="str">
            <v>Direnzoite</v>
          </cell>
        </row>
        <row r="1533">
          <cell r="A1533" t="str">
            <v>Dissakisite-(Ce)</v>
          </cell>
        </row>
        <row r="1534">
          <cell r="A1534" t="str">
            <v>Dissakisite-(La)</v>
          </cell>
        </row>
        <row r="1535">
          <cell r="A1535" t="str">
            <v>Dittmarite</v>
          </cell>
        </row>
        <row r="1536">
          <cell r="A1536" t="str">
            <v>Diversilite-(Ce)</v>
          </cell>
        </row>
        <row r="1537">
          <cell r="A1537" t="str">
            <v>Djerfisherite</v>
          </cell>
        </row>
        <row r="1538">
          <cell r="A1538" t="str">
            <v>Djurleite</v>
          </cell>
        </row>
        <row r="1539">
          <cell r="A1539" t="str">
            <v>Dmisteinbergite</v>
          </cell>
        </row>
        <row r="1540">
          <cell r="A1540" t="str">
            <v>Dmitryivanovite</v>
          </cell>
        </row>
        <row r="1541">
          <cell r="A1541" t="str">
            <v>Dolerophanite</v>
          </cell>
        </row>
        <row r="1542">
          <cell r="A1542" t="str">
            <v>Dollaseite-(Ce)</v>
          </cell>
        </row>
        <row r="1543">
          <cell r="A1543" t="str">
            <v>DolomiteFe-ST</v>
          </cell>
        </row>
        <row r="1544">
          <cell r="A1544" t="str">
            <v>Dolomite-ST</v>
          </cell>
        </row>
        <row r="1545">
          <cell r="A1545" t="str">
            <v>Doloresite</v>
          </cell>
        </row>
        <row r="1546">
          <cell r="A1546" t="str">
            <v>Domeykite</v>
          </cell>
        </row>
        <row r="1547">
          <cell r="A1547" t="str">
            <v>Donathite</v>
          </cell>
        </row>
        <row r="1548">
          <cell r="A1548" t="str">
            <v>Donharrisite</v>
          </cell>
        </row>
        <row r="1549">
          <cell r="A1549" t="str">
            <v>Donnayite-(Y)</v>
          </cell>
        </row>
        <row r="1550">
          <cell r="A1550" t="str">
            <v>Dorallcharite</v>
          </cell>
        </row>
        <row r="1551">
          <cell r="A1551" t="str">
            <v>Dorfmanite</v>
          </cell>
        </row>
        <row r="1552">
          <cell r="A1552" t="str">
            <v>Dorrite</v>
          </cell>
        </row>
        <row r="1553">
          <cell r="A1553" t="str">
            <v>Douglasite</v>
          </cell>
        </row>
        <row r="1554">
          <cell r="A1554" t="str">
            <v>Dovyrenite</v>
          </cell>
        </row>
        <row r="1555">
          <cell r="A1555" t="str">
            <v>Downeyite</v>
          </cell>
        </row>
        <row r="1556">
          <cell r="A1556" t="str">
            <v>Doyleite</v>
          </cell>
        </row>
        <row r="1557">
          <cell r="A1557" t="str">
            <v>Dozyite</v>
          </cell>
        </row>
        <row r="1558">
          <cell r="A1558" t="str">
            <v>Dravite</v>
          </cell>
        </row>
        <row r="1559">
          <cell r="A1559" t="str">
            <v>Dresserite</v>
          </cell>
        </row>
        <row r="1560">
          <cell r="A1560" t="str">
            <v>Dreyerite</v>
          </cell>
        </row>
        <row r="1561">
          <cell r="A1561" t="str">
            <v>Droninoite</v>
          </cell>
        </row>
        <row r="1562">
          <cell r="A1562" t="str">
            <v>Drysdallite</v>
          </cell>
        </row>
        <row r="1563">
          <cell r="A1563" t="str">
            <v>Dualite</v>
          </cell>
        </row>
        <row r="1564">
          <cell r="A1564" t="str">
            <v>Dufrenite</v>
          </cell>
        </row>
        <row r="1565">
          <cell r="A1565" t="str">
            <v>Dufrenoysite</v>
          </cell>
        </row>
        <row r="1566">
          <cell r="A1566" t="str">
            <v>Dukeite</v>
          </cell>
        </row>
        <row r="1567">
          <cell r="A1567" t="str">
            <v>Dumontite</v>
          </cell>
        </row>
        <row r="1568">
          <cell r="A1568" t="str">
            <v>Dumortierite</v>
          </cell>
        </row>
        <row r="1569">
          <cell r="A1569" t="str">
            <v>Dundasite</v>
          </cell>
        </row>
        <row r="1570">
          <cell r="A1570" t="str">
            <v>Duranusite</v>
          </cell>
        </row>
        <row r="1571">
          <cell r="A1571" t="str">
            <v>Dusmatovite</v>
          </cell>
        </row>
        <row r="1572">
          <cell r="A1572" t="str">
            <v>Duttonite</v>
          </cell>
        </row>
        <row r="1573">
          <cell r="A1573" t="str">
            <v>Dypingite</v>
          </cell>
        </row>
        <row r="1574">
          <cell r="A1574" t="str">
            <v>Dyscrasite</v>
          </cell>
        </row>
        <row r="1575">
          <cell r="A1575" t="str">
            <v>Dzhalindite</v>
          </cell>
        </row>
        <row r="1576">
          <cell r="A1576" t="str">
            <v>Dzharkenite</v>
          </cell>
        </row>
        <row r="1577">
          <cell r="A1577" t="str">
            <v>Dzhezkazganite</v>
          </cell>
        </row>
        <row r="1578">
          <cell r="A1578" t="str">
            <v>Eakerite</v>
          </cell>
        </row>
        <row r="1579">
          <cell r="A1579" t="str">
            <v>Earlandite</v>
          </cell>
        </row>
        <row r="1580">
          <cell r="A1580" t="str">
            <v>Earlshannonite</v>
          </cell>
        </row>
        <row r="1581">
          <cell r="A1581" t="str">
            <v>Eastonite</v>
          </cell>
        </row>
        <row r="1582">
          <cell r="A1582" t="str">
            <v>Ecandrewsite</v>
          </cell>
        </row>
        <row r="1583">
          <cell r="A1583" t="str">
            <v>Ecdemite</v>
          </cell>
        </row>
        <row r="1584">
          <cell r="A1584" t="str">
            <v>Eclarite</v>
          </cell>
        </row>
        <row r="1585">
          <cell r="A1585" t="str">
            <v>Edenharterite</v>
          </cell>
        </row>
        <row r="1586">
          <cell r="A1586" t="str">
            <v>Edgarbaileyite</v>
          </cell>
        </row>
        <row r="1587">
          <cell r="A1587" t="str">
            <v>Edgarite</v>
          </cell>
        </row>
        <row r="1588">
          <cell r="A1588" t="str">
            <v>Edingtonite</v>
          </cell>
        </row>
        <row r="1589">
          <cell r="A1589" t="str">
            <v>Edoylerite</v>
          </cell>
        </row>
        <row r="1590">
          <cell r="A1590" t="str">
            <v>Effenbergerite</v>
          </cell>
        </row>
        <row r="1591">
          <cell r="A1591" t="str">
            <v>Efremovite</v>
          </cell>
        </row>
        <row r="1592">
          <cell r="A1592" t="str">
            <v>Eggletonite</v>
          </cell>
        </row>
        <row r="1593">
          <cell r="A1593" t="str">
            <v>Eglestonite</v>
          </cell>
        </row>
        <row r="1594">
          <cell r="A1594" t="str">
            <v>Ehrleite</v>
          </cell>
        </row>
        <row r="1595">
          <cell r="A1595" t="str">
            <v>Eifelite</v>
          </cell>
        </row>
        <row r="1596">
          <cell r="A1596" t="str">
            <v>Eirikite</v>
          </cell>
        </row>
        <row r="1597">
          <cell r="A1597" t="str">
            <v>Eitelite</v>
          </cell>
        </row>
        <row r="1598">
          <cell r="A1598" t="str">
            <v>Ekanite</v>
          </cell>
        </row>
        <row r="1599">
          <cell r="A1599" t="str">
            <v>Ekaterinite</v>
          </cell>
        </row>
        <row r="1600">
          <cell r="A1600" t="str">
            <v>Ekatite</v>
          </cell>
        </row>
        <row r="1601">
          <cell r="A1601" t="str">
            <v>Ekmanite</v>
          </cell>
        </row>
        <row r="1602">
          <cell r="A1602" t="str">
            <v>Elbaite</v>
          </cell>
        </row>
        <row r="1603">
          <cell r="A1603" t="str">
            <v>Eldfellite</v>
          </cell>
        </row>
        <row r="1604">
          <cell r="A1604" t="str">
            <v>Ellenbergerite</v>
          </cell>
        </row>
        <row r="1605">
          <cell r="A1605" t="str">
            <v>Ellestadite</v>
          </cell>
        </row>
        <row r="1606">
          <cell r="A1606" t="str">
            <v>Ellestadite-(Cl)</v>
          </cell>
        </row>
        <row r="1607">
          <cell r="A1607" t="str">
            <v>Ellestadite-(F)</v>
          </cell>
        </row>
        <row r="1608">
          <cell r="A1608" t="str">
            <v>Ellestadite-(OH)</v>
          </cell>
        </row>
        <row r="1609">
          <cell r="A1609" t="str">
            <v>Ellisite</v>
          </cell>
        </row>
        <row r="1610">
          <cell r="A1610" t="str">
            <v>Elpasolite</v>
          </cell>
        </row>
        <row r="1611">
          <cell r="A1611" t="str">
            <v>Elpidite</v>
          </cell>
        </row>
        <row r="1612">
          <cell r="A1612" t="str">
            <v>Elsmoreite</v>
          </cell>
        </row>
        <row r="1613">
          <cell r="A1613" t="str">
            <v>Elyite</v>
          </cell>
        </row>
        <row r="1614">
          <cell r="A1614" t="str">
            <v>Embolite</v>
          </cell>
        </row>
        <row r="1615">
          <cell r="A1615" t="str">
            <v>Embreyite</v>
          </cell>
        </row>
        <row r="1616">
          <cell r="A1616" t="str">
            <v>Emeleusite</v>
          </cell>
        </row>
        <row r="1617">
          <cell r="A1617" t="str">
            <v>Emilite</v>
          </cell>
        </row>
        <row r="1618">
          <cell r="A1618" t="str">
            <v>Emmonsite</v>
          </cell>
        </row>
        <row r="1619">
          <cell r="A1619" t="str">
            <v>Emplectite</v>
          </cell>
        </row>
        <row r="1620">
          <cell r="A1620" t="str">
            <v>Empressite</v>
          </cell>
        </row>
        <row r="1621">
          <cell r="A1621" t="str">
            <v>Enargite</v>
          </cell>
        </row>
        <row r="1622">
          <cell r="A1622" t="str">
            <v>Englishite</v>
          </cell>
        </row>
        <row r="1623">
          <cell r="A1623" t="str">
            <v>Eosphorite</v>
          </cell>
        </row>
        <row r="1624">
          <cell r="A1624" t="str">
            <v>Ephesite</v>
          </cell>
        </row>
        <row r="1625">
          <cell r="A1625" t="str">
            <v>Epididymite</v>
          </cell>
        </row>
        <row r="1626">
          <cell r="A1626" t="str">
            <v>Epidote</v>
          </cell>
        </row>
        <row r="1627">
          <cell r="A1627" t="str">
            <v>Epidote-(Pb)</v>
          </cell>
        </row>
        <row r="1628">
          <cell r="A1628" t="str">
            <v>Epidote-(Sr)</v>
          </cell>
        </row>
        <row r="1629">
          <cell r="A1629" t="str">
            <v>Epistilbite</v>
          </cell>
        </row>
        <row r="1630">
          <cell r="A1630" t="str">
            <v>Epistolite</v>
          </cell>
        </row>
        <row r="1631">
          <cell r="A1631" t="str">
            <v>Ercitite</v>
          </cell>
        </row>
        <row r="1632">
          <cell r="A1632" t="str">
            <v>Erdite</v>
          </cell>
        </row>
        <row r="1633">
          <cell r="A1633" t="str">
            <v>Ericaite</v>
          </cell>
        </row>
        <row r="1634">
          <cell r="A1634" t="str">
            <v>Ericssonite</v>
          </cell>
        </row>
        <row r="1635">
          <cell r="A1635" t="str">
            <v>Eriochalcite</v>
          </cell>
        </row>
        <row r="1636">
          <cell r="A1636" t="str">
            <v>Erionite-Ca</v>
          </cell>
        </row>
        <row r="1637">
          <cell r="A1637" t="str">
            <v>Erionite-K</v>
          </cell>
        </row>
        <row r="1638">
          <cell r="A1638" t="str">
            <v>Erionite-Na</v>
          </cell>
        </row>
        <row r="1639">
          <cell r="A1639" t="str">
            <v>Erlianite</v>
          </cell>
        </row>
        <row r="1640">
          <cell r="A1640" t="str">
            <v>Erlichmanite</v>
          </cell>
        </row>
        <row r="1641">
          <cell r="A1641" t="str">
            <v>Ernienickelite</v>
          </cell>
        </row>
        <row r="1642">
          <cell r="A1642" t="str">
            <v>Erniggliite</v>
          </cell>
        </row>
        <row r="1643">
          <cell r="A1643" t="str">
            <v>Ernstite</v>
          </cell>
        </row>
        <row r="1644">
          <cell r="A1644" t="str">
            <v>Ershovite</v>
          </cell>
        </row>
        <row r="1645">
          <cell r="A1645" t="str">
            <v>Ertixiite</v>
          </cell>
        </row>
        <row r="1646">
          <cell r="A1646" t="str">
            <v>Erythrite</v>
          </cell>
        </row>
        <row r="1647">
          <cell r="A1647" t="str">
            <v>Erythrosiderite</v>
          </cell>
        </row>
        <row r="1648">
          <cell r="A1648" t="str">
            <v>Eskebornite</v>
          </cell>
        </row>
        <row r="1649">
          <cell r="A1649" t="str">
            <v>Eskimoite</v>
          </cell>
        </row>
        <row r="1650">
          <cell r="A1650" t="str">
            <v>Eskolaite</v>
          </cell>
        </row>
        <row r="1651">
          <cell r="A1651" t="str">
            <v>Esperanzaite</v>
          </cell>
        </row>
        <row r="1652">
          <cell r="A1652" t="str">
            <v>Esperite</v>
          </cell>
        </row>
        <row r="1653">
          <cell r="A1653" t="str">
            <v>Ettringite</v>
          </cell>
        </row>
        <row r="1654">
          <cell r="A1654" t="str">
            <v>Eucairite</v>
          </cell>
        </row>
        <row r="1655">
          <cell r="A1655" t="str">
            <v>Euchlorine</v>
          </cell>
        </row>
        <row r="1656">
          <cell r="A1656" t="str">
            <v>Euchroite</v>
          </cell>
        </row>
        <row r="1657">
          <cell r="A1657" t="str">
            <v>Euclase</v>
          </cell>
        </row>
        <row r="1658">
          <cell r="A1658" t="str">
            <v>Eucryptite</v>
          </cell>
        </row>
        <row r="1659">
          <cell r="A1659" t="str">
            <v>Eudialyte</v>
          </cell>
        </row>
        <row r="1660">
          <cell r="A1660" t="str">
            <v>Eudidymite</v>
          </cell>
        </row>
        <row r="1661">
          <cell r="A1661" t="str">
            <v>Eugenite</v>
          </cell>
        </row>
        <row r="1662">
          <cell r="A1662" t="str">
            <v>Eulytite</v>
          </cell>
        </row>
        <row r="1663">
          <cell r="A1663" t="str">
            <v>Euxenite-(Y)</v>
          </cell>
        </row>
        <row r="1664">
          <cell r="A1664" t="str">
            <v>Evansite</v>
          </cell>
        </row>
        <row r="1665">
          <cell r="A1665" t="str">
            <v>Evenkite</v>
          </cell>
        </row>
        <row r="1666">
          <cell r="A1666" t="str">
            <v>Eveslogite</v>
          </cell>
        </row>
        <row r="1667">
          <cell r="A1667" t="str">
            <v>Ewaldite</v>
          </cell>
        </row>
        <row r="1668">
          <cell r="A1668" t="str">
            <v>Eyselite</v>
          </cell>
        </row>
        <row r="1669">
          <cell r="A1669" t="str">
            <v>Ezcurrite</v>
          </cell>
        </row>
        <row r="1670">
          <cell r="A1670" t="str">
            <v>Eztlite</v>
          </cell>
        </row>
        <row r="1671">
          <cell r="A1671" t="str">
            <v>Fabianite</v>
          </cell>
        </row>
        <row r="1672">
          <cell r="A1672" t="str">
            <v>Faheyite</v>
          </cell>
        </row>
        <row r="1673">
          <cell r="A1673" t="str">
            <v>Fahleite</v>
          </cell>
        </row>
        <row r="1674">
          <cell r="A1674" t="str">
            <v>Fairbankite</v>
          </cell>
        </row>
        <row r="1675">
          <cell r="A1675" t="str">
            <v>Fairchildite</v>
          </cell>
        </row>
        <row r="1676">
          <cell r="A1676" t="str">
            <v>Fairfieldite</v>
          </cell>
        </row>
        <row r="1677">
          <cell r="A1677" t="str">
            <v>Faizievite</v>
          </cell>
        </row>
        <row r="1678">
          <cell r="A1678" t="str">
            <v>Falcondoite</v>
          </cell>
        </row>
        <row r="1679">
          <cell r="A1679" t="str">
            <v>Falkmanite</v>
          </cell>
        </row>
        <row r="1680">
          <cell r="A1680" t="str">
            <v>Famatinite</v>
          </cell>
        </row>
        <row r="1681">
          <cell r="A1681" t="str">
            <v>Fangite</v>
          </cell>
        </row>
        <row r="1682">
          <cell r="A1682" t="str">
            <v>Farneseite</v>
          </cell>
        </row>
        <row r="1683">
          <cell r="A1683" t="str">
            <v>Farringtonite</v>
          </cell>
        </row>
        <row r="1684">
          <cell r="A1684" t="str">
            <v>Faujasite-Ca</v>
          </cell>
        </row>
        <row r="1685">
          <cell r="A1685" t="str">
            <v>Faujasite-Mg</v>
          </cell>
        </row>
        <row r="1686">
          <cell r="A1686" t="str">
            <v>Faujasite-Na</v>
          </cell>
        </row>
        <row r="1687">
          <cell r="A1687" t="str">
            <v>Faustite</v>
          </cell>
        </row>
        <row r="1688">
          <cell r="A1688" t="str">
            <v>Fe Chlorite</v>
          </cell>
        </row>
        <row r="1689">
          <cell r="A1689" t="str">
            <v>Fedorite</v>
          </cell>
        </row>
        <row r="1690">
          <cell r="A1690" t="str">
            <v>Fedorovskite</v>
          </cell>
        </row>
        <row r="1691">
          <cell r="A1691" t="str">
            <v>Fedotovite</v>
          </cell>
        </row>
        <row r="1692">
          <cell r="A1692" t="str">
            <v>Feitknechtite</v>
          </cell>
        </row>
        <row r="1693">
          <cell r="A1693" t="str">
            <v>Feklichevite</v>
          </cell>
        </row>
        <row r="1694">
          <cell r="A1694" t="str">
            <v>Felbertalite</v>
          </cell>
        </row>
        <row r="1695">
          <cell r="A1695" t="str">
            <v>Felsobanyaite</v>
          </cell>
        </row>
        <row r="1696">
          <cell r="A1696" t="str">
            <v>Fenaksite</v>
          </cell>
        </row>
        <row r="1697">
          <cell r="A1697" t="str">
            <v>Fencooperite</v>
          </cell>
        </row>
        <row r="1698">
          <cell r="A1698" t="str">
            <v>Ferberite</v>
          </cell>
        </row>
        <row r="1699">
          <cell r="A1699" t="str">
            <v>Ferchromide</v>
          </cell>
        </row>
        <row r="1700">
          <cell r="A1700" t="str">
            <v>Ferdisilicite</v>
          </cell>
        </row>
        <row r="1701">
          <cell r="A1701" t="str">
            <v>Fergusonite-(Ce)</v>
          </cell>
        </row>
        <row r="1702">
          <cell r="A1702" t="str">
            <v>Fergusonite-(Nd)</v>
          </cell>
        </row>
        <row r="1703">
          <cell r="A1703" t="str">
            <v>Fergusonite-(Y)</v>
          </cell>
        </row>
        <row r="1704">
          <cell r="A1704" t="str">
            <v>Fergusonite-beta-(Ce)</v>
          </cell>
        </row>
        <row r="1705">
          <cell r="A1705" t="str">
            <v>Fergusonite-beta-(Nd)</v>
          </cell>
        </row>
        <row r="1706">
          <cell r="A1706" t="str">
            <v>Fergusonite-beta-(Y)</v>
          </cell>
        </row>
        <row r="1707">
          <cell r="A1707" t="str">
            <v>Fernandinite</v>
          </cell>
        </row>
        <row r="1708">
          <cell r="A1708" t="str">
            <v>Feroxyhyte</v>
          </cell>
        </row>
        <row r="1709">
          <cell r="A1709" t="str">
            <v>Ferrarisite</v>
          </cell>
        </row>
        <row r="1710">
          <cell r="A1710" t="str">
            <v>Ferriallanite-(Ce)</v>
          </cell>
        </row>
        <row r="1711">
          <cell r="A1711" t="str">
            <v>Ferri-clinoholmquistite</v>
          </cell>
        </row>
        <row r="1712">
          <cell r="A1712" t="str">
            <v>Ferricopiapite</v>
          </cell>
        </row>
        <row r="1713">
          <cell r="A1713" t="str">
            <v>Ferrierite-K</v>
          </cell>
        </row>
        <row r="1714">
          <cell r="A1714" t="str">
            <v>Ferrierite-Mg</v>
          </cell>
        </row>
        <row r="1715">
          <cell r="A1715" t="str">
            <v>Ferrierite-Na</v>
          </cell>
        </row>
        <row r="1716">
          <cell r="A1716" t="str">
            <v>Ferrihydrite</v>
          </cell>
        </row>
        <row r="1717">
          <cell r="A1717" t="str">
            <v>Ferrilotharmeyerite</v>
          </cell>
        </row>
        <row r="1718">
          <cell r="A1718" t="str">
            <v>Ferrimolybdite</v>
          </cell>
        </row>
        <row r="1719">
          <cell r="A1719" t="str">
            <v>Ferrisicklerite</v>
          </cell>
        </row>
        <row r="1720">
          <cell r="A1720" t="str">
            <v>Ferristrunzite</v>
          </cell>
        </row>
        <row r="1721">
          <cell r="A1721" t="str">
            <v>Ferrisurite</v>
          </cell>
        </row>
        <row r="1722">
          <cell r="A1722" t="str">
            <v>Ferrisymplesite</v>
          </cell>
        </row>
        <row r="1723">
          <cell r="A1723" t="str">
            <v>Ferritungstite</v>
          </cell>
        </row>
        <row r="1724">
          <cell r="A1724" t="str">
            <v>Ferroalluaudite</v>
          </cell>
        </row>
        <row r="1725">
          <cell r="A1725" t="str">
            <v>Ferrobustamite</v>
          </cell>
        </row>
        <row r="1726">
          <cell r="A1726" t="str">
            <v>Ferrocarpholite</v>
          </cell>
        </row>
        <row r="1727">
          <cell r="A1727" t="str">
            <v>Ferrohagendorfite</v>
          </cell>
        </row>
        <row r="1728">
          <cell r="A1728" t="str">
            <v>Ferrohogbomite-2N2S</v>
          </cell>
        </row>
        <row r="1729">
          <cell r="A1729" t="str">
            <v>Ferrokentbrooksite</v>
          </cell>
        </row>
        <row r="1730">
          <cell r="A1730" t="str">
            <v>Ferrokesterite</v>
          </cell>
        </row>
        <row r="1731">
          <cell r="A1731" t="str">
            <v>Ferrokinoshitalite</v>
          </cell>
        </row>
        <row r="1732">
          <cell r="A1732" t="str">
            <v>Ferrolaueite</v>
          </cell>
        </row>
        <row r="1733">
          <cell r="A1733" t="str">
            <v>Ferromerrillite</v>
          </cell>
        </row>
        <row r="1734">
          <cell r="A1734" t="str">
            <v>Ferronickelplatinum</v>
          </cell>
        </row>
        <row r="1735">
          <cell r="A1735" t="str">
            <v>Ferronigerite-2N1S</v>
          </cell>
        </row>
        <row r="1736">
          <cell r="A1736" t="str">
            <v>Ferronigerite-6N6S</v>
          </cell>
        </row>
        <row r="1737">
          <cell r="A1737" t="str">
            <v>Ferronordite-(Ce)</v>
          </cell>
        </row>
        <row r="1738">
          <cell r="A1738" t="str">
            <v>Ferronordite-(La)</v>
          </cell>
        </row>
        <row r="1739">
          <cell r="A1739" t="str">
            <v>Ferrorhodsite</v>
          </cell>
        </row>
        <row r="1740">
          <cell r="A1740" t="str">
            <v>Ferrorosemaryite</v>
          </cell>
        </row>
        <row r="1741">
          <cell r="A1741" t="str">
            <v>Ferrosaponite</v>
          </cell>
        </row>
        <row r="1742">
          <cell r="A1742" t="str">
            <v>Ferroselite</v>
          </cell>
        </row>
        <row r="1743">
          <cell r="A1743" t="str">
            <v>Ferroskutterudite</v>
          </cell>
        </row>
        <row r="1744">
          <cell r="A1744" t="str">
            <v>Ferrostrunzite</v>
          </cell>
        </row>
        <row r="1745">
          <cell r="A1745" t="str">
            <v>Ferrotaaffeite-6N3S</v>
          </cell>
        </row>
        <row r="1746">
          <cell r="A1746" t="str">
            <v>Ferrotitanowodginite</v>
          </cell>
        </row>
        <row r="1747">
          <cell r="A1747" t="str">
            <v>Ferrotychite</v>
          </cell>
        </row>
        <row r="1748">
          <cell r="A1748" t="str">
            <v>Ferrowodginite</v>
          </cell>
        </row>
        <row r="1749">
          <cell r="A1749" t="str">
            <v>Ferrowyllieite</v>
          </cell>
        </row>
        <row r="1750">
          <cell r="A1750" t="str">
            <v>Ferruccite</v>
          </cell>
        </row>
        <row r="1751">
          <cell r="A1751" t="str">
            <v>Fersilicite</v>
          </cell>
        </row>
        <row r="1752">
          <cell r="A1752" t="str">
            <v>Fersmanite</v>
          </cell>
        </row>
        <row r="1753">
          <cell r="A1753" t="str">
            <v>Fersmite</v>
          </cell>
        </row>
        <row r="1754">
          <cell r="A1754" t="str">
            <v>Feruvite</v>
          </cell>
        </row>
        <row r="1755">
          <cell r="A1755" t="str">
            <v>Fervanite</v>
          </cell>
        </row>
        <row r="1756">
          <cell r="A1756" t="str">
            <v>Fetiasite</v>
          </cell>
        </row>
        <row r="1757">
          <cell r="A1757" t="str">
            <v>Fettelite</v>
          </cell>
        </row>
        <row r="1758">
          <cell r="A1758" t="str">
            <v>Fianelite</v>
          </cell>
        </row>
        <row r="1759">
          <cell r="A1759" t="str">
            <v>Fibroferrite</v>
          </cell>
        </row>
        <row r="1760">
          <cell r="A1760" t="str">
            <v>Fichtelite</v>
          </cell>
        </row>
        <row r="1761">
          <cell r="A1761" t="str">
            <v>Fiedlerite</v>
          </cell>
        </row>
        <row r="1762">
          <cell r="A1762" t="str">
            <v>Filipstadite</v>
          </cell>
        </row>
        <row r="1763">
          <cell r="A1763" t="str">
            <v>Fillowite</v>
          </cell>
        </row>
        <row r="1764">
          <cell r="A1764" t="str">
            <v>Finnemanite</v>
          </cell>
        </row>
        <row r="1765">
          <cell r="A1765" t="str">
            <v>Fischesserite</v>
          </cell>
        </row>
        <row r="1766">
          <cell r="A1766" t="str">
            <v>Fizelyite</v>
          </cell>
        </row>
        <row r="1767">
          <cell r="A1767" t="str">
            <v>Flagstaffite</v>
          </cell>
        </row>
        <row r="1768">
          <cell r="A1768" t="str">
            <v>Fleischerite</v>
          </cell>
        </row>
        <row r="1769">
          <cell r="A1769" t="str">
            <v>Fletcherite</v>
          </cell>
        </row>
        <row r="1770">
          <cell r="A1770" t="str">
            <v>Florenskyite</v>
          </cell>
        </row>
        <row r="1771">
          <cell r="A1771" t="str">
            <v>Florensovite</v>
          </cell>
        </row>
        <row r="1772">
          <cell r="A1772" t="str">
            <v>Florkeite</v>
          </cell>
        </row>
        <row r="1773">
          <cell r="A1773" t="str">
            <v>Fluckite</v>
          </cell>
        </row>
        <row r="1774">
          <cell r="A1774" t="str">
            <v>Fluellite</v>
          </cell>
        </row>
        <row r="1775">
          <cell r="A1775" t="str">
            <v>Fluoborite</v>
          </cell>
        </row>
        <row r="1776">
          <cell r="A1776" t="str">
            <v>Fluocerite-(Ce)</v>
          </cell>
        </row>
        <row r="1777">
          <cell r="A1777" t="str">
            <v>Fluocerite-(La)</v>
          </cell>
        </row>
        <row r="1778">
          <cell r="A1778" t="str">
            <v>Fluorannite</v>
          </cell>
        </row>
        <row r="1779">
          <cell r="A1779" t="str">
            <v>Fluorbritholite-(Ce)</v>
          </cell>
        </row>
        <row r="1780">
          <cell r="A1780" t="str">
            <v>Fluorcalciobritholite</v>
          </cell>
        </row>
        <row r="1781">
          <cell r="A1781" t="str">
            <v>Fluorcanasite</v>
          </cell>
        </row>
        <row r="1782">
          <cell r="A1782" t="str">
            <v>Fluorite</v>
          </cell>
        </row>
        <row r="1783">
          <cell r="A1783" t="str">
            <v>Fluornatromicrolite</v>
          </cell>
        </row>
        <row r="1784">
          <cell r="A1784" t="str">
            <v>Fluorophlogopite</v>
          </cell>
        </row>
        <row r="1785">
          <cell r="A1785" t="str">
            <v>Fluorthalenite-(Y)</v>
          </cell>
        </row>
        <row r="1786">
          <cell r="A1786" t="str">
            <v>Fluorvesuvianite</v>
          </cell>
        </row>
        <row r="1787">
          <cell r="A1787" t="str">
            <v>Foggite</v>
          </cell>
        </row>
        <row r="1788">
          <cell r="A1788" t="str">
            <v>Foitite</v>
          </cell>
        </row>
        <row r="1789">
          <cell r="A1789" t="str">
            <v>Fontanite</v>
          </cell>
        </row>
        <row r="1790">
          <cell r="A1790" t="str">
            <v>Foordite</v>
          </cell>
        </row>
        <row r="1791">
          <cell r="A1791" t="str">
            <v>Footemineite</v>
          </cell>
        </row>
        <row r="1792">
          <cell r="A1792" t="str">
            <v>Formanite-(Y)</v>
          </cell>
        </row>
        <row r="1793">
          <cell r="A1793" t="str">
            <v>Formicaite</v>
          </cell>
        </row>
        <row r="1794">
          <cell r="A1794" t="str">
            <v>Fornacite</v>
          </cell>
        </row>
        <row r="1795">
          <cell r="A1795" t="str">
            <v>Foshagite</v>
          </cell>
        </row>
        <row r="1796">
          <cell r="A1796" t="str">
            <v>Foshallasite</v>
          </cell>
        </row>
        <row r="1797">
          <cell r="A1797" t="str">
            <v>Fougerite</v>
          </cell>
        </row>
        <row r="1798">
          <cell r="A1798" t="str">
            <v>Fourmarierite</v>
          </cell>
        </row>
        <row r="1799">
          <cell r="A1799" t="str">
            <v>Fraipontite</v>
          </cell>
        </row>
        <row r="1800">
          <cell r="A1800" t="str">
            <v>Francevillite</v>
          </cell>
        </row>
        <row r="1801">
          <cell r="A1801" t="str">
            <v>Franciscanite-III</v>
          </cell>
        </row>
        <row r="1802">
          <cell r="A1802" t="str">
            <v>Franciscanite-VIII</v>
          </cell>
        </row>
        <row r="1803">
          <cell r="A1803" t="str">
            <v>Francisite</v>
          </cell>
        </row>
        <row r="1804">
          <cell r="A1804" t="str">
            <v>Franckeite</v>
          </cell>
        </row>
        <row r="1805">
          <cell r="A1805" t="str">
            <v>Francoanellite</v>
          </cell>
        </row>
        <row r="1806">
          <cell r="A1806" t="str">
            <v>Francoisite-(Ce)</v>
          </cell>
        </row>
        <row r="1807">
          <cell r="A1807" t="str">
            <v>Francoisite-(Nd)</v>
          </cell>
        </row>
        <row r="1808">
          <cell r="A1808" t="str">
            <v>Franconite</v>
          </cell>
        </row>
        <row r="1809">
          <cell r="A1809" t="str">
            <v>Frankamenite</v>
          </cell>
        </row>
        <row r="1810">
          <cell r="A1810" t="str">
            <v>Frankdicksonite</v>
          </cell>
        </row>
        <row r="1811">
          <cell r="A1811" t="str">
            <v>Frankhawthorneite</v>
          </cell>
        </row>
        <row r="1812">
          <cell r="A1812" t="str">
            <v>Franklinfurnaceite</v>
          </cell>
        </row>
        <row r="1813">
          <cell r="A1813" t="str">
            <v>Franklinite</v>
          </cell>
        </row>
        <row r="1814">
          <cell r="A1814" t="str">
            <v>Franklinphilite</v>
          </cell>
        </row>
        <row r="1815">
          <cell r="A1815" t="str">
            <v>Fransoletite</v>
          </cell>
        </row>
        <row r="1816">
          <cell r="A1816" t="str">
            <v>Franzinite</v>
          </cell>
        </row>
        <row r="1817">
          <cell r="A1817" t="str">
            <v>Freboldite</v>
          </cell>
        </row>
        <row r="1818">
          <cell r="A1818" t="str">
            <v>Fredrikssonite</v>
          </cell>
        </row>
        <row r="1819">
          <cell r="A1819" t="str">
            <v>Freedite</v>
          </cell>
        </row>
        <row r="1820">
          <cell r="A1820" t="str">
            <v>Freieslebenite</v>
          </cell>
        </row>
        <row r="1821">
          <cell r="A1821" t="str">
            <v>Fresnoite</v>
          </cell>
        </row>
        <row r="1822">
          <cell r="A1822" t="str">
            <v>Freudenbergite</v>
          </cell>
        </row>
        <row r="1823">
          <cell r="A1823" t="str">
            <v>Friedelite</v>
          </cell>
        </row>
        <row r="1824">
          <cell r="A1824" t="str">
            <v>Friedrichbeckeite</v>
          </cell>
        </row>
        <row r="1825">
          <cell r="A1825" t="str">
            <v>Friedrichite</v>
          </cell>
        </row>
        <row r="1826">
          <cell r="A1826" t="str">
            <v>Fritzscheite</v>
          </cell>
        </row>
        <row r="1827">
          <cell r="A1827" t="str">
            <v>Frohbergite</v>
          </cell>
        </row>
        <row r="1828">
          <cell r="A1828" t="str">
            <v>Frolovite</v>
          </cell>
        </row>
        <row r="1829">
          <cell r="A1829" t="str">
            <v>Froodite</v>
          </cell>
        </row>
        <row r="1830">
          <cell r="A1830" t="str">
            <v>Fuenzalidaite</v>
          </cell>
        </row>
        <row r="1831">
          <cell r="A1831" t="str">
            <v>Fukalite</v>
          </cell>
        </row>
        <row r="1832">
          <cell r="A1832" t="str">
            <v>Fukuchilite</v>
          </cell>
        </row>
        <row r="1833">
          <cell r="A1833" t="str">
            <v>Fullerite</v>
          </cell>
        </row>
        <row r="1834">
          <cell r="A1834" t="str">
            <v>Fuloppite</v>
          </cell>
        </row>
        <row r="1835">
          <cell r="A1835" t="str">
            <v>Furongite</v>
          </cell>
        </row>
        <row r="1836">
          <cell r="A1836" t="str">
            <v>Furutobeite</v>
          </cell>
        </row>
        <row r="1837">
          <cell r="A1837" t="str">
            <v>Gabrielite</v>
          </cell>
        </row>
        <row r="1838">
          <cell r="A1838" t="str">
            <v>Gadolinite-(Ce)</v>
          </cell>
        </row>
        <row r="1839">
          <cell r="A1839" t="str">
            <v>Gadolinite-(Y)</v>
          </cell>
        </row>
        <row r="1840">
          <cell r="A1840" t="str">
            <v>Gagarinite-(Y)</v>
          </cell>
        </row>
        <row r="1841">
          <cell r="A1841" t="str">
            <v>Gageite</v>
          </cell>
        </row>
        <row r="1842">
          <cell r="A1842" t="str">
            <v>Gageite-2M</v>
          </cell>
        </row>
        <row r="1843">
          <cell r="A1843" t="str">
            <v>Gahnite</v>
          </cell>
        </row>
        <row r="1844">
          <cell r="A1844" t="str">
            <v>Gaidonnayite</v>
          </cell>
        </row>
        <row r="1845">
          <cell r="A1845" t="str">
            <v>Gainesite</v>
          </cell>
        </row>
        <row r="1846">
          <cell r="A1846" t="str">
            <v>Gaitite</v>
          </cell>
        </row>
        <row r="1847">
          <cell r="A1847" t="str">
            <v>Galaxite</v>
          </cell>
        </row>
        <row r="1848">
          <cell r="A1848" t="str">
            <v>Galeite</v>
          </cell>
        </row>
        <row r="1849">
          <cell r="A1849" t="str">
            <v>Galena</v>
          </cell>
        </row>
        <row r="1850">
          <cell r="A1850" t="str">
            <v>Galenobismutite</v>
          </cell>
        </row>
        <row r="1851">
          <cell r="A1851" t="str">
            <v>Galgenbergite-(Ce)</v>
          </cell>
        </row>
        <row r="1852">
          <cell r="A1852" t="str">
            <v>Galileiite</v>
          </cell>
        </row>
        <row r="1853">
          <cell r="A1853" t="str">
            <v>Galkhaite</v>
          </cell>
        </row>
        <row r="1854">
          <cell r="A1854" t="str">
            <v>Gallite</v>
          </cell>
        </row>
        <row r="1855">
          <cell r="A1855" t="str">
            <v>Gananite</v>
          </cell>
        </row>
        <row r="1856">
          <cell r="A1856" t="str">
            <v>Ganomalite</v>
          </cell>
        </row>
        <row r="1857">
          <cell r="A1857" t="str">
            <v>Ganophyllite</v>
          </cell>
        </row>
        <row r="1858">
          <cell r="A1858" t="str">
            <v>Ganterite</v>
          </cell>
        </row>
        <row r="1859">
          <cell r="A1859" t="str">
            <v>Gaotaiite</v>
          </cell>
        </row>
        <row r="1860">
          <cell r="A1860" t="str">
            <v>Garavellite</v>
          </cell>
        </row>
        <row r="1861">
          <cell r="A1861" t="str">
            <v>Garrelsite-V</v>
          </cell>
        </row>
        <row r="1862">
          <cell r="A1862" t="str">
            <v>Garrelsite-VIII</v>
          </cell>
        </row>
        <row r="1863">
          <cell r="A1863" t="str">
            <v>Garronite</v>
          </cell>
        </row>
        <row r="1864">
          <cell r="A1864" t="str">
            <v>Gartrellite</v>
          </cell>
        </row>
        <row r="1865">
          <cell r="A1865" t="str">
            <v>Garyansellite</v>
          </cell>
        </row>
        <row r="1866">
          <cell r="A1866" t="str">
            <v>Gasparite-(Ce)</v>
          </cell>
        </row>
        <row r="1867">
          <cell r="A1867" t="str">
            <v>Gatelite-(Ce)</v>
          </cell>
        </row>
        <row r="1868">
          <cell r="A1868" t="str">
            <v>Gatumbaite</v>
          </cell>
        </row>
        <row r="1869">
          <cell r="A1869" t="str">
            <v>Gaudefroyite</v>
          </cell>
        </row>
        <row r="1870">
          <cell r="A1870" t="str">
            <v>Gaultite</v>
          </cell>
        </row>
        <row r="1871">
          <cell r="A1871" t="str">
            <v>Gaylussite</v>
          </cell>
        </row>
        <row r="1872">
          <cell r="A1872" t="str">
            <v>Gearksutite</v>
          </cell>
        </row>
        <row r="1873">
          <cell r="A1873" t="str">
            <v>Gebhardite</v>
          </cell>
        </row>
        <row r="1874">
          <cell r="A1874" t="str">
            <v>Geerite</v>
          </cell>
        </row>
        <row r="1875">
          <cell r="A1875" t="str">
            <v>Geffroyite</v>
          </cell>
        </row>
        <row r="1876">
          <cell r="A1876" t="str">
            <v>Gehlenite</v>
          </cell>
        </row>
        <row r="1877">
          <cell r="A1877" t="str">
            <v>Geigerite</v>
          </cell>
        </row>
        <row r="1878">
          <cell r="A1878" t="str">
            <v>Geikielite</v>
          </cell>
        </row>
        <row r="1879">
          <cell r="A1879" t="str">
            <v>Geminite</v>
          </cell>
        </row>
        <row r="1880">
          <cell r="A1880" t="str">
            <v>Gengenbachite</v>
          </cell>
        </row>
        <row r="1881">
          <cell r="A1881" t="str">
            <v>Genkinite</v>
          </cell>
        </row>
        <row r="1882">
          <cell r="A1882" t="str">
            <v>Genthelvite</v>
          </cell>
        </row>
        <row r="1883">
          <cell r="A1883" t="str">
            <v>Geocronite</v>
          </cell>
        </row>
        <row r="1884">
          <cell r="A1884" t="str">
            <v>Georgbarsanovite</v>
          </cell>
        </row>
        <row r="1885">
          <cell r="A1885" t="str">
            <v>Georgbokiite</v>
          </cell>
        </row>
        <row r="1886">
          <cell r="A1886" t="str">
            <v>Georgechaoite</v>
          </cell>
        </row>
        <row r="1887">
          <cell r="A1887" t="str">
            <v>George-ericksenite</v>
          </cell>
        </row>
        <row r="1888">
          <cell r="A1888" t="str">
            <v>Georgeite</v>
          </cell>
        </row>
        <row r="1889">
          <cell r="A1889" t="str">
            <v>Georgiadesite</v>
          </cell>
        </row>
        <row r="1890">
          <cell r="A1890" t="str">
            <v>Gerasimovskite</v>
          </cell>
        </row>
        <row r="1891">
          <cell r="A1891" t="str">
            <v>Gerenite-(Y)</v>
          </cell>
        </row>
        <row r="1892">
          <cell r="A1892" t="str">
            <v>Gerhardtite</v>
          </cell>
        </row>
        <row r="1893">
          <cell r="A1893" t="str">
            <v>Germanite</v>
          </cell>
        </row>
        <row r="1894">
          <cell r="A1894" t="str">
            <v>Germanocolusite</v>
          </cell>
        </row>
        <row r="1895">
          <cell r="A1895" t="str">
            <v>Gersdorffite</v>
          </cell>
        </row>
        <row r="1896">
          <cell r="A1896" t="str">
            <v>Gerstleyite</v>
          </cell>
        </row>
        <row r="1897">
          <cell r="A1897" t="str">
            <v>Gerstmannite</v>
          </cell>
        </row>
        <row r="1898">
          <cell r="A1898" t="str">
            <v>Getchellite</v>
          </cell>
        </row>
        <row r="1899">
          <cell r="A1899" t="str">
            <v>Geversite</v>
          </cell>
        </row>
        <row r="1900">
          <cell r="A1900" t="str">
            <v>Gianellaite</v>
          </cell>
        </row>
        <row r="1901">
          <cell r="A1901" t="str">
            <v>Gibbsite</v>
          </cell>
        </row>
        <row r="1902">
          <cell r="A1902" t="str">
            <v>Giessenite</v>
          </cell>
        </row>
        <row r="1903">
          <cell r="A1903" t="str">
            <v>Gilalite</v>
          </cell>
        </row>
        <row r="1904">
          <cell r="A1904" t="str">
            <v>Gillardite</v>
          </cell>
        </row>
        <row r="1905">
          <cell r="A1905" t="str">
            <v>Gillespite</v>
          </cell>
        </row>
        <row r="1906">
          <cell r="A1906" t="str">
            <v>Gillulyite</v>
          </cell>
        </row>
        <row r="1907">
          <cell r="A1907" t="str">
            <v>Giniite</v>
          </cell>
        </row>
        <row r="1908">
          <cell r="A1908" t="str">
            <v>Ginorite</v>
          </cell>
        </row>
        <row r="1909">
          <cell r="A1909" t="str">
            <v>Giorgiosite</v>
          </cell>
        </row>
        <row r="1910">
          <cell r="A1910" t="str">
            <v>Girdite</v>
          </cell>
        </row>
        <row r="1911">
          <cell r="A1911" t="str">
            <v>Girvasite</v>
          </cell>
        </row>
        <row r="1912">
          <cell r="A1912" t="str">
            <v>Gismondine</v>
          </cell>
        </row>
        <row r="1913">
          <cell r="A1913" t="str">
            <v>Gittinsite</v>
          </cell>
        </row>
        <row r="1914">
          <cell r="A1914" t="str">
            <v>Giuseppettite</v>
          </cell>
        </row>
        <row r="1915">
          <cell r="A1915" t="str">
            <v>Gjerdingenite-Ca</v>
          </cell>
        </row>
        <row r="1916">
          <cell r="A1916" t="str">
            <v>Gjerdingenite-Fe</v>
          </cell>
        </row>
        <row r="1917">
          <cell r="A1917" t="str">
            <v>Gjerdingenite-Mn</v>
          </cell>
        </row>
        <row r="1918">
          <cell r="A1918" t="str">
            <v>Gjerdingenite-Na</v>
          </cell>
        </row>
        <row r="1919">
          <cell r="A1919" t="str">
            <v>Gladite</v>
          </cell>
        </row>
        <row r="1920">
          <cell r="A1920" t="str">
            <v>Gladiusite</v>
          </cell>
        </row>
        <row r="1921">
          <cell r="A1921" t="str">
            <v>Glagolevite</v>
          </cell>
        </row>
        <row r="1922">
          <cell r="A1922" t="str">
            <v>Glauberite</v>
          </cell>
        </row>
        <row r="1923">
          <cell r="A1923" t="str">
            <v>Glaucocerinite</v>
          </cell>
        </row>
        <row r="1924">
          <cell r="A1924" t="str">
            <v>Glaucochroite</v>
          </cell>
        </row>
        <row r="1925">
          <cell r="A1925" t="str">
            <v>Glaucodot</v>
          </cell>
        </row>
        <row r="1926">
          <cell r="A1926" t="str">
            <v>Glaukosphaerite</v>
          </cell>
        </row>
        <row r="1927">
          <cell r="A1927" t="str">
            <v>Glucine</v>
          </cell>
        </row>
        <row r="1928">
          <cell r="A1928" t="str">
            <v>Glushinskite</v>
          </cell>
        </row>
        <row r="1929">
          <cell r="A1929" t="str">
            <v>Gmelinite-Ca</v>
          </cell>
        </row>
        <row r="1930">
          <cell r="A1930" t="str">
            <v>Gmelinite-K</v>
          </cell>
        </row>
        <row r="1931">
          <cell r="A1931" t="str">
            <v>Gmelinite-Na</v>
          </cell>
        </row>
        <row r="1932">
          <cell r="A1932" t="str">
            <v>Gobbinsite</v>
          </cell>
        </row>
        <row r="1933">
          <cell r="A1933" t="str">
            <v>Godlevskite</v>
          </cell>
        </row>
        <row r="1934">
          <cell r="A1934" t="str">
            <v>Godovikovite</v>
          </cell>
        </row>
        <row r="1935">
          <cell r="A1935" t="str">
            <v>Goethite</v>
          </cell>
        </row>
        <row r="1936">
          <cell r="A1936" t="str">
            <v>Gold</v>
          </cell>
        </row>
        <row r="1937">
          <cell r="A1937" t="str">
            <v>Goldamalgam</v>
          </cell>
        </row>
        <row r="1938">
          <cell r="A1938" t="str">
            <v>Goldmanite</v>
          </cell>
        </row>
        <row r="1939">
          <cell r="A1939" t="str">
            <v>Goldquarryite</v>
          </cell>
        </row>
        <row r="1940">
          <cell r="A1940" t="str">
            <v>Golyshevite</v>
          </cell>
        </row>
        <row r="1941">
          <cell r="A1941" t="str">
            <v>Gonnardite</v>
          </cell>
        </row>
        <row r="1942">
          <cell r="A1942" t="str">
            <v>Gonyerite</v>
          </cell>
        </row>
        <row r="1943">
          <cell r="A1943" t="str">
            <v>Goosecreekite</v>
          </cell>
        </row>
        <row r="1944">
          <cell r="A1944" t="str">
            <v>Gordaite</v>
          </cell>
        </row>
        <row r="1945">
          <cell r="A1945" t="str">
            <v>Gordonite</v>
          </cell>
        </row>
        <row r="1946">
          <cell r="A1946" t="str">
            <v>Gormanite</v>
          </cell>
        </row>
        <row r="1947">
          <cell r="A1947" t="str">
            <v>Gortdrumite</v>
          </cell>
        </row>
        <row r="1948">
          <cell r="A1948" t="str">
            <v>Gottardiite</v>
          </cell>
        </row>
        <row r="1949">
          <cell r="A1949" t="str">
            <v>Gotzenite</v>
          </cell>
        </row>
        <row r="1950">
          <cell r="A1950" t="str">
            <v>Goudeyite</v>
          </cell>
        </row>
        <row r="1951">
          <cell r="A1951" t="str">
            <v>Gowerite</v>
          </cell>
        </row>
        <row r="1952">
          <cell r="A1952" t="str">
            <v>Graemite</v>
          </cell>
        </row>
        <row r="1953">
          <cell r="A1953" t="str">
            <v>Graeserite</v>
          </cell>
        </row>
        <row r="1954">
          <cell r="A1954" t="str">
            <v>Graftonite</v>
          </cell>
        </row>
        <row r="1955">
          <cell r="A1955" t="str">
            <v>Gramaccioliite-(Y)</v>
          </cell>
        </row>
        <row r="1956">
          <cell r="A1956" t="str">
            <v>Grandidierite</v>
          </cell>
        </row>
        <row r="1957">
          <cell r="A1957" t="str">
            <v>Grandreefite</v>
          </cell>
        </row>
        <row r="1958">
          <cell r="A1958" t="str">
            <v>Grandviewite</v>
          </cell>
        </row>
        <row r="1959">
          <cell r="A1959" t="str">
            <v>Grantsite</v>
          </cell>
        </row>
        <row r="1960">
          <cell r="A1960" t="str">
            <v>Graphite</v>
          </cell>
        </row>
        <row r="1961">
          <cell r="A1961" t="str">
            <v>Gratonite</v>
          </cell>
        </row>
        <row r="1962">
          <cell r="A1962" t="str">
            <v>Gravegliaite</v>
          </cell>
        </row>
        <row r="1963">
          <cell r="A1963" t="str">
            <v>Grayite</v>
          </cell>
        </row>
        <row r="1964">
          <cell r="A1964" t="str">
            <v>Grechishchevite</v>
          </cell>
        </row>
        <row r="1965">
          <cell r="A1965" t="str">
            <v>Greenockite</v>
          </cell>
        </row>
        <row r="1966">
          <cell r="A1966" t="str">
            <v>Gregoryite</v>
          </cell>
        </row>
        <row r="1967">
          <cell r="A1967" t="str">
            <v>Greifensteinite</v>
          </cell>
        </row>
        <row r="1968">
          <cell r="A1968" t="str">
            <v>Greigite</v>
          </cell>
        </row>
        <row r="1969">
          <cell r="A1969" t="str">
            <v>Grenmarite</v>
          </cell>
        </row>
        <row r="1970">
          <cell r="A1970" t="str">
            <v>Griceite</v>
          </cell>
        </row>
        <row r="1971">
          <cell r="A1971" t="str">
            <v>Griffithite</v>
          </cell>
        </row>
        <row r="1972">
          <cell r="A1972" t="str">
            <v>Grimaldiite</v>
          </cell>
        </row>
        <row r="1973">
          <cell r="A1973" t="str">
            <v>Grimselite</v>
          </cell>
        </row>
        <row r="1974">
          <cell r="A1974" t="str">
            <v>Grischunite</v>
          </cell>
        </row>
        <row r="1975">
          <cell r="A1975" t="str">
            <v>Grossite</v>
          </cell>
        </row>
        <row r="1976">
          <cell r="A1976" t="str">
            <v>Grossmanite</v>
          </cell>
        </row>
        <row r="1977">
          <cell r="A1977" t="str">
            <v>Grossular</v>
          </cell>
        </row>
        <row r="1978">
          <cell r="A1978" t="str">
            <v>Groutite</v>
          </cell>
        </row>
        <row r="1979">
          <cell r="A1979" t="str">
            <v>Grumantite</v>
          </cell>
        </row>
        <row r="1980">
          <cell r="A1980" t="str">
            <v>Grumiplucite</v>
          </cell>
        </row>
        <row r="1981">
          <cell r="A1981" t="str">
            <v>Gruzdevite</v>
          </cell>
        </row>
        <row r="1982">
          <cell r="A1982" t="str">
            <v>Guanacoite</v>
          </cell>
        </row>
        <row r="1983">
          <cell r="A1983" t="str">
            <v>Guanajuatite</v>
          </cell>
        </row>
        <row r="1984">
          <cell r="A1984" t="str">
            <v>Guanine</v>
          </cell>
        </row>
        <row r="1985">
          <cell r="A1985" t="str">
            <v>Guarinoite</v>
          </cell>
        </row>
        <row r="1986">
          <cell r="A1986" t="str">
            <v>Gudmundite</v>
          </cell>
        </row>
        <row r="1987">
          <cell r="A1987" t="str">
            <v>Guerinite</v>
          </cell>
        </row>
        <row r="1988">
          <cell r="A1988" t="str">
            <v>Guettardite</v>
          </cell>
        </row>
        <row r="1989">
          <cell r="A1989" t="str">
            <v>Gugiaite</v>
          </cell>
        </row>
        <row r="1990">
          <cell r="A1990" t="str">
            <v>Guildite</v>
          </cell>
        </row>
        <row r="1991">
          <cell r="A1991" t="str">
            <v>Guilleminite</v>
          </cell>
        </row>
        <row r="1992">
          <cell r="A1992" t="str">
            <v>Guimaraesite</v>
          </cell>
        </row>
        <row r="1993">
          <cell r="A1993" t="str">
            <v>Gupeiite</v>
          </cell>
        </row>
        <row r="1994">
          <cell r="A1994" t="str">
            <v>Gustavite</v>
          </cell>
        </row>
        <row r="1995">
          <cell r="A1995" t="str">
            <v>Gutkovaite-Mn</v>
          </cell>
        </row>
        <row r="1996">
          <cell r="A1996" t="str">
            <v>Gutsevichite</v>
          </cell>
        </row>
        <row r="1997">
          <cell r="A1997" t="str">
            <v>Guyanaite</v>
          </cell>
        </row>
        <row r="1998">
          <cell r="A1998" t="str">
            <v>Gwihabaite</v>
          </cell>
        </row>
        <row r="1999">
          <cell r="A1999" t="str">
            <v>Gyrolite</v>
          </cell>
        </row>
        <row r="2000">
          <cell r="A2000" t="str">
            <v>Gysinite-(Nd)</v>
          </cell>
        </row>
        <row r="2001">
          <cell r="A2001" t="str">
            <v>Haapalaite</v>
          </cell>
        </row>
        <row r="2002">
          <cell r="A2002" t="str">
            <v>Hafnon</v>
          </cell>
        </row>
        <row r="2003">
          <cell r="A2003" t="str">
            <v>Hagendorfite</v>
          </cell>
        </row>
        <row r="2004">
          <cell r="A2004" t="str">
            <v>Haggertyite</v>
          </cell>
        </row>
        <row r="2005">
          <cell r="A2005" t="str">
            <v>Haggite</v>
          </cell>
        </row>
        <row r="2006">
          <cell r="A2006" t="str">
            <v>Haidingerite</v>
          </cell>
        </row>
        <row r="2007">
          <cell r="A2007" t="str">
            <v>Haigerachite</v>
          </cell>
        </row>
        <row r="2008">
          <cell r="A2008" t="str">
            <v>Haineaultite</v>
          </cell>
        </row>
        <row r="2009">
          <cell r="A2009" t="str">
            <v>Hainite</v>
          </cell>
        </row>
        <row r="2010">
          <cell r="A2010" t="str">
            <v>Haiweeite</v>
          </cell>
        </row>
        <row r="2011">
          <cell r="A2011" t="str">
            <v>Haleniusite-(La)</v>
          </cell>
        </row>
        <row r="2012">
          <cell r="A2012" t="str">
            <v>Halite</v>
          </cell>
        </row>
        <row r="2013">
          <cell r="A2013" t="str">
            <v>Hallimondite</v>
          </cell>
        </row>
        <row r="2014">
          <cell r="A2014" t="str">
            <v>Halurgite</v>
          </cell>
        </row>
        <row r="2015">
          <cell r="A2015" t="str">
            <v>Hambergite</v>
          </cell>
        </row>
        <row r="2016">
          <cell r="A2016" t="str">
            <v>Hammarite</v>
          </cell>
        </row>
        <row r="2017">
          <cell r="A2017" t="str">
            <v>Hanawaltite</v>
          </cell>
        </row>
        <row r="2018">
          <cell r="A2018" t="str">
            <v>Hanksite</v>
          </cell>
        </row>
        <row r="2019">
          <cell r="A2019" t="str">
            <v>Hannayite</v>
          </cell>
        </row>
        <row r="2020">
          <cell r="A2020" t="str">
            <v>Hannebachite</v>
          </cell>
        </row>
        <row r="2021">
          <cell r="A2021" t="str">
            <v>Hapkeite</v>
          </cell>
        </row>
        <row r="2022">
          <cell r="A2022" t="str">
            <v>Haradaite</v>
          </cell>
        </row>
        <row r="2023">
          <cell r="A2023" t="str">
            <v>Hardystonite</v>
          </cell>
        </row>
        <row r="2024">
          <cell r="A2024" t="str">
            <v>Harkerite</v>
          </cell>
        </row>
        <row r="2025">
          <cell r="A2025" t="str">
            <v>Harmotome</v>
          </cell>
        </row>
        <row r="2026">
          <cell r="A2026" t="str">
            <v>Harrisonite</v>
          </cell>
        </row>
        <row r="2027">
          <cell r="A2027" t="str">
            <v>Harstigite</v>
          </cell>
        </row>
        <row r="2028">
          <cell r="A2028" t="str">
            <v>Hartite</v>
          </cell>
        </row>
        <row r="2029">
          <cell r="A2029" t="str">
            <v>Hashemite</v>
          </cell>
        </row>
        <row r="2030">
          <cell r="A2030" t="str">
            <v>Hastite</v>
          </cell>
        </row>
        <row r="2031">
          <cell r="A2031" t="str">
            <v>Hatchite</v>
          </cell>
        </row>
        <row r="2032">
          <cell r="A2032" t="str">
            <v>Hatrurite</v>
          </cell>
        </row>
        <row r="2033">
          <cell r="A2033" t="str">
            <v>Hauchecornite</v>
          </cell>
        </row>
        <row r="2034">
          <cell r="A2034" t="str">
            <v>Hauckite</v>
          </cell>
        </row>
        <row r="2035">
          <cell r="A2035" t="str">
            <v>Hauerite</v>
          </cell>
        </row>
        <row r="2036">
          <cell r="A2036" t="str">
            <v>Hausmannite</v>
          </cell>
        </row>
        <row r="2037">
          <cell r="A2037" t="str">
            <v>Hauyne</v>
          </cell>
        </row>
        <row r="2038">
          <cell r="A2038" t="str">
            <v>Hawleyite</v>
          </cell>
        </row>
        <row r="2039">
          <cell r="A2039" t="str">
            <v>Hawthorneite</v>
          </cell>
        </row>
        <row r="2040">
          <cell r="A2040" t="str">
            <v>Haxonite</v>
          </cell>
        </row>
        <row r="2041">
          <cell r="A2041" t="str">
            <v>Haycockite</v>
          </cell>
        </row>
        <row r="2042">
          <cell r="A2042" t="str">
            <v>Haydeeite</v>
          </cell>
        </row>
        <row r="2043">
          <cell r="A2043" t="str">
            <v>Haynesite</v>
          </cell>
        </row>
        <row r="2044">
          <cell r="A2044" t="str">
            <v>Hazenite</v>
          </cell>
        </row>
        <row r="2045">
          <cell r="A2045" t="str">
            <v>Heazlewoodite</v>
          </cell>
        </row>
        <row r="2046">
          <cell r="A2046" t="str">
            <v>Hectorfloresite</v>
          </cell>
        </row>
        <row r="2047">
          <cell r="A2047" t="str">
            <v>Hectorite</v>
          </cell>
        </row>
        <row r="2048">
          <cell r="A2048" t="str">
            <v>Hedleyite</v>
          </cell>
        </row>
        <row r="2049">
          <cell r="A2049" t="str">
            <v>Heftetjernite</v>
          </cell>
        </row>
        <row r="2050">
          <cell r="A2050" t="str">
            <v>Heideite</v>
          </cell>
        </row>
        <row r="2051">
          <cell r="A2051" t="str">
            <v>Heidornite</v>
          </cell>
        </row>
        <row r="2052">
          <cell r="A2052" t="str">
            <v>Heinrichite</v>
          </cell>
        </row>
        <row r="2053">
          <cell r="A2053" t="str">
            <v>Hejtmanite</v>
          </cell>
        </row>
        <row r="2054">
          <cell r="A2054" t="str">
            <v>Heklaite</v>
          </cell>
        </row>
        <row r="2055">
          <cell r="A2055" t="str">
            <v>Heliophyllite</v>
          </cell>
        </row>
        <row r="2056">
          <cell r="A2056" t="str">
            <v>Hellandite-(Ce)</v>
          </cell>
        </row>
        <row r="2057">
          <cell r="A2057" t="str">
            <v>Hellandite-(Y)</v>
          </cell>
        </row>
        <row r="2058">
          <cell r="A2058" t="str">
            <v>Hellyerite</v>
          </cell>
        </row>
        <row r="2059">
          <cell r="A2059" t="str">
            <v>Helmutwinklerite</v>
          </cell>
        </row>
        <row r="2060">
          <cell r="A2060" t="str">
            <v>Helvite</v>
          </cell>
        </row>
        <row r="2061">
          <cell r="A2061" t="str">
            <v>Hematite</v>
          </cell>
        </row>
        <row r="2062">
          <cell r="A2062" t="str">
            <v>Hematophanite</v>
          </cell>
        </row>
        <row r="2063">
          <cell r="A2063" t="str">
            <v>Hemihedrite</v>
          </cell>
        </row>
        <row r="2064">
          <cell r="A2064" t="str">
            <v>Hemimorphite</v>
          </cell>
        </row>
        <row r="2065">
          <cell r="A2065" t="str">
            <v>Hemloite</v>
          </cell>
        </row>
        <row r="2066">
          <cell r="A2066" t="str">
            <v>Hemusite</v>
          </cell>
        </row>
        <row r="2067">
          <cell r="A2067" t="str">
            <v>Hendersonite</v>
          </cell>
        </row>
        <row r="2068">
          <cell r="A2068" t="str">
            <v>Hendricksite</v>
          </cell>
        </row>
        <row r="2069">
          <cell r="A2069" t="str">
            <v>Henmilite</v>
          </cell>
        </row>
        <row r="2070">
          <cell r="A2070" t="str">
            <v>Hennomartinite</v>
          </cell>
        </row>
        <row r="2071">
          <cell r="A2071" t="str">
            <v>Henritermierite</v>
          </cell>
        </row>
        <row r="2072">
          <cell r="A2072" t="str">
            <v>Henryite</v>
          </cell>
        </row>
        <row r="2073">
          <cell r="A2073" t="str">
            <v>Henrymeyerite</v>
          </cell>
        </row>
        <row r="2074">
          <cell r="A2074" t="str">
            <v>Hephaistosite</v>
          </cell>
        </row>
        <row r="2075">
          <cell r="A2075" t="str">
            <v>Herbertsmithite</v>
          </cell>
        </row>
        <row r="2076">
          <cell r="A2076" t="str">
            <v>Hercynite</v>
          </cell>
        </row>
        <row r="2077">
          <cell r="A2077" t="str">
            <v>Herschelite</v>
          </cell>
        </row>
        <row r="2078">
          <cell r="A2078" t="str">
            <v>Herzenbergite</v>
          </cell>
        </row>
        <row r="2079">
          <cell r="A2079" t="str">
            <v>Hessite</v>
          </cell>
        </row>
        <row r="2080">
          <cell r="A2080" t="str">
            <v>Hetaerolite</v>
          </cell>
        </row>
        <row r="2081">
          <cell r="A2081" t="str">
            <v>Heterogenite-2H</v>
          </cell>
        </row>
        <row r="2082">
          <cell r="A2082" t="str">
            <v>Heterogenite-3R</v>
          </cell>
        </row>
        <row r="2083">
          <cell r="A2083" t="str">
            <v>Heteromorphite</v>
          </cell>
        </row>
        <row r="2084">
          <cell r="A2084" t="str">
            <v>Heterosite</v>
          </cell>
        </row>
        <row r="2085">
          <cell r="A2085" t="str">
            <v>Heulandite-Ba</v>
          </cell>
        </row>
        <row r="2086">
          <cell r="A2086" t="str">
            <v>Heulandite-Ca</v>
          </cell>
        </row>
        <row r="2087">
          <cell r="A2087" t="str">
            <v>Heulandite-K</v>
          </cell>
        </row>
        <row r="2088">
          <cell r="A2088" t="str">
            <v>Heulandite-Na</v>
          </cell>
        </row>
        <row r="2089">
          <cell r="A2089" t="str">
            <v>Heulandite-Sr</v>
          </cell>
        </row>
        <row r="2090">
          <cell r="A2090" t="str">
            <v>Hewettite</v>
          </cell>
        </row>
        <row r="2091">
          <cell r="A2091" t="str">
            <v>Hexaferrum</v>
          </cell>
        </row>
        <row r="2092">
          <cell r="A2092" t="str">
            <v>Hexahydroborite</v>
          </cell>
        </row>
        <row r="2093">
          <cell r="A2093" t="str">
            <v>Hexamolybdenum</v>
          </cell>
        </row>
        <row r="2094">
          <cell r="A2094" t="str">
            <v>Hexatestibiopanickelite</v>
          </cell>
        </row>
        <row r="2095">
          <cell r="A2095" t="str">
            <v>Heyrovskyite</v>
          </cell>
        </row>
        <row r="2096">
          <cell r="A2096" t="str">
            <v>Hiarneite</v>
          </cell>
        </row>
        <row r="2097">
          <cell r="A2097" t="str">
            <v>Hibbingite</v>
          </cell>
        </row>
        <row r="2098">
          <cell r="A2098" t="str">
            <v>Hibonite</v>
          </cell>
        </row>
        <row r="2099">
          <cell r="A2099" t="str">
            <v>Hibschite</v>
          </cell>
        </row>
        <row r="2100">
          <cell r="A2100" t="str">
            <v>Hieratite</v>
          </cell>
        </row>
        <row r="2101">
          <cell r="A2101" t="str">
            <v>Hilairite</v>
          </cell>
        </row>
        <row r="2102">
          <cell r="A2102" t="str">
            <v>Hilgardite</v>
          </cell>
        </row>
        <row r="2103">
          <cell r="A2103" t="str">
            <v>Hillebrandite</v>
          </cell>
        </row>
        <row r="2104">
          <cell r="A2104" t="str">
            <v>Hillite</v>
          </cell>
        </row>
        <row r="2105">
          <cell r="A2105" t="str">
            <v>Hingganite-(Ce)</v>
          </cell>
        </row>
        <row r="2106">
          <cell r="A2106" t="str">
            <v>Hingganite-(Y)</v>
          </cell>
        </row>
        <row r="2107">
          <cell r="A2107" t="str">
            <v>Hingganite-(Yb)</v>
          </cell>
        </row>
        <row r="2108">
          <cell r="A2108" t="str">
            <v>Hiortdahlite</v>
          </cell>
        </row>
        <row r="2109">
          <cell r="A2109" t="str">
            <v>Hisingerite</v>
          </cell>
        </row>
        <row r="2110">
          <cell r="A2110" t="str">
            <v>Hocartite</v>
          </cell>
        </row>
        <row r="2111">
          <cell r="A2111" t="str">
            <v>Hochelagaite</v>
          </cell>
        </row>
        <row r="2112">
          <cell r="A2112" t="str">
            <v>Hodgkinsonite</v>
          </cell>
        </row>
        <row r="2113">
          <cell r="A2113" t="str">
            <v>Hodrushite</v>
          </cell>
        </row>
        <row r="2114">
          <cell r="A2114" t="str">
            <v>Hoelite</v>
          </cell>
        </row>
        <row r="2115">
          <cell r="A2115" t="str">
            <v>Hoganite</v>
          </cell>
        </row>
        <row r="2116">
          <cell r="A2116" t="str">
            <v>Hogtuvaite</v>
          </cell>
        </row>
        <row r="2117">
          <cell r="A2117" t="str">
            <v>Hohmannite</v>
          </cell>
        </row>
        <row r="2118">
          <cell r="A2118" t="str">
            <v>Holdawayite</v>
          </cell>
        </row>
        <row r="2119">
          <cell r="A2119" t="str">
            <v>Holfertite</v>
          </cell>
        </row>
        <row r="2120">
          <cell r="A2120" t="str">
            <v>Hollandite</v>
          </cell>
        </row>
        <row r="2121">
          <cell r="A2121" t="str">
            <v>Hollingworthite</v>
          </cell>
        </row>
        <row r="2122">
          <cell r="A2122" t="str">
            <v>Holtite</v>
          </cell>
        </row>
        <row r="2123">
          <cell r="A2123" t="str">
            <v>Holtstamite</v>
          </cell>
        </row>
        <row r="2124">
          <cell r="A2124" t="str">
            <v>Homilite</v>
          </cell>
        </row>
        <row r="2125">
          <cell r="A2125" t="str">
            <v>Honessite</v>
          </cell>
        </row>
        <row r="2126">
          <cell r="A2126" t="str">
            <v>Hongquiite</v>
          </cell>
        </row>
        <row r="2127">
          <cell r="A2127" t="str">
            <v>Hongshiite</v>
          </cell>
        </row>
        <row r="2128">
          <cell r="A2128" t="str">
            <v>Hopeite</v>
          </cell>
        </row>
        <row r="2129">
          <cell r="A2129" t="str">
            <v>Hornesite</v>
          </cell>
        </row>
        <row r="2130">
          <cell r="A2130" t="str">
            <v>Horobetsuite</v>
          </cell>
        </row>
        <row r="2131">
          <cell r="A2131" t="str">
            <v>Horomanite</v>
          </cell>
        </row>
        <row r="2132">
          <cell r="A2132" t="str">
            <v>Horsfordite</v>
          </cell>
        </row>
        <row r="2133">
          <cell r="A2133" t="str">
            <v>Horvathite-(Y)</v>
          </cell>
        </row>
        <row r="2134">
          <cell r="A2134" t="str">
            <v>Hotsonite-VI</v>
          </cell>
        </row>
        <row r="2135">
          <cell r="A2135" t="str">
            <v>Hotsonite-VII</v>
          </cell>
        </row>
        <row r="2136">
          <cell r="A2136" t="str">
            <v>Howardevansite</v>
          </cell>
        </row>
        <row r="2137">
          <cell r="A2137" t="str">
            <v>Howieite</v>
          </cell>
        </row>
        <row r="2138">
          <cell r="A2138" t="str">
            <v>Howlite</v>
          </cell>
        </row>
        <row r="2139">
          <cell r="A2139" t="str">
            <v>Hsianghualite</v>
          </cell>
        </row>
        <row r="2140">
          <cell r="A2140" t="str">
            <v>Huanghoite-(Ce)</v>
          </cell>
        </row>
        <row r="2141">
          <cell r="A2141" t="str">
            <v>Huangite</v>
          </cell>
        </row>
        <row r="2142">
          <cell r="A2142" t="str">
            <v>Hubeite</v>
          </cell>
        </row>
        <row r="2143">
          <cell r="A2143" t="str">
            <v>Hubnerite</v>
          </cell>
        </row>
        <row r="2144">
          <cell r="A2144" t="str">
            <v>Huemulite</v>
          </cell>
        </row>
        <row r="2145">
          <cell r="A2145" t="str">
            <v>Hugelite</v>
          </cell>
        </row>
        <row r="2146">
          <cell r="A2146" t="str">
            <v>Hulsite</v>
          </cell>
        </row>
        <row r="2147">
          <cell r="A2147" t="str">
            <v>Humberstonite</v>
          </cell>
        </row>
        <row r="2148">
          <cell r="A2148" t="str">
            <v>Humboldtine</v>
          </cell>
        </row>
        <row r="2149">
          <cell r="A2149" t="str">
            <v>Humite</v>
          </cell>
        </row>
        <row r="2150">
          <cell r="A2150" t="str">
            <v>Hummerite</v>
          </cell>
        </row>
        <row r="2151">
          <cell r="A2151" t="str">
            <v>Hunchunite</v>
          </cell>
        </row>
        <row r="2152">
          <cell r="A2152" t="str">
            <v>Hundholmenite-(Y)</v>
          </cell>
        </row>
        <row r="2153">
          <cell r="A2153" t="str">
            <v>Hungchaoite</v>
          </cell>
        </row>
        <row r="2154">
          <cell r="A2154" t="str">
            <v>Hureaulite</v>
          </cell>
        </row>
        <row r="2155">
          <cell r="A2155" t="str">
            <v>Hurlbutite</v>
          </cell>
        </row>
        <row r="2156">
          <cell r="A2156" t="str">
            <v>Hutchinsonite</v>
          </cell>
        </row>
        <row r="2157">
          <cell r="A2157" t="str">
            <v>Huttonite</v>
          </cell>
        </row>
        <row r="2158">
          <cell r="A2158" t="str">
            <v>Hyalotekite</v>
          </cell>
        </row>
        <row r="2159">
          <cell r="A2159" t="str">
            <v>Hydroastrophyllite</v>
          </cell>
        </row>
        <row r="2160">
          <cell r="A2160" t="str">
            <v>Hydrobasaluminite</v>
          </cell>
        </row>
        <row r="2161">
          <cell r="A2161" t="str">
            <v>Hydrobiotite</v>
          </cell>
        </row>
        <row r="2162">
          <cell r="A2162" t="str">
            <v>Hydroboracite</v>
          </cell>
        </row>
        <row r="2163">
          <cell r="A2163" t="str">
            <v>Hydrocalumite</v>
          </cell>
        </row>
        <row r="2164">
          <cell r="A2164" t="str">
            <v>Hydrocerussite</v>
          </cell>
        </row>
        <row r="2165">
          <cell r="A2165" t="str">
            <v>Hydrochlorborite</v>
          </cell>
        </row>
        <row r="2166">
          <cell r="A2166" t="str">
            <v>Hydrodelhayelite</v>
          </cell>
        </row>
        <row r="2167">
          <cell r="A2167" t="str">
            <v>Hydrodresserite</v>
          </cell>
        </row>
        <row r="2168">
          <cell r="A2168" t="str">
            <v>Hydrohalite</v>
          </cell>
        </row>
        <row r="2169">
          <cell r="A2169" t="str">
            <v>Hydrohetaerolite</v>
          </cell>
        </row>
        <row r="2170">
          <cell r="A2170" t="str">
            <v>Hydrohonessite</v>
          </cell>
        </row>
        <row r="2171">
          <cell r="A2171" t="str">
            <v>Hydromagnesite</v>
          </cell>
        </row>
        <row r="2172">
          <cell r="A2172" t="str">
            <v>Hydrombobomkulite</v>
          </cell>
        </row>
        <row r="2173">
          <cell r="A2173" t="str">
            <v>Hydromolysite</v>
          </cell>
        </row>
        <row r="2174">
          <cell r="A2174" t="str">
            <v>Hydroniumjarosite</v>
          </cell>
        </row>
        <row r="2175">
          <cell r="A2175" t="str">
            <v>Hydrophilite</v>
          </cell>
        </row>
        <row r="2176">
          <cell r="A2176" t="str">
            <v>Hydroromarchite</v>
          </cell>
        </row>
        <row r="2177">
          <cell r="A2177" t="str">
            <v>Hydroscarbroite</v>
          </cell>
        </row>
        <row r="2178">
          <cell r="A2178" t="str">
            <v>Hydrotalcite</v>
          </cell>
        </row>
        <row r="2179">
          <cell r="A2179" t="str">
            <v>Hydrotungstite</v>
          </cell>
        </row>
        <row r="2180">
          <cell r="A2180" t="str">
            <v>Hydrougrandite</v>
          </cell>
        </row>
        <row r="2181">
          <cell r="A2181" t="str">
            <v>Hydrowoodwardite</v>
          </cell>
        </row>
        <row r="2182">
          <cell r="A2182" t="str">
            <v>Hydroxycancrinite</v>
          </cell>
        </row>
        <row r="2183">
          <cell r="A2183" t="str">
            <v>Hydroxylbastnasite-(Ce)</v>
          </cell>
        </row>
        <row r="2184">
          <cell r="A2184" t="str">
            <v>Hydroxylbastnasite-(La)</v>
          </cell>
        </row>
        <row r="2185">
          <cell r="A2185" t="str">
            <v>Hydroxylbastnasite-(Nd)</v>
          </cell>
        </row>
        <row r="2186">
          <cell r="A2186" t="str">
            <v>Hydroxylborite</v>
          </cell>
        </row>
        <row r="2187">
          <cell r="A2187" t="str">
            <v>Hydroxylclinohumite</v>
          </cell>
        </row>
        <row r="2188">
          <cell r="A2188" t="str">
            <v>Hydroxyuvite</v>
          </cell>
        </row>
        <row r="2189">
          <cell r="A2189" t="str">
            <v>Hydrozincite</v>
          </cell>
        </row>
        <row r="2190">
          <cell r="A2190" t="str">
            <v>Hypercinnabar</v>
          </cell>
        </row>
        <row r="2191">
          <cell r="A2191" t="str">
            <v>Hypersthene</v>
          </cell>
        </row>
        <row r="2192">
          <cell r="A2192" t="str">
            <v>Hyttsjoite</v>
          </cell>
        </row>
        <row r="2193">
          <cell r="A2193" t="str">
            <v>Ianthinite</v>
          </cell>
        </row>
        <row r="2194">
          <cell r="A2194" t="str">
            <v>Ice</v>
          </cell>
        </row>
        <row r="2195">
          <cell r="A2195" t="str">
            <v>Idaite</v>
          </cell>
        </row>
        <row r="2196">
          <cell r="A2196" t="str">
            <v>Iddingsite</v>
          </cell>
        </row>
        <row r="2197">
          <cell r="A2197" t="str">
            <v>Idrialite</v>
          </cell>
        </row>
        <row r="2198">
          <cell r="A2198" t="str">
            <v>Iimoriite-(Y)</v>
          </cell>
        </row>
        <row r="2199">
          <cell r="A2199" t="str">
            <v>Ikaite</v>
          </cell>
        </row>
        <row r="2200">
          <cell r="A2200" t="str">
            <v>Ikranite</v>
          </cell>
        </row>
        <row r="2201">
          <cell r="A2201" t="str">
            <v>Ikunolite</v>
          </cell>
        </row>
        <row r="2202">
          <cell r="A2202" t="str">
            <v>Ilimaussite-(Ce)</v>
          </cell>
        </row>
        <row r="2203">
          <cell r="A2203" t="str">
            <v>Ilinskite</v>
          </cell>
        </row>
        <row r="2204">
          <cell r="A2204" t="str">
            <v>Illite</v>
          </cell>
        </row>
        <row r="2205">
          <cell r="A2205" t="str">
            <v>Ilmajokite</v>
          </cell>
        </row>
        <row r="2206">
          <cell r="A2206" t="str">
            <v>Ilmenite</v>
          </cell>
        </row>
        <row r="2207">
          <cell r="A2207" t="str">
            <v>Ilmenorutile</v>
          </cell>
        </row>
        <row r="2208">
          <cell r="A2208" t="str">
            <v>Ilsemannite</v>
          </cell>
        </row>
        <row r="2209">
          <cell r="A2209" t="str">
            <v>Iltisite</v>
          </cell>
        </row>
        <row r="2210">
          <cell r="A2210" t="str">
            <v>Ilvaite</v>
          </cell>
        </row>
        <row r="2211">
          <cell r="A2211" t="str">
            <v>IMA2000-016</v>
          </cell>
        </row>
        <row r="2212">
          <cell r="A2212" t="str">
            <v>IMA2000-020</v>
          </cell>
        </row>
        <row r="2213">
          <cell r="A2213" t="str">
            <v>IMA2000-026</v>
          </cell>
        </row>
        <row r="2214">
          <cell r="A2214" t="str">
            <v>IMA2003-019</v>
          </cell>
        </row>
        <row r="2215">
          <cell r="A2215" t="str">
            <v>IMA2005-036</v>
          </cell>
        </row>
        <row r="2216">
          <cell r="A2216" t="str">
            <v>IMA2007-010</v>
          </cell>
        </row>
        <row r="2217">
          <cell r="A2217" t="str">
            <v>IMA2007-015</v>
          </cell>
        </row>
        <row r="2218">
          <cell r="A2218" t="str">
            <v>IMA2007-036</v>
          </cell>
        </row>
        <row r="2219">
          <cell r="A2219" t="str">
            <v>IMA2007-041T</v>
          </cell>
        </row>
        <row r="2220">
          <cell r="A2220" t="str">
            <v>IMA2007-047</v>
          </cell>
        </row>
        <row r="2221">
          <cell r="A2221" t="str">
            <v>IMA2007-058</v>
          </cell>
        </row>
        <row r="2222">
          <cell r="A2222" t="str">
            <v>IMA2008-006</v>
          </cell>
        </row>
        <row r="2223">
          <cell r="A2223" t="str">
            <v>IMA2008-010</v>
          </cell>
        </row>
        <row r="2224">
          <cell r="A2224" t="str">
            <v>IMA2008-022</v>
          </cell>
        </row>
        <row r="2225">
          <cell r="A2225" t="str">
            <v>IMA2008-024</v>
          </cell>
        </row>
        <row r="2226">
          <cell r="A2226" t="str">
            <v>IMA2008-029</v>
          </cell>
        </row>
        <row r="2227">
          <cell r="A2227" t="str">
            <v>IMA2008-032</v>
          </cell>
        </row>
        <row r="2228">
          <cell r="A2228" t="str">
            <v>IMA2008-035</v>
          </cell>
        </row>
        <row r="2229">
          <cell r="A2229" t="str">
            <v>IMA2008-039</v>
          </cell>
        </row>
        <row r="2230">
          <cell r="A2230" t="str">
            <v>IMA2008-040</v>
          </cell>
        </row>
        <row r="2231">
          <cell r="A2231" t="str">
            <v>IMA2008-046</v>
          </cell>
        </row>
        <row r="2232">
          <cell r="A2232" t="str">
            <v>IMA2008-047</v>
          </cell>
        </row>
        <row r="2233">
          <cell r="A2233" t="str">
            <v>IMA2008-048</v>
          </cell>
        </row>
        <row r="2234">
          <cell r="A2234" t="str">
            <v>IMA2008-053</v>
          </cell>
        </row>
        <row r="2235">
          <cell r="A2235" t="str">
            <v>IMA2008-054</v>
          </cell>
        </row>
        <row r="2236">
          <cell r="A2236" t="str">
            <v>IMA2008-055</v>
          </cell>
        </row>
        <row r="2237">
          <cell r="A2237" t="str">
            <v>IMA2008-056</v>
          </cell>
        </row>
        <row r="2238">
          <cell r="A2238" t="str">
            <v>IMA2008-058</v>
          </cell>
        </row>
        <row r="2239">
          <cell r="A2239" t="str">
            <v>IMA2008-060</v>
          </cell>
        </row>
        <row r="2240">
          <cell r="A2240" t="str">
            <v>IMA2008-063</v>
          </cell>
        </row>
        <row r="2241">
          <cell r="A2241" t="str">
            <v>IMA2008-064</v>
          </cell>
        </row>
        <row r="2242">
          <cell r="A2242" t="str">
            <v>IMA2008-065</v>
          </cell>
        </row>
        <row r="2243">
          <cell r="A2243" t="str">
            <v>IMA2008-066</v>
          </cell>
        </row>
        <row r="2244">
          <cell r="A2244" t="str">
            <v>IMA2008-067</v>
          </cell>
        </row>
        <row r="2245">
          <cell r="A2245" t="str">
            <v>IMA2008-069</v>
          </cell>
        </row>
        <row r="2246">
          <cell r="A2246" t="str">
            <v>IMA2008-070</v>
          </cell>
        </row>
        <row r="2247">
          <cell r="A2247" t="str">
            <v>IMA2009-001</v>
          </cell>
        </row>
        <row r="2248">
          <cell r="A2248" t="str">
            <v>IMA2009-002</v>
          </cell>
        </row>
        <row r="2249">
          <cell r="A2249" t="str">
            <v>IMA2009-004</v>
          </cell>
        </row>
        <row r="2250">
          <cell r="A2250" t="str">
            <v>IMA2009-005</v>
          </cell>
        </row>
        <row r="2251">
          <cell r="A2251" t="str">
            <v>IMA2009-008</v>
          </cell>
        </row>
        <row r="2252">
          <cell r="A2252" t="str">
            <v>IMA2009-009</v>
          </cell>
        </row>
        <row r="2253">
          <cell r="A2253" t="str">
            <v>IMA2009-010</v>
          </cell>
        </row>
        <row r="2254">
          <cell r="A2254" t="str">
            <v>IMA2009-011</v>
          </cell>
        </row>
        <row r="2255">
          <cell r="A2255" t="str">
            <v>IMA2009-012</v>
          </cell>
        </row>
        <row r="2256">
          <cell r="A2256" t="str">
            <v>IMA2009-013</v>
          </cell>
        </row>
        <row r="2257">
          <cell r="A2257" t="str">
            <v>IMA2009-014</v>
          </cell>
        </row>
        <row r="2258">
          <cell r="A2258" t="str">
            <v>IMA2009-015</v>
          </cell>
        </row>
        <row r="2259">
          <cell r="A2259" t="str">
            <v>IMA2009-016</v>
          </cell>
        </row>
        <row r="2260">
          <cell r="A2260" t="str">
            <v>IMA2009-017</v>
          </cell>
        </row>
        <row r="2261">
          <cell r="A2261" t="str">
            <v>IMA2009-018</v>
          </cell>
        </row>
        <row r="2262">
          <cell r="A2262" t="str">
            <v>IMA2009-019</v>
          </cell>
        </row>
        <row r="2263">
          <cell r="A2263" t="str">
            <v>IMA2009-020</v>
          </cell>
        </row>
        <row r="2264">
          <cell r="A2264" t="str">
            <v>IMA2009-022</v>
          </cell>
        </row>
        <row r="2265">
          <cell r="A2265" t="str">
            <v>IMA2009-023</v>
          </cell>
        </row>
        <row r="2266">
          <cell r="A2266" t="str">
            <v>IMA2009-024</v>
          </cell>
        </row>
        <row r="2267">
          <cell r="A2267" t="str">
            <v>IMA2009-025</v>
          </cell>
        </row>
        <row r="2268">
          <cell r="A2268" t="str">
            <v>IMA2009-026</v>
          </cell>
        </row>
        <row r="2269">
          <cell r="A2269" t="str">
            <v>IMA2009-027</v>
          </cell>
        </row>
        <row r="2270">
          <cell r="A2270" t="str">
            <v>IMA2009-028</v>
          </cell>
        </row>
        <row r="2271">
          <cell r="A2271" t="str">
            <v>IMA2009-029</v>
          </cell>
        </row>
        <row r="2272">
          <cell r="A2272" t="str">
            <v>IMA2009-030</v>
          </cell>
        </row>
        <row r="2273">
          <cell r="A2273" t="str">
            <v>IMA2009-031</v>
          </cell>
        </row>
        <row r="2274">
          <cell r="A2274" t="str">
            <v>IMA2009-032</v>
          </cell>
        </row>
        <row r="2275">
          <cell r="A2275" t="str">
            <v>IMA2009-033</v>
          </cell>
        </row>
        <row r="2276">
          <cell r="A2276" t="str">
            <v>IMA2009-034</v>
          </cell>
        </row>
        <row r="2277">
          <cell r="A2277" t="str">
            <v>IMA2009-036</v>
          </cell>
        </row>
        <row r="2278">
          <cell r="A2278" t="str">
            <v>IMA2009-037</v>
          </cell>
        </row>
        <row r="2279">
          <cell r="A2279" t="str">
            <v>IMA2009-038</v>
          </cell>
        </row>
        <row r="2280">
          <cell r="A2280" t="str">
            <v>IMA2009-039</v>
          </cell>
        </row>
        <row r="2281">
          <cell r="A2281" t="str">
            <v>IMA2009-040</v>
          </cell>
        </row>
        <row r="2282">
          <cell r="A2282" t="str">
            <v>Imandrite</v>
          </cell>
        </row>
        <row r="2283">
          <cell r="A2283" t="str">
            <v>Imgreite</v>
          </cell>
        </row>
        <row r="2284">
          <cell r="A2284" t="str">
            <v>Imhofite</v>
          </cell>
        </row>
        <row r="2285">
          <cell r="A2285" t="str">
            <v>Imiterite</v>
          </cell>
        </row>
        <row r="2286">
          <cell r="A2286" t="str">
            <v>Imogolite</v>
          </cell>
        </row>
        <row r="2287">
          <cell r="A2287" t="str">
            <v>Inaglyite</v>
          </cell>
        </row>
        <row r="2288">
          <cell r="A2288" t="str">
            <v>Incaite</v>
          </cell>
        </row>
        <row r="2289">
          <cell r="A2289" t="str">
            <v>Inderborite</v>
          </cell>
        </row>
        <row r="2290">
          <cell r="A2290" t="str">
            <v>Inderite</v>
          </cell>
        </row>
        <row r="2291">
          <cell r="A2291" t="str">
            <v>Indialite</v>
          </cell>
        </row>
        <row r="2292">
          <cell r="A2292" t="str">
            <v>Indigirite</v>
          </cell>
        </row>
        <row r="2293">
          <cell r="A2293" t="str">
            <v>Indite</v>
          </cell>
        </row>
        <row r="2294">
          <cell r="A2294" t="str">
            <v>Indium</v>
          </cell>
        </row>
        <row r="2295">
          <cell r="A2295" t="str">
            <v>Inesite</v>
          </cell>
        </row>
        <row r="2296">
          <cell r="A2296" t="str">
            <v>Ingersonite</v>
          </cell>
        </row>
        <row r="2297">
          <cell r="A2297" t="str">
            <v>Ingodite</v>
          </cell>
        </row>
        <row r="2298">
          <cell r="A2298" t="str">
            <v>Innelite</v>
          </cell>
        </row>
        <row r="2299">
          <cell r="A2299" t="str">
            <v>Insizwaite</v>
          </cell>
        </row>
        <row r="2300">
          <cell r="A2300" t="str">
            <v>Intersilite</v>
          </cell>
        </row>
        <row r="2301">
          <cell r="A2301" t="str">
            <v>Inyoite</v>
          </cell>
        </row>
        <row r="2302">
          <cell r="A2302" t="str">
            <v>Iodargyrite</v>
          </cell>
        </row>
        <row r="2303">
          <cell r="A2303" t="str">
            <v>Iowaite</v>
          </cell>
        </row>
        <row r="2304">
          <cell r="A2304" t="str">
            <v>Iquiqueite</v>
          </cell>
        </row>
        <row r="2305">
          <cell r="A2305" t="str">
            <v>Iranite</v>
          </cell>
        </row>
        <row r="2306">
          <cell r="A2306" t="str">
            <v>Iraqite-(La)</v>
          </cell>
        </row>
        <row r="2307">
          <cell r="A2307" t="str">
            <v>Irarsite</v>
          </cell>
        </row>
        <row r="2308">
          <cell r="A2308" t="str">
            <v>Irhtemite</v>
          </cell>
        </row>
        <row r="2309">
          <cell r="A2309" t="str">
            <v>Iridarsenite</v>
          </cell>
        </row>
        <row r="2310">
          <cell r="A2310" t="str">
            <v>Iridisite</v>
          </cell>
        </row>
        <row r="2311">
          <cell r="A2311" t="str">
            <v>Iridium</v>
          </cell>
        </row>
        <row r="2312">
          <cell r="A2312" t="str">
            <v>Iriginite</v>
          </cell>
        </row>
        <row r="2313">
          <cell r="A2313" t="str">
            <v>Iron</v>
          </cell>
        </row>
        <row r="2314">
          <cell r="A2314" t="str">
            <v>Irtyshite</v>
          </cell>
        </row>
        <row r="2315">
          <cell r="A2315" t="str">
            <v>Ishikawaite</v>
          </cell>
        </row>
        <row r="2316">
          <cell r="A2316" t="str">
            <v>Isochalcopyrite</v>
          </cell>
        </row>
        <row r="2317">
          <cell r="A2317" t="str">
            <v>Isoclasite</v>
          </cell>
        </row>
        <row r="2318">
          <cell r="A2318" t="str">
            <v>Isocubanite</v>
          </cell>
        </row>
        <row r="2319">
          <cell r="A2319" t="str">
            <v>Isoferroplatinum</v>
          </cell>
        </row>
        <row r="2320">
          <cell r="A2320" t="str">
            <v>Isolueshite</v>
          </cell>
        </row>
        <row r="2321">
          <cell r="A2321" t="str">
            <v>Isomertieite</v>
          </cell>
        </row>
        <row r="2322">
          <cell r="A2322" t="str">
            <v>Isovite</v>
          </cell>
        </row>
        <row r="2323">
          <cell r="A2323" t="str">
            <v>Itoigawaite</v>
          </cell>
        </row>
        <row r="2324">
          <cell r="A2324" t="str">
            <v>Itoite</v>
          </cell>
        </row>
        <row r="2325">
          <cell r="A2325" t="str">
            <v>Ivanyukite-Cu</v>
          </cell>
        </row>
        <row r="2326">
          <cell r="A2326" t="str">
            <v>Ivanyukite-K</v>
          </cell>
        </row>
        <row r="2327">
          <cell r="A2327" t="str">
            <v>Ivanyukite-Na</v>
          </cell>
        </row>
        <row r="2328">
          <cell r="A2328" t="str">
            <v>Iwakiite</v>
          </cell>
        </row>
        <row r="2329">
          <cell r="A2329" t="str">
            <v>Iwashiroite-(Y)</v>
          </cell>
        </row>
        <row r="2330">
          <cell r="A2330" t="str">
            <v>Ixiolite</v>
          </cell>
        </row>
        <row r="2331">
          <cell r="A2331" t="str">
            <v>Izoklakeite</v>
          </cell>
        </row>
        <row r="2332">
          <cell r="A2332" t="str">
            <v>Jachymovite</v>
          </cell>
        </row>
        <row r="2333">
          <cell r="A2333" t="str">
            <v>Jacobsite</v>
          </cell>
        </row>
        <row r="2334">
          <cell r="A2334" t="str">
            <v>Jacquesdietrichite</v>
          </cell>
        </row>
        <row r="2335">
          <cell r="A2335" t="str">
            <v>Jadarite</v>
          </cell>
        </row>
        <row r="2336">
          <cell r="A2336" t="str">
            <v>Jaffeite</v>
          </cell>
        </row>
        <row r="2337">
          <cell r="A2337" t="str">
            <v>Jagoite</v>
          </cell>
        </row>
        <row r="2338">
          <cell r="A2338" t="str">
            <v>Jagueite</v>
          </cell>
        </row>
        <row r="2339">
          <cell r="A2339" t="str">
            <v>Jahnsite-(CaFeFe)</v>
          </cell>
        </row>
        <row r="2340">
          <cell r="A2340" t="str">
            <v>Jahnsite-(CaMgMg)</v>
          </cell>
        </row>
        <row r="2341">
          <cell r="A2341" t="str">
            <v>Jahnsite-(CaMnFe)</v>
          </cell>
        </row>
        <row r="2342">
          <cell r="A2342" t="str">
            <v>Jahnsite-(CaMnMg)</v>
          </cell>
        </row>
        <row r="2343">
          <cell r="A2343" t="str">
            <v>Jahnsite-(CaMnMn)</v>
          </cell>
        </row>
        <row r="2344">
          <cell r="A2344" t="str">
            <v>Jahnsite-(MnMnMn)</v>
          </cell>
        </row>
        <row r="2345">
          <cell r="A2345" t="str">
            <v>Jahnsite-(NaFeMg)</v>
          </cell>
        </row>
        <row r="2346">
          <cell r="A2346" t="str">
            <v>Jahnsite-(NaMnMg)</v>
          </cell>
        </row>
        <row r="2347">
          <cell r="A2347" t="str">
            <v>Jaipurite</v>
          </cell>
        </row>
        <row r="2348">
          <cell r="A2348" t="str">
            <v>Jalpaite</v>
          </cell>
        </row>
        <row r="2349">
          <cell r="A2349" t="str">
            <v>Jamborite</v>
          </cell>
        </row>
        <row r="2350">
          <cell r="A2350" t="str">
            <v>Jamesonite</v>
          </cell>
        </row>
        <row r="2351">
          <cell r="A2351" t="str">
            <v>Janggunite</v>
          </cell>
        </row>
        <row r="2352">
          <cell r="A2352" t="str">
            <v>Janhaugite</v>
          </cell>
        </row>
        <row r="2353">
          <cell r="A2353" t="str">
            <v>Jankovicite</v>
          </cell>
        </row>
        <row r="2354">
          <cell r="A2354" t="str">
            <v>Jarandolite</v>
          </cell>
        </row>
        <row r="2355">
          <cell r="A2355" t="str">
            <v>Jarlite</v>
          </cell>
        </row>
        <row r="2356">
          <cell r="A2356" t="str">
            <v>Jarosite</v>
          </cell>
        </row>
        <row r="2357">
          <cell r="A2357" t="str">
            <v>Jaskolskiite</v>
          </cell>
        </row>
        <row r="2358">
          <cell r="A2358" t="str">
            <v>Jasmundite</v>
          </cell>
        </row>
        <row r="2359">
          <cell r="A2359" t="str">
            <v>Jeanbandyite</v>
          </cell>
        </row>
        <row r="2360">
          <cell r="A2360" t="str">
            <v>Jedwabite</v>
          </cell>
        </row>
        <row r="2361">
          <cell r="A2361" t="str">
            <v>Jeffreyite</v>
          </cell>
        </row>
        <row r="2362">
          <cell r="A2362" t="str">
            <v>Jennite</v>
          </cell>
        </row>
        <row r="2363">
          <cell r="A2363" t="str">
            <v>Jensenite</v>
          </cell>
        </row>
        <row r="2364">
          <cell r="A2364" t="str">
            <v>Jentschite</v>
          </cell>
        </row>
        <row r="2365">
          <cell r="A2365" t="str">
            <v>Jeppeite</v>
          </cell>
        </row>
        <row r="2366">
          <cell r="A2366" t="str">
            <v>Jeremejevite</v>
          </cell>
        </row>
        <row r="2367">
          <cell r="A2367" t="str">
            <v>Jeromite</v>
          </cell>
        </row>
        <row r="2368">
          <cell r="A2368" t="str">
            <v>Jerrygibbsite</v>
          </cell>
        </row>
        <row r="2369">
          <cell r="A2369" t="str">
            <v>Jianshuiite</v>
          </cell>
        </row>
        <row r="2370">
          <cell r="A2370" t="str">
            <v>Jimboite</v>
          </cell>
        </row>
        <row r="2371">
          <cell r="A2371" t="str">
            <v>Jimthompsonite</v>
          </cell>
        </row>
        <row r="2372">
          <cell r="A2372" t="str">
            <v>Jinshajiangite</v>
          </cell>
        </row>
        <row r="2373">
          <cell r="A2373" t="str">
            <v>Jixianite</v>
          </cell>
        </row>
        <row r="2374">
          <cell r="A2374" t="str">
            <v>Joaquinite-(Ce)</v>
          </cell>
        </row>
        <row r="2375">
          <cell r="A2375" t="str">
            <v>Joelbruggerite</v>
          </cell>
        </row>
        <row r="2376">
          <cell r="A2376" t="str">
            <v>Johachidolite</v>
          </cell>
        </row>
        <row r="2377">
          <cell r="A2377" t="str">
            <v>Johannite</v>
          </cell>
        </row>
        <row r="2378">
          <cell r="A2378" t="str">
            <v>Johillerite</v>
          </cell>
        </row>
        <row r="2379">
          <cell r="A2379" t="str">
            <v>Johninnesite</v>
          </cell>
        </row>
        <row r="2380">
          <cell r="A2380" t="str">
            <v>Johnsenite-(Ce)</v>
          </cell>
        </row>
        <row r="2381">
          <cell r="A2381" t="str">
            <v>Johnsomervilleite</v>
          </cell>
        </row>
        <row r="2382">
          <cell r="A2382" t="str">
            <v>Johnwalkite</v>
          </cell>
        </row>
        <row r="2383">
          <cell r="A2383" t="str">
            <v>Joliotite</v>
          </cell>
        </row>
        <row r="2384">
          <cell r="A2384" t="str">
            <v>Jolliffeite</v>
          </cell>
        </row>
        <row r="2385">
          <cell r="A2385" t="str">
            <v>Jonassonite</v>
          </cell>
        </row>
        <row r="2386">
          <cell r="A2386" t="str">
            <v>Jonesite</v>
          </cell>
        </row>
        <row r="2387">
          <cell r="A2387" t="str">
            <v>Jordanite</v>
          </cell>
        </row>
        <row r="2388">
          <cell r="A2388" t="str">
            <v>Jordisite</v>
          </cell>
        </row>
        <row r="2389">
          <cell r="A2389" t="str">
            <v>Jorgensenite</v>
          </cell>
        </row>
        <row r="2390">
          <cell r="A2390" t="str">
            <v>Joseite</v>
          </cell>
        </row>
        <row r="2391">
          <cell r="A2391" t="str">
            <v>Joseite-B</v>
          </cell>
        </row>
        <row r="2392">
          <cell r="A2392" t="str">
            <v>Jouravskite</v>
          </cell>
        </row>
        <row r="2393">
          <cell r="A2393" t="str">
            <v>Juabite</v>
          </cell>
        </row>
        <row r="2394">
          <cell r="A2394" t="str">
            <v>Juanitaite</v>
          </cell>
        </row>
        <row r="2395">
          <cell r="A2395" t="str">
            <v>Juanite</v>
          </cell>
        </row>
        <row r="2396">
          <cell r="A2396" t="str">
            <v>Julgoldite-(Fe++)</v>
          </cell>
        </row>
        <row r="2397">
          <cell r="A2397" t="str">
            <v>Julgoldite-(Fe+++)</v>
          </cell>
        </row>
        <row r="2398">
          <cell r="A2398" t="str">
            <v>Julienite</v>
          </cell>
        </row>
        <row r="2399">
          <cell r="A2399" t="str">
            <v>Jungite</v>
          </cell>
        </row>
        <row r="2400">
          <cell r="A2400" t="str">
            <v>Junitoite</v>
          </cell>
        </row>
        <row r="2401">
          <cell r="A2401" t="str">
            <v>Junoite</v>
          </cell>
        </row>
        <row r="2402">
          <cell r="A2402" t="str">
            <v>Juonniite</v>
          </cell>
        </row>
        <row r="2403">
          <cell r="A2403" t="str">
            <v>Jurbanite</v>
          </cell>
        </row>
        <row r="2404">
          <cell r="A2404" t="str">
            <v>Kaatialaite</v>
          </cell>
        </row>
        <row r="2405">
          <cell r="A2405" t="str">
            <v>Kadyrelite</v>
          </cell>
        </row>
        <row r="2406">
          <cell r="A2406" t="str">
            <v>Kafehydrocyanite</v>
          </cell>
        </row>
        <row r="2407">
          <cell r="A2407" t="str">
            <v>Kahlerite</v>
          </cell>
        </row>
        <row r="2408">
          <cell r="A2408" t="str">
            <v>Kainite</v>
          </cell>
        </row>
        <row r="2409">
          <cell r="A2409" t="str">
            <v>Kainosite-(Y)</v>
          </cell>
        </row>
        <row r="2410">
          <cell r="A2410" t="str">
            <v>Kalborsite</v>
          </cell>
        </row>
        <row r="2411">
          <cell r="A2411" t="str">
            <v>Kaliborite</v>
          </cell>
        </row>
        <row r="2412">
          <cell r="A2412" t="str">
            <v>Kalicinite</v>
          </cell>
        </row>
        <row r="2413">
          <cell r="A2413" t="str">
            <v>Kalifersite</v>
          </cell>
        </row>
        <row r="2414">
          <cell r="A2414" t="str">
            <v>Kalininite</v>
          </cell>
        </row>
        <row r="2415">
          <cell r="A2415" t="str">
            <v>Kaliophilite</v>
          </cell>
        </row>
        <row r="2416">
          <cell r="A2416" t="str">
            <v>Kalipyrochlore</v>
          </cell>
        </row>
        <row r="2417">
          <cell r="A2417" t="str">
            <v>Kalistrontite</v>
          </cell>
        </row>
        <row r="2418">
          <cell r="A2418" t="str">
            <v>Kalsilite</v>
          </cell>
        </row>
        <row r="2419">
          <cell r="A2419" t="str">
            <v>Kaluginite</v>
          </cell>
        </row>
        <row r="2420">
          <cell r="A2420" t="str">
            <v>Kalungaite</v>
          </cell>
        </row>
        <row r="2421">
          <cell r="A2421" t="str">
            <v>Kamacite</v>
          </cell>
        </row>
        <row r="2422">
          <cell r="A2422" t="str">
            <v>Kamaishilite</v>
          </cell>
        </row>
        <row r="2423">
          <cell r="A2423" t="str">
            <v>Kamarizaite</v>
          </cell>
        </row>
        <row r="2424">
          <cell r="A2424" t="str">
            <v>Kambaldaite</v>
          </cell>
        </row>
        <row r="2425">
          <cell r="A2425" t="str">
            <v>Kamchatkite</v>
          </cell>
        </row>
        <row r="2426">
          <cell r="A2426" t="str">
            <v>Kamiokite</v>
          </cell>
        </row>
        <row r="2427">
          <cell r="A2427" t="str">
            <v>Kamitugaite</v>
          </cell>
        </row>
        <row r="2428">
          <cell r="A2428" t="str">
            <v>Kamotoite-(Y)</v>
          </cell>
        </row>
        <row r="2429">
          <cell r="A2429" t="str">
            <v>Kampfite</v>
          </cell>
        </row>
        <row r="2430">
          <cell r="A2430" t="str">
            <v>Kamphaugite-(Y)</v>
          </cell>
        </row>
        <row r="2431">
          <cell r="A2431" t="str">
            <v>Kanemite</v>
          </cell>
        </row>
        <row r="2432">
          <cell r="A2432" t="str">
            <v>Kankite</v>
          </cell>
        </row>
        <row r="2433">
          <cell r="A2433" t="str">
            <v>Kanonaite</v>
          </cell>
        </row>
        <row r="2434">
          <cell r="A2434" t="str">
            <v>Kanonerovite</v>
          </cell>
        </row>
        <row r="2435">
          <cell r="A2435" t="str">
            <v>Kapellasite</v>
          </cell>
        </row>
        <row r="2436">
          <cell r="A2436" t="str">
            <v>Kapitsaite-(Y)</v>
          </cell>
        </row>
        <row r="2437">
          <cell r="A2437" t="str">
            <v>Kapustinite</v>
          </cell>
        </row>
        <row r="2438">
          <cell r="A2438" t="str">
            <v>Karasugite</v>
          </cell>
        </row>
        <row r="2439">
          <cell r="A2439" t="str">
            <v>Karchevskyite</v>
          </cell>
        </row>
        <row r="2440">
          <cell r="A2440" t="str">
            <v>Karelianite</v>
          </cell>
        </row>
        <row r="2441">
          <cell r="A2441" t="str">
            <v>Karibibite</v>
          </cell>
        </row>
        <row r="2442">
          <cell r="A2442" t="str">
            <v>Karlite</v>
          </cell>
        </row>
        <row r="2443">
          <cell r="A2443" t="str">
            <v>Karnasurtite-(Ce)</v>
          </cell>
        </row>
        <row r="2444">
          <cell r="A2444" t="str">
            <v>Karpatite</v>
          </cell>
        </row>
        <row r="2445">
          <cell r="A2445" t="str">
            <v>Karpinskite</v>
          </cell>
        </row>
        <row r="2446">
          <cell r="A2446" t="str">
            <v>Karupmollerite-Ca</v>
          </cell>
        </row>
        <row r="2447">
          <cell r="A2447" t="str">
            <v>Kashinite</v>
          </cell>
        </row>
        <row r="2448">
          <cell r="A2448" t="str">
            <v>Kasolite</v>
          </cell>
        </row>
        <row r="2449">
          <cell r="A2449" t="str">
            <v>Kassite</v>
          </cell>
        </row>
        <row r="2450">
          <cell r="A2450" t="str">
            <v>Kastningite</v>
          </cell>
        </row>
        <row r="2451">
          <cell r="A2451" t="str">
            <v>Katayamalite</v>
          </cell>
        </row>
        <row r="2452">
          <cell r="A2452" t="str">
            <v>Katoite</v>
          </cell>
        </row>
        <row r="2453">
          <cell r="A2453" t="str">
            <v>Katoptrite</v>
          </cell>
        </row>
        <row r="2454">
          <cell r="A2454" t="str">
            <v>Kawazulite</v>
          </cell>
        </row>
        <row r="2455">
          <cell r="A2455" t="str">
            <v>Kazakhstanite</v>
          </cell>
        </row>
        <row r="2456">
          <cell r="A2456" t="str">
            <v>Kazakovite</v>
          </cell>
        </row>
        <row r="2457">
          <cell r="A2457" t="str">
            <v>Keckite</v>
          </cell>
        </row>
        <row r="2458">
          <cell r="A2458" t="str">
            <v>Kegelite</v>
          </cell>
        </row>
        <row r="2459">
          <cell r="A2459" t="str">
            <v>Keilite</v>
          </cell>
        </row>
        <row r="2460">
          <cell r="A2460" t="str">
            <v>Keithconnite</v>
          </cell>
        </row>
        <row r="2461">
          <cell r="A2461" t="str">
            <v>Keiviite-(Y)</v>
          </cell>
        </row>
        <row r="2462">
          <cell r="A2462" t="str">
            <v>Keiviite-(Yb)</v>
          </cell>
        </row>
        <row r="2463">
          <cell r="A2463" t="str">
            <v>Keldyshite</v>
          </cell>
        </row>
        <row r="2464">
          <cell r="A2464" t="str">
            <v>Kellyite</v>
          </cell>
        </row>
        <row r="2465">
          <cell r="A2465" t="str">
            <v>Kelyanite</v>
          </cell>
        </row>
        <row r="2466">
          <cell r="A2466" t="str">
            <v>Kempite</v>
          </cell>
        </row>
        <row r="2467">
          <cell r="A2467" t="str">
            <v>Kenhsuite</v>
          </cell>
        </row>
        <row r="2468">
          <cell r="A2468" t="str">
            <v>Kentbrooksite</v>
          </cell>
        </row>
        <row r="2469">
          <cell r="A2469" t="str">
            <v>Kentrolite</v>
          </cell>
        </row>
        <row r="2470">
          <cell r="A2470" t="str">
            <v>Kenyaite</v>
          </cell>
        </row>
        <row r="2471">
          <cell r="A2471" t="str">
            <v>Kermesite</v>
          </cell>
        </row>
        <row r="2472">
          <cell r="A2472" t="str">
            <v>Kernite</v>
          </cell>
        </row>
        <row r="2473">
          <cell r="A2473" t="str">
            <v>Kerstenite</v>
          </cell>
        </row>
        <row r="2474">
          <cell r="A2474" t="str">
            <v>Kesterite</v>
          </cell>
        </row>
        <row r="2475">
          <cell r="A2475" t="str">
            <v>Kettnerite</v>
          </cell>
        </row>
        <row r="2476">
          <cell r="A2476" t="str">
            <v>Keyite</v>
          </cell>
        </row>
        <row r="2477">
          <cell r="A2477" t="str">
            <v>Keystoneite</v>
          </cell>
        </row>
        <row r="2478">
          <cell r="A2478" t="str">
            <v>Khademite</v>
          </cell>
        </row>
        <row r="2479">
          <cell r="A2479" t="str">
            <v>Khaidarkanite</v>
          </cell>
        </row>
        <row r="2480">
          <cell r="A2480" t="str">
            <v>Khamrabaevite</v>
          </cell>
        </row>
        <row r="2481">
          <cell r="A2481" t="str">
            <v>Khanneshite</v>
          </cell>
        </row>
        <row r="2482">
          <cell r="A2482" t="str">
            <v>Kharaelakhite</v>
          </cell>
        </row>
        <row r="2483">
          <cell r="A2483" t="str">
            <v>Khatyrkite</v>
          </cell>
        </row>
        <row r="2484">
          <cell r="A2484" t="str">
            <v>Khibinskite</v>
          </cell>
        </row>
        <row r="2485">
          <cell r="A2485" t="str">
            <v>Khinite</v>
          </cell>
        </row>
        <row r="2486">
          <cell r="A2486" t="str">
            <v>Khmaralite</v>
          </cell>
        </row>
        <row r="2487">
          <cell r="A2487" t="str">
            <v>Khomyakovite</v>
          </cell>
        </row>
        <row r="2488">
          <cell r="A2488" t="str">
            <v>Khristovite-(Ce)</v>
          </cell>
        </row>
        <row r="2489">
          <cell r="A2489" t="str">
            <v>Kiddcreekite</v>
          </cell>
        </row>
        <row r="2490">
          <cell r="A2490" t="str">
            <v>Kidwellite</v>
          </cell>
        </row>
        <row r="2491">
          <cell r="A2491" t="str">
            <v>Kieftite</v>
          </cell>
        </row>
        <row r="2492">
          <cell r="A2492" t="str">
            <v>Kilchoanite</v>
          </cell>
        </row>
        <row r="2493">
          <cell r="A2493" t="str">
            <v>Killalaite</v>
          </cell>
        </row>
        <row r="2494">
          <cell r="A2494" t="str">
            <v>Kimrobinsonite</v>
          </cell>
        </row>
        <row r="2495">
          <cell r="A2495" t="str">
            <v>Kimuraite-(Y)</v>
          </cell>
        </row>
        <row r="2496">
          <cell r="A2496" t="str">
            <v>Kimzeyite</v>
          </cell>
        </row>
        <row r="2497">
          <cell r="A2497" t="str">
            <v>Kingite</v>
          </cell>
        </row>
        <row r="2498">
          <cell r="A2498" t="str">
            <v>Kingsmountite</v>
          </cell>
        </row>
        <row r="2499">
          <cell r="A2499" t="str">
            <v>Kingstonite</v>
          </cell>
        </row>
        <row r="2500">
          <cell r="A2500" t="str">
            <v>Kinichilite</v>
          </cell>
        </row>
        <row r="2501">
          <cell r="A2501" t="str">
            <v>Kinoite</v>
          </cell>
        </row>
        <row r="2502">
          <cell r="A2502" t="str">
            <v>Kinoshitalite</v>
          </cell>
        </row>
        <row r="2503">
          <cell r="A2503" t="str">
            <v>Kipushite</v>
          </cell>
        </row>
        <row r="2504">
          <cell r="A2504" t="str">
            <v>Kirkiite</v>
          </cell>
        </row>
        <row r="2505">
          <cell r="A2505" t="str">
            <v>Kirschsteinite</v>
          </cell>
        </row>
        <row r="2506">
          <cell r="A2506" t="str">
            <v>Kitaibelite</v>
          </cell>
        </row>
        <row r="2507">
          <cell r="A2507" t="str">
            <v>Kitkaite</v>
          </cell>
        </row>
        <row r="2508">
          <cell r="A2508" t="str">
            <v>Kittatinnyite</v>
          </cell>
        </row>
        <row r="2509">
          <cell r="A2509" t="str">
            <v>Kivuite</v>
          </cell>
        </row>
        <row r="2510">
          <cell r="A2510" t="str">
            <v>Kladnoite</v>
          </cell>
        </row>
        <row r="2511">
          <cell r="A2511" t="str">
            <v>Klebelsbergite</v>
          </cell>
        </row>
        <row r="2512">
          <cell r="A2512" t="str">
            <v>Kleberite</v>
          </cell>
        </row>
        <row r="2513">
          <cell r="A2513" t="str">
            <v>Kleemanite</v>
          </cell>
        </row>
        <row r="2514">
          <cell r="A2514" t="str">
            <v>Kleinite</v>
          </cell>
        </row>
        <row r="2515">
          <cell r="A2515" t="str">
            <v>Klochite</v>
          </cell>
        </row>
        <row r="2516">
          <cell r="A2516" t="str">
            <v>Klockmannite</v>
          </cell>
        </row>
        <row r="2517">
          <cell r="A2517" t="str">
            <v>Klyuchevskite</v>
          </cell>
        </row>
        <row r="2518">
          <cell r="A2518" t="str">
            <v>Klyuchevskite-Duplicate</v>
          </cell>
        </row>
        <row r="2519">
          <cell r="A2519" t="str">
            <v>Knasibfite</v>
          </cell>
        </row>
        <row r="2520">
          <cell r="A2520" t="str">
            <v>Knorringite</v>
          </cell>
        </row>
        <row r="2521">
          <cell r="A2521" t="str">
            <v>Koashvite</v>
          </cell>
        </row>
        <row r="2522">
          <cell r="A2522" t="str">
            <v>Kobeite-(Y)</v>
          </cell>
        </row>
        <row r="2523">
          <cell r="A2523" t="str">
            <v>Kobellite</v>
          </cell>
        </row>
        <row r="2524">
          <cell r="A2524" t="str">
            <v>Kochite</v>
          </cell>
        </row>
        <row r="2525">
          <cell r="A2525" t="str">
            <v>Kochkarite</v>
          </cell>
        </row>
        <row r="2526">
          <cell r="A2526" t="str">
            <v>Kochsandorite</v>
          </cell>
        </row>
        <row r="2527">
          <cell r="A2527" t="str">
            <v>Koechlinite</v>
          </cell>
        </row>
        <row r="2528">
          <cell r="A2528" t="str">
            <v>Koenenite</v>
          </cell>
        </row>
        <row r="2529">
          <cell r="A2529" t="str">
            <v>Kogarkoite</v>
          </cell>
        </row>
        <row r="2530">
          <cell r="A2530" t="str">
            <v>Kokchetavite</v>
          </cell>
        </row>
        <row r="2531">
          <cell r="A2531" t="str">
            <v>Kolarite</v>
          </cell>
        </row>
        <row r="2532">
          <cell r="A2532" t="str">
            <v>Kolbeckite</v>
          </cell>
        </row>
        <row r="2533">
          <cell r="A2533" t="str">
            <v>Kolfanite</v>
          </cell>
        </row>
        <row r="2534">
          <cell r="A2534" t="str">
            <v>Kolovratite</v>
          </cell>
        </row>
        <row r="2535">
          <cell r="A2535" t="str">
            <v>Kolwezite</v>
          </cell>
        </row>
        <row r="2536">
          <cell r="A2536" t="str">
            <v>Kolymite</v>
          </cell>
        </row>
        <row r="2537">
          <cell r="A2537" t="str">
            <v>Komarovite</v>
          </cell>
        </row>
        <row r="2538">
          <cell r="A2538" t="str">
            <v>Komkovite</v>
          </cell>
        </row>
        <row r="2539">
          <cell r="A2539" t="str">
            <v>Konderite</v>
          </cell>
        </row>
        <row r="2540">
          <cell r="A2540" t="str">
            <v>Koninckite</v>
          </cell>
        </row>
        <row r="2541">
          <cell r="A2541" t="str">
            <v>Koragoite</v>
          </cell>
        </row>
        <row r="2542">
          <cell r="A2542" t="str">
            <v>Koritnigite</v>
          </cell>
        </row>
        <row r="2543">
          <cell r="A2543" t="str">
            <v>Kornerupine</v>
          </cell>
        </row>
        <row r="2544">
          <cell r="A2544" t="str">
            <v>Korobitsynite</v>
          </cell>
        </row>
        <row r="2545">
          <cell r="A2545" t="str">
            <v>Korshunovskite</v>
          </cell>
        </row>
        <row r="2546">
          <cell r="A2546" t="str">
            <v>Korzhinskite</v>
          </cell>
        </row>
        <row r="2547">
          <cell r="A2547" t="str">
            <v>Kosnarite</v>
          </cell>
        </row>
        <row r="2548">
          <cell r="A2548" t="str">
            <v>Kostovite</v>
          </cell>
        </row>
        <row r="2549">
          <cell r="A2549" t="str">
            <v>Kostylevite</v>
          </cell>
        </row>
        <row r="2550">
          <cell r="A2550" t="str">
            <v>Kotoite</v>
          </cell>
        </row>
        <row r="2551">
          <cell r="A2551" t="str">
            <v>Kottigite</v>
          </cell>
        </row>
        <row r="2552">
          <cell r="A2552" t="str">
            <v>Kotulskite</v>
          </cell>
        </row>
        <row r="2553">
          <cell r="A2553" t="str">
            <v>Koutekite</v>
          </cell>
        </row>
        <row r="2554">
          <cell r="A2554" t="str">
            <v>Kovdorskite</v>
          </cell>
        </row>
        <row r="2555">
          <cell r="A2555" t="str">
            <v>Kozoite-(La)</v>
          </cell>
        </row>
        <row r="2556">
          <cell r="A2556" t="str">
            <v>Kozoite-(Nd)</v>
          </cell>
        </row>
        <row r="2557">
          <cell r="A2557" t="str">
            <v>Krasnogorite</v>
          </cell>
        </row>
        <row r="2558">
          <cell r="A2558" t="str">
            <v>Krasnoselskite</v>
          </cell>
        </row>
        <row r="2559">
          <cell r="A2559" t="str">
            <v>Krasnovite</v>
          </cell>
        </row>
        <row r="2560">
          <cell r="A2560" t="str">
            <v>Kratochvilite</v>
          </cell>
        </row>
        <row r="2561">
          <cell r="A2561" t="str">
            <v>Krauskopfite</v>
          </cell>
        </row>
        <row r="2562">
          <cell r="A2562" t="str">
            <v>Krautite</v>
          </cell>
        </row>
        <row r="2563">
          <cell r="A2563" t="str">
            <v>Kremersite</v>
          </cell>
        </row>
        <row r="2564">
          <cell r="A2564" t="str">
            <v>Krennerite</v>
          </cell>
        </row>
        <row r="2565">
          <cell r="A2565" t="str">
            <v>Krettnichite</v>
          </cell>
        </row>
        <row r="2566">
          <cell r="A2566" t="str">
            <v>Kribergite</v>
          </cell>
        </row>
        <row r="2567">
          <cell r="A2567" t="str">
            <v>Krieselite</v>
          </cell>
        </row>
        <row r="2568">
          <cell r="A2568" t="str">
            <v>Krinovite</v>
          </cell>
        </row>
        <row r="2569">
          <cell r="A2569" t="str">
            <v>Kristiansenite</v>
          </cell>
        </row>
        <row r="2570">
          <cell r="A2570" t="str">
            <v>Krivovichevite</v>
          </cell>
        </row>
        <row r="2571">
          <cell r="A2571" t="str">
            <v>Krupkaite</v>
          </cell>
        </row>
        <row r="2572">
          <cell r="A2572" t="str">
            <v>Krutaite</v>
          </cell>
        </row>
        <row r="2573">
          <cell r="A2573" t="str">
            <v>Krutovite</v>
          </cell>
        </row>
        <row r="2574">
          <cell r="A2574" t="str">
            <v>Kryzhanovskite</v>
          </cell>
        </row>
        <row r="2575">
          <cell r="A2575" t="str">
            <v>Ktenasite</v>
          </cell>
        </row>
        <row r="2576">
          <cell r="A2576" t="str">
            <v>Kudriavite</v>
          </cell>
        </row>
        <row r="2577">
          <cell r="A2577" t="str">
            <v>Kukharenkoite-(Ce)</v>
          </cell>
        </row>
        <row r="2578">
          <cell r="A2578" t="str">
            <v>Kukharenkoite-(La)</v>
          </cell>
        </row>
        <row r="2579">
          <cell r="A2579" t="str">
            <v>Kukisvumite</v>
          </cell>
        </row>
        <row r="2580">
          <cell r="A2580" t="str">
            <v>Kuliokite-(Y)</v>
          </cell>
        </row>
        <row r="2581">
          <cell r="A2581" t="str">
            <v>Kulkeite</v>
          </cell>
        </row>
        <row r="2582">
          <cell r="A2582" t="str">
            <v>Kullerudite</v>
          </cell>
        </row>
        <row r="2583">
          <cell r="A2583" t="str">
            <v>Kumdykolite</v>
          </cell>
        </row>
        <row r="2584">
          <cell r="A2584" t="str">
            <v>Kumtyubeite</v>
          </cell>
        </row>
        <row r="2585">
          <cell r="A2585" t="str">
            <v>Kunatite</v>
          </cell>
        </row>
        <row r="2586">
          <cell r="A2586" t="str">
            <v>Kupcikite</v>
          </cell>
        </row>
        <row r="2587">
          <cell r="A2587" t="str">
            <v>Kupletskite</v>
          </cell>
        </row>
        <row r="2588">
          <cell r="A2588" t="str">
            <v>Kupletskite-(Cs)</v>
          </cell>
        </row>
        <row r="2589">
          <cell r="A2589" t="str">
            <v>Kuramite</v>
          </cell>
        </row>
        <row r="2590">
          <cell r="A2590" t="str">
            <v>Kuranakhite</v>
          </cell>
        </row>
        <row r="2591">
          <cell r="A2591" t="str">
            <v>Kurchatovite</v>
          </cell>
        </row>
        <row r="2592">
          <cell r="A2592" t="str">
            <v>Kurgantaite</v>
          </cell>
        </row>
        <row r="2593">
          <cell r="A2593" t="str">
            <v>Kurilite</v>
          </cell>
        </row>
        <row r="2594">
          <cell r="A2594" t="str">
            <v>Kurnakovite</v>
          </cell>
        </row>
        <row r="2595">
          <cell r="A2595" t="str">
            <v>Kurumsakite</v>
          </cell>
        </row>
        <row r="2596">
          <cell r="A2596" t="str">
            <v>Kusachiite</v>
          </cell>
        </row>
        <row r="2597">
          <cell r="A2597" t="str">
            <v>Kushiroite</v>
          </cell>
        </row>
        <row r="2598">
          <cell r="A2598" t="str">
            <v>Kutinaite</v>
          </cell>
        </row>
        <row r="2599">
          <cell r="A2599" t="str">
            <v>Kuzelite</v>
          </cell>
        </row>
        <row r="2600">
          <cell r="A2600" t="str">
            <v>Kuzmenkoite-Mn</v>
          </cell>
        </row>
        <row r="2601">
          <cell r="A2601" t="str">
            <v>Kuzmenkoite-Zn</v>
          </cell>
        </row>
        <row r="2602">
          <cell r="A2602" t="str">
            <v>Kuzminite</v>
          </cell>
        </row>
        <row r="2603">
          <cell r="A2603" t="str">
            <v>Kvanefjeldite</v>
          </cell>
        </row>
        <row r="2604">
          <cell r="A2604" t="str">
            <v>Kyanite</v>
          </cell>
        </row>
        <row r="2605">
          <cell r="A2605" t="str">
            <v>Kyanoxalite</v>
          </cell>
        </row>
        <row r="2606">
          <cell r="A2606" t="str">
            <v>Kyrgyzstanite</v>
          </cell>
        </row>
        <row r="2607">
          <cell r="A2607" t="str">
            <v>Kyzylkumite</v>
          </cell>
        </row>
        <row r="2608">
          <cell r="A2608" t="str">
            <v>Labuntsovite-Fe</v>
          </cell>
        </row>
        <row r="2609">
          <cell r="A2609" t="str">
            <v>Labuntsovite-Mg</v>
          </cell>
        </row>
        <row r="2610">
          <cell r="A2610" t="str">
            <v>Labuntsovite-Mn</v>
          </cell>
        </row>
        <row r="2611">
          <cell r="A2611" t="str">
            <v>Labyrinthite</v>
          </cell>
        </row>
        <row r="2612">
          <cell r="A2612" t="str">
            <v>Laffittite</v>
          </cell>
        </row>
        <row r="2613">
          <cell r="A2613" t="str">
            <v>Laflammeite</v>
          </cell>
        </row>
        <row r="2614">
          <cell r="A2614" t="str">
            <v>Laforetite</v>
          </cell>
        </row>
        <row r="2615">
          <cell r="A2615" t="str">
            <v>Lafossaite</v>
          </cell>
        </row>
        <row r="2616">
          <cell r="A2616" t="str">
            <v>Laitakarite</v>
          </cell>
        </row>
        <row r="2617">
          <cell r="A2617" t="str">
            <v>Lakargiite</v>
          </cell>
        </row>
        <row r="2618">
          <cell r="A2618" t="str">
            <v>Lakebogaite</v>
          </cell>
        </row>
        <row r="2619">
          <cell r="A2619" t="str">
            <v>Lalondeite</v>
          </cell>
        </row>
        <row r="2620">
          <cell r="A2620" t="str">
            <v>Lammerite</v>
          </cell>
        </row>
        <row r="2621">
          <cell r="A2621" t="str">
            <v>Lamprophyllite</v>
          </cell>
        </row>
        <row r="2622">
          <cell r="A2622" t="str">
            <v>Lanarkite</v>
          </cell>
        </row>
        <row r="2623">
          <cell r="A2623" t="str">
            <v>Landauite</v>
          </cell>
        </row>
        <row r="2624">
          <cell r="A2624" t="str">
            <v>Landesite</v>
          </cell>
        </row>
        <row r="2625">
          <cell r="A2625" t="str">
            <v>Langbanite</v>
          </cell>
        </row>
        <row r="2626">
          <cell r="A2626" t="str">
            <v>Langbeinite</v>
          </cell>
        </row>
        <row r="2627">
          <cell r="A2627" t="str">
            <v>Langisite</v>
          </cell>
        </row>
        <row r="2628">
          <cell r="A2628" t="str">
            <v>Langite</v>
          </cell>
        </row>
        <row r="2629">
          <cell r="A2629" t="str">
            <v>Lannonite</v>
          </cell>
        </row>
        <row r="2630">
          <cell r="A2630" t="str">
            <v>Lansfordite</v>
          </cell>
        </row>
        <row r="2631">
          <cell r="A2631" t="str">
            <v>Lanthanite-(Ce)</v>
          </cell>
        </row>
        <row r="2632">
          <cell r="A2632" t="str">
            <v>Lanthanite-(La)</v>
          </cell>
        </row>
        <row r="2633">
          <cell r="A2633" t="str">
            <v>Lanthanite-(Nd)</v>
          </cell>
        </row>
        <row r="2634">
          <cell r="A2634" t="str">
            <v>Lapeyreite</v>
          </cell>
        </row>
        <row r="2635">
          <cell r="A2635" t="str">
            <v>Laphamite</v>
          </cell>
        </row>
        <row r="2636">
          <cell r="A2636" t="str">
            <v>Lapieite</v>
          </cell>
        </row>
        <row r="2637">
          <cell r="A2637" t="str">
            <v>Laplandite-(Ce)</v>
          </cell>
        </row>
        <row r="2638">
          <cell r="A2638" t="str">
            <v>Larderellite</v>
          </cell>
        </row>
        <row r="2639">
          <cell r="A2639" t="str">
            <v>Larisaite</v>
          </cell>
        </row>
        <row r="2640">
          <cell r="A2640" t="str">
            <v>Larnite</v>
          </cell>
        </row>
        <row r="2641">
          <cell r="A2641" t="str">
            <v>Larosite</v>
          </cell>
        </row>
        <row r="2642">
          <cell r="A2642" t="str">
            <v>Larsenite</v>
          </cell>
        </row>
        <row r="2643">
          <cell r="A2643" t="str">
            <v>Lasalite</v>
          </cell>
        </row>
        <row r="2644">
          <cell r="A2644" t="str">
            <v>Latiumite</v>
          </cell>
        </row>
        <row r="2645">
          <cell r="A2645" t="str">
            <v>Latrappite</v>
          </cell>
        </row>
        <row r="2646">
          <cell r="A2646" t="str">
            <v>Laubmannite</v>
          </cell>
        </row>
        <row r="2647">
          <cell r="A2647" t="str">
            <v>Laueite</v>
          </cell>
        </row>
        <row r="2648">
          <cell r="A2648" t="str">
            <v>Laumontite</v>
          </cell>
        </row>
        <row r="2649">
          <cell r="A2649" t="str">
            <v>Launayite</v>
          </cell>
        </row>
        <row r="2650">
          <cell r="A2650" t="str">
            <v>Laurelite</v>
          </cell>
        </row>
        <row r="2651">
          <cell r="A2651" t="str">
            <v>Laurionite</v>
          </cell>
        </row>
        <row r="2652">
          <cell r="A2652" t="str">
            <v>Laurite</v>
          </cell>
        </row>
        <row r="2653">
          <cell r="A2653" t="str">
            <v>Lautarite</v>
          </cell>
        </row>
        <row r="2654">
          <cell r="A2654" t="str">
            <v>Lautenthalite</v>
          </cell>
        </row>
        <row r="2655">
          <cell r="A2655" t="str">
            <v>Lautite</v>
          </cell>
        </row>
        <row r="2656">
          <cell r="A2656" t="str">
            <v>Lavendulan</v>
          </cell>
        </row>
        <row r="2657">
          <cell r="A2657" t="str">
            <v>Lavenite</v>
          </cell>
        </row>
        <row r="2658">
          <cell r="A2658" t="str">
            <v>Lavrentievite</v>
          </cell>
        </row>
        <row r="2659">
          <cell r="A2659" t="str">
            <v>Lawrencite</v>
          </cell>
        </row>
        <row r="2660">
          <cell r="A2660" t="str">
            <v>Lawsonbauerite</v>
          </cell>
        </row>
        <row r="2661">
          <cell r="A2661" t="str">
            <v>Lawsonite</v>
          </cell>
        </row>
        <row r="2662">
          <cell r="A2662" t="str">
            <v>Lazarenkoite</v>
          </cell>
        </row>
        <row r="2663">
          <cell r="A2663" t="str">
            <v>Lazurite</v>
          </cell>
        </row>
        <row r="2664">
          <cell r="A2664" t="str">
            <v>Lead</v>
          </cell>
        </row>
        <row r="2665">
          <cell r="A2665" t="str">
            <v>Leadamalgam</v>
          </cell>
        </row>
        <row r="2666">
          <cell r="A2666" t="str">
            <v>Leadhillite</v>
          </cell>
        </row>
        <row r="2667">
          <cell r="A2667" t="str">
            <v>Lechatelierite</v>
          </cell>
        </row>
        <row r="2668">
          <cell r="A2668" t="str">
            <v>Legrandite</v>
          </cell>
        </row>
        <row r="2669">
          <cell r="A2669" t="str">
            <v>Lehnerite</v>
          </cell>
        </row>
        <row r="2670">
          <cell r="A2670" t="str">
            <v>Leifite</v>
          </cell>
        </row>
        <row r="2671">
          <cell r="A2671" t="str">
            <v>Leisingite</v>
          </cell>
        </row>
        <row r="2672">
          <cell r="A2672" t="str">
            <v>Leiteite</v>
          </cell>
        </row>
        <row r="2673">
          <cell r="A2673" t="str">
            <v>Lemanskiite</v>
          </cell>
        </row>
        <row r="2674">
          <cell r="A2674" t="str">
            <v>Lemmleinite-Ba</v>
          </cell>
        </row>
        <row r="2675">
          <cell r="A2675" t="str">
            <v>Lemmleinite-K</v>
          </cell>
        </row>
        <row r="2676">
          <cell r="A2676" t="str">
            <v>Lemoynite</v>
          </cell>
        </row>
        <row r="2677">
          <cell r="A2677" t="str">
            <v>Lenaite</v>
          </cell>
        </row>
        <row r="2678">
          <cell r="A2678" t="str">
            <v>Lengenbachite</v>
          </cell>
        </row>
        <row r="2679">
          <cell r="A2679" t="str">
            <v>Lennilenapeite</v>
          </cell>
        </row>
        <row r="2680">
          <cell r="A2680" t="str">
            <v>Lenoblite</v>
          </cell>
        </row>
        <row r="2681">
          <cell r="A2681" t="str">
            <v>Leogangite</v>
          </cell>
        </row>
        <row r="2682">
          <cell r="A2682" t="str">
            <v>Lepersonnite-(Gd)</v>
          </cell>
        </row>
        <row r="2683">
          <cell r="A2683" t="str">
            <v>Lepidocrocite</v>
          </cell>
        </row>
        <row r="2684">
          <cell r="A2684" t="str">
            <v>Lepidolite</v>
          </cell>
        </row>
        <row r="2685">
          <cell r="A2685" t="str">
            <v>Lepkhenelmite-Zn</v>
          </cell>
        </row>
        <row r="2686">
          <cell r="A2686" t="str">
            <v>Lermontovite</v>
          </cell>
        </row>
        <row r="2687">
          <cell r="A2687" t="str">
            <v>Lesukite</v>
          </cell>
        </row>
        <row r="2688">
          <cell r="A2688" t="str">
            <v>Letovicite</v>
          </cell>
        </row>
        <row r="2689">
          <cell r="A2689" t="str">
            <v>Leucite</v>
          </cell>
        </row>
        <row r="2690">
          <cell r="A2690" t="str">
            <v>Leucophanite</v>
          </cell>
        </row>
        <row r="2691">
          <cell r="A2691" t="str">
            <v>Leucophoenicite</v>
          </cell>
        </row>
        <row r="2692">
          <cell r="A2692" t="str">
            <v>Leucophosphite</v>
          </cell>
        </row>
        <row r="2693">
          <cell r="A2693" t="str">
            <v>Leucosphenite</v>
          </cell>
        </row>
        <row r="2694">
          <cell r="A2694" t="str">
            <v>Levinsonite-(Y)</v>
          </cell>
        </row>
        <row r="2695">
          <cell r="A2695" t="str">
            <v>Levyclaudite</v>
          </cell>
        </row>
        <row r="2696">
          <cell r="A2696" t="str">
            <v>Levyne-Ca</v>
          </cell>
        </row>
        <row r="2697">
          <cell r="A2697" t="str">
            <v>Levyne-Na</v>
          </cell>
        </row>
        <row r="2698">
          <cell r="A2698" t="str">
            <v>Lewisite</v>
          </cell>
        </row>
        <row r="2699">
          <cell r="A2699" t="str">
            <v>Liandratite</v>
          </cell>
        </row>
        <row r="2700">
          <cell r="A2700" t="str">
            <v>Liberite</v>
          </cell>
        </row>
        <row r="2701">
          <cell r="A2701" t="str">
            <v>Liddicoatite</v>
          </cell>
        </row>
        <row r="2702">
          <cell r="A2702" t="str">
            <v>Liebauite</v>
          </cell>
        </row>
        <row r="2703">
          <cell r="A2703" t="str">
            <v>Liebigite</v>
          </cell>
        </row>
        <row r="2704">
          <cell r="A2704" t="str">
            <v>Likasite</v>
          </cell>
        </row>
        <row r="2705">
          <cell r="A2705" t="str">
            <v>Lillianite</v>
          </cell>
        </row>
        <row r="2706">
          <cell r="A2706" t="str">
            <v>Lime</v>
          </cell>
        </row>
        <row r="2707">
          <cell r="A2707" t="str">
            <v>Linarite</v>
          </cell>
        </row>
        <row r="2708">
          <cell r="A2708" t="str">
            <v>Lindackerite</v>
          </cell>
        </row>
        <row r="2709">
          <cell r="A2709" t="str">
            <v>Lindbergite</v>
          </cell>
        </row>
        <row r="2710">
          <cell r="A2710" t="str">
            <v>Lindgrenite</v>
          </cell>
        </row>
        <row r="2711">
          <cell r="A2711" t="str">
            <v>Lindqvistite</v>
          </cell>
        </row>
        <row r="2712">
          <cell r="A2712" t="str">
            <v>Lindsleyite</v>
          </cell>
        </row>
        <row r="2713">
          <cell r="A2713" t="str">
            <v>Lindstromite</v>
          </cell>
        </row>
        <row r="2714">
          <cell r="A2714" t="str">
            <v>Lingunite</v>
          </cell>
        </row>
        <row r="2715">
          <cell r="A2715" t="str">
            <v>Linnaeite</v>
          </cell>
        </row>
        <row r="2716">
          <cell r="A2716" t="str">
            <v>Lintisite</v>
          </cell>
        </row>
        <row r="2717">
          <cell r="A2717" t="str">
            <v>Liottite</v>
          </cell>
        </row>
        <row r="2718">
          <cell r="A2718" t="str">
            <v>Liroconite</v>
          </cell>
        </row>
        <row r="2719">
          <cell r="A2719" t="str">
            <v>Lisetite</v>
          </cell>
        </row>
        <row r="2720">
          <cell r="A2720" t="str">
            <v>Lisiguangite</v>
          </cell>
        </row>
        <row r="2721">
          <cell r="A2721" t="str">
            <v>Lisitsynite</v>
          </cell>
        </row>
        <row r="2722">
          <cell r="A2722" t="str">
            <v>Liskeardite</v>
          </cell>
        </row>
        <row r="2723">
          <cell r="A2723" t="str">
            <v>Litharge</v>
          </cell>
        </row>
        <row r="2724">
          <cell r="A2724" t="str">
            <v>Lithiomarsturite</v>
          </cell>
        </row>
        <row r="2725">
          <cell r="A2725" t="str">
            <v>Lithiophilite</v>
          </cell>
        </row>
        <row r="2726">
          <cell r="A2726" t="str">
            <v>Lithiophorite</v>
          </cell>
        </row>
        <row r="2727">
          <cell r="A2727" t="str">
            <v>Lithiophosphate</v>
          </cell>
        </row>
        <row r="2728">
          <cell r="A2728" t="str">
            <v>Lithiotantite</v>
          </cell>
        </row>
        <row r="2729">
          <cell r="A2729" t="str">
            <v>Lithiowodginite</v>
          </cell>
        </row>
        <row r="2730">
          <cell r="A2730" t="str">
            <v>Lithosite</v>
          </cell>
        </row>
        <row r="2731">
          <cell r="A2731" t="str">
            <v>Litidionite</v>
          </cell>
        </row>
        <row r="2732">
          <cell r="A2732" t="str">
            <v>Litvinskite</v>
          </cell>
        </row>
        <row r="2733">
          <cell r="A2733" t="str">
            <v>Liveingite</v>
          </cell>
        </row>
        <row r="2734">
          <cell r="A2734" t="str">
            <v>Livingstonite</v>
          </cell>
        </row>
        <row r="2735">
          <cell r="A2735" t="str">
            <v>Lokkaite-(Y)</v>
          </cell>
        </row>
        <row r="2736">
          <cell r="A2736" t="str">
            <v>Lollingite</v>
          </cell>
        </row>
        <row r="2737">
          <cell r="A2737" t="str">
            <v>Lomonosovite</v>
          </cell>
        </row>
        <row r="2738">
          <cell r="A2738" t="str">
            <v>Londonite</v>
          </cell>
        </row>
        <row r="2739">
          <cell r="A2739" t="str">
            <v>Lonsdaleite</v>
          </cell>
        </row>
        <row r="2740">
          <cell r="A2740" t="str">
            <v>Loparite-(Ce)</v>
          </cell>
        </row>
        <row r="2741">
          <cell r="A2741" t="str">
            <v>Lopezite</v>
          </cell>
        </row>
        <row r="2742">
          <cell r="A2742" t="str">
            <v>Lorandite</v>
          </cell>
        </row>
        <row r="2743">
          <cell r="A2743" t="str">
            <v>Loranskite-(Y)</v>
          </cell>
        </row>
        <row r="2744">
          <cell r="A2744" t="str">
            <v>Lorenzenite</v>
          </cell>
        </row>
        <row r="2745">
          <cell r="A2745" t="str">
            <v>Lorettoite</v>
          </cell>
        </row>
        <row r="2746">
          <cell r="A2746" t="str">
            <v>Loseyite</v>
          </cell>
        </row>
        <row r="2747">
          <cell r="A2747" t="str">
            <v>Lotharmeyerite</v>
          </cell>
        </row>
        <row r="2748">
          <cell r="A2748" t="str">
            <v>Loudounite</v>
          </cell>
        </row>
        <row r="2749">
          <cell r="A2749" t="str">
            <v>Loughlinite</v>
          </cell>
        </row>
        <row r="2750">
          <cell r="A2750" t="str">
            <v>Lourenswalsite</v>
          </cell>
        </row>
        <row r="2751">
          <cell r="A2751" t="str">
            <v>Lovdarite</v>
          </cell>
        </row>
        <row r="2752">
          <cell r="A2752" t="str">
            <v>Loveringite</v>
          </cell>
        </row>
        <row r="2753">
          <cell r="A2753" t="str">
            <v>Lovozerite</v>
          </cell>
        </row>
        <row r="2754">
          <cell r="A2754" t="str">
            <v>Luanheite</v>
          </cell>
        </row>
        <row r="2755">
          <cell r="A2755" t="str">
            <v>Luberoite</v>
          </cell>
        </row>
        <row r="2756">
          <cell r="A2756" t="str">
            <v>Lucasite-(Ce)</v>
          </cell>
        </row>
        <row r="2757">
          <cell r="A2757" t="str">
            <v>Luddenite</v>
          </cell>
        </row>
        <row r="2758">
          <cell r="A2758" t="str">
            <v>Ludlamite</v>
          </cell>
        </row>
        <row r="2759">
          <cell r="A2759" t="str">
            <v>Ludlockite</v>
          </cell>
        </row>
        <row r="2760">
          <cell r="A2760" t="str">
            <v>Ludlockite-(Pb)</v>
          </cell>
        </row>
        <row r="2761">
          <cell r="A2761" t="str">
            <v>Ludwigite</v>
          </cell>
        </row>
        <row r="2762">
          <cell r="A2762" t="str">
            <v>Lueshite</v>
          </cell>
        </row>
        <row r="2763">
          <cell r="A2763" t="str">
            <v>Luetheite</v>
          </cell>
        </row>
        <row r="2764">
          <cell r="A2764" t="str">
            <v>Lukechangite-(Ce)</v>
          </cell>
        </row>
        <row r="2765">
          <cell r="A2765" t="str">
            <v>Lukrahnite</v>
          </cell>
        </row>
        <row r="2766">
          <cell r="A2766" t="str">
            <v>Luneburgite</v>
          </cell>
        </row>
        <row r="2767">
          <cell r="A2767" t="str">
            <v>Lunijianlaite</v>
          </cell>
        </row>
        <row r="2768">
          <cell r="A2768" t="str">
            <v>Lunokite</v>
          </cell>
        </row>
        <row r="2769">
          <cell r="A2769" t="str">
            <v>Luobusaite</v>
          </cell>
        </row>
        <row r="2770">
          <cell r="A2770" t="str">
            <v>Lusungite</v>
          </cell>
        </row>
        <row r="2771">
          <cell r="A2771" t="str">
            <v>Lutecite</v>
          </cell>
        </row>
        <row r="2772">
          <cell r="A2772" t="str">
            <v>Luzonite</v>
          </cell>
        </row>
        <row r="2773">
          <cell r="A2773" t="str">
            <v>Lyonsite</v>
          </cell>
        </row>
        <row r="2774">
          <cell r="A2774" t="str">
            <v>Macaulayite</v>
          </cell>
        </row>
        <row r="2775">
          <cell r="A2775" t="str">
            <v>Macdonaldite</v>
          </cell>
        </row>
        <row r="2776">
          <cell r="A2776" t="str">
            <v>Macedonite</v>
          </cell>
        </row>
        <row r="2777">
          <cell r="A2777" t="str">
            <v>Macfallite</v>
          </cell>
        </row>
        <row r="2778">
          <cell r="A2778" t="str">
            <v>Machatschkiite</v>
          </cell>
        </row>
        <row r="2779">
          <cell r="A2779" t="str">
            <v>Mackayite</v>
          </cell>
        </row>
        <row r="2780">
          <cell r="A2780" t="str">
            <v>Mackelveyite-(Y)</v>
          </cell>
        </row>
        <row r="2781">
          <cell r="A2781" t="str">
            <v>Mackinawite</v>
          </cell>
        </row>
        <row r="2782">
          <cell r="A2782" t="str">
            <v>Macphersonite</v>
          </cell>
        </row>
        <row r="2783">
          <cell r="A2783" t="str">
            <v>Macquartite</v>
          </cell>
        </row>
        <row r="2784">
          <cell r="A2784" t="str">
            <v>Madocite</v>
          </cell>
        </row>
        <row r="2785">
          <cell r="A2785" t="str">
            <v>Magadiite</v>
          </cell>
        </row>
        <row r="2786">
          <cell r="A2786" t="str">
            <v>Magbasite</v>
          </cell>
        </row>
        <row r="2787">
          <cell r="A2787" t="str">
            <v>Maghagendorfite</v>
          </cell>
        </row>
        <row r="2788">
          <cell r="A2788" t="str">
            <v>Maghemite</v>
          </cell>
        </row>
        <row r="2789">
          <cell r="A2789" t="str">
            <v>Maghrebite</v>
          </cell>
        </row>
        <row r="2790">
          <cell r="A2790" t="str">
            <v>Magnesioastrophyllite</v>
          </cell>
        </row>
        <row r="2791">
          <cell r="A2791" t="str">
            <v>Magnesioaubertite</v>
          </cell>
        </row>
        <row r="2792">
          <cell r="A2792" t="str">
            <v>Magnesiocarpholite</v>
          </cell>
        </row>
        <row r="2793">
          <cell r="A2793" t="str">
            <v>Magnesiochloritoid</v>
          </cell>
        </row>
        <row r="2794">
          <cell r="A2794" t="str">
            <v>Magnesiochromite</v>
          </cell>
        </row>
        <row r="2795">
          <cell r="A2795" t="str">
            <v>Magnesioclinoholmquistite</v>
          </cell>
        </row>
        <row r="2796">
          <cell r="A2796" t="str">
            <v>Magnesiocopiapite</v>
          </cell>
        </row>
        <row r="2797">
          <cell r="A2797" t="str">
            <v>Magnesiocoulsonite</v>
          </cell>
        </row>
        <row r="2798">
          <cell r="A2798" t="str">
            <v>Magnesiodumortierite</v>
          </cell>
        </row>
        <row r="2799">
          <cell r="A2799" t="str">
            <v>Magnesioferrite</v>
          </cell>
        </row>
        <row r="2800">
          <cell r="A2800" t="str">
            <v>Magnesiofoitite</v>
          </cell>
        </row>
        <row r="2801">
          <cell r="A2801" t="str">
            <v>Magnesiogedrite</v>
          </cell>
        </row>
        <row r="2802">
          <cell r="A2802" t="str">
            <v>Magnesiohogbomite-2N2S</v>
          </cell>
        </row>
        <row r="2803">
          <cell r="A2803" t="str">
            <v>Magnesiohogbomite-2N3S</v>
          </cell>
        </row>
        <row r="2804">
          <cell r="A2804" t="str">
            <v>Magnesiohogbomite-6N6S</v>
          </cell>
        </row>
        <row r="2805">
          <cell r="A2805" t="str">
            <v>Magnesioholmquistite</v>
          </cell>
        </row>
        <row r="2806">
          <cell r="A2806" t="str">
            <v>Magnesiohulsite</v>
          </cell>
        </row>
        <row r="2807">
          <cell r="A2807" t="str">
            <v>Magnesionigerite-2N1S</v>
          </cell>
        </row>
        <row r="2808">
          <cell r="A2808" t="str">
            <v>Magnesionigerite-6N6S</v>
          </cell>
        </row>
        <row r="2809">
          <cell r="A2809" t="str">
            <v>Magnesiopascoite</v>
          </cell>
        </row>
        <row r="2810">
          <cell r="A2810" t="str">
            <v>Magnesiostaurolite</v>
          </cell>
        </row>
        <row r="2811">
          <cell r="A2811" t="str">
            <v>Magnesiotaaffeite-2N2S</v>
          </cell>
        </row>
        <row r="2812">
          <cell r="A2812" t="str">
            <v>Magnesiotaaffeite-6N3S</v>
          </cell>
        </row>
        <row r="2813">
          <cell r="A2813" t="str">
            <v>Magnesiozippeite</v>
          </cell>
        </row>
        <row r="2814">
          <cell r="A2814" t="str">
            <v>Magnetite</v>
          </cell>
        </row>
        <row r="2815">
          <cell r="A2815" t="str">
            <v>Magnetoplumbite</v>
          </cell>
        </row>
        <row r="2816">
          <cell r="A2816" t="str">
            <v>Magnolite</v>
          </cell>
        </row>
        <row r="2817">
          <cell r="A2817" t="str">
            <v>Magnussonite</v>
          </cell>
        </row>
        <row r="2818">
          <cell r="A2818" t="str">
            <v>Mahnertite</v>
          </cell>
        </row>
        <row r="2819">
          <cell r="A2819" t="str">
            <v>Maikainite</v>
          </cell>
        </row>
        <row r="2820">
          <cell r="A2820" t="str">
            <v>Majakite</v>
          </cell>
        </row>
        <row r="2821">
          <cell r="A2821" t="str">
            <v>Majorite</v>
          </cell>
        </row>
        <row r="2822">
          <cell r="A2822" t="str">
            <v>Makarochkinite</v>
          </cell>
        </row>
        <row r="2823">
          <cell r="A2823" t="str">
            <v>Makatite</v>
          </cell>
        </row>
        <row r="2824">
          <cell r="A2824" t="str">
            <v>Makinenite</v>
          </cell>
        </row>
        <row r="2825">
          <cell r="A2825" t="str">
            <v>Makovickyite</v>
          </cell>
        </row>
        <row r="2826">
          <cell r="A2826" t="str">
            <v>Malachite</v>
          </cell>
        </row>
        <row r="2827">
          <cell r="A2827" t="str">
            <v>Malanite</v>
          </cell>
        </row>
        <row r="2828">
          <cell r="A2828" t="str">
            <v>Malayaite</v>
          </cell>
        </row>
        <row r="2829">
          <cell r="A2829" t="str">
            <v>Maldonite</v>
          </cell>
        </row>
        <row r="2830">
          <cell r="A2830" t="str">
            <v>Maleevite</v>
          </cell>
        </row>
        <row r="2831">
          <cell r="A2831" t="str">
            <v>Malhmoodite</v>
          </cell>
        </row>
        <row r="2832">
          <cell r="A2832" t="str">
            <v>Malinkoite</v>
          </cell>
        </row>
        <row r="2833">
          <cell r="A2833" t="str">
            <v>Malladrite</v>
          </cell>
        </row>
        <row r="2834">
          <cell r="A2834" t="str">
            <v>Mallestigite</v>
          </cell>
        </row>
        <row r="2835">
          <cell r="A2835" t="str">
            <v>Malyshevite</v>
          </cell>
        </row>
        <row r="2836">
          <cell r="A2836" t="str">
            <v>Mammothite</v>
          </cell>
        </row>
        <row r="2837">
          <cell r="A2837" t="str">
            <v>Manaksite</v>
          </cell>
        </row>
        <row r="2838">
          <cell r="A2838" t="str">
            <v>Manandonite</v>
          </cell>
        </row>
        <row r="2839">
          <cell r="A2839" t="str">
            <v>Manasseite</v>
          </cell>
        </row>
        <row r="2840">
          <cell r="A2840" t="str">
            <v>Mandarinoite</v>
          </cell>
        </row>
        <row r="2841">
          <cell r="A2841" t="str">
            <v>Manganarsite</v>
          </cell>
        </row>
        <row r="2842">
          <cell r="A2842" t="str">
            <v>Manganbabingtonite</v>
          </cell>
        </row>
        <row r="2843">
          <cell r="A2843" t="str">
            <v>Manganbelyankinite</v>
          </cell>
        </row>
        <row r="2844">
          <cell r="A2844" t="str">
            <v>Manganberzeliite</v>
          </cell>
        </row>
        <row r="2845">
          <cell r="A2845" t="str">
            <v>Mangangordonite</v>
          </cell>
        </row>
        <row r="2846">
          <cell r="A2846" t="str">
            <v>Manganhumite</v>
          </cell>
        </row>
        <row r="2847">
          <cell r="A2847" t="str">
            <v>Manganiandrosite-(Ce)</v>
          </cell>
        </row>
        <row r="2848">
          <cell r="A2848" t="str">
            <v>Manganiandrosite-(La)</v>
          </cell>
        </row>
        <row r="2849">
          <cell r="A2849" t="str">
            <v>Manganilvaite</v>
          </cell>
        </row>
        <row r="2850">
          <cell r="A2850" t="str">
            <v>Manganipiemontite-(Sr)</v>
          </cell>
        </row>
        <row r="2851">
          <cell r="A2851" t="str">
            <v>Manganite</v>
          </cell>
        </row>
        <row r="2852">
          <cell r="A2852" t="str">
            <v>Manganlotharmeyerite</v>
          </cell>
        </row>
        <row r="2853">
          <cell r="A2853" t="str">
            <v>Manganochromite</v>
          </cell>
        </row>
        <row r="2854">
          <cell r="A2854" t="str">
            <v>Manganohornesite</v>
          </cell>
        </row>
        <row r="2855">
          <cell r="A2855" t="str">
            <v>Manganokhomyakovite</v>
          </cell>
        </row>
        <row r="2856">
          <cell r="A2856" t="str">
            <v>Manganokukisvumite</v>
          </cell>
        </row>
        <row r="2857">
          <cell r="A2857" t="str">
            <v>Manganolangbeinite</v>
          </cell>
        </row>
        <row r="2858">
          <cell r="A2858" t="str">
            <v>Manganonaujakasite</v>
          </cell>
        </row>
        <row r="2859">
          <cell r="A2859" t="str">
            <v>Manganoneptunite</v>
          </cell>
        </row>
        <row r="2860">
          <cell r="A2860" t="str">
            <v>Manganonordite-(Ce)</v>
          </cell>
        </row>
        <row r="2861">
          <cell r="A2861" t="str">
            <v>Manganosegelerite</v>
          </cell>
        </row>
        <row r="2862">
          <cell r="A2862" t="str">
            <v>Manganoshadlunite</v>
          </cell>
        </row>
        <row r="2863">
          <cell r="A2863" t="str">
            <v>Manganosite</v>
          </cell>
        </row>
        <row r="2864">
          <cell r="A2864" t="str">
            <v>Manganostibite</v>
          </cell>
        </row>
        <row r="2865">
          <cell r="A2865" t="str">
            <v>Manganotychite</v>
          </cell>
        </row>
        <row r="2866">
          <cell r="A2866" t="str">
            <v>Manganvesuvianite</v>
          </cell>
        </row>
        <row r="2867">
          <cell r="A2867" t="str">
            <v>Mangazeite</v>
          </cell>
        </row>
        <row r="2868">
          <cell r="A2868" t="str">
            <v>Manjiroite</v>
          </cell>
        </row>
        <row r="2869">
          <cell r="A2869" t="str">
            <v>Mannardite</v>
          </cell>
        </row>
        <row r="2870">
          <cell r="A2870" t="str">
            <v>Mansfieldite</v>
          </cell>
        </row>
        <row r="2871">
          <cell r="A2871" t="str">
            <v>Mantienneite</v>
          </cell>
        </row>
        <row r="2872">
          <cell r="A2872" t="str">
            <v>Maoniupingite-(Ce)</v>
          </cell>
        </row>
        <row r="2873">
          <cell r="A2873" t="str">
            <v>Mapimite</v>
          </cell>
        </row>
        <row r="2874">
          <cell r="A2874" t="str">
            <v>Marcasite</v>
          </cell>
        </row>
        <row r="2875">
          <cell r="A2875" t="str">
            <v>Marecottite</v>
          </cell>
        </row>
        <row r="2876">
          <cell r="A2876" t="str">
            <v>Margaritasite</v>
          </cell>
        </row>
        <row r="2877">
          <cell r="A2877" t="str">
            <v>Margarite</v>
          </cell>
        </row>
        <row r="2878">
          <cell r="A2878" t="str">
            <v>Margarosanite</v>
          </cell>
        </row>
        <row r="2879">
          <cell r="A2879" t="str">
            <v>Marialite</v>
          </cell>
        </row>
        <row r="2880">
          <cell r="A2880" t="str">
            <v>Marianoite</v>
          </cell>
        </row>
        <row r="2881">
          <cell r="A2881" t="str">
            <v>Maricite</v>
          </cell>
        </row>
        <row r="2882">
          <cell r="A2882" t="str">
            <v>Maricopaite</v>
          </cell>
        </row>
        <row r="2883">
          <cell r="A2883" t="str">
            <v>Marinellite</v>
          </cell>
        </row>
        <row r="2884">
          <cell r="A2884" t="str">
            <v>Marokite</v>
          </cell>
        </row>
        <row r="2885">
          <cell r="A2885" t="str">
            <v>Marrite</v>
          </cell>
        </row>
        <row r="2886">
          <cell r="A2886" t="str">
            <v>Marrucciite</v>
          </cell>
        </row>
        <row r="2887">
          <cell r="A2887" t="str">
            <v>Marshite</v>
          </cell>
        </row>
        <row r="2888">
          <cell r="A2888" t="str">
            <v>Marsturite</v>
          </cell>
        </row>
        <row r="2889">
          <cell r="A2889" t="str">
            <v>Marthozite</v>
          </cell>
        </row>
        <row r="2890">
          <cell r="A2890" t="str">
            <v>Martinite</v>
          </cell>
        </row>
        <row r="2891">
          <cell r="A2891" t="str">
            <v>Martyite</v>
          </cell>
        </row>
        <row r="2892">
          <cell r="A2892" t="str">
            <v>Marumoite</v>
          </cell>
        </row>
        <row r="2893">
          <cell r="A2893" t="str">
            <v>Mascagnite</v>
          </cell>
        </row>
        <row r="2894">
          <cell r="A2894" t="str">
            <v>Maslovite</v>
          </cell>
        </row>
        <row r="2895">
          <cell r="A2895" t="str">
            <v>Massicot</v>
          </cell>
        </row>
        <row r="2896">
          <cell r="A2896" t="str">
            <v>Masutomilite</v>
          </cell>
        </row>
        <row r="2897">
          <cell r="A2897" t="str">
            <v>Masuyite</v>
          </cell>
        </row>
        <row r="2898">
          <cell r="A2898" t="str">
            <v>Mathewrogersite</v>
          </cell>
        </row>
        <row r="2899">
          <cell r="A2899" t="str">
            <v>Mathiasite</v>
          </cell>
        </row>
        <row r="2900">
          <cell r="A2900" t="str">
            <v>Matildite</v>
          </cell>
        </row>
        <row r="2901">
          <cell r="A2901" t="str">
            <v>Matioliite</v>
          </cell>
        </row>
        <row r="2902">
          <cell r="A2902" t="str">
            <v>Matlockite</v>
          </cell>
        </row>
        <row r="2903">
          <cell r="A2903" t="str">
            <v>Matraite</v>
          </cell>
        </row>
        <row r="2904">
          <cell r="A2904" t="str">
            <v>Matsubaraite</v>
          </cell>
        </row>
        <row r="2905">
          <cell r="A2905" t="str">
            <v>Mattagamite</v>
          </cell>
        </row>
        <row r="2906">
          <cell r="A2906" t="str">
            <v>Mattheddleite</v>
          </cell>
        </row>
        <row r="2907">
          <cell r="A2907" t="str">
            <v>Matulaite</v>
          </cell>
        </row>
        <row r="2908">
          <cell r="A2908" t="str">
            <v>Matveevite</v>
          </cell>
        </row>
        <row r="2909">
          <cell r="A2909" t="str">
            <v>Maucherite</v>
          </cell>
        </row>
        <row r="2910">
          <cell r="A2910" t="str">
            <v>Maufite</v>
          </cell>
        </row>
        <row r="2911">
          <cell r="A2911" t="str">
            <v>Mavlyanovite</v>
          </cell>
        </row>
        <row r="2912">
          <cell r="A2912" t="str">
            <v>Mawbyite</v>
          </cell>
        </row>
        <row r="2913">
          <cell r="A2913" t="str">
            <v>Mawsonite</v>
          </cell>
        </row>
        <row r="2914">
          <cell r="A2914" t="str">
            <v>Mayenite</v>
          </cell>
        </row>
        <row r="2915">
          <cell r="A2915" t="str">
            <v>Mayingite</v>
          </cell>
        </row>
        <row r="2916">
          <cell r="A2916" t="str">
            <v>Mazzettiite</v>
          </cell>
        </row>
        <row r="2917">
          <cell r="A2917" t="str">
            <v>Mazzite-Mg</v>
          </cell>
        </row>
        <row r="2918">
          <cell r="A2918" t="str">
            <v>Mazzite-Na</v>
          </cell>
        </row>
        <row r="2919">
          <cell r="A2919" t="str">
            <v>Mbobomkulite</v>
          </cell>
        </row>
        <row r="2920">
          <cell r="A2920" t="str">
            <v>Mcallisterite</v>
          </cell>
        </row>
        <row r="2921">
          <cell r="A2921" t="str">
            <v>Mcalpineite</v>
          </cell>
        </row>
        <row r="2922">
          <cell r="A2922" t="str">
            <v>Mcauslanite</v>
          </cell>
        </row>
        <row r="2923">
          <cell r="A2923" t="str">
            <v>Mcbirneyite</v>
          </cell>
        </row>
        <row r="2924">
          <cell r="A2924" t="str">
            <v>Mcconnellite</v>
          </cell>
        </row>
        <row r="2925">
          <cell r="A2925" t="str">
            <v>Mccrillisite</v>
          </cell>
        </row>
        <row r="2926">
          <cell r="A2926" t="str">
            <v>Mcgillite</v>
          </cell>
        </row>
        <row r="2927">
          <cell r="A2927" t="str">
            <v>Mcguinnessite</v>
          </cell>
        </row>
        <row r="2928">
          <cell r="A2928" t="str">
            <v>Mckelveyite-(Nd)</v>
          </cell>
        </row>
        <row r="2929">
          <cell r="A2929" t="str">
            <v>Mckelveyite-(Y)</v>
          </cell>
        </row>
        <row r="2930">
          <cell r="A2930" t="str">
            <v>Mckinstryite</v>
          </cell>
        </row>
        <row r="2931">
          <cell r="A2931" t="str">
            <v>Mcnearite</v>
          </cell>
        </row>
        <row r="2932">
          <cell r="A2932" t="str">
            <v>Medaite</v>
          </cell>
        </row>
        <row r="2933">
          <cell r="A2933" t="str">
            <v>Megacyclite</v>
          </cell>
        </row>
        <row r="2934">
          <cell r="A2934" t="str">
            <v>Megakalsilite</v>
          </cell>
        </row>
        <row r="2935">
          <cell r="A2935" t="str">
            <v>Meionite</v>
          </cell>
        </row>
        <row r="2936">
          <cell r="A2936" t="str">
            <v>Meixnerite</v>
          </cell>
        </row>
        <row r="2937">
          <cell r="A2937" t="str">
            <v>Melanocerite-(Ce)</v>
          </cell>
        </row>
        <row r="2938">
          <cell r="A2938" t="str">
            <v>Melanophlogite</v>
          </cell>
        </row>
        <row r="2939">
          <cell r="A2939" t="str">
            <v>Melanophlogite-beta</v>
          </cell>
        </row>
        <row r="2940">
          <cell r="A2940" t="str">
            <v>Melanostibite</v>
          </cell>
        </row>
        <row r="2941">
          <cell r="A2941" t="str">
            <v>Melanotekite</v>
          </cell>
        </row>
        <row r="2942">
          <cell r="A2942" t="str">
            <v>Melanothallite</v>
          </cell>
        </row>
        <row r="2943">
          <cell r="A2943" t="str">
            <v>Melanovanadite</v>
          </cell>
        </row>
        <row r="2944">
          <cell r="A2944" t="str">
            <v>Melilite</v>
          </cell>
        </row>
        <row r="2945">
          <cell r="A2945" t="str">
            <v>Meliphanite</v>
          </cell>
        </row>
        <row r="2946">
          <cell r="A2946" t="str">
            <v>Melkovite</v>
          </cell>
        </row>
        <row r="2947">
          <cell r="A2947" t="str">
            <v>Melliniite</v>
          </cell>
        </row>
        <row r="2948">
          <cell r="A2948" t="str">
            <v>Mellite</v>
          </cell>
        </row>
        <row r="2949">
          <cell r="A2949" t="str">
            <v>Melonite</v>
          </cell>
        </row>
        <row r="2950">
          <cell r="A2950" t="str">
            <v>Mendipite</v>
          </cell>
        </row>
        <row r="2951">
          <cell r="A2951" t="str">
            <v>Mendozavilite</v>
          </cell>
        </row>
        <row r="2952">
          <cell r="A2952" t="str">
            <v>Meneghinite</v>
          </cell>
        </row>
        <row r="2953">
          <cell r="A2953" t="str">
            <v>Menezesite</v>
          </cell>
        </row>
        <row r="2954">
          <cell r="A2954" t="str">
            <v>Mengxianminite</v>
          </cell>
        </row>
        <row r="2955">
          <cell r="A2955" t="str">
            <v>Meniaylovite</v>
          </cell>
        </row>
        <row r="2956">
          <cell r="A2956" t="str">
            <v>Menshikovite</v>
          </cell>
        </row>
        <row r="2957">
          <cell r="A2957" t="str">
            <v>Mercallite</v>
          </cell>
        </row>
        <row r="2958">
          <cell r="A2958" t="str">
            <v>Mercury</v>
          </cell>
        </row>
        <row r="2959">
          <cell r="A2959" t="str">
            <v>Mereheadite</v>
          </cell>
        </row>
        <row r="2960">
          <cell r="A2960" t="str">
            <v>Merenskyite</v>
          </cell>
        </row>
        <row r="2961">
          <cell r="A2961" t="str">
            <v>Merlinoite</v>
          </cell>
        </row>
        <row r="2962">
          <cell r="A2962" t="str">
            <v>Merrihueite</v>
          </cell>
        </row>
        <row r="2963">
          <cell r="A2963" t="str">
            <v>Merrillite</v>
          </cell>
        </row>
        <row r="2964">
          <cell r="A2964" t="str">
            <v>Merrillite-(Ca)</v>
          </cell>
        </row>
        <row r="2965">
          <cell r="A2965" t="str">
            <v>Merrillite-(Y)</v>
          </cell>
        </row>
        <row r="2966">
          <cell r="A2966" t="str">
            <v>Mertieite-I</v>
          </cell>
        </row>
        <row r="2967">
          <cell r="A2967" t="str">
            <v>Mertieite-II</v>
          </cell>
        </row>
        <row r="2968">
          <cell r="A2968" t="str">
            <v>Merwinite</v>
          </cell>
        </row>
        <row r="2969">
          <cell r="A2969" t="str">
            <v>Mesolite</v>
          </cell>
        </row>
        <row r="2970">
          <cell r="A2970" t="str">
            <v>Messelite</v>
          </cell>
        </row>
        <row r="2971">
          <cell r="A2971" t="str">
            <v>Meta-aluminite</v>
          </cell>
        </row>
        <row r="2972">
          <cell r="A2972" t="str">
            <v>Meta-ankoleite</v>
          </cell>
        </row>
        <row r="2973">
          <cell r="A2973" t="str">
            <v>Meta-autunite</v>
          </cell>
        </row>
        <row r="2974">
          <cell r="A2974" t="str">
            <v>Metaborite</v>
          </cell>
        </row>
        <row r="2975">
          <cell r="A2975" t="str">
            <v>Metacalciouranoite</v>
          </cell>
        </row>
        <row r="2976">
          <cell r="A2976" t="str">
            <v>Metacinnabar</v>
          </cell>
        </row>
        <row r="2977">
          <cell r="A2977" t="str">
            <v>Metadelrioite</v>
          </cell>
        </row>
        <row r="2978">
          <cell r="A2978" t="str">
            <v>Metahaiweeite</v>
          </cell>
        </row>
        <row r="2979">
          <cell r="A2979" t="str">
            <v>Metaheinrichite</v>
          </cell>
        </row>
        <row r="2980">
          <cell r="A2980" t="str">
            <v>Metahewettite</v>
          </cell>
        </row>
        <row r="2981">
          <cell r="A2981" t="str">
            <v>Metahohmannite</v>
          </cell>
        </row>
        <row r="2982">
          <cell r="A2982" t="str">
            <v>Metakahlerite</v>
          </cell>
        </row>
        <row r="2983">
          <cell r="A2983" t="str">
            <v>Metakirchheimerite</v>
          </cell>
        </row>
        <row r="2984">
          <cell r="A2984" t="str">
            <v>Metakottigite</v>
          </cell>
        </row>
        <row r="2985">
          <cell r="A2985" t="str">
            <v>Metalodevite</v>
          </cell>
        </row>
        <row r="2986">
          <cell r="A2986" t="str">
            <v>Metamunirite</v>
          </cell>
        </row>
        <row r="2987">
          <cell r="A2987" t="str">
            <v>Metanovacekite</v>
          </cell>
        </row>
        <row r="2988">
          <cell r="A2988" t="str">
            <v>Metarauchite</v>
          </cell>
        </row>
        <row r="2989">
          <cell r="A2989" t="str">
            <v>Metarossite</v>
          </cell>
        </row>
        <row r="2990">
          <cell r="A2990" t="str">
            <v>Metaschoderite</v>
          </cell>
        </row>
        <row r="2991">
          <cell r="A2991" t="str">
            <v>Metaschoepite</v>
          </cell>
        </row>
        <row r="2992">
          <cell r="A2992" t="str">
            <v>Metasideronatrite</v>
          </cell>
        </row>
        <row r="2993">
          <cell r="A2993" t="str">
            <v>Metastibnite</v>
          </cell>
        </row>
        <row r="2994">
          <cell r="A2994" t="str">
            <v>Metastudtite</v>
          </cell>
        </row>
        <row r="2995">
          <cell r="A2995" t="str">
            <v>Metaswitzerite</v>
          </cell>
        </row>
        <row r="2996">
          <cell r="A2996" t="str">
            <v>Metatorbernite</v>
          </cell>
        </row>
        <row r="2997">
          <cell r="A2997" t="str">
            <v>Metatyuyamunite</v>
          </cell>
        </row>
        <row r="2998">
          <cell r="A2998" t="str">
            <v>Metauranocircite</v>
          </cell>
        </row>
        <row r="2999">
          <cell r="A2999" t="str">
            <v>Metauranopilite</v>
          </cell>
        </row>
        <row r="3000">
          <cell r="A3000" t="str">
            <v>Metauranospinite</v>
          </cell>
        </row>
        <row r="3001">
          <cell r="A3001" t="str">
            <v>Metavandendriesscheite</v>
          </cell>
        </row>
        <row r="3002">
          <cell r="A3002" t="str">
            <v>Metavanmeersscheite</v>
          </cell>
        </row>
        <row r="3003">
          <cell r="A3003" t="str">
            <v>Metavanuralite</v>
          </cell>
        </row>
        <row r="3004">
          <cell r="A3004" t="str">
            <v>Metavariscite</v>
          </cell>
        </row>
        <row r="3005">
          <cell r="A3005" t="str">
            <v>Metavauxite</v>
          </cell>
        </row>
        <row r="3006">
          <cell r="A3006" t="str">
            <v>Metavivianite</v>
          </cell>
        </row>
        <row r="3007">
          <cell r="A3007" t="str">
            <v>Metavoltine</v>
          </cell>
        </row>
        <row r="3008">
          <cell r="A3008" t="str">
            <v>Metazellerite</v>
          </cell>
        </row>
        <row r="3009">
          <cell r="A3009" t="str">
            <v>Metazeunerite</v>
          </cell>
        </row>
        <row r="3010">
          <cell r="A3010" t="str">
            <v>Methane hydrate-H</v>
          </cell>
        </row>
        <row r="3011">
          <cell r="A3011" t="str">
            <v>Methane hydrate-I</v>
          </cell>
        </row>
        <row r="3012">
          <cell r="A3012" t="str">
            <v>Methane hydrate-II</v>
          </cell>
        </row>
        <row r="3013">
          <cell r="A3013" t="str">
            <v>Meurigite-K</v>
          </cell>
        </row>
        <row r="3014">
          <cell r="A3014" t="str">
            <v>Meurigite-Na</v>
          </cell>
        </row>
        <row r="3015">
          <cell r="A3015" t="str">
            <v>Meyerhofferite</v>
          </cell>
        </row>
        <row r="3016">
          <cell r="A3016" t="str">
            <v>Meymacite</v>
          </cell>
        </row>
        <row r="3017">
          <cell r="A3017" t="str">
            <v>Mg Chlorite</v>
          </cell>
        </row>
        <row r="3018">
          <cell r="A3018" t="str">
            <v>Mgriite</v>
          </cell>
        </row>
        <row r="3019">
          <cell r="A3019" t="str">
            <v>Miargyrite</v>
          </cell>
        </row>
        <row r="3020">
          <cell r="A3020" t="str">
            <v>Miassite</v>
          </cell>
        </row>
        <row r="3021">
          <cell r="A3021" t="str">
            <v>Micheelsenite</v>
          </cell>
        </row>
        <row r="3022">
          <cell r="A3022" t="str">
            <v>Michenerite</v>
          </cell>
        </row>
        <row r="3023">
          <cell r="A3023" t="str">
            <v>Microlite</v>
          </cell>
        </row>
        <row r="3024">
          <cell r="A3024" t="str">
            <v>Microsommite</v>
          </cell>
        </row>
        <row r="3025">
          <cell r="A3025" t="str">
            <v>Middendorfite</v>
          </cell>
        </row>
        <row r="3026">
          <cell r="A3026" t="str">
            <v>Miersite</v>
          </cell>
        </row>
        <row r="3027">
          <cell r="A3027" t="str">
            <v>Miessiite</v>
          </cell>
        </row>
        <row r="3028">
          <cell r="A3028" t="str">
            <v>Miharaite</v>
          </cell>
        </row>
        <row r="3029">
          <cell r="A3029" t="str">
            <v>Mikasaite</v>
          </cell>
        </row>
        <row r="3030">
          <cell r="A3030" t="str">
            <v>Milarite</v>
          </cell>
        </row>
        <row r="3031">
          <cell r="A3031" t="str">
            <v>Millerite</v>
          </cell>
        </row>
        <row r="3032">
          <cell r="A3032" t="str">
            <v>Millisite</v>
          </cell>
        </row>
        <row r="3033">
          <cell r="A3033" t="str">
            <v>Millosevichite</v>
          </cell>
        </row>
        <row r="3034">
          <cell r="A3034" t="str">
            <v>Milotaite</v>
          </cell>
        </row>
        <row r="3035">
          <cell r="A3035" t="str">
            <v>Minamiite</v>
          </cell>
        </row>
        <row r="3036">
          <cell r="A3036" t="str">
            <v>Minasgeraisite-(Y)</v>
          </cell>
        </row>
        <row r="3037">
          <cell r="A3037" t="str">
            <v>Minasragrite</v>
          </cell>
        </row>
        <row r="3038">
          <cell r="A3038" t="str">
            <v>Mineevite-(Y)</v>
          </cell>
        </row>
        <row r="3039">
          <cell r="A3039" t="str">
            <v>Minehillite</v>
          </cell>
        </row>
        <row r="3040">
          <cell r="A3040" t="str">
            <v>Mineraux-REE</v>
          </cell>
        </row>
        <row r="3041">
          <cell r="A3041" t="str">
            <v>Minguzzite</v>
          </cell>
        </row>
        <row r="3042">
          <cell r="A3042" t="str">
            <v>Minium</v>
          </cell>
        </row>
        <row r="3043">
          <cell r="A3043" t="str">
            <v>Minyulite</v>
          </cell>
        </row>
        <row r="3044">
          <cell r="A3044" t="str">
            <v>Misenite</v>
          </cell>
        </row>
        <row r="3045">
          <cell r="A3045" t="str">
            <v>Miserite</v>
          </cell>
        </row>
        <row r="3046">
          <cell r="A3046" t="str">
            <v>Mitridatite</v>
          </cell>
        </row>
        <row r="3047">
          <cell r="A3047" t="str">
            <v>Mitryaevaite</v>
          </cell>
        </row>
        <row r="3048">
          <cell r="A3048" t="str">
            <v>Mitscherlichite</v>
          </cell>
        </row>
        <row r="3049">
          <cell r="A3049" t="str">
            <v>Mixite</v>
          </cell>
        </row>
        <row r="3050">
          <cell r="A3050" t="str">
            <v>Moctezumite</v>
          </cell>
        </row>
        <row r="3051">
          <cell r="A3051" t="str">
            <v>Modderite</v>
          </cell>
        </row>
        <row r="3052">
          <cell r="A3052" t="str">
            <v>Moeloite</v>
          </cell>
        </row>
        <row r="3053">
          <cell r="A3053" t="str">
            <v>Moganite</v>
          </cell>
        </row>
        <row r="3054">
          <cell r="A3054" t="str">
            <v>Mogovidite</v>
          </cell>
        </row>
        <row r="3055">
          <cell r="A3055" t="str">
            <v>Mohite</v>
          </cell>
        </row>
        <row r="3056">
          <cell r="A3056" t="str">
            <v>Moissanite</v>
          </cell>
        </row>
        <row r="3057">
          <cell r="A3057" t="str">
            <v>Moluranite</v>
          </cell>
        </row>
        <row r="3058">
          <cell r="A3058" t="str">
            <v>Molybdenite</v>
          </cell>
        </row>
        <row r="3059">
          <cell r="A3059" t="str">
            <v>Molybdite</v>
          </cell>
        </row>
        <row r="3060">
          <cell r="A3060" t="str">
            <v>Molybdofornacite</v>
          </cell>
        </row>
        <row r="3061">
          <cell r="A3061" t="str">
            <v>Molybdomenite</v>
          </cell>
        </row>
        <row r="3062">
          <cell r="A3062" t="str">
            <v>Molybdophyllite</v>
          </cell>
        </row>
        <row r="3063">
          <cell r="A3063" t="str">
            <v>Molysite</v>
          </cell>
        </row>
        <row r="3064">
          <cell r="A3064" t="str">
            <v>Monazite-(Ce)</v>
          </cell>
        </row>
        <row r="3065">
          <cell r="A3065" t="str">
            <v>Monazite-(La)</v>
          </cell>
        </row>
        <row r="3066">
          <cell r="A3066" t="str">
            <v>Monazite-(Nd)</v>
          </cell>
        </row>
        <row r="3067">
          <cell r="A3067" t="str">
            <v>Monazite-(Sm)</v>
          </cell>
        </row>
        <row r="3068">
          <cell r="A3068" t="str">
            <v>Moncheite</v>
          </cell>
        </row>
        <row r="3069">
          <cell r="A3069" t="str">
            <v>Monetite</v>
          </cell>
        </row>
        <row r="3070">
          <cell r="A3070" t="str">
            <v>Mongolite</v>
          </cell>
        </row>
        <row r="3071">
          <cell r="A3071" t="str">
            <v>Mongshanite</v>
          </cell>
        </row>
        <row r="3072">
          <cell r="A3072" t="str">
            <v>Monimolite</v>
          </cell>
        </row>
        <row r="3073">
          <cell r="A3073" t="str">
            <v>Monipite</v>
          </cell>
        </row>
        <row r="3074">
          <cell r="A3074" t="str">
            <v>Monohydrocalcite</v>
          </cell>
        </row>
        <row r="3075">
          <cell r="A3075" t="str">
            <v>Montbrayite</v>
          </cell>
        </row>
        <row r="3076">
          <cell r="A3076" t="str">
            <v>Monteponite</v>
          </cell>
        </row>
        <row r="3077">
          <cell r="A3077" t="str">
            <v>Monteregianite-(Y)</v>
          </cell>
        </row>
        <row r="3078">
          <cell r="A3078" t="str">
            <v>Montesommaite</v>
          </cell>
        </row>
        <row r="3079">
          <cell r="A3079" t="str">
            <v>Montetrisaite</v>
          </cell>
        </row>
        <row r="3080">
          <cell r="A3080" t="str">
            <v>Montgomeryite</v>
          </cell>
        </row>
        <row r="3081">
          <cell r="A3081" t="str">
            <v>Monticellite</v>
          </cell>
        </row>
        <row r="3082">
          <cell r="A3082" t="str">
            <v>Montmorillonite</v>
          </cell>
        </row>
        <row r="3083">
          <cell r="A3083" t="str">
            <v>Montroseite</v>
          </cell>
        </row>
        <row r="3084">
          <cell r="A3084" t="str">
            <v>Montroyalite</v>
          </cell>
        </row>
        <row r="3085">
          <cell r="A3085" t="str">
            <v>Montroydite</v>
          </cell>
        </row>
        <row r="3086">
          <cell r="A3086" t="str">
            <v>Mooihoekite</v>
          </cell>
        </row>
        <row r="3087">
          <cell r="A3087" t="str">
            <v>Moolooite</v>
          </cell>
        </row>
        <row r="3088">
          <cell r="A3088" t="str">
            <v>Mooreite</v>
          </cell>
        </row>
        <row r="3089">
          <cell r="A3089" t="str">
            <v>Mopungite</v>
          </cell>
        </row>
        <row r="3090">
          <cell r="A3090" t="str">
            <v>Moraesite</v>
          </cell>
        </row>
        <row r="3091">
          <cell r="A3091" t="str">
            <v>Mordenite</v>
          </cell>
        </row>
        <row r="3092">
          <cell r="A3092" t="str">
            <v>Moreauite</v>
          </cell>
        </row>
        <row r="3093">
          <cell r="A3093" t="str">
            <v>Morimotoite</v>
          </cell>
        </row>
        <row r="3094">
          <cell r="A3094" t="str">
            <v>Morinite</v>
          </cell>
        </row>
        <row r="3095">
          <cell r="A3095" t="str">
            <v>Morozeviczite</v>
          </cell>
        </row>
        <row r="3096">
          <cell r="A3096" t="str">
            <v>Mosandrite</v>
          </cell>
        </row>
        <row r="3097">
          <cell r="A3097" t="str">
            <v>Moschelite</v>
          </cell>
        </row>
        <row r="3098">
          <cell r="A3098" t="str">
            <v>Moschellandsbergite</v>
          </cell>
        </row>
        <row r="3099">
          <cell r="A3099" t="str">
            <v>Mosesite</v>
          </cell>
        </row>
        <row r="3100">
          <cell r="A3100" t="str">
            <v>Moskvinite-(Y)</v>
          </cell>
        </row>
        <row r="3101">
          <cell r="A3101" t="str">
            <v>Mottanaite-(Ce)</v>
          </cell>
        </row>
        <row r="3102">
          <cell r="A3102" t="str">
            <v>Motukoreaite</v>
          </cell>
        </row>
        <row r="3103">
          <cell r="A3103" t="str">
            <v>Mounanaite</v>
          </cell>
        </row>
        <row r="3104">
          <cell r="A3104" t="str">
            <v>Mountainite</v>
          </cell>
        </row>
        <row r="3105">
          <cell r="A3105" t="str">
            <v>Mountkeithite</v>
          </cell>
        </row>
        <row r="3106">
          <cell r="A3106" t="str">
            <v>Mourite</v>
          </cell>
        </row>
        <row r="3107">
          <cell r="A3107" t="str">
            <v>Moydite-(Y)</v>
          </cell>
        </row>
        <row r="3108">
          <cell r="A3108" t="str">
            <v>Mozartite</v>
          </cell>
        </row>
        <row r="3109">
          <cell r="A3109" t="str">
            <v>Mozgovaite</v>
          </cell>
        </row>
        <row r="3110">
          <cell r="A3110" t="str">
            <v>Mpororoite</v>
          </cell>
        </row>
        <row r="3111">
          <cell r="A3111" t="str">
            <v>Mrazekite</v>
          </cell>
        </row>
        <row r="3112">
          <cell r="A3112" t="str">
            <v>Mroseite</v>
          </cell>
        </row>
        <row r="3113">
          <cell r="A3113" t="str">
            <v>Muckeite</v>
          </cell>
        </row>
        <row r="3114">
          <cell r="A3114" t="str">
            <v>Muirite</v>
          </cell>
        </row>
        <row r="3115">
          <cell r="A3115" t="str">
            <v>Mukhinite</v>
          </cell>
        </row>
        <row r="3116">
          <cell r="A3116" t="str">
            <v>Mullite</v>
          </cell>
        </row>
        <row r="3117">
          <cell r="A3117" t="str">
            <v>Mummeite</v>
          </cell>
        </row>
        <row r="3118">
          <cell r="A3118" t="str">
            <v>Munakataite</v>
          </cell>
        </row>
        <row r="3119">
          <cell r="A3119" t="str">
            <v>Mundite</v>
          </cell>
        </row>
        <row r="3120">
          <cell r="A3120" t="str">
            <v>Mundrabillaite</v>
          </cell>
        </row>
        <row r="3121">
          <cell r="A3121" t="str">
            <v>Munirite</v>
          </cell>
        </row>
        <row r="3122">
          <cell r="A3122" t="str">
            <v>Murataite</v>
          </cell>
        </row>
        <row r="3123">
          <cell r="A3123" t="str">
            <v>Murdochite</v>
          </cell>
        </row>
        <row r="3124">
          <cell r="A3124" t="str">
            <v>Murmanite</v>
          </cell>
        </row>
        <row r="3125">
          <cell r="A3125" t="str">
            <v>Murunskite</v>
          </cell>
        </row>
        <row r="3126">
          <cell r="A3126" t="str">
            <v>Museumite</v>
          </cell>
        </row>
        <row r="3127">
          <cell r="A3127" t="str">
            <v>Mushistonite</v>
          </cell>
        </row>
        <row r="3128">
          <cell r="A3128" t="str">
            <v>Muskoxite</v>
          </cell>
        </row>
        <row r="3129">
          <cell r="A3129" t="str">
            <v>Muthmannite</v>
          </cell>
        </row>
        <row r="3130">
          <cell r="A3130" t="str">
            <v>Mutinaite</v>
          </cell>
        </row>
        <row r="3131">
          <cell r="A3131" t="str">
            <v>Mutnovskite</v>
          </cell>
        </row>
        <row r="3132">
          <cell r="A3132" t="str">
            <v>Nabalamprophyllite</v>
          </cell>
        </row>
        <row r="3133">
          <cell r="A3133" t="str">
            <v>Nabaphite</v>
          </cell>
        </row>
        <row r="3134">
          <cell r="A3134" t="str">
            <v>Nabesite</v>
          </cell>
        </row>
        <row r="3135">
          <cell r="A3135" t="str">
            <v>Nabokoite</v>
          </cell>
        </row>
        <row r="3136">
          <cell r="A3136" t="str">
            <v>Nacareniobsite-(Ce)</v>
          </cell>
        </row>
        <row r="3137">
          <cell r="A3137" t="str">
            <v>Nadorite</v>
          </cell>
        </row>
        <row r="3138">
          <cell r="A3138" t="str">
            <v>Nafertisite</v>
          </cell>
        </row>
        <row r="3139">
          <cell r="A3139" t="str">
            <v>Nagashimalite</v>
          </cell>
        </row>
        <row r="3140">
          <cell r="A3140" t="str">
            <v>Nagelschmidtite</v>
          </cell>
        </row>
        <row r="3141">
          <cell r="A3141" t="str">
            <v>Nagyagite</v>
          </cell>
        </row>
        <row r="3142">
          <cell r="A3142" t="str">
            <v>Nahcolite</v>
          </cell>
        </row>
        <row r="3143">
          <cell r="A3143" t="str">
            <v>Nahpoite</v>
          </cell>
        </row>
        <row r="3144">
          <cell r="A3144" t="str">
            <v>Nakauriite</v>
          </cell>
        </row>
        <row r="3145">
          <cell r="A3145" t="str">
            <v>Naldretteite</v>
          </cell>
        </row>
        <row r="3146">
          <cell r="A3146" t="str">
            <v>Nalipoite</v>
          </cell>
        </row>
        <row r="3147">
          <cell r="A3147" t="str">
            <v>Nalivkinite</v>
          </cell>
        </row>
        <row r="3148">
          <cell r="A3148" t="str">
            <v>Nambulite</v>
          </cell>
        </row>
        <row r="3149">
          <cell r="A3149" t="str">
            <v>Namuwite</v>
          </cell>
        </row>
        <row r="3150">
          <cell r="A3150" t="str">
            <v>Nanlingite</v>
          </cell>
        </row>
        <row r="3151">
          <cell r="A3151" t="str">
            <v>Nantokite</v>
          </cell>
        </row>
        <row r="3152">
          <cell r="A3152" t="str">
            <v>Narsarsukite</v>
          </cell>
        </row>
        <row r="3153">
          <cell r="A3153" t="str">
            <v>Nasinite</v>
          </cell>
        </row>
        <row r="3154">
          <cell r="A3154" t="str">
            <v>Nasledovite</v>
          </cell>
        </row>
        <row r="3155">
          <cell r="A3155" t="str">
            <v>Nasonite</v>
          </cell>
        </row>
        <row r="3156">
          <cell r="A3156" t="str">
            <v>Nastrophite</v>
          </cell>
        </row>
        <row r="3157">
          <cell r="A3157" t="str">
            <v>Natanite</v>
          </cell>
        </row>
        <row r="3158">
          <cell r="A3158" t="str">
            <v>Natisite</v>
          </cell>
        </row>
        <row r="3159">
          <cell r="A3159" t="str">
            <v>Natrite</v>
          </cell>
        </row>
        <row r="3160">
          <cell r="A3160" t="str">
            <v>Natroalunite</v>
          </cell>
        </row>
        <row r="3161">
          <cell r="A3161" t="str">
            <v>Natrobetpakdalite</v>
          </cell>
        </row>
        <row r="3162">
          <cell r="A3162" t="str">
            <v>Natrobistantite</v>
          </cell>
        </row>
        <row r="3163">
          <cell r="A3163" t="str">
            <v>Natroboltwoodite</v>
          </cell>
        </row>
        <row r="3164">
          <cell r="A3164" t="str">
            <v>Natrochalcite</v>
          </cell>
        </row>
        <row r="3165">
          <cell r="A3165" t="str">
            <v>Natrodufrenite</v>
          </cell>
        </row>
        <row r="3166">
          <cell r="A3166" t="str">
            <v>Natrofairchildite</v>
          </cell>
        </row>
        <row r="3167">
          <cell r="A3167" t="str">
            <v>Natroglaucocerinite</v>
          </cell>
        </row>
        <row r="3168">
          <cell r="A3168" t="str">
            <v>Natrojarosite</v>
          </cell>
        </row>
        <row r="3169">
          <cell r="A3169" t="str">
            <v>Natrokomarovite</v>
          </cell>
        </row>
        <row r="3170">
          <cell r="A3170" t="str">
            <v>Natrolemoynite</v>
          </cell>
        </row>
        <row r="3171">
          <cell r="A3171" t="str">
            <v>Natrolite</v>
          </cell>
        </row>
        <row r="3172">
          <cell r="A3172" t="str">
            <v>Natron</v>
          </cell>
        </row>
        <row r="3173">
          <cell r="A3173" t="str">
            <v>Natronambulite</v>
          </cell>
        </row>
        <row r="3174">
          <cell r="A3174" t="str">
            <v>Natroniobite</v>
          </cell>
        </row>
        <row r="3175">
          <cell r="A3175" t="str">
            <v>Natropharmacosiderite</v>
          </cell>
        </row>
        <row r="3176">
          <cell r="A3176" t="str">
            <v>Natrophilite</v>
          </cell>
        </row>
        <row r="3177">
          <cell r="A3177" t="str">
            <v>Natrophosphate</v>
          </cell>
        </row>
        <row r="3178">
          <cell r="A3178" t="str">
            <v>Natrosilite</v>
          </cell>
        </row>
        <row r="3179">
          <cell r="A3179" t="str">
            <v>Natrotantite</v>
          </cell>
        </row>
        <row r="3180">
          <cell r="A3180" t="str">
            <v>Natrouranospinite</v>
          </cell>
        </row>
        <row r="3181">
          <cell r="A3181" t="str">
            <v>Natroxalate</v>
          </cell>
        </row>
        <row r="3182">
          <cell r="A3182" t="str">
            <v>Natrozippeite</v>
          </cell>
        </row>
        <row r="3183">
          <cell r="A3183" t="str">
            <v>Naujakasite</v>
          </cell>
        </row>
        <row r="3184">
          <cell r="A3184" t="str">
            <v>Naumannite</v>
          </cell>
        </row>
        <row r="3185">
          <cell r="A3185" t="str">
            <v>Navajoite</v>
          </cell>
        </row>
        <row r="3186">
          <cell r="A3186" t="str">
            <v>Nchwaningite</v>
          </cell>
        </row>
        <row r="3187">
          <cell r="A3187" t="str">
            <v>Nealite</v>
          </cell>
        </row>
        <row r="3188">
          <cell r="A3188" t="str">
            <v>Nealite-(H2O)</v>
          </cell>
        </row>
        <row r="3189">
          <cell r="A3189" t="str">
            <v>Nechelyustovite</v>
          </cell>
        </row>
        <row r="3190">
          <cell r="A3190" t="str">
            <v>Neighborite</v>
          </cell>
        </row>
        <row r="3191">
          <cell r="A3191" t="str">
            <v>Nekoite</v>
          </cell>
        </row>
        <row r="3192">
          <cell r="A3192" t="str">
            <v>Nekrasovite</v>
          </cell>
        </row>
        <row r="3193">
          <cell r="A3193" t="str">
            <v>Nelenite</v>
          </cell>
        </row>
        <row r="3194">
          <cell r="A3194" t="str">
            <v>Neltnerite</v>
          </cell>
        </row>
        <row r="3195">
          <cell r="A3195" t="str">
            <v>Nenadkevichite</v>
          </cell>
        </row>
        <row r="3196">
          <cell r="A3196" t="str">
            <v>Neotocite</v>
          </cell>
        </row>
        <row r="3197">
          <cell r="A3197" t="str">
            <v>Nepheline</v>
          </cell>
        </row>
        <row r="3198">
          <cell r="A3198" t="str">
            <v>Nepskoeite</v>
          </cell>
        </row>
        <row r="3199">
          <cell r="A3199" t="str">
            <v>Neptunite</v>
          </cell>
        </row>
        <row r="3200">
          <cell r="A3200" t="str">
            <v>Neskevaaraite-Fe</v>
          </cell>
        </row>
        <row r="3201">
          <cell r="A3201" t="str">
            <v>Nesquehonite</v>
          </cell>
        </row>
        <row r="3202">
          <cell r="A3202" t="str">
            <v>Nevadaite</v>
          </cell>
        </row>
        <row r="3203">
          <cell r="A3203" t="str">
            <v>Nevskite</v>
          </cell>
        </row>
        <row r="3204">
          <cell r="A3204" t="str">
            <v>Newberyite</v>
          </cell>
        </row>
        <row r="3205">
          <cell r="A3205" t="str">
            <v>Neyite</v>
          </cell>
        </row>
        <row r="3206">
          <cell r="A3206" t="str">
            <v>Nezilovite</v>
          </cell>
        </row>
        <row r="3207">
          <cell r="A3207" t="str">
            <v>Niahite</v>
          </cell>
        </row>
        <row r="3208">
          <cell r="A3208" t="str">
            <v>Nichromite</v>
          </cell>
        </row>
        <row r="3209">
          <cell r="A3209" t="str">
            <v>Nickel</v>
          </cell>
        </row>
        <row r="3210">
          <cell r="A3210" t="str">
            <v>Nickelalumite</v>
          </cell>
        </row>
        <row r="3211">
          <cell r="A3211" t="str">
            <v>Nickelbischofite</v>
          </cell>
        </row>
        <row r="3212">
          <cell r="A3212" t="str">
            <v>Nickeline</v>
          </cell>
        </row>
        <row r="3213">
          <cell r="A3213" t="str">
            <v>Nickellotharmeyerite</v>
          </cell>
        </row>
        <row r="3214">
          <cell r="A3214" t="str">
            <v>Nickelphosphide</v>
          </cell>
        </row>
        <row r="3215">
          <cell r="A3215" t="str">
            <v>Nickelschneebergite</v>
          </cell>
        </row>
        <row r="3216">
          <cell r="A3216" t="str">
            <v>Nickelskutterudite</v>
          </cell>
        </row>
        <row r="3217">
          <cell r="A3217" t="str">
            <v>Nickeltalmessite</v>
          </cell>
        </row>
        <row r="3218">
          <cell r="A3218" t="str">
            <v>Nickelzippeite</v>
          </cell>
        </row>
        <row r="3219">
          <cell r="A3219" t="str">
            <v>Nickenichite</v>
          </cell>
        </row>
        <row r="3220">
          <cell r="A3220" t="str">
            <v>Niedermayrite</v>
          </cell>
        </row>
        <row r="3221">
          <cell r="A3221" t="str">
            <v>Nielsbohrite</v>
          </cell>
        </row>
        <row r="3222">
          <cell r="A3222" t="str">
            <v>Nielsenite</v>
          </cell>
        </row>
        <row r="3223">
          <cell r="A3223" t="str">
            <v>Nierite</v>
          </cell>
        </row>
        <row r="3224">
          <cell r="A3224" t="str">
            <v>Nifontovite</v>
          </cell>
        </row>
        <row r="3225">
          <cell r="A3225" t="str">
            <v>Niggliite</v>
          </cell>
        </row>
        <row r="3226">
          <cell r="A3226" t="str">
            <v>Nikischerite</v>
          </cell>
        </row>
        <row r="3227">
          <cell r="A3227" t="str">
            <v>Niksergievite</v>
          </cell>
        </row>
        <row r="3228">
          <cell r="A3228" t="str">
            <v>Ningyoite</v>
          </cell>
        </row>
        <row r="3229">
          <cell r="A3229" t="str">
            <v>Niningerite</v>
          </cell>
        </row>
        <row r="3230">
          <cell r="A3230" t="str">
            <v>Nioboaeschynite-(Ce)</v>
          </cell>
        </row>
        <row r="3231">
          <cell r="A3231" t="str">
            <v>Nioboaeschynite-(Nd)</v>
          </cell>
        </row>
        <row r="3232">
          <cell r="A3232" t="str">
            <v>Nioboaeschynite-(Y)</v>
          </cell>
        </row>
        <row r="3233">
          <cell r="A3233" t="str">
            <v>Niobocarbide</v>
          </cell>
        </row>
        <row r="3234">
          <cell r="A3234" t="str">
            <v>Niobokupletskite</v>
          </cell>
        </row>
        <row r="3235">
          <cell r="A3235" t="str">
            <v>Niobophyllite</v>
          </cell>
        </row>
        <row r="3236">
          <cell r="A3236" t="str">
            <v>Niocalite</v>
          </cell>
        </row>
        <row r="3237">
          <cell r="A3237" t="str">
            <v>Nisbite</v>
          </cell>
        </row>
        <row r="3238">
          <cell r="A3238" t="str">
            <v>Nissonite</v>
          </cell>
        </row>
        <row r="3239">
          <cell r="A3239" t="str">
            <v>Niter</v>
          </cell>
        </row>
        <row r="3240">
          <cell r="A3240" t="str">
            <v>Nitratine</v>
          </cell>
        </row>
        <row r="3241">
          <cell r="A3241" t="str">
            <v>Nitrobarite</v>
          </cell>
        </row>
        <row r="3242">
          <cell r="A3242" t="str">
            <v>Nitrocalcite</v>
          </cell>
        </row>
        <row r="3243">
          <cell r="A3243" t="str">
            <v>Nitromagnesite</v>
          </cell>
        </row>
        <row r="3244">
          <cell r="A3244" t="str">
            <v>Niveolanite</v>
          </cell>
        </row>
        <row r="3245">
          <cell r="A3245" t="str">
            <v>Nobleite</v>
          </cell>
        </row>
        <row r="3246">
          <cell r="A3246" t="str">
            <v>Noelbensonite</v>
          </cell>
        </row>
        <row r="3247">
          <cell r="A3247" t="str">
            <v>Nolanite</v>
          </cell>
        </row>
        <row r="3248">
          <cell r="A3248" t="str">
            <v>Nontronite</v>
          </cell>
        </row>
        <row r="3249">
          <cell r="A3249" t="str">
            <v>Norbergite</v>
          </cell>
        </row>
        <row r="3250">
          <cell r="A3250" t="str">
            <v>Nordenskioldine</v>
          </cell>
        </row>
        <row r="3251">
          <cell r="A3251" t="str">
            <v>Nordite-(Ce)</v>
          </cell>
        </row>
        <row r="3252">
          <cell r="A3252" t="str">
            <v>Nordite-(La)</v>
          </cell>
        </row>
        <row r="3253">
          <cell r="A3253" t="str">
            <v>Nordstrandite</v>
          </cell>
        </row>
        <row r="3254">
          <cell r="A3254" t="str">
            <v>Nordstromite</v>
          </cell>
        </row>
        <row r="3255">
          <cell r="A3255" t="str">
            <v>Normandite</v>
          </cell>
        </row>
        <row r="3256">
          <cell r="A3256" t="str">
            <v>Norrishite</v>
          </cell>
        </row>
        <row r="3257">
          <cell r="A3257" t="str">
            <v>Northupite</v>
          </cell>
        </row>
        <row r="3258">
          <cell r="A3258" t="str">
            <v>Nosean</v>
          </cell>
        </row>
        <row r="3259">
          <cell r="A3259" t="str">
            <v>Novacekite</v>
          </cell>
        </row>
        <row r="3260">
          <cell r="A3260" t="str">
            <v>Novakite</v>
          </cell>
        </row>
        <row r="3261">
          <cell r="A3261" t="str">
            <v>Novgorodovaite</v>
          </cell>
        </row>
        <row r="3262">
          <cell r="A3262" t="str">
            <v>Novodneprite</v>
          </cell>
        </row>
        <row r="3263">
          <cell r="A3263" t="str">
            <v>Nowackiite</v>
          </cell>
        </row>
        <row r="3264">
          <cell r="A3264" t="str">
            <v>Nsutite</v>
          </cell>
        </row>
        <row r="3265">
          <cell r="A3265" t="str">
            <v>Nuffieldite</v>
          </cell>
        </row>
        <row r="3266">
          <cell r="A3266" t="str">
            <v>Nukundamite</v>
          </cell>
        </row>
        <row r="3267">
          <cell r="A3267" t="str">
            <v>Nullaginite</v>
          </cell>
        </row>
        <row r="3268">
          <cell r="A3268" t="str">
            <v>Numanoite</v>
          </cell>
        </row>
        <row r="3269">
          <cell r="A3269" t="str">
            <v>Nyerereite</v>
          </cell>
        </row>
        <row r="3270">
          <cell r="A3270" t="str">
            <v>Oboyerite</v>
          </cell>
        </row>
        <row r="3271">
          <cell r="A3271" t="str">
            <v>Obradovicite</v>
          </cell>
        </row>
        <row r="3272">
          <cell r="A3272" t="str">
            <v>Odanielite</v>
          </cell>
        </row>
        <row r="3273">
          <cell r="A3273" t="str">
            <v>Odintsovite</v>
          </cell>
        </row>
        <row r="3274">
          <cell r="A3274" t="str">
            <v>Oenite</v>
          </cell>
        </row>
        <row r="3275">
          <cell r="A3275" t="str">
            <v>Offretite</v>
          </cell>
        </row>
        <row r="3276">
          <cell r="A3276" t="str">
            <v>Oftedalite</v>
          </cell>
        </row>
        <row r="3277">
          <cell r="A3277" t="str">
            <v>Ogdensburgite</v>
          </cell>
        </row>
        <row r="3278">
          <cell r="A3278" t="str">
            <v>Ohmilite</v>
          </cell>
        </row>
        <row r="3279">
          <cell r="A3279" t="str">
            <v>Ojuelaite</v>
          </cell>
        </row>
        <row r="3280">
          <cell r="A3280" t="str">
            <v>Okanoganite-(Y)</v>
          </cell>
        </row>
        <row r="3281">
          <cell r="A3281" t="str">
            <v>Okayamalite</v>
          </cell>
        </row>
        <row r="3282">
          <cell r="A3282" t="str">
            <v>Okenite</v>
          </cell>
        </row>
        <row r="3283">
          <cell r="A3283" t="str">
            <v>Okhotskite-(Mg)</v>
          </cell>
        </row>
        <row r="3284">
          <cell r="A3284" t="str">
            <v>Okhotskite-(Mn++)</v>
          </cell>
        </row>
        <row r="3285">
          <cell r="A3285" t="str">
            <v>Oldhamite</v>
          </cell>
        </row>
        <row r="3286">
          <cell r="A3286" t="str">
            <v>Olenite</v>
          </cell>
        </row>
        <row r="3287">
          <cell r="A3287" t="str">
            <v>Olgite</v>
          </cell>
        </row>
        <row r="3288">
          <cell r="A3288" t="str">
            <v>Olkhonskite</v>
          </cell>
        </row>
        <row r="3289">
          <cell r="A3289" t="str">
            <v>Olmiite</v>
          </cell>
        </row>
        <row r="3290">
          <cell r="A3290" t="str">
            <v>Olmsteadite</v>
          </cell>
        </row>
        <row r="3291">
          <cell r="A3291" t="str">
            <v>Olsacherite</v>
          </cell>
        </row>
        <row r="3292">
          <cell r="A3292" t="str">
            <v>Olshanskyite</v>
          </cell>
        </row>
        <row r="3293">
          <cell r="A3293" t="str">
            <v>Olympite</v>
          </cell>
        </row>
        <row r="3294">
          <cell r="A3294" t="str">
            <v>Omeiite</v>
          </cell>
        </row>
        <row r="3295">
          <cell r="A3295" t="str">
            <v>Ominelite</v>
          </cell>
        </row>
        <row r="3296">
          <cell r="A3296" t="str">
            <v>Oneillite</v>
          </cell>
        </row>
        <row r="3297">
          <cell r="A3297" t="str">
            <v>Onoratoite</v>
          </cell>
        </row>
        <row r="3298">
          <cell r="A3298" t="str">
            <v>Oosterboschite</v>
          </cell>
        </row>
        <row r="3299">
          <cell r="A3299" t="str">
            <v>Opal</v>
          </cell>
        </row>
        <row r="3300">
          <cell r="A3300" t="str">
            <v>Orcelite</v>
          </cell>
        </row>
        <row r="3301">
          <cell r="A3301" t="str">
            <v>Ordonezite</v>
          </cell>
        </row>
        <row r="3302">
          <cell r="A3302" t="str">
            <v>Orebroite-III</v>
          </cell>
        </row>
        <row r="3303">
          <cell r="A3303" t="str">
            <v>Orebroite-VIII</v>
          </cell>
        </row>
        <row r="3304">
          <cell r="A3304" t="str">
            <v>Oregonite</v>
          </cell>
        </row>
        <row r="3305">
          <cell r="A3305" t="str">
            <v>Organovaite-Mn</v>
          </cell>
        </row>
        <row r="3306">
          <cell r="A3306" t="str">
            <v>Organovaite-Zn</v>
          </cell>
        </row>
        <row r="3307">
          <cell r="A3307" t="str">
            <v>Orickite</v>
          </cell>
        </row>
        <row r="3308">
          <cell r="A3308" t="str">
            <v>Orientite</v>
          </cell>
        </row>
        <row r="3309">
          <cell r="A3309" t="str">
            <v>Orlandiite</v>
          </cell>
        </row>
        <row r="3310">
          <cell r="A3310" t="str">
            <v>Orlovite</v>
          </cell>
        </row>
        <row r="3311">
          <cell r="A3311" t="str">
            <v>Orlymanite</v>
          </cell>
        </row>
        <row r="3312">
          <cell r="A3312" t="str">
            <v>Orpiment</v>
          </cell>
        </row>
        <row r="3313">
          <cell r="A3313" t="str">
            <v>Orschallite</v>
          </cell>
        </row>
        <row r="3314">
          <cell r="A3314" t="str">
            <v>Orthobrannerite</v>
          </cell>
        </row>
        <row r="3315">
          <cell r="A3315" t="str">
            <v>Orthochevkinite</v>
          </cell>
        </row>
        <row r="3316">
          <cell r="A3316" t="str">
            <v>Orthochrysotile</v>
          </cell>
        </row>
        <row r="3317">
          <cell r="A3317" t="str">
            <v>Orthoericssonite</v>
          </cell>
        </row>
        <row r="3318">
          <cell r="A3318" t="str">
            <v>Orthojoaquinite-(Ce)</v>
          </cell>
        </row>
        <row r="3319">
          <cell r="A3319" t="str">
            <v>Orthojoaquinite-(La)</v>
          </cell>
        </row>
        <row r="3320">
          <cell r="A3320" t="str">
            <v>Orthominasragrite</v>
          </cell>
        </row>
        <row r="3321">
          <cell r="A3321" t="str">
            <v>Orthopinakiolite</v>
          </cell>
        </row>
        <row r="3322">
          <cell r="A3322" t="str">
            <v>Orthoserpierite</v>
          </cell>
        </row>
        <row r="3323">
          <cell r="A3323" t="str">
            <v>Orthowalpurgite</v>
          </cell>
        </row>
        <row r="3324">
          <cell r="A3324" t="str">
            <v>Osakaite</v>
          </cell>
        </row>
        <row r="3325">
          <cell r="A3325" t="str">
            <v>Osarizawaite</v>
          </cell>
        </row>
        <row r="3326">
          <cell r="A3326" t="str">
            <v>Osarsite</v>
          </cell>
        </row>
        <row r="3327">
          <cell r="A3327" t="str">
            <v>Osbornite</v>
          </cell>
        </row>
        <row r="3328">
          <cell r="A3328" t="str">
            <v>Osmium</v>
          </cell>
        </row>
        <row r="3329">
          <cell r="A3329" t="str">
            <v>Osumilite-(Fe)</v>
          </cell>
        </row>
        <row r="3330">
          <cell r="A3330" t="str">
            <v>Osumilite-(Mg)</v>
          </cell>
        </row>
        <row r="3331">
          <cell r="A3331" t="str">
            <v>Oswaldpeetersite</v>
          </cell>
        </row>
        <row r="3332">
          <cell r="A3332" t="str">
            <v>Otjisumeite</v>
          </cell>
        </row>
        <row r="3333">
          <cell r="A3333" t="str">
            <v>Ottemannite</v>
          </cell>
        </row>
        <row r="3334">
          <cell r="A3334" t="str">
            <v>Ottensite</v>
          </cell>
        </row>
        <row r="3335">
          <cell r="A3335" t="str">
            <v>Ottrelite</v>
          </cell>
        </row>
        <row r="3336">
          <cell r="A3336" t="str">
            <v>Otwayite</v>
          </cell>
        </row>
        <row r="3337">
          <cell r="A3337" t="str">
            <v>Oulankaite</v>
          </cell>
        </row>
        <row r="3338">
          <cell r="A3338" t="str">
            <v>Ourayite</v>
          </cell>
        </row>
        <row r="3339">
          <cell r="A3339" t="str">
            <v>Oursinite</v>
          </cell>
        </row>
        <row r="3340">
          <cell r="A3340" t="str">
            <v>Ovamboite</v>
          </cell>
        </row>
        <row r="3341">
          <cell r="A3341" t="str">
            <v>Overite</v>
          </cell>
        </row>
        <row r="3342">
          <cell r="A3342" t="str">
            <v>Owensite</v>
          </cell>
        </row>
        <row r="3343">
          <cell r="A3343" t="str">
            <v>Owyheeite</v>
          </cell>
        </row>
        <row r="3344">
          <cell r="A3344" t="str">
            <v>Oxammite</v>
          </cell>
        </row>
        <row r="3345">
          <cell r="A3345" t="str">
            <v>Oxiberaunite</v>
          </cell>
        </row>
        <row r="3346">
          <cell r="A3346" t="str">
            <v>Oxykinoshitalite</v>
          </cell>
        </row>
        <row r="3347">
          <cell r="A3347" t="str">
            <v>Oxyvanite</v>
          </cell>
        </row>
        <row r="3348">
          <cell r="A3348" t="str">
            <v>Oyelite</v>
          </cell>
        </row>
        <row r="3349">
          <cell r="A3349" t="str">
            <v>Paakkonenite</v>
          </cell>
        </row>
        <row r="3350">
          <cell r="A3350" t="str">
            <v>Paarite</v>
          </cell>
        </row>
        <row r="3351">
          <cell r="A3351" t="str">
            <v>Pabstite</v>
          </cell>
        </row>
        <row r="3352">
          <cell r="A3352" t="str">
            <v>Paceite</v>
          </cell>
        </row>
        <row r="3353">
          <cell r="A3353" t="str">
            <v>Pachnolite</v>
          </cell>
        </row>
        <row r="3354">
          <cell r="A3354" t="str">
            <v>Paderaite</v>
          </cell>
        </row>
        <row r="3355">
          <cell r="A3355" t="str">
            <v>Padmaite</v>
          </cell>
        </row>
        <row r="3356">
          <cell r="A3356" t="str">
            <v>Pahasapaite</v>
          </cell>
        </row>
        <row r="3357">
          <cell r="A3357" t="str">
            <v>Painite</v>
          </cell>
        </row>
        <row r="3358">
          <cell r="A3358" t="str">
            <v>Pakhomovskyite</v>
          </cell>
        </row>
        <row r="3359">
          <cell r="A3359" t="str">
            <v>Palarstanide</v>
          </cell>
        </row>
        <row r="3360">
          <cell r="A3360" t="str">
            <v>Palenzonaite</v>
          </cell>
        </row>
        <row r="3361">
          <cell r="A3361" t="str">
            <v>Palladium</v>
          </cell>
        </row>
        <row r="3362">
          <cell r="A3362" t="str">
            <v>Palladobismutharsenide</v>
          </cell>
        </row>
        <row r="3363">
          <cell r="A3363" t="str">
            <v>Palladodymite</v>
          </cell>
        </row>
        <row r="3364">
          <cell r="A3364" t="str">
            <v>Palladseite</v>
          </cell>
        </row>
        <row r="3365">
          <cell r="A3365" t="str">
            <v>Palmierite</v>
          </cell>
        </row>
        <row r="3366">
          <cell r="A3366" t="str">
            <v>Palygorskite</v>
          </cell>
        </row>
        <row r="3367">
          <cell r="A3367" t="str">
            <v>Panethite</v>
          </cell>
        </row>
        <row r="3368">
          <cell r="A3368" t="str">
            <v>Panichiite</v>
          </cell>
        </row>
        <row r="3369">
          <cell r="A3369" t="str">
            <v>Panunzite</v>
          </cell>
        </row>
        <row r="3370">
          <cell r="A3370" t="str">
            <v>Paolovite</v>
          </cell>
        </row>
        <row r="3371">
          <cell r="A3371" t="str">
            <v>Papagoite</v>
          </cell>
        </row>
        <row r="3372">
          <cell r="A3372" t="str">
            <v>Para-alumohydrocalcite</v>
          </cell>
        </row>
        <row r="3373">
          <cell r="A3373" t="str">
            <v>Parabariomicrolite</v>
          </cell>
        </row>
        <row r="3374">
          <cell r="A3374" t="str">
            <v>Parabrandtite</v>
          </cell>
        </row>
        <row r="3375">
          <cell r="A3375" t="str">
            <v>Parabutlerite</v>
          </cell>
        </row>
        <row r="3376">
          <cell r="A3376" t="str">
            <v>Paracelsian</v>
          </cell>
        </row>
        <row r="3377">
          <cell r="A3377" t="str">
            <v>Parachrysotile</v>
          </cell>
        </row>
        <row r="3378">
          <cell r="A3378" t="str">
            <v>Paracostibite</v>
          </cell>
        </row>
        <row r="3379">
          <cell r="A3379" t="str">
            <v>Paradocrasite</v>
          </cell>
        </row>
        <row r="3380">
          <cell r="A3380" t="str">
            <v>Parafransoletite</v>
          </cell>
        </row>
        <row r="3381">
          <cell r="A3381" t="str">
            <v>Parageorgbokiite</v>
          </cell>
        </row>
        <row r="3382">
          <cell r="A3382" t="str">
            <v>Paraguanajuatite</v>
          </cell>
        </row>
        <row r="3383">
          <cell r="A3383" t="str">
            <v>Parahopeite</v>
          </cell>
        </row>
        <row r="3384">
          <cell r="A3384" t="str">
            <v>Parajamesonite</v>
          </cell>
        </row>
        <row r="3385">
          <cell r="A3385" t="str">
            <v>Parakeldyshite</v>
          </cell>
        </row>
        <row r="3386">
          <cell r="A3386" t="str">
            <v>Parakhinite</v>
          </cell>
        </row>
        <row r="3387">
          <cell r="A3387" t="str">
            <v>Parakuzmenkoite-Fe</v>
          </cell>
        </row>
        <row r="3388">
          <cell r="A3388" t="str">
            <v>Paralabuntsovite-Mg</v>
          </cell>
        </row>
        <row r="3389">
          <cell r="A3389" t="str">
            <v>Paralaurionite</v>
          </cell>
        </row>
        <row r="3390">
          <cell r="A3390" t="str">
            <v>Paramelaconite</v>
          </cell>
        </row>
        <row r="3391">
          <cell r="A3391" t="str">
            <v>Paramendozavilite</v>
          </cell>
        </row>
        <row r="3392">
          <cell r="A3392" t="str">
            <v>Paramontroseite</v>
          </cell>
        </row>
        <row r="3393">
          <cell r="A3393" t="str">
            <v>Paranatisite</v>
          </cell>
        </row>
        <row r="3394">
          <cell r="A3394" t="str">
            <v>Paranatrolite</v>
          </cell>
        </row>
        <row r="3395">
          <cell r="A3395" t="str">
            <v>Paraniite-(Y)</v>
          </cell>
        </row>
        <row r="3396">
          <cell r="A3396" t="str">
            <v>Paraotwayite</v>
          </cell>
        </row>
        <row r="3397">
          <cell r="A3397" t="str">
            <v>Parapierrotite</v>
          </cell>
        </row>
        <row r="3398">
          <cell r="A3398" t="str">
            <v>Pararammelsbergite</v>
          </cell>
        </row>
        <row r="3399">
          <cell r="A3399" t="str">
            <v>Pararealgar</v>
          </cell>
        </row>
        <row r="3400">
          <cell r="A3400" t="str">
            <v>Pararobertsite</v>
          </cell>
        </row>
        <row r="3401">
          <cell r="A3401" t="str">
            <v>Pararsenolamprite</v>
          </cell>
        </row>
        <row r="3402">
          <cell r="A3402" t="str">
            <v>Paraschachnerite</v>
          </cell>
        </row>
        <row r="3403">
          <cell r="A3403" t="str">
            <v>Paraschoepite</v>
          </cell>
        </row>
        <row r="3404">
          <cell r="A3404" t="str">
            <v>Parascholzite</v>
          </cell>
        </row>
        <row r="3405">
          <cell r="A3405" t="str">
            <v>Parascorodite</v>
          </cell>
        </row>
        <row r="3406">
          <cell r="A3406" t="str">
            <v>Parasibirskite</v>
          </cell>
        </row>
        <row r="3407">
          <cell r="A3407" t="str">
            <v>Paraspurrite</v>
          </cell>
        </row>
        <row r="3408">
          <cell r="A3408" t="str">
            <v>Parasymplesite</v>
          </cell>
        </row>
        <row r="3409">
          <cell r="A3409" t="str">
            <v>Paratacamite</v>
          </cell>
        </row>
        <row r="3410">
          <cell r="A3410" t="str">
            <v>Paratellurite</v>
          </cell>
        </row>
        <row r="3411">
          <cell r="A3411" t="str">
            <v>Paratooite-(La)</v>
          </cell>
        </row>
        <row r="3412">
          <cell r="A3412" t="str">
            <v>Paratsepinite-Ba</v>
          </cell>
        </row>
        <row r="3413">
          <cell r="A3413" t="str">
            <v>Paratsepinite-Na</v>
          </cell>
        </row>
        <row r="3414">
          <cell r="A3414" t="str">
            <v>Paraumbite</v>
          </cell>
        </row>
        <row r="3415">
          <cell r="A3415" t="str">
            <v>Paravauxite</v>
          </cell>
        </row>
        <row r="3416">
          <cell r="A3416" t="str">
            <v>Paravinogradovite</v>
          </cell>
        </row>
        <row r="3417">
          <cell r="A3417" t="str">
            <v>Parisite-(Ce)</v>
          </cell>
        </row>
        <row r="3418">
          <cell r="A3418" t="str">
            <v>Parisite-(Nd)</v>
          </cell>
        </row>
        <row r="3419">
          <cell r="A3419" t="str">
            <v>Parkerite</v>
          </cell>
        </row>
        <row r="3420">
          <cell r="A3420" t="str">
            <v>Parkinsonite</v>
          </cell>
        </row>
        <row r="3421">
          <cell r="A3421" t="str">
            <v>Parnauite</v>
          </cell>
        </row>
        <row r="3422">
          <cell r="A3422" t="str">
            <v>Parsettensite</v>
          </cell>
        </row>
        <row r="3423">
          <cell r="A3423" t="str">
            <v>Parsonsite</v>
          </cell>
        </row>
        <row r="3424">
          <cell r="A3424" t="str">
            <v>Partheite</v>
          </cell>
        </row>
        <row r="3425">
          <cell r="A3425" t="str">
            <v>Partzite</v>
          </cell>
        </row>
        <row r="3426">
          <cell r="A3426" t="str">
            <v>Parwanite</v>
          </cell>
        </row>
        <row r="3427">
          <cell r="A3427" t="str">
            <v>Pasavaite</v>
          </cell>
        </row>
        <row r="3428">
          <cell r="A3428" t="str">
            <v>Pascoite</v>
          </cell>
        </row>
        <row r="3429">
          <cell r="A3429" t="str">
            <v>Patronite</v>
          </cell>
        </row>
        <row r="3430">
          <cell r="A3430" t="str">
            <v>Pauflerite</v>
          </cell>
        </row>
        <row r="3431">
          <cell r="A3431" t="str">
            <v>Paulingite-Ca</v>
          </cell>
        </row>
        <row r="3432">
          <cell r="A3432" t="str">
            <v>Paulingite-K</v>
          </cell>
        </row>
        <row r="3433">
          <cell r="A3433" t="str">
            <v>Paulingite-Na</v>
          </cell>
        </row>
        <row r="3434">
          <cell r="A3434" t="str">
            <v>Paulkerrite</v>
          </cell>
        </row>
        <row r="3435">
          <cell r="A3435" t="str">
            <v>Paulmooreite</v>
          </cell>
        </row>
        <row r="3436">
          <cell r="A3436" t="str">
            <v>Pautovite</v>
          </cell>
        </row>
        <row r="3437">
          <cell r="A3437" t="str">
            <v>Pavonite</v>
          </cell>
        </row>
        <row r="3438">
          <cell r="A3438" t="str">
            <v>Paxite</v>
          </cell>
        </row>
        <row r="3439">
          <cell r="A3439" t="str">
            <v>Pearceite</v>
          </cell>
        </row>
        <row r="3440">
          <cell r="A3440" t="str">
            <v>Pecoraite</v>
          </cell>
        </row>
        <row r="3441">
          <cell r="A3441" t="str">
            <v>Pectolite</v>
          </cell>
        </row>
        <row r="3442">
          <cell r="A3442" t="str">
            <v>Peisleyite</v>
          </cell>
        </row>
        <row r="3443">
          <cell r="A3443" t="str">
            <v>Pekoite</v>
          </cell>
        </row>
        <row r="3444">
          <cell r="A3444" t="str">
            <v>Pekovite</v>
          </cell>
        </row>
        <row r="3445">
          <cell r="A3445" t="str">
            <v>Pellouxite</v>
          </cell>
        </row>
        <row r="3446">
          <cell r="A3446" t="str">
            <v>Pellyite</v>
          </cell>
        </row>
        <row r="3447">
          <cell r="A3447" t="str">
            <v>Penfieldite</v>
          </cell>
        </row>
        <row r="3448">
          <cell r="A3448" t="str">
            <v>Penkvilksite</v>
          </cell>
        </row>
        <row r="3449">
          <cell r="A3449" t="str">
            <v>Penobsquisite</v>
          </cell>
        </row>
        <row r="3450">
          <cell r="A3450" t="str">
            <v>Penroseite</v>
          </cell>
        </row>
        <row r="3451">
          <cell r="A3451" t="str">
            <v>Pentagonite</v>
          </cell>
        </row>
        <row r="3452">
          <cell r="A3452" t="str">
            <v>Pentahydroborite</v>
          </cell>
        </row>
        <row r="3453">
          <cell r="A3453" t="str">
            <v>Pentlandite</v>
          </cell>
        </row>
        <row r="3454">
          <cell r="A3454" t="str">
            <v>Penzhinite</v>
          </cell>
        </row>
        <row r="3455">
          <cell r="A3455" t="str">
            <v>Peprossiite-(Ce)</v>
          </cell>
        </row>
        <row r="3456">
          <cell r="A3456" t="str">
            <v>Percleveite-(Ce)</v>
          </cell>
        </row>
        <row r="3457">
          <cell r="A3457" t="str">
            <v>Peretaite</v>
          </cell>
        </row>
        <row r="3458">
          <cell r="A3458" t="str">
            <v>Perhamite</v>
          </cell>
        </row>
        <row r="3459">
          <cell r="A3459" t="str">
            <v>Periclase</v>
          </cell>
        </row>
        <row r="3460">
          <cell r="A3460" t="str">
            <v>Perite</v>
          </cell>
        </row>
        <row r="3461">
          <cell r="A3461" t="str">
            <v>Perlialite</v>
          </cell>
        </row>
        <row r="3462">
          <cell r="A3462" t="str">
            <v>Permingeatite</v>
          </cell>
        </row>
        <row r="3463">
          <cell r="A3463" t="str">
            <v>Perovskite</v>
          </cell>
        </row>
        <row r="3464">
          <cell r="A3464" t="str">
            <v>Perraultite</v>
          </cell>
        </row>
        <row r="3465">
          <cell r="A3465" t="str">
            <v>Perrierite-(Ce)</v>
          </cell>
        </row>
        <row r="3466">
          <cell r="A3466" t="str">
            <v>Perroudite</v>
          </cell>
        </row>
        <row r="3467">
          <cell r="A3467" t="str">
            <v>Perryite</v>
          </cell>
        </row>
        <row r="3468">
          <cell r="A3468" t="str">
            <v>Pertsevite</v>
          </cell>
        </row>
        <row r="3469">
          <cell r="A3469" t="str">
            <v>Petalite</v>
          </cell>
        </row>
        <row r="3470">
          <cell r="A3470" t="str">
            <v>Petarasite</v>
          </cell>
        </row>
        <row r="3471">
          <cell r="A3471" t="str">
            <v>Peterbaylissite</v>
          </cell>
        </row>
        <row r="3472">
          <cell r="A3472" t="str">
            <v>Petersenite-(Ce)</v>
          </cell>
        </row>
        <row r="3473">
          <cell r="A3473" t="str">
            <v>Petersite-(Y)</v>
          </cell>
        </row>
        <row r="3474">
          <cell r="A3474" t="str">
            <v>Petewilliamsite</v>
          </cell>
        </row>
        <row r="3475">
          <cell r="A3475" t="str">
            <v>Petrovicite</v>
          </cell>
        </row>
        <row r="3476">
          <cell r="A3476" t="str">
            <v>Petrovskaite</v>
          </cell>
        </row>
        <row r="3477">
          <cell r="A3477" t="str">
            <v>Petrukite</v>
          </cell>
        </row>
        <row r="3478">
          <cell r="A3478" t="str">
            <v>Petscheckite</v>
          </cell>
        </row>
        <row r="3479">
          <cell r="A3479" t="str">
            <v>Petterdite</v>
          </cell>
        </row>
        <row r="3480">
          <cell r="A3480" t="str">
            <v>Petzite</v>
          </cell>
        </row>
        <row r="3481">
          <cell r="A3481" t="str">
            <v>Pezzottaite</v>
          </cell>
        </row>
        <row r="3482">
          <cell r="A3482" t="str">
            <v>Pharmacolite</v>
          </cell>
        </row>
        <row r="3483">
          <cell r="A3483" t="str">
            <v>Pharmacosiderite</v>
          </cell>
        </row>
        <row r="3484">
          <cell r="A3484" t="str">
            <v>Phaunouxite</v>
          </cell>
        </row>
        <row r="3485">
          <cell r="A3485" t="str">
            <v>Phenakite</v>
          </cell>
        </row>
        <row r="3486">
          <cell r="A3486" t="str">
            <v>Philipsburgite</v>
          </cell>
        </row>
        <row r="3487">
          <cell r="A3487" t="str">
            <v>Phillipsite-Ca</v>
          </cell>
        </row>
        <row r="3488">
          <cell r="A3488" t="str">
            <v>Phillipsite-K</v>
          </cell>
        </row>
        <row r="3489">
          <cell r="A3489" t="str">
            <v>Phillipsite-Na</v>
          </cell>
        </row>
        <row r="3490">
          <cell r="A3490" t="str">
            <v>Philolithite</v>
          </cell>
        </row>
        <row r="3491">
          <cell r="A3491" t="str">
            <v>Phlogopite</v>
          </cell>
        </row>
        <row r="3492">
          <cell r="A3492" t="str">
            <v>Phoenicochroite</v>
          </cell>
        </row>
        <row r="3493">
          <cell r="A3493" t="str">
            <v>Phosgenite</v>
          </cell>
        </row>
        <row r="3494">
          <cell r="A3494" t="str">
            <v>Phosinaite-(Ce)</v>
          </cell>
        </row>
        <row r="3495">
          <cell r="A3495" t="str">
            <v>Phosphammite</v>
          </cell>
        </row>
        <row r="3496">
          <cell r="A3496" t="str">
            <v>Phosphoferrite</v>
          </cell>
        </row>
        <row r="3497">
          <cell r="A3497" t="str">
            <v>Phosphofibrite</v>
          </cell>
        </row>
        <row r="3498">
          <cell r="A3498" t="str">
            <v>Phosphogartrellite</v>
          </cell>
        </row>
        <row r="3499">
          <cell r="A3499" t="str">
            <v>Phosphogypse</v>
          </cell>
        </row>
        <row r="3500">
          <cell r="A3500" t="str">
            <v>Phosphoinnelite</v>
          </cell>
        </row>
        <row r="3501">
          <cell r="A3501" t="str">
            <v>Phosphophyllite</v>
          </cell>
        </row>
        <row r="3502">
          <cell r="A3502" t="str">
            <v>Phosphorrosslerite</v>
          </cell>
        </row>
        <row r="3503">
          <cell r="A3503" t="str">
            <v>Phosphosiderite</v>
          </cell>
        </row>
        <row r="3504">
          <cell r="A3504" t="str">
            <v>Phosphovanadylite</v>
          </cell>
        </row>
        <row r="3505">
          <cell r="A3505" t="str">
            <v>Phosphowalpurgite</v>
          </cell>
        </row>
        <row r="3506">
          <cell r="A3506" t="str">
            <v>Phosphuranylite</v>
          </cell>
        </row>
        <row r="3507">
          <cell r="A3507" t="str">
            <v>Phuralumite</v>
          </cell>
        </row>
        <row r="3508">
          <cell r="A3508" t="str">
            <v>Phurcalite</v>
          </cell>
        </row>
        <row r="3509">
          <cell r="A3509" t="str">
            <v>Phyllotungstite</v>
          </cell>
        </row>
        <row r="3510">
          <cell r="A3510" t="str">
            <v>Picotpaulite</v>
          </cell>
        </row>
        <row r="3511">
          <cell r="A3511" t="str">
            <v>Picropharmacolite</v>
          </cell>
        </row>
        <row r="3512">
          <cell r="A3512" t="str">
            <v>Piemontite</v>
          </cell>
        </row>
        <row r="3513">
          <cell r="A3513" t="str">
            <v>Piemontite-(Sr)</v>
          </cell>
        </row>
        <row r="3514">
          <cell r="A3514" t="str">
            <v>Piergorite-(Ce)</v>
          </cell>
        </row>
        <row r="3515">
          <cell r="A3515" t="str">
            <v>Pierrotite</v>
          </cell>
        </row>
        <row r="3516">
          <cell r="A3516" t="str">
            <v>Pillaite</v>
          </cell>
        </row>
        <row r="3517">
          <cell r="A3517" t="str">
            <v>Pilsenite</v>
          </cell>
        </row>
        <row r="3518">
          <cell r="A3518" t="str">
            <v>Pimelite</v>
          </cell>
        </row>
        <row r="3519">
          <cell r="A3519" t="str">
            <v>Pinakiolite</v>
          </cell>
        </row>
        <row r="3520">
          <cell r="A3520" t="str">
            <v>Pinalite</v>
          </cell>
        </row>
        <row r="3521">
          <cell r="A3521" t="str">
            <v>Pinchite</v>
          </cell>
        </row>
        <row r="3522">
          <cell r="A3522" t="str">
            <v>Pingguite</v>
          </cell>
        </row>
        <row r="3523">
          <cell r="A3523" t="str">
            <v>Pinnoite</v>
          </cell>
        </row>
        <row r="3524">
          <cell r="A3524" t="str">
            <v>Pintadoite</v>
          </cell>
        </row>
        <row r="3525">
          <cell r="A3525" t="str">
            <v>Piretite</v>
          </cell>
        </row>
        <row r="3526">
          <cell r="A3526" t="str">
            <v>Pirquitasite</v>
          </cell>
        </row>
        <row r="3527">
          <cell r="A3527" t="str">
            <v>Pirssonite</v>
          </cell>
        </row>
        <row r="3528">
          <cell r="A3528" t="str">
            <v>Pitiglianoite</v>
          </cell>
        </row>
        <row r="3529">
          <cell r="A3529" t="str">
            <v>Pitticite</v>
          </cell>
        </row>
        <row r="3530">
          <cell r="A3530" t="str">
            <v>Pittongite</v>
          </cell>
        </row>
        <row r="3531">
          <cell r="A3531" t="str">
            <v>Piypite</v>
          </cell>
        </row>
        <row r="3532">
          <cell r="A3532" t="str">
            <v>Pizgrischite</v>
          </cell>
        </row>
        <row r="3533">
          <cell r="A3533" t="str">
            <v>Plagionite</v>
          </cell>
        </row>
        <row r="3534">
          <cell r="A3534" t="str">
            <v>Plancheite</v>
          </cell>
        </row>
        <row r="3535">
          <cell r="A3535" t="str">
            <v>Planerite</v>
          </cell>
        </row>
        <row r="3536">
          <cell r="A3536" t="str">
            <v>Platarsite</v>
          </cell>
        </row>
        <row r="3537">
          <cell r="A3537" t="str">
            <v>Platinum</v>
          </cell>
        </row>
        <row r="3538">
          <cell r="A3538" t="str">
            <v>Plattnerite</v>
          </cell>
        </row>
        <row r="3539">
          <cell r="A3539" t="str">
            <v>Platynite</v>
          </cell>
        </row>
        <row r="3540">
          <cell r="A3540" t="str">
            <v>Playfairite</v>
          </cell>
        </row>
        <row r="3541">
          <cell r="A3541" t="str">
            <v>Plombierite</v>
          </cell>
        </row>
        <row r="3542">
          <cell r="A3542" t="str">
            <v>Plumalsite</v>
          </cell>
        </row>
        <row r="3543">
          <cell r="A3543" t="str">
            <v>Plumboagardite</v>
          </cell>
        </row>
        <row r="3544">
          <cell r="A3544" t="str">
            <v>Plumbobetafite</v>
          </cell>
        </row>
        <row r="3545">
          <cell r="A3545" t="str">
            <v>Plumboferrite</v>
          </cell>
        </row>
        <row r="3546">
          <cell r="A3546" t="str">
            <v>Plumbojarosite</v>
          </cell>
        </row>
        <row r="3547">
          <cell r="A3547" t="str">
            <v>Plumbomicrolite</v>
          </cell>
        </row>
        <row r="3548">
          <cell r="A3548" t="str">
            <v>Plumbonacrite</v>
          </cell>
        </row>
        <row r="3549">
          <cell r="A3549" t="str">
            <v>Plumbopalladinite</v>
          </cell>
        </row>
        <row r="3550">
          <cell r="A3550" t="str">
            <v>Plumbophyllite</v>
          </cell>
        </row>
        <row r="3551">
          <cell r="A3551" t="str">
            <v>Plumbopyrochlore</v>
          </cell>
        </row>
        <row r="3552">
          <cell r="A3552" t="str">
            <v>Plumbotellurite</v>
          </cell>
        </row>
        <row r="3553">
          <cell r="A3553" t="str">
            <v>Plumbotsumite</v>
          </cell>
        </row>
        <row r="3554">
          <cell r="A3554" t="str">
            <v>Plumosite</v>
          </cell>
        </row>
        <row r="3555">
          <cell r="A3555" t="str">
            <v>Podlesnoite</v>
          </cell>
        </row>
        <row r="3556">
          <cell r="A3556" t="str">
            <v>Pokrovskite</v>
          </cell>
        </row>
        <row r="3557">
          <cell r="A3557" t="str">
            <v>Polarite</v>
          </cell>
        </row>
        <row r="3558">
          <cell r="A3558" t="str">
            <v>Poldervaartite</v>
          </cell>
        </row>
        <row r="3559">
          <cell r="A3559" t="str">
            <v>Polhemusite</v>
          </cell>
        </row>
        <row r="3560">
          <cell r="A3560" t="str">
            <v>Polkanovite</v>
          </cell>
        </row>
        <row r="3561">
          <cell r="A3561" t="str">
            <v>Polkovicite</v>
          </cell>
        </row>
        <row r="3562">
          <cell r="A3562" t="str">
            <v>Pollucite</v>
          </cell>
        </row>
        <row r="3563">
          <cell r="A3563" t="str">
            <v>Polyakovite-(Ce)</v>
          </cell>
        </row>
        <row r="3564">
          <cell r="A3564" t="str">
            <v>Polybasite</v>
          </cell>
        </row>
        <row r="3565">
          <cell r="A3565" t="str">
            <v>Polycrase-(Y)</v>
          </cell>
        </row>
        <row r="3566">
          <cell r="A3566" t="str">
            <v>Polydymite</v>
          </cell>
        </row>
        <row r="3567">
          <cell r="A3567" t="str">
            <v>Polylithionite</v>
          </cell>
        </row>
        <row r="3568">
          <cell r="A3568" t="str">
            <v>Polyphite-VII</v>
          </cell>
        </row>
        <row r="3569">
          <cell r="A3569" t="str">
            <v>Polyphite-VIII</v>
          </cell>
        </row>
        <row r="3570">
          <cell r="A3570" t="str">
            <v>Ponomarevite</v>
          </cell>
        </row>
        <row r="3571">
          <cell r="A3571" t="str">
            <v>Poppiite</v>
          </cell>
        </row>
        <row r="3572">
          <cell r="A3572" t="str">
            <v>Portlandite</v>
          </cell>
        </row>
        <row r="3573">
          <cell r="A3573" t="str">
            <v>Posnjakite</v>
          </cell>
        </row>
        <row r="3574">
          <cell r="A3574" t="str">
            <v>Potarite</v>
          </cell>
        </row>
        <row r="3575">
          <cell r="A3575" t="str">
            <v>Potassiccarpholite</v>
          </cell>
        </row>
        <row r="3576">
          <cell r="A3576" t="str">
            <v>Potosiite</v>
          </cell>
        </row>
        <row r="3577">
          <cell r="A3577" t="str">
            <v>Pottsite</v>
          </cell>
        </row>
        <row r="3578">
          <cell r="A3578" t="str">
            <v>Poubaite</v>
          </cell>
        </row>
        <row r="3579">
          <cell r="A3579" t="str">
            <v>Poudretteite</v>
          </cell>
        </row>
        <row r="3580">
          <cell r="A3580" t="str">
            <v>Poughite</v>
          </cell>
        </row>
        <row r="3581">
          <cell r="A3581" t="str">
            <v>Povondraite</v>
          </cell>
        </row>
        <row r="3582">
          <cell r="A3582" t="str">
            <v>Powellite</v>
          </cell>
        </row>
        <row r="3583">
          <cell r="A3583" t="str">
            <v>Poyarkovite</v>
          </cell>
        </row>
        <row r="3584">
          <cell r="A3584" t="str">
            <v>Prassoite</v>
          </cell>
        </row>
        <row r="3585">
          <cell r="A3585" t="str">
            <v>Prehnite</v>
          </cell>
        </row>
        <row r="3586">
          <cell r="A3586" t="str">
            <v>Preiswerkite</v>
          </cell>
        </row>
        <row r="3587">
          <cell r="A3587" t="str">
            <v>Preobrazhenskite</v>
          </cell>
        </row>
        <row r="3588">
          <cell r="A3588" t="str">
            <v>Pretulite</v>
          </cell>
        </row>
        <row r="3589">
          <cell r="A3589" t="str">
            <v>Prewittite</v>
          </cell>
        </row>
        <row r="3590">
          <cell r="A3590" t="str">
            <v>Priceite</v>
          </cell>
        </row>
        <row r="3591">
          <cell r="A3591" t="str">
            <v>Priderite</v>
          </cell>
        </row>
        <row r="3592">
          <cell r="A3592" t="str">
            <v>Pringleite</v>
          </cell>
        </row>
        <row r="3593">
          <cell r="A3593" t="str">
            <v>Prismatine</v>
          </cell>
        </row>
        <row r="3594">
          <cell r="A3594" t="str">
            <v>Probertite</v>
          </cell>
        </row>
        <row r="3595">
          <cell r="A3595" t="str">
            <v>Proshchenkoite-(Y)</v>
          </cell>
        </row>
        <row r="3596">
          <cell r="A3596" t="str">
            <v>Prosopite</v>
          </cell>
        </row>
        <row r="3597">
          <cell r="A3597" t="str">
            <v>Prosperite</v>
          </cell>
        </row>
        <row r="3598">
          <cell r="A3598" t="str">
            <v>Protasite</v>
          </cell>
        </row>
        <row r="3599">
          <cell r="A3599" t="str">
            <v>Protojoseite</v>
          </cell>
        </row>
        <row r="3600">
          <cell r="A3600" t="str">
            <v>Proudite</v>
          </cell>
        </row>
        <row r="3601">
          <cell r="A3601" t="str">
            <v>Proustite</v>
          </cell>
        </row>
        <row r="3602">
          <cell r="A3602" t="str">
            <v>Przhevalskite</v>
          </cell>
        </row>
        <row r="3603">
          <cell r="A3603" t="str">
            <v>Pseudo-autunite</v>
          </cell>
        </row>
        <row r="3604">
          <cell r="A3604" t="str">
            <v>Pseudoboleite</v>
          </cell>
        </row>
        <row r="3605">
          <cell r="A3605" t="str">
            <v>Pseudobrookite</v>
          </cell>
        </row>
        <row r="3606">
          <cell r="A3606" t="str">
            <v>Pseudocotunnite</v>
          </cell>
        </row>
        <row r="3607">
          <cell r="A3607" t="str">
            <v>Pseudograndreefite</v>
          </cell>
        </row>
        <row r="3608">
          <cell r="A3608" t="str">
            <v>Pseudojohannite</v>
          </cell>
        </row>
        <row r="3609">
          <cell r="A3609" t="str">
            <v>Pseudolaueite</v>
          </cell>
        </row>
        <row r="3610">
          <cell r="A3610" t="str">
            <v>Pseudorutile</v>
          </cell>
        </row>
        <row r="3611">
          <cell r="A3611" t="str">
            <v>Pseudosinhalite</v>
          </cell>
        </row>
        <row r="3612">
          <cell r="A3612" t="str">
            <v>Psilomelane</v>
          </cell>
        </row>
        <row r="3613">
          <cell r="A3613" t="str">
            <v>Pucherite</v>
          </cell>
        </row>
        <row r="3614">
          <cell r="A3614" t="str">
            <v>Pumpellyite-(Al)</v>
          </cell>
        </row>
        <row r="3615">
          <cell r="A3615" t="str">
            <v>Pumpellyite-(Fe++)</v>
          </cell>
        </row>
        <row r="3616">
          <cell r="A3616" t="str">
            <v>Pumpellyite-(Fe+++)</v>
          </cell>
        </row>
        <row r="3617">
          <cell r="A3617" t="str">
            <v>Pumpellyite-(Mg)</v>
          </cell>
        </row>
        <row r="3618">
          <cell r="A3618" t="str">
            <v>Pumpellyite-(Mn++)</v>
          </cell>
        </row>
        <row r="3619">
          <cell r="A3619" t="str">
            <v>Punkaruaivite</v>
          </cell>
        </row>
        <row r="3620">
          <cell r="A3620" t="str">
            <v>Purpurite</v>
          </cell>
        </row>
        <row r="3621">
          <cell r="A3621" t="str">
            <v>Pushcharovskite</v>
          </cell>
        </row>
        <row r="3622">
          <cell r="A3622" t="str">
            <v>Putoranite</v>
          </cell>
        </row>
        <row r="3623">
          <cell r="A3623" t="str">
            <v>Putzite</v>
          </cell>
        </row>
        <row r="3624">
          <cell r="A3624" t="str">
            <v>Pyatenkoite-(Y)</v>
          </cell>
        </row>
        <row r="3625">
          <cell r="A3625" t="str">
            <v>Pyrargyrite</v>
          </cell>
        </row>
        <row r="3626">
          <cell r="A3626" t="str">
            <v>Pyrite</v>
          </cell>
        </row>
        <row r="3627">
          <cell r="A3627" t="str">
            <v>Pyroaurite</v>
          </cell>
        </row>
        <row r="3628">
          <cell r="A3628" t="str">
            <v>Pyrochlore</v>
          </cell>
        </row>
        <row r="3629">
          <cell r="A3629" t="str">
            <v>Pyrochroite</v>
          </cell>
        </row>
        <row r="3630">
          <cell r="A3630" t="str">
            <v>Pyrocoproite</v>
          </cell>
        </row>
        <row r="3631">
          <cell r="A3631" t="str">
            <v>Pyrolusite</v>
          </cell>
        </row>
        <row r="3632">
          <cell r="A3632" t="str">
            <v>Pyrope</v>
          </cell>
        </row>
        <row r="3633">
          <cell r="A3633" t="str">
            <v>Pyrophanite</v>
          </cell>
        </row>
        <row r="3634">
          <cell r="A3634" t="str">
            <v>Pyrophosphite</v>
          </cell>
        </row>
        <row r="3635">
          <cell r="A3635" t="str">
            <v>Pyrosmalite-(Fe)</v>
          </cell>
        </row>
        <row r="3636">
          <cell r="A3636" t="str">
            <v>Pyrosmalite-(Mn)</v>
          </cell>
        </row>
        <row r="3637">
          <cell r="A3637" t="str">
            <v>Pyrostilpnite</v>
          </cell>
        </row>
        <row r="3638">
          <cell r="A3638" t="str">
            <v>Pyroxferroite</v>
          </cell>
        </row>
        <row r="3639">
          <cell r="A3639" t="str">
            <v>Pyroxmangite</v>
          </cell>
        </row>
        <row r="3640">
          <cell r="A3640" t="str">
            <v>Pyrrhotite</v>
          </cell>
        </row>
        <row r="3641">
          <cell r="A3641" t="str">
            <v>Qandilite</v>
          </cell>
        </row>
        <row r="3642">
          <cell r="A3642" t="str">
            <v>Qaqarssukite-(Ce)</v>
          </cell>
        </row>
        <row r="3643">
          <cell r="A3643" t="str">
            <v>Qilianshanite</v>
          </cell>
        </row>
        <row r="3644">
          <cell r="A3644" t="str">
            <v>Qingheiite</v>
          </cell>
        </row>
        <row r="3645">
          <cell r="A3645" t="str">
            <v>Qitianlingite</v>
          </cell>
        </row>
        <row r="3646">
          <cell r="A3646" t="str">
            <v>Quadratite</v>
          </cell>
        </row>
        <row r="3647">
          <cell r="A3647" t="str">
            <v>Quadridavyne</v>
          </cell>
        </row>
        <row r="3648">
          <cell r="A3648" t="str">
            <v>Quadruphite-VII</v>
          </cell>
        </row>
        <row r="3649">
          <cell r="A3649" t="str">
            <v>Quadruphite-VIII</v>
          </cell>
        </row>
        <row r="3650">
          <cell r="A3650" t="str">
            <v>Quartz</v>
          </cell>
        </row>
        <row r="3651">
          <cell r="A3651" t="str">
            <v>Queitite</v>
          </cell>
        </row>
        <row r="3652">
          <cell r="A3652" t="str">
            <v>Quenselite</v>
          </cell>
        </row>
        <row r="3653">
          <cell r="A3653" t="str">
            <v>Quetzalcoatlite</v>
          </cell>
        </row>
        <row r="3654">
          <cell r="A3654" t="str">
            <v>Quintinite-2H</v>
          </cell>
        </row>
        <row r="3655">
          <cell r="A3655" t="str">
            <v>Quintinite-3T</v>
          </cell>
        </row>
        <row r="3656">
          <cell r="A3656" t="str">
            <v>Qusongite</v>
          </cell>
        </row>
        <row r="3657">
          <cell r="A3657" t="str">
            <v>Rabbittite</v>
          </cell>
        </row>
        <row r="3658">
          <cell r="A3658" t="str">
            <v>Rabejacite</v>
          </cell>
        </row>
        <row r="3659">
          <cell r="A3659" t="str">
            <v>Radhakrishnaite</v>
          </cell>
        </row>
        <row r="3660">
          <cell r="A3660" t="str">
            <v>Radiobarite</v>
          </cell>
        </row>
        <row r="3661">
          <cell r="A3661" t="str">
            <v>Radovanite</v>
          </cell>
        </row>
        <row r="3662">
          <cell r="A3662" t="str">
            <v>Radtkeite</v>
          </cell>
        </row>
        <row r="3663">
          <cell r="A3663" t="str">
            <v>Raguinite</v>
          </cell>
        </row>
        <row r="3664">
          <cell r="A3664" t="str">
            <v>Raite</v>
          </cell>
        </row>
        <row r="3665">
          <cell r="A3665" t="str">
            <v>Rajite</v>
          </cell>
        </row>
        <row r="3666">
          <cell r="A3666" t="str">
            <v>Ralstonite</v>
          </cell>
        </row>
        <row r="3667">
          <cell r="A3667" t="str">
            <v>Ramanite-(Cs)</v>
          </cell>
        </row>
        <row r="3668">
          <cell r="A3668" t="str">
            <v>Ramanite-(Rb)</v>
          </cell>
        </row>
        <row r="3669">
          <cell r="A3669" t="str">
            <v>Rambergite</v>
          </cell>
        </row>
        <row r="3670">
          <cell r="A3670" t="str">
            <v>Ramdohrite</v>
          </cell>
        </row>
        <row r="3671">
          <cell r="A3671" t="str">
            <v>Rameauite</v>
          </cell>
        </row>
        <row r="3672">
          <cell r="A3672" t="str">
            <v>Rammelsbergite</v>
          </cell>
        </row>
        <row r="3673">
          <cell r="A3673" t="str">
            <v>Ramsbeckite</v>
          </cell>
        </row>
        <row r="3674">
          <cell r="A3674" t="str">
            <v>Ramsdellite</v>
          </cell>
        </row>
        <row r="3675">
          <cell r="A3675" t="str">
            <v>Rancieite</v>
          </cell>
        </row>
        <row r="3676">
          <cell r="A3676" t="str">
            <v>Rankachite</v>
          </cell>
        </row>
        <row r="3677">
          <cell r="A3677" t="str">
            <v>Rankamaite</v>
          </cell>
        </row>
        <row r="3678">
          <cell r="A3678" t="str">
            <v>Rankinite</v>
          </cell>
        </row>
        <row r="3679">
          <cell r="A3679" t="str">
            <v>Ranunculite</v>
          </cell>
        </row>
        <row r="3680">
          <cell r="A3680" t="str">
            <v>Rapidcreekite</v>
          </cell>
        </row>
        <row r="3681">
          <cell r="A3681" t="str">
            <v>Rappoldite</v>
          </cell>
        </row>
        <row r="3682">
          <cell r="A3682" t="str">
            <v>Raslakite</v>
          </cell>
        </row>
        <row r="3683">
          <cell r="A3683" t="str">
            <v>Raspite</v>
          </cell>
        </row>
        <row r="3684">
          <cell r="A3684" t="str">
            <v>Rastsvetaevite</v>
          </cell>
        </row>
        <row r="3685">
          <cell r="A3685" t="str">
            <v>Rasvumite</v>
          </cell>
        </row>
        <row r="3686">
          <cell r="A3686" t="str">
            <v>Rathite</v>
          </cell>
        </row>
        <row r="3687">
          <cell r="A3687" t="str">
            <v>Rauenthalite</v>
          </cell>
        </row>
        <row r="3688">
          <cell r="A3688" t="str">
            <v>Rauvite</v>
          </cell>
        </row>
        <row r="3689">
          <cell r="A3689" t="str">
            <v>Ravatite</v>
          </cell>
        </row>
        <row r="3690">
          <cell r="A3690" t="str">
            <v>Rayite</v>
          </cell>
        </row>
        <row r="3691">
          <cell r="A3691" t="str">
            <v>Realgar</v>
          </cell>
        </row>
        <row r="3692">
          <cell r="A3692" t="str">
            <v>Rebulite</v>
          </cell>
        </row>
        <row r="3693">
          <cell r="A3693" t="str">
            <v>Rectorite</v>
          </cell>
        </row>
        <row r="3694">
          <cell r="A3694" t="str">
            <v>Reddingite</v>
          </cell>
        </row>
        <row r="3695">
          <cell r="A3695" t="str">
            <v>Redgillite</v>
          </cell>
        </row>
        <row r="3696">
          <cell r="A3696" t="str">
            <v>Redledgeite</v>
          </cell>
        </row>
        <row r="3697">
          <cell r="A3697" t="str">
            <v>Reederite-(Y)</v>
          </cell>
        </row>
        <row r="3698">
          <cell r="A3698" t="str">
            <v>Reedmergnerite</v>
          </cell>
        </row>
        <row r="3699">
          <cell r="A3699" t="str">
            <v>Reevesite</v>
          </cell>
        </row>
        <row r="3700">
          <cell r="A3700" t="str">
            <v>Refikite</v>
          </cell>
        </row>
        <row r="3701">
          <cell r="A3701" t="str">
            <v>Reidite</v>
          </cell>
        </row>
        <row r="3702">
          <cell r="A3702" t="str">
            <v>Reinerite</v>
          </cell>
        </row>
        <row r="3703">
          <cell r="A3703" t="str">
            <v>Reinhardbraunsite</v>
          </cell>
        </row>
        <row r="3704">
          <cell r="A3704" t="str">
            <v>Remondite-(Ce)</v>
          </cell>
        </row>
        <row r="3705">
          <cell r="A3705" t="str">
            <v>Remondite-(La)</v>
          </cell>
        </row>
        <row r="3706">
          <cell r="A3706" t="str">
            <v>Renardite</v>
          </cell>
        </row>
        <row r="3707">
          <cell r="A3707" t="str">
            <v>Rengeite</v>
          </cell>
        </row>
        <row r="3708">
          <cell r="A3708" t="str">
            <v>Renierite</v>
          </cell>
        </row>
        <row r="3709">
          <cell r="A3709" t="str">
            <v>Revdite</v>
          </cell>
        </row>
        <row r="3710">
          <cell r="A3710" t="str">
            <v>Reyerite</v>
          </cell>
        </row>
        <row r="3711">
          <cell r="A3711" t="str">
            <v>Rhabdophane-(Ce)</v>
          </cell>
        </row>
        <row r="3712">
          <cell r="A3712" t="str">
            <v>Rhabdophane-(La)</v>
          </cell>
        </row>
        <row r="3713">
          <cell r="A3713" t="str">
            <v>Rhabdophane-(Nd)</v>
          </cell>
        </row>
        <row r="3714">
          <cell r="A3714" t="str">
            <v>Rheniite</v>
          </cell>
        </row>
        <row r="3715">
          <cell r="A3715" t="str">
            <v>Rhenium</v>
          </cell>
        </row>
        <row r="3716">
          <cell r="A3716" t="str">
            <v>Rhodarsenide</v>
          </cell>
        </row>
        <row r="3717">
          <cell r="A3717" t="str">
            <v>Rhodesite</v>
          </cell>
        </row>
        <row r="3718">
          <cell r="A3718" t="str">
            <v>Rhodium</v>
          </cell>
        </row>
        <row r="3719">
          <cell r="A3719" t="str">
            <v>Rhodizite</v>
          </cell>
        </row>
        <row r="3720">
          <cell r="A3720" t="str">
            <v>Rhodonite</v>
          </cell>
        </row>
        <row r="3721">
          <cell r="A3721" t="str">
            <v>Rhodostannite</v>
          </cell>
        </row>
        <row r="3722">
          <cell r="A3722" t="str">
            <v>Rhodplumsite</v>
          </cell>
        </row>
        <row r="3723">
          <cell r="A3723" t="str">
            <v>Rhonite</v>
          </cell>
        </row>
        <row r="3724">
          <cell r="A3724" t="str">
            <v>Ribbeite</v>
          </cell>
        </row>
        <row r="3725">
          <cell r="A3725" t="str">
            <v>Richelsdorfite</v>
          </cell>
        </row>
        <row r="3726">
          <cell r="A3726" t="str">
            <v>Richetite</v>
          </cell>
        </row>
        <row r="3727">
          <cell r="A3727" t="str">
            <v>Rickardite</v>
          </cell>
        </row>
        <row r="3728">
          <cell r="A3728" t="str">
            <v>Rilandite</v>
          </cell>
        </row>
        <row r="3729">
          <cell r="A3729" t="str">
            <v>Rimkorolgite</v>
          </cell>
        </row>
        <row r="3730">
          <cell r="A3730" t="str">
            <v>Ringwoodite</v>
          </cell>
        </row>
        <row r="3731">
          <cell r="A3731" t="str">
            <v>Rinkite</v>
          </cell>
        </row>
        <row r="3732">
          <cell r="A3732" t="str">
            <v>Rinmanite</v>
          </cell>
        </row>
        <row r="3733">
          <cell r="A3733" t="str">
            <v>Rinneite</v>
          </cell>
        </row>
        <row r="3734">
          <cell r="A3734" t="str">
            <v>Riomarinaite</v>
          </cell>
        </row>
        <row r="3735">
          <cell r="A3735" t="str">
            <v>Rittmannite</v>
          </cell>
        </row>
        <row r="3736">
          <cell r="A3736" t="str">
            <v>Rivadavite</v>
          </cell>
        </row>
        <row r="3737">
          <cell r="A3737" t="str">
            <v>Riversideite</v>
          </cell>
        </row>
        <row r="3738">
          <cell r="A3738" t="str">
            <v>Roaldite</v>
          </cell>
        </row>
        <row r="3739">
          <cell r="A3739" t="str">
            <v>Robertsite</v>
          </cell>
        </row>
        <row r="3740">
          <cell r="A3740" t="str">
            <v>Robinsonite</v>
          </cell>
        </row>
        <row r="3741">
          <cell r="A3741" t="str">
            <v>Rodalquilarite</v>
          </cell>
        </row>
        <row r="3742">
          <cell r="A3742" t="str">
            <v>Rodolicoite</v>
          </cell>
        </row>
        <row r="3743">
          <cell r="A3743" t="str">
            <v>Roeblingite</v>
          </cell>
        </row>
        <row r="3744">
          <cell r="A3744" t="str">
            <v>Roedderite</v>
          </cell>
        </row>
        <row r="3745">
          <cell r="A3745" t="str">
            <v>Roggianite</v>
          </cell>
        </row>
        <row r="3746">
          <cell r="A3746" t="str">
            <v>Rohaite</v>
          </cell>
        </row>
        <row r="3747">
          <cell r="A3747" t="str">
            <v>Rokuhnite</v>
          </cell>
        </row>
        <row r="3748">
          <cell r="A3748" t="str">
            <v>Rollandite</v>
          </cell>
        </row>
        <row r="3749">
          <cell r="A3749" t="str">
            <v>Romanechite</v>
          </cell>
        </row>
        <row r="3750">
          <cell r="A3750" t="str">
            <v>Romanite</v>
          </cell>
        </row>
        <row r="3751">
          <cell r="A3751" t="str">
            <v>Romarchite</v>
          </cell>
        </row>
        <row r="3752">
          <cell r="A3752" t="str">
            <v>Romeite</v>
          </cell>
        </row>
        <row r="3753">
          <cell r="A3753" t="str">
            <v>Rondorfite</v>
          </cell>
        </row>
        <row r="3754">
          <cell r="A3754" t="str">
            <v>Ronneburgite</v>
          </cell>
        </row>
        <row r="3755">
          <cell r="A3755" t="str">
            <v>Rontgenite-(Ce)</v>
          </cell>
        </row>
        <row r="3756">
          <cell r="A3756" t="str">
            <v>Rooseveltite</v>
          </cell>
        </row>
        <row r="3757">
          <cell r="A3757" t="str">
            <v>Roquesite</v>
          </cell>
        </row>
        <row r="3758">
          <cell r="A3758" t="str">
            <v>Rorisite</v>
          </cell>
        </row>
        <row r="3759">
          <cell r="A3759" t="str">
            <v>Rosasite</v>
          </cell>
        </row>
        <row r="3760">
          <cell r="A3760" t="str">
            <v>Roscherite</v>
          </cell>
        </row>
        <row r="3761">
          <cell r="A3761" t="str">
            <v>Roselite</v>
          </cell>
        </row>
        <row r="3762">
          <cell r="A3762" t="str">
            <v>Roselite-beta</v>
          </cell>
        </row>
        <row r="3763">
          <cell r="A3763" t="str">
            <v>Rosemaryite</v>
          </cell>
        </row>
        <row r="3764">
          <cell r="A3764" t="str">
            <v>Rosenbergite</v>
          </cell>
        </row>
        <row r="3765">
          <cell r="A3765" t="str">
            <v>Rosenbuschite</v>
          </cell>
        </row>
        <row r="3766">
          <cell r="A3766" t="str">
            <v>Rosenhahnite</v>
          </cell>
        </row>
        <row r="3767">
          <cell r="A3767" t="str">
            <v>Roshchinite</v>
          </cell>
        </row>
        <row r="3768">
          <cell r="A3768" t="str">
            <v>Rosiaite</v>
          </cell>
        </row>
        <row r="3769">
          <cell r="A3769" t="str">
            <v>Rosickyite</v>
          </cell>
        </row>
        <row r="3770">
          <cell r="A3770" t="str">
            <v>Rosieresite</v>
          </cell>
        </row>
        <row r="3771">
          <cell r="A3771" t="str">
            <v>Rossite</v>
          </cell>
        </row>
        <row r="3772">
          <cell r="A3772" t="str">
            <v>Rosslerite</v>
          </cell>
        </row>
        <row r="3773">
          <cell r="A3773" t="str">
            <v>Rossmanite</v>
          </cell>
        </row>
        <row r="3774">
          <cell r="A3774" t="str">
            <v>Rostite</v>
          </cell>
        </row>
        <row r="3775">
          <cell r="A3775" t="str">
            <v>Rouaite</v>
          </cell>
        </row>
        <row r="3776">
          <cell r="A3776" t="str">
            <v>Roubaultite</v>
          </cell>
        </row>
        <row r="3777">
          <cell r="A3777" t="str">
            <v>Rouseite</v>
          </cell>
        </row>
        <row r="3778">
          <cell r="A3778" t="str">
            <v>Routhierite</v>
          </cell>
        </row>
        <row r="3779">
          <cell r="A3779" t="str">
            <v>Rouvilleite</v>
          </cell>
        </row>
        <row r="3780">
          <cell r="A3780" t="str">
            <v>Rouxelite</v>
          </cell>
        </row>
        <row r="3781">
          <cell r="A3781" t="str">
            <v>Roweite</v>
          </cell>
        </row>
        <row r="3782">
          <cell r="A3782" t="str">
            <v>Rowlandite-(Y)</v>
          </cell>
        </row>
        <row r="3783">
          <cell r="A3783" t="str">
            <v>Roxbyite</v>
          </cell>
        </row>
        <row r="3784">
          <cell r="A3784" t="str">
            <v>Ruarsite</v>
          </cell>
        </row>
        <row r="3785">
          <cell r="A3785" t="str">
            <v>Rucklidgeite</v>
          </cell>
        </row>
        <row r="3786">
          <cell r="A3786" t="str">
            <v>Rudashevskyite</v>
          </cell>
        </row>
        <row r="3787">
          <cell r="A3787" t="str">
            <v>Rudenkoite</v>
          </cell>
        </row>
        <row r="3788">
          <cell r="A3788" t="str">
            <v>Ruifrancoite</v>
          </cell>
        </row>
        <row r="3789">
          <cell r="A3789" t="str">
            <v>Ruitenbergite</v>
          </cell>
        </row>
        <row r="3790">
          <cell r="A3790" t="str">
            <v>Ruizite</v>
          </cell>
        </row>
        <row r="3791">
          <cell r="A3791" t="str">
            <v>Rusakovite</v>
          </cell>
        </row>
        <row r="3792">
          <cell r="A3792" t="str">
            <v>Russellite</v>
          </cell>
        </row>
        <row r="3793">
          <cell r="A3793" t="str">
            <v>Rustenburgite</v>
          </cell>
        </row>
        <row r="3794">
          <cell r="A3794" t="str">
            <v>Rustumite</v>
          </cell>
        </row>
        <row r="3795">
          <cell r="A3795" t="str">
            <v>Ruthenarsenite</v>
          </cell>
        </row>
        <row r="3796">
          <cell r="A3796" t="str">
            <v>Rutheniridosmine</v>
          </cell>
        </row>
        <row r="3797">
          <cell r="A3797" t="str">
            <v>Ruthenium</v>
          </cell>
        </row>
        <row r="3798">
          <cell r="A3798" t="str">
            <v>Rutherfordine</v>
          </cell>
        </row>
        <row r="3799">
          <cell r="A3799" t="str">
            <v>Rutile</v>
          </cell>
        </row>
        <row r="3800">
          <cell r="A3800" t="str">
            <v>Rynersonite</v>
          </cell>
        </row>
        <row r="3801">
          <cell r="A3801" t="str">
            <v>Sabatierite</v>
          </cell>
        </row>
        <row r="3802">
          <cell r="A3802" t="str">
            <v>Sabieite</v>
          </cell>
        </row>
        <row r="3803">
          <cell r="A3803" t="str">
            <v>Sabinaite</v>
          </cell>
        </row>
        <row r="3804">
          <cell r="A3804" t="str">
            <v>Sabugalite</v>
          </cell>
        </row>
        <row r="3805">
          <cell r="A3805" t="str">
            <v>Sacrofanite</v>
          </cell>
        </row>
        <row r="3806">
          <cell r="A3806" t="str">
            <v>Saddlebackite</v>
          </cell>
        </row>
        <row r="3807">
          <cell r="A3807" t="str">
            <v>Safflorite</v>
          </cell>
        </row>
        <row r="3808">
          <cell r="A3808" t="str">
            <v>Sahamalite-(Ce)</v>
          </cell>
        </row>
        <row r="3809">
          <cell r="A3809" t="str">
            <v>Sailaufite</v>
          </cell>
        </row>
        <row r="3810">
          <cell r="A3810" t="str">
            <v>Sainfeldite</v>
          </cell>
        </row>
        <row r="3811">
          <cell r="A3811" t="str">
            <v>Sakhaite</v>
          </cell>
        </row>
        <row r="3812">
          <cell r="A3812" t="str">
            <v>Sakharovaite</v>
          </cell>
        </row>
        <row r="3813">
          <cell r="A3813" t="str">
            <v>Sakuraiite</v>
          </cell>
        </row>
        <row r="3814">
          <cell r="A3814" t="str">
            <v>Salammoniac</v>
          </cell>
        </row>
        <row r="3815">
          <cell r="A3815" t="str">
            <v>Saleeite</v>
          </cell>
        </row>
        <row r="3816">
          <cell r="A3816" t="str">
            <v>Salesite</v>
          </cell>
        </row>
        <row r="3817">
          <cell r="A3817" t="str">
            <v>Saliotite</v>
          </cell>
        </row>
        <row r="3818">
          <cell r="A3818" t="str">
            <v>Salzburgite</v>
          </cell>
        </row>
        <row r="3819">
          <cell r="A3819" t="str">
            <v>Samaniite</v>
          </cell>
        </row>
        <row r="3820">
          <cell r="A3820" t="str">
            <v>Samarskite-(Y)</v>
          </cell>
        </row>
        <row r="3821">
          <cell r="A3821" t="str">
            <v>Samarskite-(Yb)</v>
          </cell>
        </row>
        <row r="3822">
          <cell r="A3822" t="str">
            <v>Samfowlerite</v>
          </cell>
        </row>
        <row r="3823">
          <cell r="A3823" t="str">
            <v>Sampleite</v>
          </cell>
        </row>
        <row r="3824">
          <cell r="A3824" t="str">
            <v>Samsonite</v>
          </cell>
        </row>
        <row r="3825">
          <cell r="A3825" t="str">
            <v>Sanbornite</v>
          </cell>
        </row>
        <row r="3826">
          <cell r="A3826" t="str">
            <v>Saneroite</v>
          </cell>
        </row>
        <row r="3827">
          <cell r="A3827" t="str">
            <v>Sanjuanite</v>
          </cell>
        </row>
        <row r="3828">
          <cell r="A3828" t="str">
            <v>Sanmartinite</v>
          </cell>
        </row>
        <row r="3829">
          <cell r="A3829" t="str">
            <v>Sanromanite</v>
          </cell>
        </row>
        <row r="3830">
          <cell r="A3830" t="str">
            <v>Santabarbaraite</v>
          </cell>
        </row>
        <row r="3831">
          <cell r="A3831" t="str">
            <v>Santaclaraite</v>
          </cell>
        </row>
        <row r="3832">
          <cell r="A3832" t="str">
            <v>Santafeite</v>
          </cell>
        </row>
        <row r="3833">
          <cell r="A3833" t="str">
            <v>Santanaite</v>
          </cell>
        </row>
        <row r="3834">
          <cell r="A3834" t="str">
            <v>Santarosaite</v>
          </cell>
        </row>
        <row r="3835">
          <cell r="A3835" t="str">
            <v>Santite</v>
          </cell>
        </row>
        <row r="3836">
          <cell r="A3836" t="str">
            <v>Saponite</v>
          </cell>
        </row>
        <row r="3837">
          <cell r="A3837" t="str">
            <v>Sapphirine</v>
          </cell>
        </row>
        <row r="3838">
          <cell r="A3838" t="str">
            <v>Sarabauite</v>
          </cell>
        </row>
        <row r="3839">
          <cell r="A3839" t="str">
            <v>Sarcolite</v>
          </cell>
        </row>
        <row r="3840">
          <cell r="A3840" t="str">
            <v>Sarcopside</v>
          </cell>
        </row>
        <row r="3841">
          <cell r="A3841" t="str">
            <v>Sarmientite</v>
          </cell>
        </row>
        <row r="3842">
          <cell r="A3842" t="str">
            <v>Sartorite</v>
          </cell>
        </row>
        <row r="3843">
          <cell r="A3843" t="str">
            <v>Saryarkite-(Y)</v>
          </cell>
        </row>
        <row r="3844">
          <cell r="A3844" t="str">
            <v>Sasaite</v>
          </cell>
        </row>
        <row r="3845">
          <cell r="A3845" t="str">
            <v>Sassolite</v>
          </cell>
        </row>
        <row r="3846">
          <cell r="A3846" t="str">
            <v>Satimolite</v>
          </cell>
        </row>
        <row r="3847">
          <cell r="A3847" t="str">
            <v>Satpaevite</v>
          </cell>
        </row>
        <row r="3848">
          <cell r="A3848" t="str">
            <v>Sauconite</v>
          </cell>
        </row>
        <row r="3849">
          <cell r="A3849" t="str">
            <v>Sayrite</v>
          </cell>
        </row>
        <row r="3850">
          <cell r="A3850" t="str">
            <v>Sazhinite-(Ce)</v>
          </cell>
        </row>
        <row r="3851">
          <cell r="A3851" t="str">
            <v>Sazhinite-(La)</v>
          </cell>
        </row>
        <row r="3852">
          <cell r="A3852" t="str">
            <v>Sazykinaite-(Y)</v>
          </cell>
        </row>
        <row r="3853">
          <cell r="A3853" t="str">
            <v>Sborgite</v>
          </cell>
        </row>
        <row r="3854">
          <cell r="A3854" t="str">
            <v>Scacchite</v>
          </cell>
        </row>
        <row r="3855">
          <cell r="A3855" t="str">
            <v>Scainiite</v>
          </cell>
        </row>
        <row r="3856">
          <cell r="A3856" t="str">
            <v>Scandiobabingtonite</v>
          </cell>
        </row>
        <row r="3857">
          <cell r="A3857" t="str">
            <v>Scapolite</v>
          </cell>
        </row>
        <row r="3858">
          <cell r="A3858" t="str">
            <v>Scarbroite</v>
          </cell>
        </row>
        <row r="3859">
          <cell r="A3859" t="str">
            <v>Scawtite</v>
          </cell>
        </row>
        <row r="3860">
          <cell r="A3860" t="str">
            <v>Schachnerite</v>
          </cell>
        </row>
        <row r="3861">
          <cell r="A3861" t="str">
            <v>Schafarzikite</v>
          </cell>
        </row>
        <row r="3862">
          <cell r="A3862" t="str">
            <v>Schaferite</v>
          </cell>
        </row>
        <row r="3863">
          <cell r="A3863" t="str">
            <v>Schairerite</v>
          </cell>
        </row>
        <row r="3864">
          <cell r="A3864" t="str">
            <v>Schallerite</v>
          </cell>
        </row>
        <row r="3865">
          <cell r="A3865" t="str">
            <v>Schapbachite</v>
          </cell>
        </row>
        <row r="3866">
          <cell r="A3866" t="str">
            <v>Schaurteite</v>
          </cell>
        </row>
        <row r="3867">
          <cell r="A3867" t="str">
            <v>Scheelite</v>
          </cell>
        </row>
        <row r="3868">
          <cell r="A3868" t="str">
            <v>Schertelite</v>
          </cell>
        </row>
        <row r="3869">
          <cell r="A3869" t="str">
            <v>Scheteligite</v>
          </cell>
        </row>
        <row r="3870">
          <cell r="A3870" t="str">
            <v>Scheuchzerite</v>
          </cell>
        </row>
        <row r="3871">
          <cell r="A3871" t="str">
            <v>Schiavinatoite</v>
          </cell>
        </row>
        <row r="3872">
          <cell r="A3872" t="str">
            <v>Schirmerite</v>
          </cell>
        </row>
        <row r="3873">
          <cell r="A3873" t="str">
            <v>Schlemaite</v>
          </cell>
        </row>
        <row r="3874">
          <cell r="A3874" t="str">
            <v>Schlossmacherite</v>
          </cell>
        </row>
        <row r="3875">
          <cell r="A3875" t="str">
            <v>Schmiederite</v>
          </cell>
        </row>
        <row r="3876">
          <cell r="A3876" t="str">
            <v>Schmitterite</v>
          </cell>
        </row>
        <row r="3877">
          <cell r="A3877" t="str">
            <v>Schneebergite</v>
          </cell>
        </row>
        <row r="3878">
          <cell r="A3878" t="str">
            <v>Schneiderhohnite</v>
          </cell>
        </row>
        <row r="3879">
          <cell r="A3879" t="str">
            <v>Schoderite</v>
          </cell>
        </row>
        <row r="3880">
          <cell r="A3880" t="str">
            <v>Schoenfliesite</v>
          </cell>
        </row>
        <row r="3881">
          <cell r="A3881" t="str">
            <v>Schoepite</v>
          </cell>
        </row>
        <row r="3882">
          <cell r="A3882" t="str">
            <v>Schollhornite</v>
          </cell>
        </row>
        <row r="3883">
          <cell r="A3883" t="str">
            <v>Scholzite</v>
          </cell>
        </row>
        <row r="3884">
          <cell r="A3884" t="str">
            <v>Schoonerite</v>
          </cell>
        </row>
        <row r="3885">
          <cell r="A3885" t="str">
            <v>Schorl</v>
          </cell>
        </row>
        <row r="3886">
          <cell r="A3886" t="str">
            <v>Schorl-(F)</v>
          </cell>
        </row>
        <row r="3887">
          <cell r="A3887" t="str">
            <v>Schorlomite</v>
          </cell>
        </row>
        <row r="3888">
          <cell r="A3888" t="str">
            <v>Schreibersite</v>
          </cell>
        </row>
        <row r="3889">
          <cell r="A3889" t="str">
            <v>Schreyerite</v>
          </cell>
        </row>
        <row r="3890">
          <cell r="A3890" t="str">
            <v>Schrockingerite</v>
          </cell>
        </row>
        <row r="3891">
          <cell r="A3891" t="str">
            <v>Schubnelite</v>
          </cell>
        </row>
        <row r="3892">
          <cell r="A3892" t="str">
            <v>Schuetteite</v>
          </cell>
        </row>
        <row r="3893">
          <cell r="A3893" t="str">
            <v>Schuilingite-(Nd)</v>
          </cell>
        </row>
        <row r="3894">
          <cell r="A3894" t="str">
            <v>Schulenbergite</v>
          </cell>
        </row>
        <row r="3895">
          <cell r="A3895" t="str">
            <v>Schultenite</v>
          </cell>
        </row>
        <row r="3896">
          <cell r="A3896" t="str">
            <v>Schwartzembergite</v>
          </cell>
        </row>
        <row r="3897">
          <cell r="A3897" t="str">
            <v>Schwertmannite</v>
          </cell>
        </row>
        <row r="3898">
          <cell r="A3898" t="str">
            <v>Sclarite</v>
          </cell>
        </row>
        <row r="3899">
          <cell r="A3899" t="str">
            <v>Scolecite</v>
          </cell>
        </row>
        <row r="3900">
          <cell r="A3900" t="str">
            <v>Scorodite</v>
          </cell>
        </row>
        <row r="3901">
          <cell r="A3901" t="str">
            <v>Scotlandite</v>
          </cell>
        </row>
        <row r="3902">
          <cell r="A3902" t="str">
            <v>Scrutinyite</v>
          </cell>
        </row>
        <row r="3903">
          <cell r="A3903" t="str">
            <v>Seamanite</v>
          </cell>
        </row>
        <row r="3904">
          <cell r="A3904" t="str">
            <v>Searlesite</v>
          </cell>
        </row>
        <row r="3905">
          <cell r="A3905" t="str">
            <v>Sederholmite</v>
          </cell>
        </row>
        <row r="3906">
          <cell r="A3906" t="str">
            <v>Sedovite</v>
          </cell>
        </row>
        <row r="3907">
          <cell r="A3907" t="str">
            <v>Seeligerite</v>
          </cell>
        </row>
        <row r="3908">
          <cell r="A3908" t="str">
            <v>Seelite-1</v>
          </cell>
        </row>
        <row r="3909">
          <cell r="A3909" t="str">
            <v>Seelite-2</v>
          </cell>
        </row>
        <row r="3910">
          <cell r="A3910" t="str">
            <v>Segelerite</v>
          </cell>
        </row>
        <row r="3911">
          <cell r="A3911" t="str">
            <v>Seidite-(Ce)</v>
          </cell>
        </row>
        <row r="3912">
          <cell r="A3912" t="str">
            <v>Seidozerite</v>
          </cell>
        </row>
        <row r="3913">
          <cell r="A3913" t="str">
            <v>Seifertite</v>
          </cell>
        </row>
        <row r="3914">
          <cell r="A3914" t="str">
            <v>Seinajokite</v>
          </cell>
        </row>
        <row r="3915">
          <cell r="A3915" t="str">
            <v>Sekaninaite</v>
          </cell>
        </row>
        <row r="3916">
          <cell r="A3916" t="str">
            <v>Selenium</v>
          </cell>
        </row>
        <row r="3917">
          <cell r="A3917" t="str">
            <v>Selenojalpaite</v>
          </cell>
        </row>
        <row r="3918">
          <cell r="A3918" t="str">
            <v>Selenopolybasite</v>
          </cell>
        </row>
        <row r="3919">
          <cell r="A3919" t="str">
            <v>Selenostephanite</v>
          </cell>
        </row>
        <row r="3920">
          <cell r="A3920" t="str">
            <v>Seligmannite</v>
          </cell>
        </row>
        <row r="3921">
          <cell r="A3921" t="str">
            <v>Sellaite</v>
          </cell>
        </row>
        <row r="3922">
          <cell r="A3922" t="str">
            <v>Selwynite</v>
          </cell>
        </row>
        <row r="3923">
          <cell r="A3923" t="str">
            <v>Semenovite</v>
          </cell>
        </row>
        <row r="3924">
          <cell r="A3924" t="str">
            <v>Semseyite</v>
          </cell>
        </row>
        <row r="3925">
          <cell r="A3925" t="str">
            <v>Senaite</v>
          </cell>
        </row>
        <row r="3926">
          <cell r="A3926" t="str">
            <v>Senarmontite</v>
          </cell>
        </row>
        <row r="3927">
          <cell r="A3927" t="str">
            <v>Senegalite</v>
          </cell>
        </row>
        <row r="3928">
          <cell r="A3928" t="str">
            <v>Senekevichite</v>
          </cell>
        </row>
        <row r="3929">
          <cell r="A3929" t="str">
            <v>Sengierite</v>
          </cell>
        </row>
        <row r="3930">
          <cell r="A3930" t="str">
            <v>Sepiolite</v>
          </cell>
        </row>
        <row r="3931">
          <cell r="A3931" t="str">
            <v>Serandite</v>
          </cell>
        </row>
        <row r="3932">
          <cell r="A3932" t="str">
            <v>Serendibite</v>
          </cell>
        </row>
        <row r="3933">
          <cell r="A3933" t="str">
            <v>Sergeevite</v>
          </cell>
        </row>
        <row r="3934">
          <cell r="A3934" t="str">
            <v>Sericite</v>
          </cell>
        </row>
        <row r="3935">
          <cell r="A3935" t="str">
            <v>Serpierite</v>
          </cell>
        </row>
        <row r="3936">
          <cell r="A3936" t="str">
            <v>Serrabrancaite</v>
          </cell>
        </row>
        <row r="3937">
          <cell r="A3937" t="str">
            <v>Shabaite-(Nd)</v>
          </cell>
        </row>
        <row r="3938">
          <cell r="A3938" t="str">
            <v>Shabynite</v>
          </cell>
        </row>
        <row r="3939">
          <cell r="A3939" t="str">
            <v>Shadlunite</v>
          </cell>
        </row>
        <row r="3940">
          <cell r="A3940" t="str">
            <v>Shafranovskite</v>
          </cell>
        </row>
        <row r="3941">
          <cell r="A3941" t="str">
            <v>Shakhovite</v>
          </cell>
        </row>
        <row r="3942">
          <cell r="A3942" t="str">
            <v>Shandite</v>
          </cell>
        </row>
        <row r="3943">
          <cell r="A3943" t="str">
            <v>Shannonite</v>
          </cell>
        </row>
        <row r="3944">
          <cell r="A3944" t="str">
            <v>Sharpite</v>
          </cell>
        </row>
        <row r="3945">
          <cell r="A3945" t="str">
            <v>Shattuckite</v>
          </cell>
        </row>
        <row r="3946">
          <cell r="A3946" t="str">
            <v>Shcherbakovite</v>
          </cell>
        </row>
        <row r="3947">
          <cell r="A3947" t="str">
            <v>Shcherbinaite</v>
          </cell>
        </row>
        <row r="3948">
          <cell r="A3948" t="str">
            <v>Sheldrickite</v>
          </cell>
        </row>
        <row r="3949">
          <cell r="A3949" t="str">
            <v>Sherwoodite</v>
          </cell>
        </row>
        <row r="3950">
          <cell r="A3950" t="str">
            <v>Shibkovite</v>
          </cell>
        </row>
        <row r="3951">
          <cell r="A3951" t="str">
            <v>Shigaite</v>
          </cell>
        </row>
        <row r="3952">
          <cell r="A3952" t="str">
            <v>Shirozulite</v>
          </cell>
        </row>
        <row r="3953">
          <cell r="A3953" t="str">
            <v>Shkatulkalite</v>
          </cell>
        </row>
        <row r="3954">
          <cell r="A3954" t="str">
            <v>Shlykovite</v>
          </cell>
        </row>
        <row r="3955">
          <cell r="A3955" t="str">
            <v>Shomiokite-(Y)</v>
          </cell>
        </row>
        <row r="3956">
          <cell r="A3956" t="str">
            <v>Shortite</v>
          </cell>
        </row>
        <row r="3957">
          <cell r="A3957" t="str">
            <v>Shuangfengite</v>
          </cell>
        </row>
        <row r="3958">
          <cell r="A3958" t="str">
            <v>Shubnikovite</v>
          </cell>
        </row>
        <row r="3959">
          <cell r="A3959" t="str">
            <v>Shuiskite</v>
          </cell>
        </row>
        <row r="3960">
          <cell r="A3960" t="str">
            <v>Sibirskite</v>
          </cell>
        </row>
        <row r="3961">
          <cell r="A3961" t="str">
            <v>Sicherite</v>
          </cell>
        </row>
        <row r="3962">
          <cell r="A3962" t="str">
            <v>Sicklerite</v>
          </cell>
        </row>
        <row r="3963">
          <cell r="A3963" t="str">
            <v>Siderazot</v>
          </cell>
        </row>
        <row r="3964">
          <cell r="A3964" t="str">
            <v>Siderite-ST</v>
          </cell>
        </row>
        <row r="3965">
          <cell r="A3965" t="str">
            <v>Sideronatrite</v>
          </cell>
        </row>
        <row r="3966">
          <cell r="A3966" t="str">
            <v>Siderophyllite</v>
          </cell>
        </row>
        <row r="3967">
          <cell r="A3967" t="str">
            <v>Sidorenkite</v>
          </cell>
        </row>
        <row r="3968">
          <cell r="A3968" t="str">
            <v>Sidpietersite</v>
          </cell>
        </row>
        <row r="3969">
          <cell r="A3969" t="str">
            <v>Sidwillite</v>
          </cell>
        </row>
        <row r="3970">
          <cell r="A3970" t="str">
            <v>Siegenite</v>
          </cell>
        </row>
        <row r="3971">
          <cell r="A3971" t="str">
            <v>Sieleckiite</v>
          </cell>
        </row>
        <row r="3972">
          <cell r="A3972" t="str">
            <v>Sigloite</v>
          </cell>
        </row>
        <row r="3973">
          <cell r="A3973" t="str">
            <v>Silhydrite</v>
          </cell>
        </row>
        <row r="3974">
          <cell r="A3974" t="str">
            <v>Silicon</v>
          </cell>
        </row>
        <row r="3975">
          <cell r="A3975" t="str">
            <v>Silinaite</v>
          </cell>
        </row>
        <row r="3976">
          <cell r="A3976" t="str">
            <v>Sillenite</v>
          </cell>
        </row>
        <row r="3977">
          <cell r="A3977" t="str">
            <v>Sillimanite</v>
          </cell>
        </row>
        <row r="3978">
          <cell r="A3978" t="str">
            <v>Silver</v>
          </cell>
        </row>
        <row r="3979">
          <cell r="A3979" t="str">
            <v>Silvialite</v>
          </cell>
        </row>
        <row r="3980">
          <cell r="A3980" t="str">
            <v>Simferite</v>
          </cell>
        </row>
        <row r="3981">
          <cell r="A3981" t="str">
            <v>Simmonsite</v>
          </cell>
        </row>
        <row r="3982">
          <cell r="A3982" t="str">
            <v>Simonellite</v>
          </cell>
        </row>
        <row r="3983">
          <cell r="A3983" t="str">
            <v>Simonite</v>
          </cell>
        </row>
        <row r="3984">
          <cell r="A3984" t="str">
            <v>Simonkolleite</v>
          </cell>
        </row>
        <row r="3985">
          <cell r="A3985" t="str">
            <v>Simplotite</v>
          </cell>
        </row>
        <row r="3986">
          <cell r="A3986" t="str">
            <v>Simpsonite</v>
          </cell>
        </row>
        <row r="3987">
          <cell r="A3987" t="str">
            <v>Sincosite</v>
          </cell>
        </row>
        <row r="3988">
          <cell r="A3988" t="str">
            <v>Sinhalite</v>
          </cell>
        </row>
        <row r="3989">
          <cell r="A3989" t="str">
            <v>Sinjarite</v>
          </cell>
        </row>
        <row r="3990">
          <cell r="A3990" t="str">
            <v>Sinkankasite</v>
          </cell>
        </row>
        <row r="3991">
          <cell r="A3991" t="str">
            <v>Sinnerite</v>
          </cell>
        </row>
        <row r="3992">
          <cell r="A3992" t="str">
            <v>Sinoite</v>
          </cell>
        </row>
        <row r="3993">
          <cell r="A3993" t="str">
            <v>Sitinakite</v>
          </cell>
        </row>
        <row r="3994">
          <cell r="A3994" t="str">
            <v>Sjogrenite</v>
          </cell>
        </row>
        <row r="3995">
          <cell r="A3995" t="str">
            <v>Skaergaardite</v>
          </cell>
        </row>
        <row r="3996">
          <cell r="A3996" t="str">
            <v>Skinnerite</v>
          </cell>
        </row>
        <row r="3997">
          <cell r="A3997" t="str">
            <v>Skippenite</v>
          </cell>
        </row>
        <row r="3998">
          <cell r="A3998" t="str">
            <v>Sklodowskite</v>
          </cell>
        </row>
        <row r="3999">
          <cell r="A3999" t="str">
            <v>Skorpionite</v>
          </cell>
        </row>
        <row r="4000">
          <cell r="A4000" t="str">
            <v>Skutterudite</v>
          </cell>
        </row>
        <row r="4001">
          <cell r="A4001" t="str">
            <v>Slavikite</v>
          </cell>
        </row>
        <row r="4002">
          <cell r="A4002" t="str">
            <v>Slavkovite</v>
          </cell>
        </row>
        <row r="4003">
          <cell r="A4003" t="str">
            <v>Slawsonite</v>
          </cell>
        </row>
        <row r="4004">
          <cell r="A4004" t="str">
            <v>Smirnite</v>
          </cell>
        </row>
        <row r="4005">
          <cell r="A4005" t="str">
            <v>Smithite</v>
          </cell>
        </row>
        <row r="4006">
          <cell r="A4006" t="str">
            <v>Smolianinovite</v>
          </cell>
        </row>
        <row r="4007">
          <cell r="A4007" t="str">
            <v>Smythite</v>
          </cell>
        </row>
        <row r="4008">
          <cell r="A4008" t="str">
            <v>Sobolevite</v>
          </cell>
        </row>
        <row r="4009">
          <cell r="A4009" t="str">
            <v>Sobolevskite</v>
          </cell>
        </row>
        <row r="4010">
          <cell r="A4010" t="str">
            <v>Sobotkite</v>
          </cell>
        </row>
        <row r="4011">
          <cell r="A4011" t="str">
            <v>Sodalite</v>
          </cell>
        </row>
        <row r="4012">
          <cell r="A4012" t="str">
            <v>Soddyite</v>
          </cell>
        </row>
        <row r="4013">
          <cell r="A4013" t="str">
            <v>Sodium meta-autunite</v>
          </cell>
        </row>
        <row r="4014">
          <cell r="A4014" t="str">
            <v>Sodium-autunite</v>
          </cell>
        </row>
        <row r="4015">
          <cell r="A4015" t="str">
            <v>Sogdianite</v>
          </cell>
        </row>
        <row r="4016">
          <cell r="A4016" t="str">
            <v>Sohngeite</v>
          </cell>
        </row>
        <row r="4017">
          <cell r="A4017" t="str">
            <v>Sokolovaite</v>
          </cell>
        </row>
        <row r="4018">
          <cell r="A4018" t="str">
            <v>Solongoite</v>
          </cell>
        </row>
        <row r="4019">
          <cell r="A4019" t="str">
            <v>Sonolite</v>
          </cell>
        </row>
        <row r="4020">
          <cell r="A4020" t="str">
            <v>Sonoraite</v>
          </cell>
        </row>
        <row r="4021">
          <cell r="A4021" t="str">
            <v>Sopcheite</v>
          </cell>
        </row>
        <row r="4022">
          <cell r="A4022" t="str">
            <v>Sophiite</v>
          </cell>
        </row>
        <row r="4023">
          <cell r="A4023" t="str">
            <v>Sorbyite</v>
          </cell>
        </row>
        <row r="4024">
          <cell r="A4024" t="str">
            <v>Sorensenite</v>
          </cell>
        </row>
        <row r="4025">
          <cell r="A4025" t="str">
            <v>Sorosite</v>
          </cell>
        </row>
        <row r="4026">
          <cell r="A4026" t="str">
            <v>Sosedkoite</v>
          </cell>
        </row>
        <row r="4027">
          <cell r="A4027" t="str">
            <v>Soucekite</v>
          </cell>
        </row>
        <row r="4028">
          <cell r="A4028" t="str">
            <v>Souzalite</v>
          </cell>
        </row>
        <row r="4029">
          <cell r="A4029" t="str">
            <v>Spadaite</v>
          </cell>
        </row>
        <row r="4030">
          <cell r="A4030" t="str">
            <v>Spangolite</v>
          </cell>
        </row>
        <row r="4031">
          <cell r="A4031" t="str">
            <v>Spencerite</v>
          </cell>
        </row>
        <row r="4032">
          <cell r="A4032" t="str">
            <v>Sperrylite</v>
          </cell>
        </row>
        <row r="4033">
          <cell r="A4033" t="str">
            <v>Spertiniite</v>
          </cell>
        </row>
        <row r="4034">
          <cell r="A4034" t="str">
            <v>Spessartine</v>
          </cell>
        </row>
        <row r="4035">
          <cell r="A4035" t="str">
            <v>Sphaerobertrandite</v>
          </cell>
        </row>
        <row r="4036">
          <cell r="A4036" t="str">
            <v>Sphaerobismoite</v>
          </cell>
        </row>
        <row r="4037">
          <cell r="A4037" t="str">
            <v>Sphalerite</v>
          </cell>
        </row>
        <row r="4038">
          <cell r="A4038" t="str">
            <v>Spheniscidite</v>
          </cell>
        </row>
        <row r="4039">
          <cell r="A4039" t="str">
            <v>Spinel</v>
          </cell>
        </row>
        <row r="4040">
          <cell r="A4040" t="str">
            <v>Spionkopite</v>
          </cell>
        </row>
        <row r="4041">
          <cell r="A4041" t="str">
            <v>Spiroffite</v>
          </cell>
        </row>
        <row r="4042">
          <cell r="A4042" t="str">
            <v>Spodiophyllite</v>
          </cell>
        </row>
        <row r="4043">
          <cell r="A4043" t="str">
            <v>Spodiosite</v>
          </cell>
        </row>
        <row r="4044">
          <cell r="A4044" t="str">
            <v>Spriggite</v>
          </cell>
        </row>
        <row r="4045">
          <cell r="A4045" t="str">
            <v>Spurrite</v>
          </cell>
        </row>
        <row r="4046">
          <cell r="A4046" t="str">
            <v>Squawcreekite</v>
          </cell>
        </row>
        <row r="4047">
          <cell r="A4047" t="str">
            <v>Srebrodolskite</v>
          </cell>
        </row>
        <row r="4048">
          <cell r="A4048" t="str">
            <v>Sreinite</v>
          </cell>
        </row>
        <row r="4049">
          <cell r="A4049" t="str">
            <v>Srilankite</v>
          </cell>
        </row>
        <row r="4050">
          <cell r="A4050" t="str">
            <v>Stalderite</v>
          </cell>
        </row>
        <row r="4051">
          <cell r="A4051" t="str">
            <v>Stanfieldite</v>
          </cell>
        </row>
        <row r="4052">
          <cell r="A4052" t="str">
            <v>Stanleyite</v>
          </cell>
        </row>
        <row r="4053">
          <cell r="A4053" t="str">
            <v>Stannite</v>
          </cell>
        </row>
        <row r="4054">
          <cell r="A4054" t="str">
            <v>Stannoidite</v>
          </cell>
        </row>
        <row r="4055">
          <cell r="A4055" t="str">
            <v>Stannomicrolite</v>
          </cell>
        </row>
        <row r="4056">
          <cell r="A4056" t="str">
            <v>Stannopalladinite</v>
          </cell>
        </row>
        <row r="4057">
          <cell r="A4057" t="str">
            <v>Staurolite</v>
          </cell>
        </row>
        <row r="4058">
          <cell r="A4058" t="str">
            <v>Stavelotite-(La)</v>
          </cell>
        </row>
        <row r="4059">
          <cell r="A4059" t="str">
            <v>Steacyite</v>
          </cell>
        </row>
        <row r="4060">
          <cell r="A4060" t="str">
            <v>Steenstrupine-(Ce)</v>
          </cell>
        </row>
        <row r="4061">
          <cell r="A4061" t="str">
            <v>Steigerite</v>
          </cell>
        </row>
        <row r="4062">
          <cell r="A4062" t="str">
            <v>Stellerite</v>
          </cell>
        </row>
        <row r="4063">
          <cell r="A4063" t="str">
            <v>Stenhuggarite</v>
          </cell>
        </row>
        <row r="4064">
          <cell r="A4064" t="str">
            <v>Stenonite</v>
          </cell>
        </row>
        <row r="4065">
          <cell r="A4065" t="str">
            <v>Stepanovite</v>
          </cell>
        </row>
        <row r="4066">
          <cell r="A4066" t="str">
            <v>Stephanite</v>
          </cell>
        </row>
        <row r="4067">
          <cell r="A4067" t="str">
            <v>Stercorite</v>
          </cell>
        </row>
        <row r="4068">
          <cell r="A4068" t="str">
            <v>Sterlinghillite</v>
          </cell>
        </row>
        <row r="4069">
          <cell r="A4069" t="str">
            <v>Sternbergite</v>
          </cell>
        </row>
        <row r="4070">
          <cell r="A4070" t="str">
            <v>Steropesite</v>
          </cell>
        </row>
        <row r="4071">
          <cell r="A4071" t="str">
            <v>Sterryite</v>
          </cell>
        </row>
        <row r="4072">
          <cell r="A4072" t="str">
            <v>Stetefeldtite</v>
          </cell>
        </row>
        <row r="4073">
          <cell r="A4073" t="str">
            <v>Stevensite</v>
          </cell>
        </row>
        <row r="4074">
          <cell r="A4074" t="str">
            <v>Steverustite</v>
          </cell>
        </row>
        <row r="4075">
          <cell r="A4075" t="str">
            <v>Stewartite</v>
          </cell>
        </row>
        <row r="4076">
          <cell r="A4076" t="str">
            <v>Stibarsen</v>
          </cell>
        </row>
        <row r="4077">
          <cell r="A4077" t="str">
            <v>Stibiconite</v>
          </cell>
        </row>
        <row r="4078">
          <cell r="A4078" t="str">
            <v>Stibiobetafite</v>
          </cell>
        </row>
        <row r="4079">
          <cell r="A4079" t="str">
            <v>Stibioclaudetite</v>
          </cell>
        </row>
        <row r="4080">
          <cell r="A4080" t="str">
            <v>Stibiocolumbite</v>
          </cell>
        </row>
        <row r="4081">
          <cell r="A4081" t="str">
            <v>Stibiocolusite</v>
          </cell>
        </row>
        <row r="4082">
          <cell r="A4082" t="str">
            <v>Stibioenargite</v>
          </cell>
        </row>
        <row r="4083">
          <cell r="A4083" t="str">
            <v>Stibiomicrolite</v>
          </cell>
        </row>
        <row r="4084">
          <cell r="A4084" t="str">
            <v>Stibiopalladinite</v>
          </cell>
        </row>
        <row r="4085">
          <cell r="A4085" t="str">
            <v>Stibiotantalite</v>
          </cell>
        </row>
        <row r="4086">
          <cell r="A4086" t="str">
            <v>Stibivanite</v>
          </cell>
        </row>
        <row r="4087">
          <cell r="A4087" t="str">
            <v>Stibnite</v>
          </cell>
        </row>
        <row r="4088">
          <cell r="A4088" t="str">
            <v>Stichtite</v>
          </cell>
        </row>
        <row r="4089">
          <cell r="A4089" t="str">
            <v>Stilbite-Ca</v>
          </cell>
        </row>
        <row r="4090">
          <cell r="A4090" t="str">
            <v>Stilbite-Na</v>
          </cell>
        </row>
        <row r="4091">
          <cell r="A4091" t="str">
            <v>Stilleite</v>
          </cell>
        </row>
        <row r="4092">
          <cell r="A4092" t="str">
            <v>Stillwaterite</v>
          </cell>
        </row>
        <row r="4093">
          <cell r="A4093" t="str">
            <v>Stillwellite-(Ce)</v>
          </cell>
        </row>
        <row r="4094">
          <cell r="A4094" t="str">
            <v>Stilpnomelane</v>
          </cell>
        </row>
        <row r="4095">
          <cell r="A4095" t="str">
            <v>Stishovite</v>
          </cell>
        </row>
        <row r="4096">
          <cell r="A4096" t="str">
            <v>Stistaite</v>
          </cell>
        </row>
        <row r="4097">
          <cell r="A4097" t="str">
            <v>Stokesite</v>
          </cell>
        </row>
        <row r="4098">
          <cell r="A4098" t="str">
            <v>Stolzite</v>
          </cell>
        </row>
        <row r="4099">
          <cell r="A4099" t="str">
            <v>Stoppaniite</v>
          </cell>
        </row>
        <row r="4100">
          <cell r="A4100" t="str">
            <v>Stornesite-(Y)</v>
          </cell>
        </row>
        <row r="4101">
          <cell r="A4101" t="str">
            <v>Stottite</v>
          </cell>
        </row>
        <row r="4102">
          <cell r="A4102" t="str">
            <v>Straczekite</v>
          </cell>
        </row>
        <row r="4103">
          <cell r="A4103" t="str">
            <v>Strakhovite</v>
          </cell>
        </row>
        <row r="4104">
          <cell r="A4104" t="str">
            <v>Stranskiite</v>
          </cell>
        </row>
        <row r="4105">
          <cell r="A4105" t="str">
            <v>Strashimirite</v>
          </cell>
        </row>
        <row r="4106">
          <cell r="A4106" t="str">
            <v>Stratlingite</v>
          </cell>
        </row>
        <row r="4107">
          <cell r="A4107" t="str">
            <v>Strelkinite</v>
          </cell>
        </row>
        <row r="4108">
          <cell r="A4108" t="str">
            <v>Strengite</v>
          </cell>
        </row>
        <row r="4109">
          <cell r="A4109" t="str">
            <v>Stringhamite</v>
          </cell>
        </row>
        <row r="4110">
          <cell r="A4110" t="str">
            <v>Stromeyerite</v>
          </cell>
        </row>
        <row r="4111">
          <cell r="A4111" t="str">
            <v>Stronalsite</v>
          </cell>
        </row>
        <row r="4112">
          <cell r="A4112" t="str">
            <v>Strontioborite</v>
          </cell>
        </row>
        <row r="4113">
          <cell r="A4113" t="str">
            <v>Strontiochevkinite</v>
          </cell>
        </row>
        <row r="4114">
          <cell r="A4114" t="str">
            <v>Strontiodresserite</v>
          </cell>
        </row>
        <row r="4115">
          <cell r="A4115" t="str">
            <v>Strontioginorite</v>
          </cell>
        </row>
        <row r="4116">
          <cell r="A4116" t="str">
            <v>Strontiojoaquinite</v>
          </cell>
        </row>
        <row r="4117">
          <cell r="A4117" t="str">
            <v>Strontiomelane</v>
          </cell>
        </row>
        <row r="4118">
          <cell r="A4118" t="str">
            <v>Strontio-orthojoaquinite</v>
          </cell>
        </row>
        <row r="4119">
          <cell r="A4119" t="str">
            <v>Strontiopyrochlore</v>
          </cell>
        </row>
        <row r="4120">
          <cell r="A4120" t="str">
            <v>Strontiowhitlockite</v>
          </cell>
        </row>
        <row r="4121">
          <cell r="A4121" t="str">
            <v>Strunzite</v>
          </cell>
        </row>
        <row r="4122">
          <cell r="A4122" t="str">
            <v>Struverite</v>
          </cell>
        </row>
        <row r="4123">
          <cell r="A4123" t="str">
            <v>Struvite</v>
          </cell>
        </row>
        <row r="4124">
          <cell r="A4124" t="str">
            <v>Struvite-(K)</v>
          </cell>
        </row>
        <row r="4125">
          <cell r="A4125" t="str">
            <v>Studenitsite</v>
          </cell>
        </row>
        <row r="4126">
          <cell r="A4126" t="str">
            <v>Studtite</v>
          </cell>
        </row>
        <row r="4127">
          <cell r="A4127" t="str">
            <v>Stumpflite</v>
          </cell>
        </row>
        <row r="4128">
          <cell r="A4128" t="str">
            <v>Sturmanite</v>
          </cell>
        </row>
        <row r="4129">
          <cell r="A4129" t="str">
            <v>Sturtite</v>
          </cell>
        </row>
        <row r="4130">
          <cell r="A4130" t="str">
            <v>Stutzite</v>
          </cell>
        </row>
        <row r="4131">
          <cell r="A4131" t="str">
            <v>Suanite</v>
          </cell>
        </row>
        <row r="4132">
          <cell r="A4132" t="str">
            <v>Sudburyite</v>
          </cell>
        </row>
        <row r="4133">
          <cell r="A4133" t="str">
            <v>Sudovikovite</v>
          </cell>
        </row>
        <row r="4134">
          <cell r="A4134" t="str">
            <v>Suessite</v>
          </cell>
        </row>
        <row r="4135">
          <cell r="A4135" t="str">
            <v>Sugakiite</v>
          </cell>
        </row>
        <row r="4136">
          <cell r="A4136" t="str">
            <v>Sugilite</v>
          </cell>
        </row>
        <row r="4137">
          <cell r="A4137" t="str">
            <v>Suhailite</v>
          </cell>
        </row>
        <row r="4138">
          <cell r="A4138" t="str">
            <v>Sulfoborite</v>
          </cell>
        </row>
        <row r="4139">
          <cell r="A4139" t="str">
            <v>Sulfur</v>
          </cell>
        </row>
        <row r="4140">
          <cell r="A4140" t="str">
            <v>Sulphohalite</v>
          </cell>
        </row>
        <row r="4141">
          <cell r="A4141" t="str">
            <v>Sulphotsumoite</v>
          </cell>
        </row>
        <row r="4142">
          <cell r="A4142" t="str">
            <v>Sulvanite</v>
          </cell>
        </row>
        <row r="4143">
          <cell r="A4143" t="str">
            <v>Sundiusite</v>
          </cell>
        </row>
        <row r="4144">
          <cell r="A4144" t="str">
            <v>Suolunite</v>
          </cell>
        </row>
        <row r="4145">
          <cell r="A4145" t="str">
            <v>Suredaite</v>
          </cell>
        </row>
        <row r="4146">
          <cell r="A4146" t="str">
            <v>Surinamite</v>
          </cell>
        </row>
        <row r="4147">
          <cell r="A4147" t="str">
            <v>Surite</v>
          </cell>
        </row>
        <row r="4148">
          <cell r="A4148" t="str">
            <v>Surkhobite</v>
          </cell>
        </row>
        <row r="4149">
          <cell r="A4149" t="str">
            <v>Sursassite</v>
          </cell>
        </row>
        <row r="4150">
          <cell r="A4150" t="str">
            <v>Susannite</v>
          </cell>
        </row>
        <row r="4151">
          <cell r="A4151" t="str">
            <v>Sussexite</v>
          </cell>
        </row>
        <row r="4152">
          <cell r="A4152" t="str">
            <v>Suzukiite</v>
          </cell>
        </row>
        <row r="4153">
          <cell r="A4153" t="str">
            <v>Sveite</v>
          </cell>
        </row>
        <row r="4154">
          <cell r="A4154" t="str">
            <v>Svenekite</v>
          </cell>
        </row>
        <row r="4155">
          <cell r="A4155" t="str">
            <v>Sverigeite</v>
          </cell>
        </row>
        <row r="4156">
          <cell r="A4156" t="str">
            <v>Svyatoslavite</v>
          </cell>
        </row>
        <row r="4157">
          <cell r="A4157" t="str">
            <v>Svyazhinite</v>
          </cell>
        </row>
        <row r="4158">
          <cell r="A4158" t="str">
            <v>Swaknoite</v>
          </cell>
        </row>
        <row r="4159">
          <cell r="A4159" t="str">
            <v>Swamboite</v>
          </cell>
        </row>
        <row r="4160">
          <cell r="A4160" t="str">
            <v>Swartzite</v>
          </cell>
        </row>
        <row r="4161">
          <cell r="A4161" t="str">
            <v>Swedenborgite</v>
          </cell>
        </row>
        <row r="4162">
          <cell r="A4162" t="str">
            <v>Sweetite</v>
          </cell>
        </row>
        <row r="4163">
          <cell r="A4163" t="str">
            <v>Swinefordite</v>
          </cell>
        </row>
        <row r="4164">
          <cell r="A4164" t="str">
            <v>Switzerite</v>
          </cell>
        </row>
        <row r="4165">
          <cell r="A4165" t="str">
            <v>Sylvanite</v>
          </cell>
        </row>
        <row r="4166">
          <cell r="A4166" t="str">
            <v>Sylvite</v>
          </cell>
        </row>
        <row r="4167">
          <cell r="A4167" t="str">
            <v>Symesite</v>
          </cell>
        </row>
        <row r="4168">
          <cell r="A4168" t="str">
            <v>Symplesite</v>
          </cell>
        </row>
        <row r="4169">
          <cell r="A4169" t="str">
            <v>Synchysite-(Ce)</v>
          </cell>
        </row>
        <row r="4170">
          <cell r="A4170" t="str">
            <v>Synchysite-(Nd)</v>
          </cell>
        </row>
        <row r="4171">
          <cell r="A4171" t="str">
            <v>Synchysite-(Y)</v>
          </cell>
        </row>
        <row r="4172">
          <cell r="A4172" t="str">
            <v>Szaibelyite</v>
          </cell>
        </row>
        <row r="4173">
          <cell r="A4173" t="str">
            <v>Szenicsite</v>
          </cell>
        </row>
        <row r="4174">
          <cell r="A4174" t="str">
            <v>Sztrokayite</v>
          </cell>
        </row>
        <row r="4175">
          <cell r="A4175" t="str">
            <v>Szymanskiite</v>
          </cell>
        </row>
        <row r="4176">
          <cell r="A4176" t="str">
            <v>Tacharanite</v>
          </cell>
        </row>
        <row r="4177">
          <cell r="A4177" t="str">
            <v>Tachyhydrite</v>
          </cell>
        </row>
        <row r="4178">
          <cell r="A4178" t="str">
            <v>Tadzhikite-(Ce)</v>
          </cell>
        </row>
        <row r="4179">
          <cell r="A4179" t="str">
            <v>Tadzhikite-(Y)</v>
          </cell>
        </row>
        <row r="4180">
          <cell r="A4180" t="str">
            <v>Taenite</v>
          </cell>
        </row>
        <row r="4181">
          <cell r="A4181" t="str">
            <v>Taikanite</v>
          </cell>
        </row>
        <row r="4182">
          <cell r="A4182" t="str">
            <v>Taimyrite</v>
          </cell>
        </row>
        <row r="4183">
          <cell r="A4183" t="str">
            <v>Tainiolite</v>
          </cell>
        </row>
        <row r="4184">
          <cell r="A4184" t="str">
            <v>Takanelite</v>
          </cell>
        </row>
        <row r="4185">
          <cell r="A4185" t="str">
            <v>Takedaite</v>
          </cell>
        </row>
        <row r="4186">
          <cell r="A4186" t="str">
            <v>Takeuchiite</v>
          </cell>
        </row>
        <row r="4187">
          <cell r="A4187" t="str">
            <v>Takovite</v>
          </cell>
        </row>
        <row r="4188">
          <cell r="A4188" t="str">
            <v>Talmessite</v>
          </cell>
        </row>
        <row r="4189">
          <cell r="A4189" t="str">
            <v>Talnakhite</v>
          </cell>
        </row>
        <row r="4190">
          <cell r="A4190" t="str">
            <v>Tamaite</v>
          </cell>
        </row>
        <row r="4191">
          <cell r="A4191" t="str">
            <v>Taneyamalite</v>
          </cell>
        </row>
        <row r="4192">
          <cell r="A4192" t="str">
            <v>Tanohataite</v>
          </cell>
        </row>
        <row r="4193">
          <cell r="A4193" t="str">
            <v>Tantalaeschynite-(Y)</v>
          </cell>
        </row>
        <row r="4194">
          <cell r="A4194" t="str">
            <v>Tantalcarbide</v>
          </cell>
        </row>
        <row r="4195">
          <cell r="A4195" t="str">
            <v>Tantalite-(Fe)</v>
          </cell>
        </row>
        <row r="4196">
          <cell r="A4196" t="str">
            <v>Tantalite-(Mg)</v>
          </cell>
        </row>
        <row r="4197">
          <cell r="A4197" t="str">
            <v>Tantalite-(Mn)</v>
          </cell>
        </row>
        <row r="4198">
          <cell r="A4198" t="str">
            <v>Tantalowodginite</v>
          </cell>
        </row>
        <row r="4199">
          <cell r="A4199" t="str">
            <v>Tantalum</v>
          </cell>
        </row>
        <row r="4200">
          <cell r="A4200" t="str">
            <v>Tanteuxenite-(Y)</v>
          </cell>
        </row>
        <row r="4201">
          <cell r="A4201" t="str">
            <v>Tantite</v>
          </cell>
        </row>
        <row r="4202">
          <cell r="A4202" t="str">
            <v>Tapiolite</v>
          </cell>
        </row>
        <row r="4203">
          <cell r="A4203" t="str">
            <v>Tapiolite-(Fe)</v>
          </cell>
        </row>
        <row r="4204">
          <cell r="A4204" t="str">
            <v>Tapiolite-(Mn)</v>
          </cell>
        </row>
        <row r="4205">
          <cell r="A4205" t="str">
            <v>Taramellite</v>
          </cell>
        </row>
        <row r="4206">
          <cell r="A4206" t="str">
            <v>Taranakite</v>
          </cell>
        </row>
        <row r="4207">
          <cell r="A4207" t="str">
            <v>Tarapacaite</v>
          </cell>
        </row>
        <row r="4208">
          <cell r="A4208" t="str">
            <v>Tarkianite</v>
          </cell>
        </row>
        <row r="4209">
          <cell r="A4209" t="str">
            <v>Taseqite</v>
          </cell>
        </row>
        <row r="4210">
          <cell r="A4210" t="str">
            <v>Tassieite</v>
          </cell>
        </row>
        <row r="4211">
          <cell r="A4211" t="str">
            <v>Tatarskite</v>
          </cell>
        </row>
        <row r="4212">
          <cell r="A4212" t="str">
            <v>Tatyanaite</v>
          </cell>
        </row>
        <row r="4213">
          <cell r="A4213" t="str">
            <v>Tausonite</v>
          </cell>
        </row>
        <row r="4214">
          <cell r="A4214" t="str">
            <v>Tazheranite</v>
          </cell>
        </row>
        <row r="4215">
          <cell r="A4215" t="str">
            <v>Tazieffite</v>
          </cell>
        </row>
        <row r="4216">
          <cell r="A4216" t="str">
            <v>Teallite</v>
          </cell>
        </row>
        <row r="4217">
          <cell r="A4217" t="str">
            <v>Tedhadleyite</v>
          </cell>
        </row>
        <row r="4218">
          <cell r="A4218" t="str">
            <v>Teepleite</v>
          </cell>
        </row>
        <row r="4219">
          <cell r="A4219" t="str">
            <v>Tegengrenite</v>
          </cell>
        </row>
        <row r="4220">
          <cell r="A4220" t="str">
            <v>Teineite</v>
          </cell>
        </row>
        <row r="4221">
          <cell r="A4221" t="str">
            <v>Telargpalite</v>
          </cell>
        </row>
        <row r="4222">
          <cell r="A4222" t="str">
            <v>Tellurantimony</v>
          </cell>
        </row>
        <row r="4223">
          <cell r="A4223" t="str">
            <v>Tellurite</v>
          </cell>
        </row>
        <row r="4224">
          <cell r="A4224" t="str">
            <v>Tellurium</v>
          </cell>
        </row>
        <row r="4225">
          <cell r="A4225" t="str">
            <v>Tellurobismuthite</v>
          </cell>
        </row>
        <row r="4226">
          <cell r="A4226" t="str">
            <v>Tellurohauchecornite</v>
          </cell>
        </row>
        <row r="4227">
          <cell r="A4227" t="str">
            <v>Telluronevskite</v>
          </cell>
        </row>
        <row r="4228">
          <cell r="A4228" t="str">
            <v>Telluropalladinite</v>
          </cell>
        </row>
        <row r="4229">
          <cell r="A4229" t="str">
            <v>Telyushenkoite</v>
          </cell>
        </row>
        <row r="4230">
          <cell r="A4230" t="str">
            <v>Temagamite</v>
          </cell>
        </row>
        <row r="4231">
          <cell r="A4231" t="str">
            <v>Tengchongite</v>
          </cell>
        </row>
        <row r="4232">
          <cell r="A4232" t="str">
            <v>Tengerite-(Y)</v>
          </cell>
        </row>
        <row r="4233">
          <cell r="A4233" t="str">
            <v>Tenorite</v>
          </cell>
        </row>
        <row r="4234">
          <cell r="A4234" t="str">
            <v>Terlinguacreekite</v>
          </cell>
        </row>
        <row r="4235">
          <cell r="A4235" t="str">
            <v>Terlinguaite</v>
          </cell>
        </row>
        <row r="4236">
          <cell r="A4236" t="str">
            <v>Ternesite</v>
          </cell>
        </row>
        <row r="4237">
          <cell r="A4237" t="str">
            <v>Ternovite</v>
          </cell>
        </row>
        <row r="4238">
          <cell r="A4238" t="str">
            <v>Terranovaite</v>
          </cell>
        </row>
        <row r="4239">
          <cell r="A4239" t="str">
            <v>Terskite</v>
          </cell>
        </row>
        <row r="4240">
          <cell r="A4240" t="str">
            <v>Tertschite</v>
          </cell>
        </row>
        <row r="4241">
          <cell r="A4241" t="str">
            <v>Teruggite</v>
          </cell>
        </row>
        <row r="4242">
          <cell r="A4242" t="str">
            <v>Teschemacherite</v>
          </cell>
        </row>
        <row r="4243">
          <cell r="A4243" t="str">
            <v>Test</v>
          </cell>
        </row>
        <row r="4244">
          <cell r="A4244" t="str">
            <v>Testibiopalladite</v>
          </cell>
        </row>
        <row r="4245">
          <cell r="A4245" t="str">
            <v>Tetra-auricupride</v>
          </cell>
        </row>
        <row r="4246">
          <cell r="A4246" t="str">
            <v>Tetradymite</v>
          </cell>
        </row>
        <row r="4247">
          <cell r="A4247" t="str">
            <v>Tetraferriannite</v>
          </cell>
        </row>
        <row r="4248">
          <cell r="A4248" t="str">
            <v>Tetraferriphlogopite</v>
          </cell>
        </row>
        <row r="4249">
          <cell r="A4249" t="str">
            <v>Tetraferroplatinum</v>
          </cell>
        </row>
        <row r="4250">
          <cell r="A4250" t="str">
            <v>Tetranatrolite</v>
          </cell>
        </row>
        <row r="4251">
          <cell r="A4251" t="str">
            <v>Tetrarooseveltite</v>
          </cell>
        </row>
        <row r="4252">
          <cell r="A4252" t="str">
            <v>Tetrataenite</v>
          </cell>
        </row>
        <row r="4253">
          <cell r="A4253" t="str">
            <v>Tetrawickmanite</v>
          </cell>
        </row>
        <row r="4254">
          <cell r="A4254" t="str">
            <v>Thalcusite</v>
          </cell>
        </row>
        <row r="4255">
          <cell r="A4255" t="str">
            <v>Thalenite-(Y)</v>
          </cell>
        </row>
        <row r="4256">
          <cell r="A4256" t="str">
            <v>Thalfenisite</v>
          </cell>
        </row>
        <row r="4257">
          <cell r="A4257" t="str">
            <v>Thaumasite</v>
          </cell>
        </row>
        <row r="4258">
          <cell r="A4258" t="str">
            <v>Thenardite</v>
          </cell>
        </row>
        <row r="4259">
          <cell r="A4259" t="str">
            <v>Theophrastite</v>
          </cell>
        </row>
        <row r="4260">
          <cell r="A4260" t="str">
            <v>Theresemagnanite</v>
          </cell>
        </row>
        <row r="4261">
          <cell r="A4261" t="str">
            <v>Thermessaite</v>
          </cell>
        </row>
        <row r="4262">
          <cell r="A4262" t="str">
            <v>Thermonatrite</v>
          </cell>
        </row>
        <row r="4263">
          <cell r="A4263" t="str">
            <v>Thomasclarkite-(Y)</v>
          </cell>
        </row>
        <row r="4264">
          <cell r="A4264" t="str">
            <v>Thometzekite</v>
          </cell>
        </row>
        <row r="4265">
          <cell r="A4265" t="str">
            <v>Thomsenolite</v>
          </cell>
        </row>
        <row r="4266">
          <cell r="A4266" t="str">
            <v>Thomsonite-Ca</v>
          </cell>
        </row>
        <row r="4267">
          <cell r="A4267" t="str">
            <v>Thomsonite-Sr</v>
          </cell>
        </row>
        <row r="4268">
          <cell r="A4268" t="str">
            <v>Thorbastnasite</v>
          </cell>
        </row>
        <row r="4269">
          <cell r="A4269" t="str">
            <v>Thoreaulite</v>
          </cell>
        </row>
        <row r="4270">
          <cell r="A4270" t="str">
            <v>Thorianite</v>
          </cell>
        </row>
        <row r="4271">
          <cell r="A4271" t="str">
            <v>Thorikosite</v>
          </cell>
        </row>
        <row r="4272">
          <cell r="A4272" t="str">
            <v>Thorite</v>
          </cell>
        </row>
        <row r="4273">
          <cell r="A4273" t="str">
            <v>Thornasite</v>
          </cell>
        </row>
        <row r="4274">
          <cell r="A4274" t="str">
            <v>Thorogummite</v>
          </cell>
        </row>
        <row r="4275">
          <cell r="A4275" t="str">
            <v>Thorosteenstrupine</v>
          </cell>
        </row>
        <row r="4276">
          <cell r="A4276" t="str">
            <v>Thortveitite</v>
          </cell>
        </row>
        <row r="4277">
          <cell r="A4277" t="str">
            <v>Thorutite</v>
          </cell>
        </row>
        <row r="4278">
          <cell r="A4278" t="str">
            <v>Threadgoldite</v>
          </cell>
        </row>
        <row r="4279">
          <cell r="A4279" t="str">
            <v>Tiemannite</v>
          </cell>
        </row>
        <row r="4280">
          <cell r="A4280" t="str">
            <v>Tienshanite</v>
          </cell>
        </row>
        <row r="4281">
          <cell r="A4281" t="str">
            <v>Tiettaite</v>
          </cell>
        </row>
        <row r="4282">
          <cell r="A4282" t="str">
            <v>Tikhonenkovite</v>
          </cell>
        </row>
        <row r="4283">
          <cell r="A4283" t="str">
            <v>Tilleyite</v>
          </cell>
        </row>
        <row r="4284">
          <cell r="A4284" t="str">
            <v>Tillmannsite</v>
          </cell>
        </row>
        <row r="4285">
          <cell r="A4285" t="str">
            <v>Tin</v>
          </cell>
        </row>
        <row r="4286">
          <cell r="A4286" t="str">
            <v>Tinaksite</v>
          </cell>
        </row>
        <row r="4287">
          <cell r="A4287" t="str">
            <v>Tincalconite</v>
          </cell>
        </row>
        <row r="4288">
          <cell r="A4288" t="str">
            <v>Tinnunculite</v>
          </cell>
        </row>
        <row r="4289">
          <cell r="A4289" t="str">
            <v>Tinsleyite</v>
          </cell>
        </row>
        <row r="4290">
          <cell r="A4290" t="str">
            <v>Tinticite</v>
          </cell>
        </row>
        <row r="4291">
          <cell r="A4291" t="str">
            <v>Tintinaite</v>
          </cell>
        </row>
        <row r="4292">
          <cell r="A4292" t="str">
            <v>Tinzenite</v>
          </cell>
        </row>
        <row r="4293">
          <cell r="A4293" t="str">
            <v>Tiptopite</v>
          </cell>
        </row>
        <row r="4294">
          <cell r="A4294" t="str">
            <v>Tiragalloite</v>
          </cell>
        </row>
        <row r="4295">
          <cell r="A4295" t="str">
            <v>Tischendorfite</v>
          </cell>
        </row>
        <row r="4296">
          <cell r="A4296" t="str">
            <v>Tisinalite</v>
          </cell>
        </row>
        <row r="4297">
          <cell r="A4297" t="str">
            <v>Tistarite</v>
          </cell>
        </row>
        <row r="4298">
          <cell r="A4298" t="str">
            <v>Titanite</v>
          </cell>
        </row>
        <row r="4299">
          <cell r="A4299" t="str">
            <v>Titanium</v>
          </cell>
        </row>
        <row r="4300">
          <cell r="A4300" t="str">
            <v>Titanowodginite</v>
          </cell>
        </row>
        <row r="4301">
          <cell r="A4301" t="str">
            <v>Titantaramellite</v>
          </cell>
        </row>
        <row r="4302">
          <cell r="A4302" t="str">
            <v>Tivanite</v>
          </cell>
        </row>
        <row r="4303">
          <cell r="A4303" t="str">
            <v>Tlalocite</v>
          </cell>
        </row>
        <row r="4304">
          <cell r="A4304" t="str">
            <v>Tlapallite</v>
          </cell>
        </row>
        <row r="4305">
          <cell r="A4305" t="str">
            <v>Tobermorite</v>
          </cell>
        </row>
        <row r="4306">
          <cell r="A4306" t="str">
            <v>Tochilinite</v>
          </cell>
        </row>
        <row r="4307">
          <cell r="A4307" t="str">
            <v>Tocornalite</v>
          </cell>
        </row>
        <row r="4308">
          <cell r="A4308" t="str">
            <v>Todorokite</v>
          </cell>
        </row>
        <row r="4309">
          <cell r="A4309" t="str">
            <v>Tokkoite</v>
          </cell>
        </row>
        <row r="4310">
          <cell r="A4310" t="str">
            <v>Tolbachite</v>
          </cell>
        </row>
        <row r="4311">
          <cell r="A4311" t="str">
            <v>Tolovkite</v>
          </cell>
        </row>
        <row r="4312">
          <cell r="A4312" t="str">
            <v>Tombarthite-(Y)</v>
          </cell>
        </row>
        <row r="4313">
          <cell r="A4313" t="str">
            <v>Tomichite</v>
          </cell>
        </row>
        <row r="4314">
          <cell r="A4314" t="str">
            <v>Tongbaite</v>
          </cell>
        </row>
        <row r="4315">
          <cell r="A4315" t="str">
            <v>Tongxinite</v>
          </cell>
        </row>
        <row r="4316">
          <cell r="A4316" t="str">
            <v>Tooeleite</v>
          </cell>
        </row>
        <row r="4317">
          <cell r="A4317" t="str">
            <v>Topaz</v>
          </cell>
        </row>
        <row r="4318">
          <cell r="A4318" t="str">
            <v>Torbernite</v>
          </cell>
        </row>
        <row r="4319">
          <cell r="A4319" t="str">
            <v>Tornebohmite-(Ce)</v>
          </cell>
        </row>
        <row r="4320">
          <cell r="A4320" t="str">
            <v>Tornebohmite-(La)</v>
          </cell>
        </row>
        <row r="4321">
          <cell r="A4321" t="str">
            <v>Torreyite</v>
          </cell>
        </row>
        <row r="4322">
          <cell r="A4322" t="str">
            <v>Tosudite</v>
          </cell>
        </row>
        <row r="4323">
          <cell r="A4323" t="str">
            <v>Tounkite</v>
          </cell>
        </row>
        <row r="4324">
          <cell r="A4324" t="str">
            <v>Toyohaite</v>
          </cell>
        </row>
        <row r="4325">
          <cell r="A4325" t="str">
            <v>Trabzonite</v>
          </cell>
        </row>
        <row r="4326">
          <cell r="A4326" t="str">
            <v>Tranquillityite</v>
          </cell>
        </row>
        <row r="4327">
          <cell r="A4327" t="str">
            <v>Traskite</v>
          </cell>
        </row>
        <row r="4328">
          <cell r="A4328" t="str">
            <v>Trattnerite</v>
          </cell>
        </row>
        <row r="4329">
          <cell r="A4329" t="str">
            <v>Treasurite</v>
          </cell>
        </row>
        <row r="4330">
          <cell r="A4330" t="str">
            <v>Trechmannite</v>
          </cell>
        </row>
        <row r="4331">
          <cell r="A4331" t="str">
            <v>Trembathite</v>
          </cell>
        </row>
        <row r="4332">
          <cell r="A4332" t="str">
            <v>Trevorite</v>
          </cell>
        </row>
        <row r="4333">
          <cell r="A4333" t="str">
            <v>Triangulite</v>
          </cell>
        </row>
        <row r="4334">
          <cell r="A4334" t="str">
            <v>Tridymite</v>
          </cell>
        </row>
        <row r="4335">
          <cell r="A4335" t="str">
            <v>Trigonite</v>
          </cell>
        </row>
        <row r="4336">
          <cell r="A4336" t="str">
            <v>Trikalsilite</v>
          </cell>
        </row>
        <row r="4337">
          <cell r="A4337" t="str">
            <v>Trilithionite</v>
          </cell>
        </row>
        <row r="4338">
          <cell r="A4338" t="str">
            <v>Trimerite</v>
          </cell>
        </row>
        <row r="4339">
          <cell r="A4339" t="str">
            <v>Trimounsite-(Y)</v>
          </cell>
        </row>
        <row r="4340">
          <cell r="A4340" t="str">
            <v>Triphylite</v>
          </cell>
        </row>
        <row r="4341">
          <cell r="A4341" t="str">
            <v>Trippkeite</v>
          </cell>
        </row>
        <row r="4342">
          <cell r="A4342" t="str">
            <v>Tripuhyite</v>
          </cell>
        </row>
        <row r="4343">
          <cell r="A4343" t="str">
            <v>Tristramite</v>
          </cell>
        </row>
        <row r="4344">
          <cell r="A4344" t="str">
            <v>Tritomite-(Ce)</v>
          </cell>
        </row>
        <row r="4345">
          <cell r="A4345" t="str">
            <v>Tritomite-(Y)</v>
          </cell>
        </row>
        <row r="4346">
          <cell r="A4346" t="str">
            <v>Trogerite</v>
          </cell>
        </row>
        <row r="4347">
          <cell r="A4347" t="str">
            <v>Trogtalite</v>
          </cell>
        </row>
        <row r="4348">
          <cell r="A4348" t="str">
            <v>Troilite</v>
          </cell>
        </row>
        <row r="4349">
          <cell r="A4349" t="str">
            <v>Trona</v>
          </cell>
        </row>
        <row r="4350">
          <cell r="A4350" t="str">
            <v>Truscottite</v>
          </cell>
        </row>
        <row r="4351">
          <cell r="A4351" t="str">
            <v>Trustedtite</v>
          </cell>
        </row>
        <row r="4352">
          <cell r="A4352" t="str">
            <v>Tsaregorodtsevite</v>
          </cell>
        </row>
        <row r="4353">
          <cell r="A4353" t="str">
            <v>Tschernichite</v>
          </cell>
        </row>
        <row r="4354">
          <cell r="A4354" t="str">
            <v>Tschortnerite</v>
          </cell>
        </row>
        <row r="4355">
          <cell r="A4355" t="str">
            <v>Tsepinite-Ca</v>
          </cell>
        </row>
        <row r="4356">
          <cell r="A4356" t="str">
            <v>Tsepinite-K</v>
          </cell>
        </row>
        <row r="4357">
          <cell r="A4357" t="str">
            <v>Tsepinite-Na</v>
          </cell>
        </row>
        <row r="4358">
          <cell r="A4358" t="str">
            <v>Tsepinite-Sr</v>
          </cell>
        </row>
        <row r="4359">
          <cell r="A4359" t="str">
            <v>Tsnigriite</v>
          </cell>
        </row>
        <row r="4360">
          <cell r="A4360" t="str">
            <v>Tsugaruite</v>
          </cell>
        </row>
        <row r="4361">
          <cell r="A4361" t="str">
            <v>Tsumcorite</v>
          </cell>
        </row>
        <row r="4362">
          <cell r="A4362" t="str">
            <v>Tsumgallite</v>
          </cell>
        </row>
        <row r="4363">
          <cell r="A4363" t="str">
            <v>Tsumoite</v>
          </cell>
        </row>
        <row r="4364">
          <cell r="A4364" t="str">
            <v>Tucekite</v>
          </cell>
        </row>
        <row r="4365">
          <cell r="A4365" t="str">
            <v>Tugarinovite</v>
          </cell>
        </row>
        <row r="4366">
          <cell r="A4366" t="str">
            <v>Tugtupite</v>
          </cell>
        </row>
        <row r="4367">
          <cell r="A4367" t="str">
            <v>Tuhualite</v>
          </cell>
        </row>
        <row r="4368">
          <cell r="A4368" t="str">
            <v>Tuite</v>
          </cell>
        </row>
        <row r="4369">
          <cell r="A4369" t="str">
            <v>Tulameenite</v>
          </cell>
        </row>
        <row r="4370">
          <cell r="A4370" t="str">
            <v>Tuliokite</v>
          </cell>
        </row>
        <row r="4371">
          <cell r="A4371" t="str">
            <v>Tumchaite</v>
          </cell>
        </row>
        <row r="4372">
          <cell r="A4372" t="str">
            <v>Tundrite-(Ce)</v>
          </cell>
        </row>
        <row r="4373">
          <cell r="A4373" t="str">
            <v>Tundrite-(Nd)</v>
          </cell>
        </row>
        <row r="4374">
          <cell r="A4374" t="str">
            <v>Tunellite</v>
          </cell>
        </row>
        <row r="4375">
          <cell r="A4375" t="str">
            <v>Tungstenite</v>
          </cell>
        </row>
        <row r="4376">
          <cell r="A4376" t="str">
            <v>Tungstibite</v>
          </cell>
        </row>
        <row r="4377">
          <cell r="A4377" t="str">
            <v>Tungstite</v>
          </cell>
        </row>
        <row r="4378">
          <cell r="A4378" t="str">
            <v>Tungusite</v>
          </cell>
        </row>
        <row r="4379">
          <cell r="A4379" t="str">
            <v>Tunisite</v>
          </cell>
        </row>
        <row r="4380">
          <cell r="A4380" t="str">
            <v>Tuperssuatsiaite</v>
          </cell>
        </row>
        <row r="4381">
          <cell r="A4381" t="str">
            <v>Turkestanite</v>
          </cell>
        </row>
        <row r="4382">
          <cell r="A4382" t="str">
            <v>Turquoise</v>
          </cell>
        </row>
        <row r="4383">
          <cell r="A4383" t="str">
            <v>Tuscanite</v>
          </cell>
        </row>
        <row r="4384">
          <cell r="A4384" t="str">
            <v>Tusionite</v>
          </cell>
        </row>
        <row r="4385">
          <cell r="A4385" t="str">
            <v>Tuzlaite</v>
          </cell>
        </row>
        <row r="4386">
          <cell r="A4386" t="str">
            <v>Tvalchrelidzeite</v>
          </cell>
        </row>
        <row r="4387">
          <cell r="A4387" t="str">
            <v>Tvedalite</v>
          </cell>
        </row>
        <row r="4388">
          <cell r="A4388" t="str">
            <v>Tveitite-(Y)</v>
          </cell>
        </row>
        <row r="4389">
          <cell r="A4389" t="str">
            <v>Twinnite</v>
          </cell>
        </row>
        <row r="4390">
          <cell r="A4390" t="str">
            <v>Tychite</v>
          </cell>
        </row>
        <row r="4391">
          <cell r="A4391" t="str">
            <v>Tyretskite</v>
          </cell>
        </row>
        <row r="4392">
          <cell r="A4392" t="str">
            <v>Tyrolite</v>
          </cell>
        </row>
        <row r="4393">
          <cell r="A4393" t="str">
            <v>Tyuyamunite</v>
          </cell>
        </row>
        <row r="4394">
          <cell r="A4394" t="str">
            <v>Uchucchacuaite</v>
          </cell>
        </row>
        <row r="4395">
          <cell r="A4395" t="str">
            <v>Uedaite-(Ce)</v>
          </cell>
        </row>
        <row r="4396">
          <cell r="A4396" t="str">
            <v>Uhligite</v>
          </cell>
        </row>
        <row r="4397">
          <cell r="A4397" t="str">
            <v>Uklonskovite</v>
          </cell>
        </row>
        <row r="4398">
          <cell r="A4398" t="str">
            <v>Ulexite</v>
          </cell>
        </row>
        <row r="4399">
          <cell r="A4399" t="str">
            <v>Ullmannite</v>
          </cell>
        </row>
        <row r="4400">
          <cell r="A4400" t="str">
            <v>Ulrichite</v>
          </cell>
        </row>
        <row r="4401">
          <cell r="A4401" t="str">
            <v>Ulvospinel</v>
          </cell>
        </row>
        <row r="4402">
          <cell r="A4402" t="str">
            <v>Umangite</v>
          </cell>
        </row>
        <row r="4403">
          <cell r="A4403" t="str">
            <v>Umbite</v>
          </cell>
        </row>
        <row r="4404">
          <cell r="A4404" t="str">
            <v>Umbozerite</v>
          </cell>
        </row>
        <row r="4405">
          <cell r="A4405" t="str">
            <v>Umohoite</v>
          </cell>
        </row>
        <row r="4406">
          <cell r="A4406" t="str">
            <v>Ungavaite</v>
          </cell>
        </row>
        <row r="4407">
          <cell r="A4407" t="str">
            <v>Ungemachite</v>
          </cell>
        </row>
        <row r="4408">
          <cell r="A4408" t="str">
            <v>Ungursaite</v>
          </cell>
        </row>
        <row r="4409">
          <cell r="A4409" t="str">
            <v>Upalite</v>
          </cell>
        </row>
        <row r="4410">
          <cell r="A4410" t="str">
            <v>Uralborite</v>
          </cell>
        </row>
        <row r="4411">
          <cell r="A4411" t="str">
            <v>Uralolite</v>
          </cell>
        </row>
        <row r="4412">
          <cell r="A4412" t="str">
            <v>Uramarsite</v>
          </cell>
        </row>
        <row r="4413">
          <cell r="A4413" t="str">
            <v>Uramphite</v>
          </cell>
        </row>
        <row r="4414">
          <cell r="A4414" t="str">
            <v>Urancalcarite</v>
          </cell>
        </row>
        <row r="4415">
          <cell r="A4415" t="str">
            <v>Uraninite</v>
          </cell>
        </row>
        <row r="4416">
          <cell r="A4416" t="str">
            <v>Uranmicrolite</v>
          </cell>
        </row>
        <row r="4417">
          <cell r="A4417" t="str">
            <v>Uranocircite</v>
          </cell>
        </row>
        <row r="4418">
          <cell r="A4418" t="str">
            <v>Uranophane</v>
          </cell>
        </row>
        <row r="4419">
          <cell r="A4419" t="str">
            <v>Uranophane-beta</v>
          </cell>
        </row>
        <row r="4420">
          <cell r="A4420" t="str">
            <v>Uranopilite</v>
          </cell>
        </row>
        <row r="4421">
          <cell r="A4421" t="str">
            <v>Uranopolycrase</v>
          </cell>
        </row>
        <row r="4422">
          <cell r="A4422" t="str">
            <v>Uranosilite</v>
          </cell>
        </row>
        <row r="4423">
          <cell r="A4423" t="str">
            <v>Uranospathite</v>
          </cell>
        </row>
        <row r="4424">
          <cell r="A4424" t="str">
            <v>Uranosphaerite</v>
          </cell>
        </row>
        <row r="4425">
          <cell r="A4425" t="str">
            <v>Uranospinite</v>
          </cell>
        </row>
        <row r="4426">
          <cell r="A4426" t="str">
            <v>Uranotungstite</v>
          </cell>
        </row>
        <row r="4427">
          <cell r="A4427" t="str">
            <v>Uranpyrochlore</v>
          </cell>
        </row>
        <row r="4428">
          <cell r="A4428" t="str">
            <v>Urea</v>
          </cell>
        </row>
        <row r="4429">
          <cell r="A4429" t="str">
            <v>Uricite</v>
          </cell>
        </row>
        <row r="4430">
          <cell r="A4430" t="str">
            <v>Ursilite</v>
          </cell>
        </row>
        <row r="4431">
          <cell r="A4431" t="str">
            <v>Urvantsevite</v>
          </cell>
        </row>
        <row r="4432">
          <cell r="A4432" t="str">
            <v>Ushkovite</v>
          </cell>
        </row>
        <row r="4433">
          <cell r="A4433" t="str">
            <v>Usovite</v>
          </cell>
        </row>
        <row r="4434">
          <cell r="A4434" t="str">
            <v>Ussingite</v>
          </cell>
        </row>
        <row r="4435">
          <cell r="A4435" t="str">
            <v>Ustarasite</v>
          </cell>
        </row>
        <row r="4436">
          <cell r="A4436" t="str">
            <v>Utahite</v>
          </cell>
        </row>
        <row r="4437">
          <cell r="A4437" t="str">
            <v>Uvanite</v>
          </cell>
        </row>
        <row r="4438">
          <cell r="A4438" t="str">
            <v>Uvarovite</v>
          </cell>
        </row>
        <row r="4439">
          <cell r="A4439" t="str">
            <v>Uvite</v>
          </cell>
        </row>
        <row r="4440">
          <cell r="A4440" t="str">
            <v>Uytenbogaardtite</v>
          </cell>
        </row>
        <row r="4441">
          <cell r="A4441" t="str">
            <v>Uzonite</v>
          </cell>
        </row>
        <row r="4442">
          <cell r="A4442" t="str">
            <v>Vaesite</v>
          </cell>
        </row>
        <row r="4443">
          <cell r="A4443" t="str">
            <v>Vajdakite</v>
          </cell>
        </row>
        <row r="4444">
          <cell r="A4444" t="str">
            <v>Valentinite</v>
          </cell>
        </row>
        <row r="4445">
          <cell r="A4445" t="str">
            <v>Valleriite</v>
          </cell>
        </row>
        <row r="4446">
          <cell r="A4446" t="str">
            <v>Vanadiocarpholite</v>
          </cell>
        </row>
        <row r="4447">
          <cell r="A4447" t="str">
            <v>Vanadiumdravite</v>
          </cell>
        </row>
        <row r="4448">
          <cell r="A4448" t="str">
            <v>Vanadoandrosite-(Ce)</v>
          </cell>
        </row>
        <row r="4449">
          <cell r="A4449" t="str">
            <v>Vanadomalayaite</v>
          </cell>
        </row>
        <row r="4450">
          <cell r="A4450" t="str">
            <v>Vanalite</v>
          </cell>
        </row>
        <row r="4451">
          <cell r="A4451" t="str">
            <v>Vandenbrandeite</v>
          </cell>
        </row>
        <row r="4452">
          <cell r="A4452" t="str">
            <v>Vandendriesscheite</v>
          </cell>
        </row>
        <row r="4453">
          <cell r="A4453" t="str">
            <v>Vanmeersscheite</v>
          </cell>
        </row>
        <row r="4454">
          <cell r="A4454" t="str">
            <v>Vanoxite</v>
          </cell>
        </row>
        <row r="4455">
          <cell r="A4455" t="str">
            <v>Vantasselite</v>
          </cell>
        </row>
        <row r="4456">
          <cell r="A4456" t="str">
            <v>Vanthoffite</v>
          </cell>
        </row>
        <row r="4457">
          <cell r="A4457" t="str">
            <v>Vanuralite</v>
          </cell>
        </row>
        <row r="4458">
          <cell r="A4458" t="str">
            <v>Vanuranylite</v>
          </cell>
        </row>
        <row r="4459">
          <cell r="A4459" t="str">
            <v>Varennesite</v>
          </cell>
        </row>
        <row r="4460">
          <cell r="A4460" t="str">
            <v>Variscite</v>
          </cell>
        </row>
        <row r="4461">
          <cell r="A4461" t="str">
            <v>Varlamoffite</v>
          </cell>
        </row>
        <row r="4462">
          <cell r="A4462" t="str">
            <v>Varulite</v>
          </cell>
        </row>
        <row r="4463">
          <cell r="A4463" t="str">
            <v>Vashegyite</v>
          </cell>
        </row>
        <row r="4464">
          <cell r="A4464" t="str">
            <v>Vasilite</v>
          </cell>
        </row>
        <row r="4465">
          <cell r="A4465" t="str">
            <v>Vasilyevite</v>
          </cell>
        </row>
        <row r="4466">
          <cell r="A4466" t="str">
            <v>Vastmanlandite-(Ce)</v>
          </cell>
        </row>
        <row r="4467">
          <cell r="A4467" t="str">
            <v>Vaughanite</v>
          </cell>
        </row>
        <row r="4468">
          <cell r="A4468" t="str">
            <v>Vauquelinite</v>
          </cell>
        </row>
        <row r="4469">
          <cell r="A4469" t="str">
            <v>Vauxite</v>
          </cell>
        </row>
        <row r="4470">
          <cell r="A4470" t="str">
            <v>Vavrinite</v>
          </cell>
        </row>
        <row r="4471">
          <cell r="A4471" t="str">
            <v>Veatchite</v>
          </cell>
        </row>
        <row r="4472">
          <cell r="A4472" t="str">
            <v>Veatchite-A</v>
          </cell>
        </row>
        <row r="4473">
          <cell r="A4473" t="str">
            <v>Veatchite-p</v>
          </cell>
        </row>
        <row r="4474">
          <cell r="A4474" t="str">
            <v>Veenite</v>
          </cell>
        </row>
        <row r="4475">
          <cell r="A4475" t="str">
            <v>Velikite</v>
          </cell>
        </row>
        <row r="4476">
          <cell r="A4476" t="str">
            <v>Verbeekite</v>
          </cell>
        </row>
        <row r="4477">
          <cell r="A4477" t="str">
            <v>Vergasovaite</v>
          </cell>
        </row>
        <row r="4478">
          <cell r="A4478" t="str">
            <v>Vermiculite</v>
          </cell>
        </row>
        <row r="4479">
          <cell r="A4479" t="str">
            <v>Vernadite</v>
          </cell>
        </row>
        <row r="4480">
          <cell r="A4480" t="str">
            <v>Verplanckite</v>
          </cell>
        </row>
        <row r="4481">
          <cell r="A4481" t="str">
            <v>Versiliaite</v>
          </cell>
        </row>
        <row r="4482">
          <cell r="A4482" t="str">
            <v>Vertumnite</v>
          </cell>
        </row>
        <row r="4483">
          <cell r="A4483" t="str">
            <v>Veselovskyite</v>
          </cell>
        </row>
        <row r="4484">
          <cell r="A4484" t="str">
            <v>Vesuvianite</v>
          </cell>
        </row>
        <row r="4485">
          <cell r="A4485" t="str">
            <v>Veszelyite</v>
          </cell>
        </row>
        <row r="4486">
          <cell r="A4486" t="str">
            <v>Viaeneite</v>
          </cell>
        </row>
        <row r="4487">
          <cell r="A4487" t="str">
            <v>Vicanite-(Ce)</v>
          </cell>
        </row>
        <row r="4488">
          <cell r="A4488" t="str">
            <v>Vigezzite</v>
          </cell>
        </row>
        <row r="4489">
          <cell r="A4489" t="str">
            <v>Vihorlatite</v>
          </cell>
        </row>
        <row r="4490">
          <cell r="A4490" t="str">
            <v>Vikingite</v>
          </cell>
        </row>
        <row r="4491">
          <cell r="A4491" t="str">
            <v>Villamaninite</v>
          </cell>
        </row>
        <row r="4492">
          <cell r="A4492" t="str">
            <v>Villiaumite</v>
          </cell>
        </row>
        <row r="4493">
          <cell r="A4493" t="str">
            <v>Villyaellenite</v>
          </cell>
        </row>
        <row r="4494">
          <cell r="A4494" t="str">
            <v>Vimsite</v>
          </cell>
        </row>
        <row r="4495">
          <cell r="A4495" t="str">
            <v>Vincentite</v>
          </cell>
        </row>
        <row r="4496">
          <cell r="A4496" t="str">
            <v>Vinciennite</v>
          </cell>
        </row>
        <row r="4497">
          <cell r="A4497" t="str">
            <v>Vinogradovite</v>
          </cell>
        </row>
        <row r="4498">
          <cell r="A4498" t="str">
            <v>Violarite</v>
          </cell>
        </row>
        <row r="4499">
          <cell r="A4499" t="str">
            <v>Virgilite</v>
          </cell>
        </row>
        <row r="4500">
          <cell r="A4500" t="str">
            <v>Viseite</v>
          </cell>
        </row>
        <row r="4501">
          <cell r="A4501" t="str">
            <v>Vishnevite</v>
          </cell>
        </row>
        <row r="4502">
          <cell r="A4502" t="str">
            <v>Vismirnovite</v>
          </cell>
        </row>
        <row r="4503">
          <cell r="A4503" t="str">
            <v>Vistepite</v>
          </cell>
        </row>
        <row r="4504">
          <cell r="A4504" t="str">
            <v>Vitimite</v>
          </cell>
        </row>
        <row r="4505">
          <cell r="A4505" t="str">
            <v>Vitusite-(Ce)</v>
          </cell>
        </row>
        <row r="4506">
          <cell r="A4506" t="str">
            <v>Vivianite</v>
          </cell>
        </row>
        <row r="4507">
          <cell r="A4507" t="str">
            <v>Vladimirite</v>
          </cell>
        </row>
        <row r="4508">
          <cell r="A4508" t="str">
            <v>Vlasovite</v>
          </cell>
        </row>
        <row r="4509">
          <cell r="A4509" t="str">
            <v>Vlodavetsite</v>
          </cell>
        </row>
        <row r="4510">
          <cell r="A4510" t="str">
            <v>Vochtenite</v>
          </cell>
        </row>
        <row r="4511">
          <cell r="A4511" t="str">
            <v>Voggite</v>
          </cell>
        </row>
        <row r="4512">
          <cell r="A4512" t="str">
            <v>Voglite</v>
          </cell>
        </row>
        <row r="4513">
          <cell r="A4513" t="str">
            <v>Volborthite</v>
          </cell>
        </row>
        <row r="4514">
          <cell r="A4514" t="str">
            <v>Volfsonite</v>
          </cell>
        </row>
        <row r="4515">
          <cell r="A4515" t="str">
            <v>Volkonskoite</v>
          </cell>
        </row>
        <row r="4516">
          <cell r="A4516" t="str">
            <v>Volkovskite</v>
          </cell>
        </row>
        <row r="4517">
          <cell r="A4517" t="str">
            <v>Voloshinite</v>
          </cell>
        </row>
        <row r="4518">
          <cell r="A4518" t="str">
            <v>Volynskite</v>
          </cell>
        </row>
        <row r="4519">
          <cell r="A4519" t="str">
            <v>Vonbezingite</v>
          </cell>
        </row>
        <row r="4520">
          <cell r="A4520" t="str">
            <v>Vonsenite</v>
          </cell>
        </row>
        <row r="4521">
          <cell r="A4521" t="str">
            <v>Voronkovite</v>
          </cell>
        </row>
        <row r="4522">
          <cell r="A4522" t="str">
            <v>Vozhminite</v>
          </cell>
        </row>
        <row r="4523">
          <cell r="A4523" t="str">
            <v>Vrbaite</v>
          </cell>
        </row>
        <row r="4524">
          <cell r="A4524" t="str">
            <v>Vuagnatite</v>
          </cell>
        </row>
        <row r="4525">
          <cell r="A4525" t="str">
            <v>Vulcanite</v>
          </cell>
        </row>
        <row r="4526">
          <cell r="A4526" t="str">
            <v>Vuonnemite</v>
          </cell>
        </row>
        <row r="4527">
          <cell r="A4527" t="str">
            <v>Vuorelainenite</v>
          </cell>
        </row>
        <row r="4528">
          <cell r="A4528" t="str">
            <v>Vuoriyarvite-K</v>
          </cell>
        </row>
        <row r="4529">
          <cell r="A4529" t="str">
            <v>Vurroite</v>
          </cell>
        </row>
        <row r="4530">
          <cell r="A4530" t="str">
            <v>Vyacheslavite</v>
          </cell>
        </row>
        <row r="4531">
          <cell r="A4531" t="str">
            <v>Vyalsovite</v>
          </cell>
        </row>
        <row r="4532">
          <cell r="A4532" t="str">
            <v>Vysotskite</v>
          </cell>
        </row>
        <row r="4533">
          <cell r="A4533" t="str">
            <v>Vyuntspakhkite-(Y)</v>
          </cell>
        </row>
        <row r="4534">
          <cell r="A4534" t="str">
            <v>Wadalite</v>
          </cell>
        </row>
        <row r="4535">
          <cell r="A4535" t="str">
            <v>Wadeite</v>
          </cell>
        </row>
        <row r="4536">
          <cell r="A4536" t="str">
            <v>Wadsleyite</v>
          </cell>
        </row>
        <row r="4537">
          <cell r="A4537" t="str">
            <v>Wairakite</v>
          </cell>
        </row>
        <row r="4538">
          <cell r="A4538" t="str">
            <v>Wairauite</v>
          </cell>
        </row>
        <row r="4539">
          <cell r="A4539" t="str">
            <v>Wakabayashilite</v>
          </cell>
        </row>
        <row r="4540">
          <cell r="A4540" t="str">
            <v>Wakefieldite-(Ce)</v>
          </cell>
        </row>
        <row r="4541">
          <cell r="A4541" t="str">
            <v>Wakefieldite-(La)</v>
          </cell>
        </row>
        <row r="4542">
          <cell r="A4542" t="str">
            <v>Wakefieldite-(Nd)</v>
          </cell>
        </row>
        <row r="4543">
          <cell r="A4543" t="str">
            <v>Wakefieldite-(Y)</v>
          </cell>
        </row>
        <row r="4544">
          <cell r="A4544" t="str">
            <v>Walentaite</v>
          </cell>
        </row>
        <row r="4545">
          <cell r="A4545" t="str">
            <v>Walfordite</v>
          </cell>
        </row>
        <row r="4546">
          <cell r="A4546" t="str">
            <v>Walkerite</v>
          </cell>
        </row>
        <row r="4547">
          <cell r="A4547" t="str">
            <v>Wallisite</v>
          </cell>
        </row>
        <row r="4548">
          <cell r="A4548" t="str">
            <v>Wallkilldellite</v>
          </cell>
        </row>
        <row r="4549">
          <cell r="A4549" t="str">
            <v>Wallkilldellite-(Fe)</v>
          </cell>
        </row>
        <row r="4550">
          <cell r="A4550" t="str">
            <v>Walpurgite</v>
          </cell>
        </row>
        <row r="4551">
          <cell r="A4551" t="str">
            <v>Walstromite</v>
          </cell>
        </row>
        <row r="4552">
          <cell r="A4552" t="str">
            <v>Walthierite</v>
          </cell>
        </row>
        <row r="4553">
          <cell r="A4553" t="str">
            <v>Wardite</v>
          </cell>
        </row>
        <row r="4554">
          <cell r="A4554" t="str">
            <v>Wardsmithite</v>
          </cell>
        </row>
        <row r="4555">
          <cell r="A4555" t="str">
            <v>Warikahnite</v>
          </cell>
        </row>
        <row r="4556">
          <cell r="A4556" t="str">
            <v>Warwickite</v>
          </cell>
        </row>
        <row r="4557">
          <cell r="A4557" t="str">
            <v>Watanabeite</v>
          </cell>
        </row>
        <row r="4558">
          <cell r="A4558" t="str">
            <v>Watatsumiite</v>
          </cell>
        </row>
        <row r="4559">
          <cell r="A4559" t="str">
            <v>Watkinsonite</v>
          </cell>
        </row>
        <row r="4560">
          <cell r="A4560" t="str">
            <v>Wattersite</v>
          </cell>
        </row>
        <row r="4561">
          <cell r="A4561" t="str">
            <v>Wavellite</v>
          </cell>
        </row>
        <row r="4562">
          <cell r="A4562" t="str">
            <v>Wawayandaite</v>
          </cell>
        </row>
        <row r="4563">
          <cell r="A4563" t="str">
            <v>Weberite</v>
          </cell>
        </row>
        <row r="4564">
          <cell r="A4564" t="str">
            <v>Weddellite</v>
          </cell>
        </row>
        <row r="4565">
          <cell r="A4565" t="str">
            <v>Weeksite</v>
          </cell>
        </row>
        <row r="4566">
          <cell r="A4566" t="str">
            <v>Wegscheiderite</v>
          </cell>
        </row>
        <row r="4567">
          <cell r="A4567" t="str">
            <v>Weibullite</v>
          </cell>
        </row>
        <row r="4568">
          <cell r="A4568" t="str">
            <v>Weilite</v>
          </cell>
        </row>
        <row r="4569">
          <cell r="A4569" t="str">
            <v>Weinebeneite</v>
          </cell>
        </row>
        <row r="4570">
          <cell r="A4570" t="str">
            <v>Weishanite</v>
          </cell>
        </row>
        <row r="4571">
          <cell r="A4571" t="str">
            <v>Weissbergite</v>
          </cell>
        </row>
        <row r="4572">
          <cell r="A4572" t="str">
            <v>Weissite</v>
          </cell>
        </row>
        <row r="4573">
          <cell r="A4573" t="str">
            <v>Welinite-III</v>
          </cell>
        </row>
        <row r="4574">
          <cell r="A4574" t="str">
            <v>Welinite-VIII</v>
          </cell>
        </row>
        <row r="4575">
          <cell r="A4575" t="str">
            <v>Weloganite</v>
          </cell>
        </row>
        <row r="4576">
          <cell r="A4576" t="str">
            <v>Welshite</v>
          </cell>
        </row>
        <row r="4577">
          <cell r="A4577" t="str">
            <v>Wendwilsonite</v>
          </cell>
        </row>
        <row r="4578">
          <cell r="A4578" t="str">
            <v>Wenkite</v>
          </cell>
        </row>
        <row r="4579">
          <cell r="A4579" t="str">
            <v>Werdingite</v>
          </cell>
        </row>
        <row r="4580">
          <cell r="A4580" t="str">
            <v>Wermlandite</v>
          </cell>
        </row>
        <row r="4581">
          <cell r="A4581" t="str">
            <v>Wesselsite</v>
          </cell>
        </row>
        <row r="4582">
          <cell r="A4582" t="str">
            <v>Westerveldite</v>
          </cell>
        </row>
        <row r="4583">
          <cell r="A4583" t="str">
            <v>Wheatleyite</v>
          </cell>
        </row>
        <row r="4584">
          <cell r="A4584" t="str">
            <v>Wherryite</v>
          </cell>
        </row>
        <row r="4585">
          <cell r="A4585" t="str">
            <v>Whewellite</v>
          </cell>
        </row>
        <row r="4586">
          <cell r="A4586" t="str">
            <v>Whiteite-(CaFeMg)</v>
          </cell>
        </row>
        <row r="4587">
          <cell r="A4587" t="str">
            <v>Whiteite-(CaMnMg)</v>
          </cell>
        </row>
        <row r="4588">
          <cell r="A4588" t="str">
            <v>Whiteite-(MnFeMg)</v>
          </cell>
        </row>
        <row r="4589">
          <cell r="A4589" t="str">
            <v>Whitlockite</v>
          </cell>
        </row>
        <row r="4590">
          <cell r="A4590" t="str">
            <v>Whitmoreite</v>
          </cell>
        </row>
        <row r="4591">
          <cell r="A4591" t="str">
            <v>Wickenburgite</v>
          </cell>
        </row>
        <row r="4592">
          <cell r="A4592" t="str">
            <v>Wickmanite</v>
          </cell>
        </row>
        <row r="4593">
          <cell r="A4593" t="str">
            <v>Wicksite</v>
          </cell>
        </row>
        <row r="4594">
          <cell r="A4594" t="str">
            <v>Widenmannite</v>
          </cell>
        </row>
        <row r="4595">
          <cell r="A4595" t="str">
            <v>Widgiemoolthalite</v>
          </cell>
        </row>
        <row r="4596">
          <cell r="A4596" t="str">
            <v>Wightmanite</v>
          </cell>
        </row>
        <row r="4597">
          <cell r="A4597" t="str">
            <v>Wilcoxite</v>
          </cell>
        </row>
        <row r="4598">
          <cell r="A4598" t="str">
            <v>Wilhelmramsayite</v>
          </cell>
        </row>
        <row r="4599">
          <cell r="A4599" t="str">
            <v>Wilhelmvierlingite</v>
          </cell>
        </row>
        <row r="4600">
          <cell r="A4600" t="str">
            <v>Wilkinsonite</v>
          </cell>
        </row>
        <row r="4601">
          <cell r="A4601" t="str">
            <v>Wilkmanite</v>
          </cell>
        </row>
        <row r="4602">
          <cell r="A4602" t="str">
            <v>Willemite</v>
          </cell>
        </row>
        <row r="4603">
          <cell r="A4603" t="str">
            <v>Willhendersonite</v>
          </cell>
        </row>
        <row r="4604">
          <cell r="A4604" t="str">
            <v>Willyamite</v>
          </cell>
        </row>
        <row r="4605">
          <cell r="A4605" t="str">
            <v>Wiluite</v>
          </cell>
        </row>
        <row r="4606">
          <cell r="A4606" t="str">
            <v>Winstanleyite</v>
          </cell>
        </row>
        <row r="4607">
          <cell r="A4607" t="str">
            <v>Wiserite</v>
          </cell>
        </row>
        <row r="4608">
          <cell r="A4608" t="str">
            <v>Wittichenite</v>
          </cell>
        </row>
        <row r="4609">
          <cell r="A4609" t="str">
            <v>Wittite</v>
          </cell>
        </row>
        <row r="4610">
          <cell r="A4610" t="str">
            <v>Wodginite</v>
          </cell>
        </row>
        <row r="4611">
          <cell r="A4611" t="str">
            <v>Wohlerite</v>
          </cell>
        </row>
        <row r="4612">
          <cell r="A4612" t="str">
            <v>Wolframite</v>
          </cell>
        </row>
        <row r="4613">
          <cell r="A4613" t="str">
            <v>Wolframoixiolite</v>
          </cell>
        </row>
        <row r="4614">
          <cell r="A4614" t="str">
            <v>Wollastonite-1A</v>
          </cell>
        </row>
        <row r="4615">
          <cell r="A4615" t="str">
            <v>Wollastonite-2M</v>
          </cell>
        </row>
        <row r="4616">
          <cell r="A4616" t="str">
            <v>Wollastonite-3A-4A-5A-7A</v>
          </cell>
        </row>
        <row r="4617">
          <cell r="A4617" t="str">
            <v>Wolsendorfite</v>
          </cell>
        </row>
        <row r="4618">
          <cell r="A4618" t="str">
            <v>Wonesite</v>
          </cell>
        </row>
        <row r="4619">
          <cell r="A4619" t="str">
            <v>Woodallite</v>
          </cell>
        </row>
        <row r="4620">
          <cell r="A4620" t="str">
            <v>Woodruffite</v>
          </cell>
        </row>
        <row r="4621">
          <cell r="A4621" t="str">
            <v>Woodwardite</v>
          </cell>
        </row>
        <row r="4622">
          <cell r="A4622" t="str">
            <v>Wooldridgeite</v>
          </cell>
        </row>
        <row r="4623">
          <cell r="A4623" t="str">
            <v>Wroewolfeite</v>
          </cell>
        </row>
        <row r="4624">
          <cell r="A4624" t="str">
            <v>Wulfenite</v>
          </cell>
        </row>
        <row r="4625">
          <cell r="A4625" t="str">
            <v>Wulfingite</v>
          </cell>
        </row>
        <row r="4626">
          <cell r="A4626" t="str">
            <v>Wurtzite</v>
          </cell>
        </row>
        <row r="4627">
          <cell r="A4627" t="str">
            <v>Wustite</v>
          </cell>
        </row>
        <row r="4628">
          <cell r="A4628" t="str">
            <v>Wyartite</v>
          </cell>
        </row>
        <row r="4629">
          <cell r="A4629" t="str">
            <v>Wycheproofite</v>
          </cell>
        </row>
        <row r="4630">
          <cell r="A4630" t="str">
            <v>Wyllieite</v>
          </cell>
        </row>
        <row r="4631">
          <cell r="A4631" t="str">
            <v>Xanthiosite</v>
          </cell>
        </row>
        <row r="4632">
          <cell r="A4632" t="str">
            <v>Xanthoconite</v>
          </cell>
        </row>
        <row r="4633">
          <cell r="A4633" t="str">
            <v>Xanthoxenite</v>
          </cell>
        </row>
        <row r="4634">
          <cell r="A4634" t="str">
            <v>Xenophyllite</v>
          </cell>
        </row>
        <row r="4635">
          <cell r="A4635" t="str">
            <v>Xenotime-(Y)</v>
          </cell>
        </row>
        <row r="4636">
          <cell r="A4636" t="str">
            <v>Xenotime-(Yb)</v>
          </cell>
        </row>
        <row r="4637">
          <cell r="A4637" t="str">
            <v>Xiangjiangite</v>
          </cell>
        </row>
        <row r="4638">
          <cell r="A4638" t="str">
            <v>Xieite</v>
          </cell>
        </row>
        <row r="4639">
          <cell r="A4639" t="str">
            <v>Xifengite</v>
          </cell>
        </row>
        <row r="4640">
          <cell r="A4640" t="str">
            <v>Xilingolite</v>
          </cell>
        </row>
        <row r="4641">
          <cell r="A4641" t="str">
            <v>Ximengite</v>
          </cell>
        </row>
        <row r="4642">
          <cell r="A4642" t="str">
            <v>Xingzhongite</v>
          </cell>
        </row>
        <row r="4643">
          <cell r="A4643" t="str">
            <v>Xitieshanite</v>
          </cell>
        </row>
        <row r="4644">
          <cell r="A4644" t="str">
            <v>Xocolatlite</v>
          </cell>
        </row>
        <row r="4645">
          <cell r="A4645" t="str">
            <v>Xocomecatlite</v>
          </cell>
        </row>
        <row r="4646">
          <cell r="A4646" t="str">
            <v>Xonotlite</v>
          </cell>
        </row>
        <row r="4647">
          <cell r="A4647" t="str">
            <v>Yafsoanite</v>
          </cell>
        </row>
        <row r="4648">
          <cell r="A4648" t="str">
            <v>Yagiite</v>
          </cell>
        </row>
        <row r="4649">
          <cell r="A4649" t="str">
            <v>Yakhontovite</v>
          </cell>
        </row>
        <row r="4650">
          <cell r="A4650" t="str">
            <v>Yakovenchukite-(Y)</v>
          </cell>
        </row>
        <row r="4651">
          <cell r="A4651" t="str">
            <v>Yamatoite</v>
          </cell>
        </row>
        <row r="4652">
          <cell r="A4652" t="str">
            <v>Yanomamite</v>
          </cell>
        </row>
        <row r="4653">
          <cell r="A4653" t="str">
            <v>Yarlongite</v>
          </cell>
        </row>
        <row r="4654">
          <cell r="A4654" t="str">
            <v>Yaroslavite</v>
          </cell>
        </row>
        <row r="4655">
          <cell r="A4655" t="str">
            <v>Yarrowite</v>
          </cell>
        </row>
        <row r="4656">
          <cell r="A4656" t="str">
            <v>Yavapaiite</v>
          </cell>
        </row>
        <row r="4657">
          <cell r="A4657" t="str">
            <v>Yazganite</v>
          </cell>
        </row>
        <row r="4658">
          <cell r="A4658" t="str">
            <v>Yeatmanite</v>
          </cell>
        </row>
        <row r="4659">
          <cell r="A4659" t="str">
            <v>Yecoraite</v>
          </cell>
        </row>
        <row r="4660">
          <cell r="A4660" t="str">
            <v>Yedlinite</v>
          </cell>
        </row>
        <row r="4661">
          <cell r="A4661" t="str">
            <v>Yeelimite</v>
          </cell>
        </row>
        <row r="4662">
          <cell r="A4662" t="str">
            <v>Yegorovite</v>
          </cell>
        </row>
        <row r="4663">
          <cell r="A4663" t="str">
            <v>Yftisite-(Y)</v>
          </cell>
        </row>
        <row r="4664">
          <cell r="A4664" t="str">
            <v>Yimengite</v>
          </cell>
        </row>
        <row r="4665">
          <cell r="A4665" t="str">
            <v>Yingjiangite</v>
          </cell>
        </row>
        <row r="4666">
          <cell r="A4666" t="str">
            <v>Yixunite</v>
          </cell>
        </row>
        <row r="4667">
          <cell r="A4667" t="str">
            <v>Yoderite</v>
          </cell>
        </row>
        <row r="4668">
          <cell r="A4668" t="str">
            <v>Yofortierite</v>
          </cell>
        </row>
        <row r="4669">
          <cell r="A4669" t="str">
            <v>Yoshimuraite</v>
          </cell>
        </row>
        <row r="4670">
          <cell r="A4670" t="str">
            <v>Yoshiokaite</v>
          </cell>
        </row>
        <row r="4671">
          <cell r="A4671" t="str">
            <v>Yttrialite-(Y)</v>
          </cell>
        </row>
        <row r="4672">
          <cell r="A4672" t="str">
            <v>Yttrobetafite-(Y)</v>
          </cell>
        </row>
        <row r="4673">
          <cell r="A4673" t="str">
            <v>Yttrocerite</v>
          </cell>
        </row>
        <row r="4674">
          <cell r="A4674" t="str">
            <v>Yttrocolumbite-(Y)</v>
          </cell>
        </row>
        <row r="4675">
          <cell r="A4675" t="str">
            <v>Yttrocrasite-(Y)</v>
          </cell>
        </row>
        <row r="4676">
          <cell r="A4676" t="str">
            <v>Yttropyrochlore-(Y)</v>
          </cell>
        </row>
        <row r="4677">
          <cell r="A4677" t="str">
            <v>Yttrotantalite-(Y)</v>
          </cell>
        </row>
        <row r="4678">
          <cell r="A4678" t="str">
            <v>Yttrotungstite-(Ce)</v>
          </cell>
        </row>
        <row r="4679">
          <cell r="A4679" t="str">
            <v>Yttrotungstite-(Y)</v>
          </cell>
        </row>
        <row r="4680">
          <cell r="A4680" t="str">
            <v>Yuanfuliite</v>
          </cell>
        </row>
        <row r="4681">
          <cell r="A4681" t="str">
            <v>Yuanjiangite</v>
          </cell>
        </row>
        <row r="4682">
          <cell r="A4682" t="str">
            <v>Yugawaralite</v>
          </cell>
        </row>
        <row r="4683">
          <cell r="A4683" t="str">
            <v>Yukonite</v>
          </cell>
        </row>
        <row r="4684">
          <cell r="A4684" t="str">
            <v>Yuksporite</v>
          </cell>
        </row>
        <row r="4685">
          <cell r="A4685" t="str">
            <v>Yushkinite</v>
          </cell>
        </row>
        <row r="4686">
          <cell r="A4686" t="str">
            <v>Yvonite</v>
          </cell>
        </row>
        <row r="4687">
          <cell r="A4687" t="str">
            <v>Zabuyelite</v>
          </cell>
        </row>
        <row r="4688">
          <cell r="A4688" t="str">
            <v>Zaccagnaite</v>
          </cell>
        </row>
        <row r="4689">
          <cell r="A4689" t="str">
            <v>Zaherite</v>
          </cell>
        </row>
        <row r="4690">
          <cell r="A4690" t="str">
            <v>Zajacite-(Ce)</v>
          </cell>
        </row>
        <row r="4691">
          <cell r="A4691" t="str">
            <v>Zakharovite</v>
          </cell>
        </row>
        <row r="4692">
          <cell r="A4692" t="str">
            <v>Zalesiite</v>
          </cell>
        </row>
        <row r="4693">
          <cell r="A4693" t="str">
            <v>Zanazziite</v>
          </cell>
        </row>
        <row r="4694">
          <cell r="A4694" t="str">
            <v>Zapatalite</v>
          </cell>
        </row>
        <row r="4695">
          <cell r="A4695" t="str">
            <v>Zaratite</v>
          </cell>
        </row>
        <row r="4696">
          <cell r="A4696" t="str">
            <v>Zavaritskite</v>
          </cell>
        </row>
        <row r="4697">
          <cell r="A4697" t="str">
            <v>Zdenekite</v>
          </cell>
        </row>
        <row r="4698">
          <cell r="A4698" t="str">
            <v>Zektzerite</v>
          </cell>
        </row>
        <row r="4699">
          <cell r="A4699" t="str">
            <v>Zellerite</v>
          </cell>
        </row>
        <row r="4700">
          <cell r="A4700" t="str">
            <v>Zemannite</v>
          </cell>
        </row>
        <row r="4701">
          <cell r="A4701" t="str">
            <v>Zemkorite</v>
          </cell>
        </row>
        <row r="4702">
          <cell r="A4702" t="str">
            <v>Zenzenite</v>
          </cell>
        </row>
        <row r="4703">
          <cell r="A4703" t="str">
            <v>Zeophyllite</v>
          </cell>
        </row>
        <row r="4704">
          <cell r="A4704" t="str">
            <v>Zeravshanite</v>
          </cell>
        </row>
        <row r="4705">
          <cell r="A4705" t="str">
            <v>Zeunerite</v>
          </cell>
        </row>
        <row r="4706">
          <cell r="A4706" t="str">
            <v>Zhanghengite</v>
          </cell>
        </row>
        <row r="4707">
          <cell r="A4707" t="str">
            <v>Zhangpeishanite</v>
          </cell>
        </row>
        <row r="4708">
          <cell r="A4708" t="str">
            <v>Zharchikhite</v>
          </cell>
        </row>
        <row r="4709">
          <cell r="A4709" t="str">
            <v>Zhemchuzhnikovite</v>
          </cell>
        </row>
        <row r="4710">
          <cell r="A4710" t="str">
            <v>Zhonghuacerite-(Ce)</v>
          </cell>
        </row>
        <row r="4711">
          <cell r="A4711" t="str">
            <v>Ziesite</v>
          </cell>
        </row>
        <row r="4712">
          <cell r="A4712" t="str">
            <v>Zimbabweite</v>
          </cell>
        </row>
        <row r="4713">
          <cell r="A4713" t="str">
            <v>Zinalsite</v>
          </cell>
        </row>
        <row r="4714">
          <cell r="A4714" t="str">
            <v>Zinc</v>
          </cell>
        </row>
        <row r="4715">
          <cell r="A4715" t="str">
            <v>Zincalstibite</v>
          </cell>
        </row>
        <row r="4716">
          <cell r="A4716" t="str">
            <v>Zincaluminite</v>
          </cell>
        </row>
        <row r="4717">
          <cell r="A4717" t="str">
            <v>Zincgartrellite</v>
          </cell>
        </row>
        <row r="4718">
          <cell r="A4718" t="str">
            <v>Zincite</v>
          </cell>
        </row>
        <row r="4719">
          <cell r="A4719" t="str">
            <v>Zinclavendulan</v>
          </cell>
        </row>
        <row r="4720">
          <cell r="A4720" t="str">
            <v>Zincobotryogen</v>
          </cell>
        </row>
        <row r="4721">
          <cell r="A4721" t="str">
            <v>Zincochromite</v>
          </cell>
        </row>
        <row r="4722">
          <cell r="A4722" t="str">
            <v>Zincocopiapite</v>
          </cell>
        </row>
        <row r="4723">
          <cell r="A4723" t="str">
            <v>Zincohogbomite-2N2S</v>
          </cell>
        </row>
        <row r="4724">
          <cell r="A4724" t="str">
            <v>Zincosite</v>
          </cell>
        </row>
        <row r="4725">
          <cell r="A4725" t="str">
            <v>Zincospiroffite</v>
          </cell>
        </row>
        <row r="4726">
          <cell r="A4726" t="str">
            <v>Zincostaurolite</v>
          </cell>
        </row>
        <row r="4727">
          <cell r="A4727" t="str">
            <v>Zincowoodwardite</v>
          </cell>
        </row>
        <row r="4728">
          <cell r="A4728" t="str">
            <v>Zincowoodwardite-1T</v>
          </cell>
        </row>
        <row r="4729">
          <cell r="A4729" t="str">
            <v>Zincowoodwardite-3R</v>
          </cell>
        </row>
        <row r="4730">
          <cell r="A4730" t="str">
            <v>Zincrosasite</v>
          </cell>
        </row>
        <row r="4731">
          <cell r="A4731" t="str">
            <v>Zincroselite</v>
          </cell>
        </row>
        <row r="4732">
          <cell r="A4732" t="str">
            <v>Zincsilite</v>
          </cell>
        </row>
        <row r="4733">
          <cell r="A4733" t="str">
            <v>Zinc-zippeite</v>
          </cell>
        </row>
        <row r="4734">
          <cell r="A4734" t="str">
            <v>Zinkenite</v>
          </cell>
        </row>
        <row r="4735">
          <cell r="A4735" t="str">
            <v>Zinnwaldite</v>
          </cell>
        </row>
        <row r="4736">
          <cell r="A4736" t="str">
            <v>Zippeite</v>
          </cell>
        </row>
        <row r="4737">
          <cell r="A4737" t="str">
            <v>Zircon</v>
          </cell>
        </row>
        <row r="4738">
          <cell r="A4738" t="str">
            <v>Zirconolite</v>
          </cell>
        </row>
        <row r="4739">
          <cell r="A4739" t="str">
            <v>Zirconolite-2M</v>
          </cell>
        </row>
        <row r="4740">
          <cell r="A4740" t="str">
            <v>Zirconolite-3O</v>
          </cell>
        </row>
        <row r="4741">
          <cell r="A4741" t="str">
            <v>Zirconolite-3T</v>
          </cell>
        </row>
        <row r="4742">
          <cell r="A4742" t="str">
            <v>Zircophyllite</v>
          </cell>
        </row>
        <row r="4743">
          <cell r="A4743" t="str">
            <v>Zirkelite</v>
          </cell>
        </row>
        <row r="4744">
          <cell r="A4744" t="str">
            <v>Zirklerite</v>
          </cell>
        </row>
        <row r="4745">
          <cell r="A4745" t="str">
            <v>Zirsilite-(Ce)</v>
          </cell>
        </row>
        <row r="4746">
          <cell r="A4746" t="str">
            <v>Zirsinalite</v>
          </cell>
        </row>
        <row r="4747">
          <cell r="A4747" t="str">
            <v>Zlatogorite</v>
          </cell>
        </row>
        <row r="4748">
          <cell r="A4748" t="str">
            <v>Zn-Schulenbergite</v>
          </cell>
        </row>
        <row r="4749">
          <cell r="A4749" t="str">
            <v>Znucalite</v>
          </cell>
        </row>
        <row r="4750">
          <cell r="A4750" t="str">
            <v>Zodacite</v>
          </cell>
        </row>
        <row r="4751">
          <cell r="A4751" t="str">
            <v>Zoisite</v>
          </cell>
        </row>
        <row r="4752">
          <cell r="A4752" t="str">
            <v>Zoltaiite</v>
          </cell>
        </row>
        <row r="4753">
          <cell r="A4753" t="str">
            <v>Zorite</v>
          </cell>
        </row>
        <row r="4754">
          <cell r="A4754" t="str">
            <v>Zoubekite</v>
          </cell>
        </row>
        <row r="4755">
          <cell r="A4755" t="str">
            <v>Zugshunstite-(Ce)</v>
          </cell>
        </row>
        <row r="4756">
          <cell r="A4756" t="str">
            <v>Zunyite</v>
          </cell>
        </row>
        <row r="4757">
          <cell r="A4757" t="str">
            <v>Zussmanite</v>
          </cell>
        </row>
        <row r="4758">
          <cell r="A4758" t="str">
            <v>Zvyagintsevite</v>
          </cell>
        </row>
        <row r="4759">
          <cell r="A4759" t="str">
            <v>Zykaite</v>
          </cell>
        </row>
        <row r="4760">
          <cell r="A4760" t="str">
            <v>zzzzzzz</v>
          </cell>
        </row>
        <row r="4761">
          <cell r="A4761"/>
        </row>
        <row r="4762">
          <cell r="A4762"/>
        </row>
        <row r="4763">
          <cell r="A4763"/>
        </row>
        <row r="4764">
          <cell r="A4764"/>
        </row>
        <row r="4765">
          <cell r="A4765"/>
        </row>
        <row r="4766">
          <cell r="A4766"/>
        </row>
        <row r="4767">
          <cell r="A4767"/>
        </row>
        <row r="4768">
          <cell r="A4768"/>
        </row>
        <row r="4769">
          <cell r="A4769"/>
        </row>
        <row r="4770">
          <cell r="A4770"/>
        </row>
        <row r="4771">
          <cell r="A4771"/>
        </row>
        <row r="4772">
          <cell r="A4772"/>
        </row>
        <row r="4773">
          <cell r="A4773"/>
        </row>
        <row r="4774">
          <cell r="A4774"/>
        </row>
        <row r="4775">
          <cell r="A4775"/>
        </row>
        <row r="4776">
          <cell r="A4776"/>
        </row>
        <row r="4777">
          <cell r="A4777"/>
        </row>
        <row r="4778">
          <cell r="A4778"/>
        </row>
        <row r="4779">
          <cell r="A4779"/>
        </row>
        <row r="4780">
          <cell r="A4780"/>
        </row>
        <row r="4781">
          <cell r="A4781"/>
        </row>
        <row r="4782">
          <cell r="A4782"/>
        </row>
        <row r="4783">
          <cell r="A4783"/>
        </row>
        <row r="4784">
          <cell r="A4784"/>
        </row>
        <row r="4785">
          <cell r="A4785"/>
        </row>
        <row r="4786">
          <cell r="A4786"/>
        </row>
        <row r="4787">
          <cell r="A4787"/>
        </row>
        <row r="4788">
          <cell r="A4788"/>
        </row>
        <row r="4789">
          <cell r="A4789"/>
        </row>
        <row r="4790">
          <cell r="A4790"/>
        </row>
        <row r="4791">
          <cell r="A4791"/>
        </row>
        <row r="4792">
          <cell r="A4792"/>
        </row>
        <row r="4793">
          <cell r="A4793"/>
        </row>
        <row r="4794">
          <cell r="A4794"/>
        </row>
        <row r="4795">
          <cell r="A4795"/>
        </row>
        <row r="4796">
          <cell r="A4796"/>
        </row>
        <row r="4797">
          <cell r="A4797"/>
        </row>
        <row r="4798">
          <cell r="A4798"/>
        </row>
        <row r="4799">
          <cell r="A4799"/>
        </row>
        <row r="4800">
          <cell r="A4800"/>
        </row>
        <row r="4801">
          <cell r="A4801"/>
        </row>
        <row r="4802">
          <cell r="A4802"/>
        </row>
        <row r="4803">
          <cell r="A4803"/>
        </row>
        <row r="4804">
          <cell r="A4804"/>
        </row>
        <row r="4805">
          <cell r="A4805"/>
        </row>
        <row r="4806">
          <cell r="A4806"/>
        </row>
        <row r="4807">
          <cell r="A4807"/>
        </row>
        <row r="4808">
          <cell r="A4808"/>
        </row>
        <row r="4809">
          <cell r="A4809"/>
        </row>
        <row r="4810">
          <cell r="A4810"/>
        </row>
        <row r="4811">
          <cell r="A4811"/>
        </row>
        <row r="4812">
          <cell r="A4812"/>
        </row>
        <row r="4813">
          <cell r="A4813"/>
        </row>
        <row r="4814">
          <cell r="A4814"/>
        </row>
        <row r="4815">
          <cell r="A4815"/>
        </row>
        <row r="4816">
          <cell r="A4816"/>
        </row>
        <row r="4817">
          <cell r="A4817"/>
        </row>
        <row r="4818">
          <cell r="A4818"/>
        </row>
        <row r="4819">
          <cell r="A4819"/>
        </row>
        <row r="4820">
          <cell r="A4820"/>
        </row>
        <row r="4821">
          <cell r="A4821"/>
        </row>
        <row r="4822">
          <cell r="A4822"/>
        </row>
        <row r="4823">
          <cell r="A4823"/>
        </row>
        <row r="4824">
          <cell r="A4824"/>
        </row>
        <row r="4825">
          <cell r="A4825"/>
        </row>
        <row r="4826">
          <cell r="A4826"/>
        </row>
        <row r="4827">
          <cell r="A4827"/>
        </row>
        <row r="4828">
          <cell r="A4828"/>
        </row>
        <row r="4829">
          <cell r="A4829"/>
        </row>
        <row r="4830">
          <cell r="A4830"/>
        </row>
        <row r="4831">
          <cell r="A4831"/>
        </row>
        <row r="4832">
          <cell r="A4832"/>
        </row>
        <row r="4833">
          <cell r="A4833"/>
        </row>
        <row r="4834">
          <cell r="A4834"/>
        </row>
        <row r="4835">
          <cell r="A4835"/>
        </row>
        <row r="4836">
          <cell r="A4836"/>
        </row>
        <row r="4837">
          <cell r="A4837"/>
        </row>
        <row r="4838">
          <cell r="A4838"/>
        </row>
        <row r="4839">
          <cell r="A4839"/>
        </row>
        <row r="4840">
          <cell r="A4840"/>
        </row>
        <row r="4841">
          <cell r="A4841"/>
        </row>
        <row r="4842">
          <cell r="A4842"/>
        </row>
        <row r="4843">
          <cell r="A4843"/>
        </row>
        <row r="4844">
          <cell r="A4844"/>
        </row>
        <row r="4845">
          <cell r="A4845"/>
        </row>
        <row r="4846">
          <cell r="A4846"/>
        </row>
        <row r="4847">
          <cell r="A4847"/>
        </row>
        <row r="4848">
          <cell r="A4848"/>
        </row>
        <row r="4849">
          <cell r="A4849"/>
        </row>
        <row r="4850">
          <cell r="A4850"/>
        </row>
        <row r="4851">
          <cell r="A4851"/>
        </row>
        <row r="4852">
          <cell r="A4852"/>
        </row>
        <row r="4853">
          <cell r="A4853"/>
        </row>
        <row r="4854">
          <cell r="A4854"/>
        </row>
        <row r="4855">
          <cell r="A4855"/>
        </row>
        <row r="4856">
          <cell r="A4856"/>
        </row>
        <row r="4857">
          <cell r="A4857"/>
        </row>
        <row r="4858">
          <cell r="A4858"/>
        </row>
        <row r="4859">
          <cell r="A4859"/>
        </row>
        <row r="4860">
          <cell r="A4860"/>
        </row>
        <row r="4861">
          <cell r="A4861"/>
        </row>
        <row r="4862">
          <cell r="A4862"/>
        </row>
        <row r="4863">
          <cell r="A4863"/>
        </row>
        <row r="4864">
          <cell r="A4864"/>
        </row>
        <row r="4865">
          <cell r="A4865"/>
        </row>
        <row r="4866">
          <cell r="A4866"/>
        </row>
        <row r="4867">
          <cell r="A4867"/>
        </row>
        <row r="4868">
          <cell r="A4868"/>
        </row>
        <row r="4869">
          <cell r="A4869"/>
        </row>
        <row r="4870">
          <cell r="A4870"/>
        </row>
        <row r="4871">
          <cell r="A4871"/>
        </row>
        <row r="4872">
          <cell r="A4872"/>
        </row>
        <row r="4873">
          <cell r="A4873"/>
        </row>
        <row r="4874">
          <cell r="A4874"/>
        </row>
        <row r="4875">
          <cell r="A4875"/>
        </row>
        <row r="4876">
          <cell r="A4876"/>
        </row>
        <row r="4877">
          <cell r="A4877"/>
        </row>
        <row r="4878">
          <cell r="A4878"/>
        </row>
        <row r="4879">
          <cell r="A4879"/>
        </row>
        <row r="4880">
          <cell r="A4880"/>
        </row>
        <row r="4881">
          <cell r="A4881"/>
        </row>
        <row r="4882">
          <cell r="A4882"/>
        </row>
        <row r="4883">
          <cell r="A4883"/>
        </row>
        <row r="4884">
          <cell r="A4884"/>
        </row>
        <row r="4885">
          <cell r="A4885"/>
        </row>
        <row r="4886">
          <cell r="A4886"/>
        </row>
        <row r="4887">
          <cell r="A4887"/>
        </row>
        <row r="4888">
          <cell r="A4888"/>
        </row>
        <row r="4889">
          <cell r="A4889"/>
        </row>
        <row r="4890">
          <cell r="A4890"/>
        </row>
        <row r="4891">
          <cell r="A4891"/>
        </row>
        <row r="4892">
          <cell r="A4892"/>
        </row>
        <row r="4893">
          <cell r="A4893"/>
        </row>
        <row r="4894">
          <cell r="A4894"/>
        </row>
        <row r="4895">
          <cell r="A4895"/>
        </row>
        <row r="4896">
          <cell r="A4896"/>
        </row>
        <row r="4897">
          <cell r="A4897"/>
        </row>
        <row r="4898">
          <cell r="A4898"/>
        </row>
        <row r="4899">
          <cell r="A4899"/>
        </row>
        <row r="4900">
          <cell r="A4900"/>
        </row>
        <row r="4901">
          <cell r="A4901"/>
        </row>
        <row r="4902">
          <cell r="A4902"/>
        </row>
        <row r="4903">
          <cell r="A4903"/>
        </row>
        <row r="4904">
          <cell r="A4904"/>
        </row>
        <row r="4905">
          <cell r="A4905"/>
        </row>
        <row r="4906">
          <cell r="A4906"/>
        </row>
        <row r="4907">
          <cell r="A4907"/>
        </row>
        <row r="4908">
          <cell r="A4908"/>
        </row>
        <row r="4909">
          <cell r="A4909"/>
        </row>
        <row r="4910">
          <cell r="A4910"/>
        </row>
        <row r="4911">
          <cell r="A4911"/>
        </row>
        <row r="4912">
          <cell r="A4912"/>
        </row>
        <row r="4913">
          <cell r="A4913"/>
        </row>
        <row r="4914">
          <cell r="A4914"/>
        </row>
        <row r="4915">
          <cell r="A4915"/>
        </row>
        <row r="4916">
          <cell r="A4916"/>
        </row>
        <row r="4917">
          <cell r="A4917"/>
        </row>
        <row r="4918">
          <cell r="A4918"/>
        </row>
        <row r="4919">
          <cell r="A4919"/>
        </row>
        <row r="4920">
          <cell r="A4920"/>
        </row>
        <row r="4921">
          <cell r="A4921"/>
        </row>
        <row r="4922">
          <cell r="A4922"/>
        </row>
        <row r="4923">
          <cell r="A4923"/>
        </row>
        <row r="4924">
          <cell r="A4924"/>
        </row>
        <row r="4925">
          <cell r="A4925"/>
        </row>
        <row r="4926">
          <cell r="A4926"/>
        </row>
        <row r="4927">
          <cell r="A4927"/>
        </row>
        <row r="4928">
          <cell r="A4928"/>
        </row>
        <row r="4929">
          <cell r="A4929"/>
        </row>
        <row r="4930">
          <cell r="A4930"/>
        </row>
        <row r="4931">
          <cell r="A4931"/>
        </row>
        <row r="4932">
          <cell r="A4932"/>
        </row>
        <row r="4933">
          <cell r="A4933"/>
        </row>
        <row r="4934">
          <cell r="A4934"/>
        </row>
        <row r="4935">
          <cell r="A4935"/>
        </row>
        <row r="4936">
          <cell r="A4936"/>
        </row>
        <row r="4937">
          <cell r="A4937"/>
        </row>
        <row r="4938">
          <cell r="A4938"/>
        </row>
        <row r="4939">
          <cell r="A4939"/>
        </row>
        <row r="4940">
          <cell r="A4940"/>
        </row>
        <row r="4941">
          <cell r="A4941"/>
        </row>
        <row r="4942">
          <cell r="A4942"/>
        </row>
        <row r="4943">
          <cell r="A4943"/>
        </row>
        <row r="4944">
          <cell r="A4944"/>
        </row>
        <row r="4945">
          <cell r="A4945"/>
        </row>
        <row r="4946">
          <cell r="A4946"/>
        </row>
        <row r="4947">
          <cell r="A4947"/>
        </row>
        <row r="4948">
          <cell r="A4948"/>
        </row>
        <row r="4949">
          <cell r="A4949"/>
        </row>
        <row r="4950">
          <cell r="A4950"/>
        </row>
        <row r="4951">
          <cell r="A4951"/>
        </row>
        <row r="4952">
          <cell r="A4952"/>
        </row>
        <row r="4953">
          <cell r="A4953"/>
        </row>
        <row r="4954">
          <cell r="A4954"/>
        </row>
        <row r="4955">
          <cell r="A4955"/>
        </row>
        <row r="4956">
          <cell r="A4956"/>
        </row>
        <row r="4957">
          <cell r="A4957"/>
        </row>
        <row r="4958">
          <cell r="A4958"/>
        </row>
        <row r="4959">
          <cell r="A4959"/>
        </row>
        <row r="4960">
          <cell r="A4960"/>
        </row>
        <row r="4961">
          <cell r="A4961"/>
        </row>
        <row r="4962">
          <cell r="A4962"/>
        </row>
        <row r="4963">
          <cell r="A4963"/>
        </row>
        <row r="4964">
          <cell r="A4964"/>
        </row>
        <row r="4965">
          <cell r="A4965"/>
        </row>
        <row r="4966">
          <cell r="A4966"/>
        </row>
        <row r="4967">
          <cell r="A4967"/>
        </row>
        <row r="4968">
          <cell r="A4968"/>
        </row>
        <row r="4969">
          <cell r="A4969"/>
        </row>
        <row r="4970">
          <cell r="A4970"/>
        </row>
        <row r="4971">
          <cell r="A4971"/>
        </row>
        <row r="4972">
          <cell r="A4972"/>
        </row>
        <row r="4973">
          <cell r="A4973"/>
        </row>
        <row r="4974">
          <cell r="A4974"/>
        </row>
        <row r="4975">
          <cell r="A4975"/>
        </row>
        <row r="4976">
          <cell r="A4976"/>
        </row>
        <row r="4977">
          <cell r="A4977"/>
        </row>
        <row r="4978">
          <cell r="A4978"/>
        </row>
        <row r="4979">
          <cell r="A4979"/>
        </row>
        <row r="4980">
          <cell r="A4980"/>
        </row>
        <row r="4981">
          <cell r="A4981"/>
        </row>
        <row r="4982">
          <cell r="A4982"/>
        </row>
        <row r="4983">
          <cell r="A4983"/>
        </row>
        <row r="4984">
          <cell r="A4984"/>
        </row>
        <row r="4985">
          <cell r="A4985"/>
        </row>
        <row r="4986">
          <cell r="A4986"/>
        </row>
        <row r="4987">
          <cell r="A4987"/>
        </row>
        <row r="4988">
          <cell r="A4988"/>
        </row>
        <row r="4989">
          <cell r="A4989"/>
        </row>
        <row r="4990">
          <cell r="A4990"/>
        </row>
        <row r="4991">
          <cell r="A4991"/>
        </row>
        <row r="4992">
          <cell r="A4992"/>
        </row>
        <row r="4993">
          <cell r="A4993"/>
        </row>
        <row r="4994">
          <cell r="A4994"/>
        </row>
        <row r="4995">
          <cell r="A4995"/>
        </row>
        <row r="4996">
          <cell r="A4996"/>
        </row>
        <row r="4997">
          <cell r="A4997"/>
        </row>
        <row r="4998">
          <cell r="A4998"/>
        </row>
        <row r="4999">
          <cell r="A4999"/>
        </row>
        <row r="5000">
          <cell r="A5000"/>
        </row>
        <row r="5001">
          <cell r="A5001"/>
        </row>
        <row r="5002">
          <cell r="A5002"/>
        </row>
        <row r="5003">
          <cell r="A5003"/>
        </row>
        <row r="5004">
          <cell r="A5004"/>
        </row>
        <row r="5005">
          <cell r="A5005"/>
        </row>
        <row r="5006">
          <cell r="A5006"/>
        </row>
        <row r="5007">
          <cell r="A5007"/>
        </row>
        <row r="5008">
          <cell r="A5008"/>
        </row>
        <row r="5009">
          <cell r="A5009"/>
        </row>
        <row r="5010">
          <cell r="A5010"/>
        </row>
        <row r="5011">
          <cell r="A5011"/>
        </row>
        <row r="5012">
          <cell r="A5012"/>
        </row>
        <row r="5013">
          <cell r="A5013"/>
        </row>
        <row r="5014">
          <cell r="A5014"/>
        </row>
        <row r="5015">
          <cell r="A5015"/>
        </row>
        <row r="5016">
          <cell r="A5016"/>
        </row>
        <row r="5017">
          <cell r="A5017"/>
        </row>
        <row r="5018">
          <cell r="A5018"/>
        </row>
        <row r="5019">
          <cell r="A5019"/>
        </row>
        <row r="5020">
          <cell r="A5020"/>
        </row>
        <row r="5021">
          <cell r="A5021"/>
        </row>
        <row r="5022">
          <cell r="A5022"/>
        </row>
        <row r="5023">
          <cell r="A5023"/>
        </row>
        <row r="5024">
          <cell r="A5024"/>
        </row>
        <row r="5025">
          <cell r="A5025"/>
        </row>
        <row r="5026">
          <cell r="A5026"/>
        </row>
        <row r="5027">
          <cell r="A5027"/>
        </row>
        <row r="5028">
          <cell r="A5028"/>
        </row>
        <row r="5029">
          <cell r="A5029"/>
        </row>
        <row r="5030">
          <cell r="A5030"/>
        </row>
        <row r="5031">
          <cell r="A5031"/>
        </row>
        <row r="5032">
          <cell r="A5032"/>
        </row>
        <row r="5033">
          <cell r="A5033"/>
        </row>
        <row r="5034">
          <cell r="A5034"/>
        </row>
        <row r="5035">
          <cell r="A5035"/>
        </row>
        <row r="5036">
          <cell r="A5036"/>
        </row>
        <row r="5037">
          <cell r="A5037"/>
        </row>
        <row r="5038">
          <cell r="A5038"/>
        </row>
        <row r="5039">
          <cell r="A5039"/>
        </row>
        <row r="5040">
          <cell r="A5040"/>
        </row>
        <row r="5041">
          <cell r="A5041"/>
        </row>
        <row r="5042">
          <cell r="A5042"/>
        </row>
        <row r="5043">
          <cell r="A5043"/>
        </row>
        <row r="5044">
          <cell r="A5044"/>
        </row>
        <row r="5045">
          <cell r="A5045"/>
        </row>
        <row r="5046">
          <cell r="A5046"/>
        </row>
        <row r="5047">
          <cell r="A5047"/>
        </row>
        <row r="5048">
          <cell r="A5048"/>
        </row>
        <row r="5049">
          <cell r="A5049"/>
        </row>
        <row r="5050">
          <cell r="A5050"/>
        </row>
        <row r="5051">
          <cell r="A5051"/>
        </row>
        <row r="5052">
          <cell r="A5052"/>
        </row>
        <row r="5053">
          <cell r="A5053"/>
        </row>
        <row r="5054">
          <cell r="A5054"/>
        </row>
        <row r="5055">
          <cell r="A5055"/>
        </row>
        <row r="5056">
          <cell r="A5056"/>
        </row>
        <row r="5057">
          <cell r="A5057"/>
        </row>
        <row r="5058">
          <cell r="A5058"/>
        </row>
        <row r="5059">
          <cell r="A5059"/>
        </row>
        <row r="5060">
          <cell r="A5060"/>
        </row>
        <row r="5061">
          <cell r="A5061"/>
        </row>
        <row r="5062">
          <cell r="A5062"/>
        </row>
        <row r="5063">
          <cell r="A5063"/>
        </row>
        <row r="5064">
          <cell r="A5064"/>
        </row>
        <row r="5065">
          <cell r="A5065"/>
        </row>
        <row r="5066">
          <cell r="A5066"/>
        </row>
        <row r="5067">
          <cell r="A5067"/>
        </row>
        <row r="5068">
          <cell r="A5068"/>
        </row>
        <row r="5069">
          <cell r="A5069"/>
        </row>
        <row r="5070">
          <cell r="A5070"/>
        </row>
        <row r="5071">
          <cell r="A5071"/>
        </row>
        <row r="5072">
          <cell r="A5072"/>
        </row>
        <row r="5073">
          <cell r="A5073"/>
        </row>
        <row r="5074">
          <cell r="A5074"/>
        </row>
        <row r="5075">
          <cell r="A5075"/>
        </row>
        <row r="5076">
          <cell r="A5076"/>
        </row>
        <row r="5077">
          <cell r="A5077"/>
        </row>
        <row r="5078">
          <cell r="A5078"/>
        </row>
        <row r="5079">
          <cell r="A5079"/>
        </row>
        <row r="5080">
          <cell r="A5080"/>
        </row>
        <row r="5081">
          <cell r="A5081"/>
        </row>
        <row r="5082">
          <cell r="A5082"/>
        </row>
        <row r="5083">
          <cell r="A5083"/>
        </row>
        <row r="5084">
          <cell r="A5084"/>
        </row>
        <row r="5085">
          <cell r="A5085"/>
        </row>
        <row r="5086">
          <cell r="A5086"/>
        </row>
        <row r="5087">
          <cell r="A5087"/>
        </row>
        <row r="5088">
          <cell r="A5088"/>
        </row>
        <row r="5089">
          <cell r="A5089"/>
        </row>
        <row r="5090">
          <cell r="A5090"/>
        </row>
        <row r="5091">
          <cell r="A5091"/>
        </row>
        <row r="5092">
          <cell r="A5092"/>
        </row>
        <row r="5093">
          <cell r="A5093"/>
        </row>
        <row r="5094">
          <cell r="A5094"/>
        </row>
        <row r="5095">
          <cell r="A5095"/>
        </row>
        <row r="5096">
          <cell r="A5096"/>
        </row>
        <row r="5097">
          <cell r="A5097"/>
        </row>
        <row r="5098">
          <cell r="A5098"/>
        </row>
        <row r="5099">
          <cell r="A5099"/>
        </row>
        <row r="5100">
          <cell r="A5100"/>
        </row>
        <row r="5101">
          <cell r="A5101"/>
        </row>
        <row r="5102">
          <cell r="A5102"/>
        </row>
        <row r="5103">
          <cell r="A5103"/>
        </row>
        <row r="5104">
          <cell r="A5104"/>
        </row>
        <row r="5105">
          <cell r="A5105"/>
        </row>
        <row r="5106">
          <cell r="A5106"/>
        </row>
        <row r="5107">
          <cell r="A5107"/>
        </row>
        <row r="5108">
          <cell r="A5108"/>
        </row>
        <row r="5109">
          <cell r="A5109"/>
        </row>
        <row r="5110">
          <cell r="A5110"/>
        </row>
        <row r="5111">
          <cell r="A5111"/>
        </row>
        <row r="5112">
          <cell r="A5112"/>
        </row>
        <row r="5113">
          <cell r="A5113"/>
        </row>
        <row r="5114">
          <cell r="A5114"/>
        </row>
        <row r="5115">
          <cell r="A5115"/>
        </row>
        <row r="5116">
          <cell r="A5116"/>
        </row>
        <row r="5117">
          <cell r="A5117"/>
        </row>
        <row r="5118">
          <cell r="A5118"/>
        </row>
        <row r="5119">
          <cell r="A5119"/>
        </row>
        <row r="5120">
          <cell r="A5120"/>
        </row>
        <row r="5121">
          <cell r="A5121"/>
        </row>
        <row r="5122">
          <cell r="A5122"/>
        </row>
        <row r="5123">
          <cell r="A5123"/>
        </row>
        <row r="5124">
          <cell r="A5124"/>
        </row>
        <row r="5125">
          <cell r="A5125"/>
        </row>
        <row r="5126">
          <cell r="A5126"/>
        </row>
        <row r="5127">
          <cell r="A5127"/>
        </row>
        <row r="5128">
          <cell r="A5128"/>
        </row>
        <row r="5129">
          <cell r="A5129"/>
        </row>
        <row r="5130">
          <cell r="A5130"/>
        </row>
        <row r="5131">
          <cell r="A5131"/>
        </row>
        <row r="5132">
          <cell r="A5132"/>
        </row>
        <row r="5133">
          <cell r="A5133"/>
        </row>
        <row r="5134">
          <cell r="A5134"/>
        </row>
        <row r="5135">
          <cell r="A5135"/>
        </row>
        <row r="5136">
          <cell r="A5136"/>
        </row>
        <row r="5137">
          <cell r="A5137"/>
        </row>
        <row r="5138">
          <cell r="A5138"/>
        </row>
        <row r="5139">
          <cell r="A5139"/>
        </row>
        <row r="5140">
          <cell r="A5140"/>
        </row>
        <row r="5141">
          <cell r="A5141"/>
        </row>
        <row r="5142">
          <cell r="A5142"/>
        </row>
        <row r="5143">
          <cell r="A5143"/>
        </row>
        <row r="5144">
          <cell r="A5144"/>
        </row>
        <row r="5145">
          <cell r="A5145"/>
        </row>
        <row r="5146">
          <cell r="A5146"/>
        </row>
        <row r="5147">
          <cell r="A5147"/>
        </row>
        <row r="5148">
          <cell r="A5148"/>
        </row>
        <row r="5149">
          <cell r="A5149"/>
        </row>
        <row r="5150">
          <cell r="A5150"/>
        </row>
        <row r="5151">
          <cell r="A5151"/>
        </row>
        <row r="5152">
          <cell r="A5152"/>
        </row>
        <row r="5153">
          <cell r="A5153"/>
        </row>
        <row r="5154">
          <cell r="A5154"/>
        </row>
        <row r="5155">
          <cell r="A5155"/>
        </row>
        <row r="5156">
          <cell r="A5156"/>
        </row>
        <row r="5157">
          <cell r="A5157"/>
        </row>
        <row r="5158">
          <cell r="A5158"/>
        </row>
        <row r="5159">
          <cell r="A5159"/>
        </row>
        <row r="5160">
          <cell r="A5160"/>
        </row>
        <row r="5161">
          <cell r="A5161"/>
        </row>
        <row r="5162">
          <cell r="A5162"/>
        </row>
        <row r="5163">
          <cell r="A5163"/>
        </row>
        <row r="5164">
          <cell r="A5164"/>
        </row>
        <row r="5165">
          <cell r="A5165"/>
        </row>
        <row r="5166">
          <cell r="A5166"/>
        </row>
        <row r="5167">
          <cell r="A5167"/>
        </row>
        <row r="5168">
          <cell r="A5168"/>
        </row>
        <row r="5169">
          <cell r="A5169"/>
        </row>
        <row r="5170">
          <cell r="A5170"/>
        </row>
        <row r="5171">
          <cell r="A5171"/>
        </row>
        <row r="5172">
          <cell r="A5172"/>
        </row>
        <row r="5173">
          <cell r="A5173"/>
        </row>
        <row r="5174">
          <cell r="A5174"/>
        </row>
        <row r="5175">
          <cell r="A5175"/>
        </row>
        <row r="5176">
          <cell r="A5176"/>
        </row>
        <row r="5177">
          <cell r="A5177"/>
        </row>
        <row r="5178">
          <cell r="A5178"/>
        </row>
        <row r="5179">
          <cell r="A5179"/>
        </row>
        <row r="5180">
          <cell r="A5180"/>
        </row>
        <row r="5181">
          <cell r="A5181"/>
        </row>
        <row r="5182">
          <cell r="A5182"/>
        </row>
        <row r="5183">
          <cell r="A5183"/>
        </row>
        <row r="5184">
          <cell r="A5184"/>
        </row>
        <row r="5185">
          <cell r="A5185"/>
        </row>
        <row r="5186">
          <cell r="A5186"/>
        </row>
        <row r="5187">
          <cell r="A5187"/>
        </row>
        <row r="5188">
          <cell r="A5188"/>
        </row>
        <row r="5189">
          <cell r="A5189"/>
        </row>
        <row r="5190">
          <cell r="A5190"/>
        </row>
        <row r="5191">
          <cell r="A5191"/>
        </row>
        <row r="5192">
          <cell r="A5192"/>
        </row>
        <row r="5193">
          <cell r="A5193"/>
        </row>
        <row r="5194">
          <cell r="A5194"/>
        </row>
        <row r="5195">
          <cell r="A5195"/>
        </row>
        <row r="5196">
          <cell r="A5196"/>
        </row>
        <row r="5197">
          <cell r="A5197"/>
        </row>
        <row r="5198">
          <cell r="A5198"/>
        </row>
        <row r="5199">
          <cell r="A5199"/>
        </row>
        <row r="5200">
          <cell r="A5200"/>
        </row>
        <row r="5201">
          <cell r="A5201"/>
        </row>
        <row r="5202">
          <cell r="A5202"/>
        </row>
        <row r="5203">
          <cell r="A5203"/>
        </row>
        <row r="5204">
          <cell r="A5204"/>
        </row>
        <row r="5205">
          <cell r="A5205"/>
        </row>
        <row r="5206">
          <cell r="A5206"/>
        </row>
        <row r="5207">
          <cell r="A5207"/>
        </row>
        <row r="5208">
          <cell r="A5208"/>
        </row>
        <row r="5209">
          <cell r="A5209"/>
        </row>
        <row r="5210">
          <cell r="A5210"/>
        </row>
        <row r="5211">
          <cell r="A5211"/>
        </row>
        <row r="5212">
          <cell r="A5212"/>
        </row>
        <row r="5213">
          <cell r="A5213"/>
        </row>
        <row r="5214">
          <cell r="A5214"/>
        </row>
        <row r="5215">
          <cell r="A5215"/>
        </row>
        <row r="5216">
          <cell r="A5216"/>
        </row>
        <row r="5217">
          <cell r="A5217"/>
        </row>
        <row r="5218">
          <cell r="A5218"/>
        </row>
        <row r="5219">
          <cell r="A5219"/>
        </row>
        <row r="5220">
          <cell r="A5220"/>
        </row>
        <row r="5221">
          <cell r="A5221"/>
        </row>
        <row r="5222">
          <cell r="A5222"/>
        </row>
        <row r="5223">
          <cell r="A5223"/>
        </row>
        <row r="5224">
          <cell r="A5224"/>
        </row>
        <row r="5225">
          <cell r="A5225"/>
        </row>
        <row r="5226">
          <cell r="A5226"/>
        </row>
        <row r="5227">
          <cell r="A5227"/>
        </row>
        <row r="5228">
          <cell r="A5228"/>
        </row>
        <row r="5229">
          <cell r="A5229"/>
        </row>
        <row r="5230">
          <cell r="A5230"/>
        </row>
        <row r="5231">
          <cell r="A5231"/>
        </row>
        <row r="5232">
          <cell r="A5232"/>
        </row>
        <row r="5233">
          <cell r="A5233"/>
        </row>
        <row r="5234">
          <cell r="A5234"/>
        </row>
        <row r="5235">
          <cell r="A5235"/>
        </row>
        <row r="5236">
          <cell r="A5236"/>
        </row>
        <row r="5237">
          <cell r="A5237"/>
        </row>
        <row r="5238">
          <cell r="A5238"/>
        </row>
        <row r="5239">
          <cell r="A5239"/>
        </row>
        <row r="5240">
          <cell r="A5240"/>
        </row>
        <row r="5241">
          <cell r="A5241"/>
        </row>
        <row r="5242">
          <cell r="A5242"/>
        </row>
        <row r="5243">
          <cell r="A5243"/>
        </row>
        <row r="5244">
          <cell r="A5244"/>
        </row>
        <row r="5245">
          <cell r="A5245"/>
        </row>
        <row r="5246">
          <cell r="A5246"/>
        </row>
        <row r="5247">
          <cell r="A5247"/>
        </row>
        <row r="5248">
          <cell r="A5248"/>
        </row>
        <row r="5249">
          <cell r="A5249"/>
        </row>
        <row r="5250">
          <cell r="A5250"/>
        </row>
        <row r="5251">
          <cell r="A5251"/>
        </row>
        <row r="5252">
          <cell r="A5252"/>
        </row>
        <row r="5253">
          <cell r="A5253"/>
        </row>
        <row r="5254">
          <cell r="A5254"/>
        </row>
        <row r="5255">
          <cell r="A5255"/>
        </row>
        <row r="5256">
          <cell r="A5256"/>
        </row>
        <row r="5257">
          <cell r="A5257"/>
        </row>
        <row r="5258">
          <cell r="A5258"/>
        </row>
        <row r="5259">
          <cell r="A5259"/>
        </row>
        <row r="5260">
          <cell r="A5260"/>
        </row>
        <row r="5261">
          <cell r="A5261"/>
        </row>
        <row r="5262">
          <cell r="A5262"/>
        </row>
        <row r="5263">
          <cell r="A5263"/>
        </row>
        <row r="5264">
          <cell r="A5264"/>
        </row>
        <row r="5265">
          <cell r="A5265"/>
        </row>
        <row r="5266">
          <cell r="A5266"/>
        </row>
        <row r="5267">
          <cell r="A5267"/>
        </row>
        <row r="5268">
          <cell r="A5268"/>
        </row>
        <row r="5269">
          <cell r="A5269"/>
        </row>
        <row r="5270">
          <cell r="A5270"/>
        </row>
        <row r="5271">
          <cell r="A5271"/>
        </row>
        <row r="5272">
          <cell r="A5272"/>
        </row>
        <row r="5273">
          <cell r="A5273"/>
        </row>
        <row r="5274">
          <cell r="A5274"/>
        </row>
        <row r="5275">
          <cell r="A5275"/>
        </row>
        <row r="5276">
          <cell r="A5276"/>
        </row>
        <row r="5277">
          <cell r="A5277"/>
        </row>
        <row r="5278">
          <cell r="A5278"/>
        </row>
        <row r="5279">
          <cell r="A5279"/>
        </row>
        <row r="5280">
          <cell r="A5280"/>
        </row>
        <row r="5281">
          <cell r="A5281"/>
        </row>
        <row r="5282">
          <cell r="A5282"/>
        </row>
        <row r="5283">
          <cell r="A5283"/>
        </row>
        <row r="5284">
          <cell r="A5284"/>
        </row>
        <row r="5285">
          <cell r="A5285"/>
        </row>
        <row r="5286">
          <cell r="A5286"/>
        </row>
        <row r="5287">
          <cell r="A5287"/>
        </row>
        <row r="5288">
          <cell r="A5288"/>
        </row>
        <row r="5289">
          <cell r="A5289"/>
        </row>
        <row r="5290">
          <cell r="A5290"/>
        </row>
        <row r="5291">
          <cell r="A5291"/>
        </row>
        <row r="5292">
          <cell r="A5292"/>
        </row>
        <row r="5293">
          <cell r="A5293"/>
        </row>
        <row r="5294">
          <cell r="A5294"/>
        </row>
        <row r="5295">
          <cell r="A5295"/>
        </row>
        <row r="5296">
          <cell r="A5296"/>
        </row>
        <row r="5297">
          <cell r="A5297"/>
        </row>
        <row r="5298">
          <cell r="A5298"/>
        </row>
        <row r="5299">
          <cell r="A5299"/>
        </row>
        <row r="5300">
          <cell r="A5300"/>
        </row>
        <row r="5301">
          <cell r="A5301"/>
        </row>
        <row r="5302">
          <cell r="A5302"/>
        </row>
        <row r="5303">
          <cell r="A5303"/>
        </row>
        <row r="5304">
          <cell r="A5304"/>
        </row>
        <row r="5305">
          <cell r="A5305"/>
        </row>
        <row r="5306">
          <cell r="A5306"/>
        </row>
        <row r="5307">
          <cell r="A5307"/>
        </row>
        <row r="5308">
          <cell r="A5308"/>
        </row>
        <row r="5309">
          <cell r="A5309"/>
        </row>
        <row r="5310">
          <cell r="A5310"/>
        </row>
        <row r="5311">
          <cell r="A5311"/>
        </row>
        <row r="5312">
          <cell r="A5312"/>
        </row>
        <row r="5313">
          <cell r="A5313"/>
        </row>
        <row r="5314">
          <cell r="A5314"/>
        </row>
        <row r="5315">
          <cell r="A5315"/>
        </row>
        <row r="5316">
          <cell r="A5316"/>
        </row>
        <row r="5317">
          <cell r="A5317"/>
        </row>
        <row r="5318">
          <cell r="A5318"/>
        </row>
        <row r="5319">
          <cell r="A5319"/>
        </row>
        <row r="5320">
          <cell r="A5320"/>
        </row>
        <row r="5321">
          <cell r="A5321"/>
        </row>
        <row r="5322">
          <cell r="A5322"/>
        </row>
        <row r="5323">
          <cell r="A5323"/>
        </row>
        <row r="5324">
          <cell r="A5324"/>
        </row>
        <row r="5325">
          <cell r="A5325"/>
        </row>
        <row r="5326">
          <cell r="A5326"/>
        </row>
        <row r="5327">
          <cell r="A5327"/>
        </row>
        <row r="5328">
          <cell r="A5328"/>
        </row>
        <row r="5329">
          <cell r="A5329"/>
        </row>
        <row r="5330">
          <cell r="A5330"/>
        </row>
        <row r="5331">
          <cell r="A5331"/>
        </row>
        <row r="5332">
          <cell r="A5332"/>
        </row>
        <row r="5333">
          <cell r="A5333"/>
        </row>
        <row r="5334">
          <cell r="A5334"/>
        </row>
        <row r="5335">
          <cell r="A5335"/>
        </row>
        <row r="5336">
          <cell r="A5336"/>
        </row>
        <row r="5337">
          <cell r="A5337"/>
        </row>
        <row r="5338">
          <cell r="A5338"/>
        </row>
        <row r="5339">
          <cell r="A5339"/>
        </row>
        <row r="5340">
          <cell r="A5340"/>
        </row>
        <row r="5341">
          <cell r="A5341"/>
        </row>
        <row r="5342">
          <cell r="A5342"/>
        </row>
        <row r="5343">
          <cell r="A5343"/>
        </row>
        <row r="5344">
          <cell r="A5344"/>
        </row>
        <row r="5345">
          <cell r="A5345"/>
        </row>
        <row r="5346">
          <cell r="A5346"/>
        </row>
        <row r="5347">
          <cell r="A5347"/>
        </row>
        <row r="5348">
          <cell r="A5348"/>
        </row>
        <row r="5349">
          <cell r="A5349"/>
        </row>
        <row r="5350">
          <cell r="A5350"/>
        </row>
        <row r="5351">
          <cell r="A5351"/>
        </row>
        <row r="5352">
          <cell r="A5352"/>
        </row>
        <row r="5353">
          <cell r="A5353"/>
        </row>
        <row r="5354">
          <cell r="A5354"/>
        </row>
        <row r="5355">
          <cell r="A5355"/>
        </row>
        <row r="5356">
          <cell r="A5356"/>
        </row>
        <row r="5357">
          <cell r="A5357"/>
        </row>
        <row r="5358">
          <cell r="A5358"/>
        </row>
        <row r="5359">
          <cell r="A5359"/>
        </row>
        <row r="5360">
          <cell r="A5360"/>
        </row>
        <row r="5361">
          <cell r="A5361"/>
        </row>
        <row r="5362">
          <cell r="A5362"/>
        </row>
        <row r="5363">
          <cell r="A5363"/>
        </row>
        <row r="5364">
          <cell r="A5364"/>
        </row>
        <row r="5365">
          <cell r="A5365"/>
        </row>
        <row r="5366">
          <cell r="A5366"/>
        </row>
        <row r="5367">
          <cell r="A5367"/>
        </row>
        <row r="5368">
          <cell r="A5368"/>
        </row>
        <row r="5369">
          <cell r="A5369"/>
        </row>
        <row r="5370">
          <cell r="A5370"/>
        </row>
        <row r="5371">
          <cell r="A5371"/>
        </row>
        <row r="5372">
          <cell r="A5372"/>
        </row>
        <row r="5373">
          <cell r="A5373"/>
        </row>
        <row r="5374">
          <cell r="A5374"/>
        </row>
        <row r="5375">
          <cell r="A5375"/>
        </row>
        <row r="5376">
          <cell r="A5376"/>
        </row>
        <row r="5377">
          <cell r="A5377"/>
        </row>
        <row r="5378">
          <cell r="A5378"/>
        </row>
        <row r="5379">
          <cell r="A5379"/>
        </row>
        <row r="5380">
          <cell r="A5380"/>
        </row>
        <row r="5381">
          <cell r="A5381"/>
        </row>
      </sheetData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74D960-D0C5-480F-8918-ED79A4D5CB5E}" name="Tableau10" displayName="Tableau10" ref="A5:FH7" totalsRowShown="0" headerRowDxfId="176" dataDxfId="174" headerRowBorderDxfId="175">
  <autoFilter ref="A5:FH7" xr:uid="{A3C88493-1588-4E09-86DE-EA2560E421AA}"/>
  <sortState xmlns:xlrd2="http://schemas.microsoft.com/office/spreadsheetml/2017/richdata2" ref="A6:FH7">
    <sortCondition ref="A5:A7"/>
  </sortState>
  <tableColumns count="164">
    <tableColumn id="1" xr3:uid="{E0A8FA63-A99A-42ED-A0A7-EE9A470BBA96}" name="Nom du mineral" dataDxfId="173"/>
    <tableColumn id="2" xr3:uid="{FFB76E3B-6032-4BA0-BB70-F704FB637ECA}" name="Economic Value" dataDxfId="172"/>
    <tableColumn id="3" xr3:uid="{E1655EDF-2A69-429F-8EA2-F89C606FBC16}" name="Groups" dataDxfId="171"/>
    <tableColumn id="4" xr3:uid="{20E04A59-A8BB-4AAE-B6D4-D9E1B4ED51A2}" name="Sub-Groups" dataDxfId="170"/>
    <tableColumn id="5" xr3:uid="{4946AE40-000D-4E19-9424-71CD79F178AD}" name="Famille" dataDxfId="169"/>
    <tableColumn id="6" xr3:uid="{1B936F70-B117-4012-91D4-BFB326939EA6}" name="Valuable elment (VE)" dataDxfId="168"/>
    <tableColumn id="7" xr3:uid="{A0AAD73B-42FD-44EC-A3C4-57486CD361E7}" name="Valuable elment form" dataDxfId="167"/>
    <tableColumn id="8" xr3:uid="{4484A922-DF74-46B3-AB40-25568F333593}" name="Valence of elements" dataDxfId="166"/>
    <tableColumn id="9" xr3:uid="{FC6BEC80-BE86-46C9-9D19-EF89C0116868}" name="Formula" dataDxfId="165"/>
    <tableColumn id="10" xr3:uid="{4A9BF165-1EBE-4E33-B226-D25812EB2ECC}" name="Common Impurities" dataDxfId="164"/>
    <tableColumn id="11" xr3:uid="{1AE7D032-5740-4AE2-B95B-8D5D58A42352}" name="Masse molaire" dataDxfId="163"/>
    <tableColumn id="12" xr3:uid="{5FCE6583-EC28-45B3-BE9B-C2C5445D9566}" name="Gs" dataDxfId="162"/>
    <tableColumn id="13" xr3:uid="{046E5C9E-FD88-4736-AC0B-F473D37C891A}" name="H" dataDxfId="161"/>
    <tableColumn id="14" xr3:uid="{726F7A2A-B458-459E-A826-B9A023808C72}" name="He" dataDxfId="160"/>
    <tableColumn id="15" xr3:uid="{09595CB7-DF2A-48D2-A2D4-45B6880949D3}" name="Li" dataDxfId="159"/>
    <tableColumn id="16" xr3:uid="{454F89AB-D5B8-4669-85F7-F98452A69C1D}" name="Be" dataDxfId="158"/>
    <tableColumn id="17" xr3:uid="{A9068C6C-ED60-4BBD-8508-74540EA351BC}" name="B" dataDxfId="157"/>
    <tableColumn id="18" xr3:uid="{1A530D95-B9FC-4B2F-9134-70AAE2BA13ED}" name="C" dataDxfId="156"/>
    <tableColumn id="19" xr3:uid="{AC22E7BC-96ED-49E9-BFFE-82B957D186F5}" name="N" dataDxfId="155"/>
    <tableColumn id="20" xr3:uid="{A3097904-53D5-460C-86B4-6595310659C5}" name="O" dataDxfId="154"/>
    <tableColumn id="21" xr3:uid="{F7D4FBFA-1D98-4FD3-ACCC-6AF5BF0CC0ED}" name="F" dataDxfId="153"/>
    <tableColumn id="22" xr3:uid="{939A34B0-B911-4378-B73A-40A14D7CF231}" name="Ne" dataDxfId="152"/>
    <tableColumn id="23" xr3:uid="{A9FD7A52-FEB8-422A-80E4-01650DF30E1D}" name="Na" dataDxfId="151"/>
    <tableColumn id="24" xr3:uid="{56991D46-363B-48C3-AC6A-F620C0F21844}" name="Mg" dataDxfId="150"/>
    <tableColumn id="25" xr3:uid="{8E9AB282-04CE-42FD-BFFB-234287D5B17E}" name="Al" dataDxfId="149"/>
    <tableColumn id="26" xr3:uid="{44B28D71-E32A-46AF-9996-482E70BBF874}" name="Si" dataDxfId="148"/>
    <tableColumn id="27" xr3:uid="{12C36AA7-7E52-46F1-AF90-A6282AEBF3C5}" name="P" dataDxfId="147"/>
    <tableColumn id="28" xr3:uid="{6DD5BB2E-CF07-440F-84A2-AEC2AFA2D69C}" name="S" dataDxfId="146"/>
    <tableColumn id="29" xr3:uid="{30A97473-2318-452C-AD08-50487667FFAA}" name="Cl" dataDxfId="145"/>
    <tableColumn id="30" xr3:uid="{1AAF48EE-6501-4C37-A0CA-21F35EFB9EFA}" name="Ar" dataDxfId="144"/>
    <tableColumn id="31" xr3:uid="{ED9DB038-4D48-494B-B387-D5C7A520CC50}" name="K" dataDxfId="143"/>
    <tableColumn id="32" xr3:uid="{888D2D4C-C062-450D-A30C-6E2DFE74011D}" name="Ca" dataDxfId="142"/>
    <tableColumn id="33" xr3:uid="{E728D23C-6BEA-4975-B294-3C76C46D54AC}" name="Sc" dataDxfId="141"/>
    <tableColumn id="34" xr3:uid="{429363CA-2E7C-4799-8137-EBAA9C985AB1}" name="Ti" dataDxfId="140"/>
    <tableColumn id="35" xr3:uid="{7CE68CBD-C736-4122-BA3E-FE6995DF37F3}" name="V" dataDxfId="139"/>
    <tableColumn id="36" xr3:uid="{8B9F151F-D58F-4191-8077-CD4B6878111C}" name="Cr" dataDxfId="138"/>
    <tableColumn id="37" xr3:uid="{01703B74-BC1C-4A3E-B88F-795402E167F9}" name="Mn" dataDxfId="137"/>
    <tableColumn id="38" xr3:uid="{CBDEC014-F608-436D-8412-5361181A9825}" name="Fe" dataDxfId="136"/>
    <tableColumn id="39" xr3:uid="{B9631CE0-7C05-4A42-8345-F603E7B170DF}" name="Co" dataDxfId="135"/>
    <tableColumn id="40" xr3:uid="{C9976FF0-B37F-4AE5-9B5A-75C00A147AB2}" name="Ni" dataDxfId="134"/>
    <tableColumn id="41" xr3:uid="{B2FBE4DF-9781-4D7A-88B5-581C44CE1680}" name="Cu" dataDxfId="133"/>
    <tableColumn id="42" xr3:uid="{5964E9FE-43D4-4E66-A217-41F61602BDD3}" name="Zn" dataDxfId="132"/>
    <tableColumn id="43" xr3:uid="{9EBA6196-4AC8-4586-BB6C-E2EAAF790B71}" name="Ga" dataDxfId="131"/>
    <tableColumn id="44" xr3:uid="{4B59F455-1401-4D67-A316-AE3F56753C42}" name="Ge" dataDxfId="130"/>
    <tableColumn id="45" xr3:uid="{B2182D3E-63CA-4546-9EE4-B5BC5263E4DB}" name="As" dataDxfId="129"/>
    <tableColumn id="46" xr3:uid="{BE8834FE-BC89-4BEF-842F-8E6AEEBABA4E}" name="Se" dataDxfId="128"/>
    <tableColumn id="47" xr3:uid="{A4E68372-7085-4386-B056-0A604D67D971}" name="Br" dataDxfId="127"/>
    <tableColumn id="48" xr3:uid="{37E5EE39-C347-49F9-A9E5-7FF8AC71DB2E}" name="Kr" dataDxfId="126"/>
    <tableColumn id="49" xr3:uid="{D3692226-2A51-40B7-AB62-9397C19094D5}" name="Rb" dataDxfId="125"/>
    <tableColumn id="50" xr3:uid="{67E41D65-1999-4FC2-9E3C-877B41F666B1}" name="Sr" dataDxfId="124"/>
    <tableColumn id="51" xr3:uid="{C0E6AA6B-BB0E-4B7E-BE00-72C9227147DB}" name="Y" dataDxfId="123"/>
    <tableColumn id="52" xr3:uid="{54FC3B58-7D7A-4C98-B31F-37BF7E393B21}" name="Zr" dataDxfId="122"/>
    <tableColumn id="53" xr3:uid="{DA4B0817-5DA0-4414-B367-D94A4C4A973C}" name="Nb" dataDxfId="121"/>
    <tableColumn id="54" xr3:uid="{D5DED08A-2BCF-4FA2-AB39-243569BC14EF}" name="MO" dataDxfId="120"/>
    <tableColumn id="55" xr3:uid="{92925175-BF6A-41AE-91F8-EE194E793FB8}" name="Tc" dataDxfId="119"/>
    <tableColumn id="56" xr3:uid="{07FB2F6B-7F76-4799-8761-8B6684026C75}" name="Ru" dataDxfId="118"/>
    <tableColumn id="57" xr3:uid="{CFB6AD77-AAB2-4469-917E-F14EA551374D}" name="Rh" dataDxfId="117"/>
    <tableColumn id="58" xr3:uid="{C06F075F-3A75-437F-8675-2505BBFFA10A}" name="Pd" dataDxfId="116"/>
    <tableColumn id="59" xr3:uid="{07CA7241-E281-4842-971A-9562896B3AB4}" name="Ag" dataDxfId="115"/>
    <tableColumn id="60" xr3:uid="{0A50BB7D-082E-4EE8-AE27-CFF1DD558131}" name="Cd" dataDxfId="114"/>
    <tableColumn id="61" xr3:uid="{E2C7E060-5021-4358-9AD4-6F1F36465069}" name="In" dataDxfId="113"/>
    <tableColumn id="62" xr3:uid="{2F6662BC-ED92-48FF-B69A-5A39CBB0987D}" name="Sn" dataDxfId="112"/>
    <tableColumn id="63" xr3:uid="{8FABA366-F20D-42EE-83B3-570006C3D44B}" name="Sb" dataDxfId="111"/>
    <tableColumn id="64" xr3:uid="{911BA860-5C74-4D93-AE08-0C950497149B}" name="Te" dataDxfId="110"/>
    <tableColumn id="65" xr3:uid="{BF197725-FA96-4B68-944F-5A07DF19155C}" name="I" dataDxfId="109"/>
    <tableColumn id="66" xr3:uid="{4A8AA13B-F5A9-441B-9158-5247484DAB81}" name="Xe" dataDxfId="108"/>
    <tableColumn id="67" xr3:uid="{044189A5-2D6E-4CCD-BE47-A470D8D52D29}" name="Cs" dataDxfId="107"/>
    <tableColumn id="68" xr3:uid="{D4EC9315-9659-4BA6-8D0B-FD11C9F6EB5D}" name="Ba" dataDxfId="106"/>
    <tableColumn id="69" xr3:uid="{0C34EE89-2986-44E9-9691-51B1788A5C9A}" name="Hf" dataDxfId="105"/>
    <tableColumn id="70" xr3:uid="{DFFB8E14-8048-4DCD-84FA-226EF2AD69AE}" name="Ta" dataDxfId="104"/>
    <tableColumn id="71" xr3:uid="{A081E416-EF14-420B-9C05-1EE1B6C1C568}" name="W" dataDxfId="103"/>
    <tableColumn id="72" xr3:uid="{870BBE72-7348-478B-B67A-5BE3442ACEF5}" name="Re" dataDxfId="102"/>
    <tableColumn id="73" xr3:uid="{23D390CA-4AAB-4C28-A9F5-C3FA1E4DF7D7}" name="Os" dataDxfId="101"/>
    <tableColumn id="74" xr3:uid="{F33E7970-6F6C-492C-86C6-4C579B119B3F}" name="Ir" dataDxfId="100"/>
    <tableColumn id="75" xr3:uid="{5FD578B8-F4CB-4974-BD83-E4BA30903494}" name="Pt" dataDxfId="99"/>
    <tableColumn id="76" xr3:uid="{C35A7669-C775-45A1-9EFB-74804C5EE58F}" name="Au" dataDxfId="98"/>
    <tableColumn id="77" xr3:uid="{5C28F990-4158-4882-97AC-EE8869A1AB1C}" name="Hg" dataDxfId="97"/>
    <tableColumn id="78" xr3:uid="{CF61E03A-F262-4BA6-B404-00F668F841B4}" name="TI2" dataDxfId="96"/>
    <tableColumn id="79" xr3:uid="{46206FF0-C799-497B-927E-ED3B7595DC80}" name="Pb" dataDxfId="95"/>
    <tableColumn id="80" xr3:uid="{205EDAA6-5DC1-4261-BB1D-054D6B2FC1F7}" name="Bi" dataDxfId="94"/>
    <tableColumn id="81" xr3:uid="{749EBEE0-23CC-487B-9BD9-EF51BB6F9CDD}" name="Po" dataDxfId="93"/>
    <tableColumn id="82" xr3:uid="{86CE5A87-1238-48A3-98BF-725F946AC3D1}" name="At" dataDxfId="92"/>
    <tableColumn id="83" xr3:uid="{1D9A96E8-39D9-4FAF-A90A-FCD41EC7BA27}" name="Rn" dataDxfId="91"/>
    <tableColumn id="84" xr3:uid="{D2D8727B-28F0-4839-9889-265B368872ED}" name="Fr" dataDxfId="90"/>
    <tableColumn id="85" xr3:uid="{0474323C-DB18-45D6-AF9A-0B6275A14A09}" name="Ra" dataDxfId="89"/>
    <tableColumn id="86" xr3:uid="{8C6AF0D9-6545-4158-8FCC-1D2DA9ED0FC4}" name="Rf" dataDxfId="88"/>
    <tableColumn id="87" xr3:uid="{1595A034-5CBE-4FD6-B94F-547226625A20}" name="Db" dataDxfId="87"/>
    <tableColumn id="88" xr3:uid="{FB89052A-A76A-4040-B59F-2B47732257B5}" name="Sg" dataDxfId="86"/>
    <tableColumn id="89" xr3:uid="{ACBAB2A3-989F-44F1-95B4-0CB1D27096D8}" name="Bh" dataDxfId="85"/>
    <tableColumn id="90" xr3:uid="{D39D2E8C-3E9F-4FEB-A984-F50184EC728B}" name="Hs" dataDxfId="84"/>
    <tableColumn id="91" xr3:uid="{D7F898BE-D639-4495-A5EB-FC4E182C3370}" name="Mt" dataDxfId="83"/>
    <tableColumn id="92" xr3:uid="{12F41E8B-10E0-4ECC-8F42-7ACF1F6E22BC}" name="Ds" dataDxfId="82"/>
    <tableColumn id="93" xr3:uid="{A41637BE-0205-492D-86E1-114CD5D4074F}" name="Rg" dataDxfId="81"/>
    <tableColumn id="94" xr3:uid="{E0ABCAEE-0441-44AB-8D90-1C5552933C4C}" name="Cn" dataDxfId="80"/>
    <tableColumn id="95" xr3:uid="{F88F75EB-F013-4E2A-B584-7849CFE92DDB}" name="Uut" dataDxfId="79"/>
    <tableColumn id="96" xr3:uid="{4BB7620B-442C-49C4-8F73-23B1C62723C4}" name="Fl" dataDxfId="78"/>
    <tableColumn id="97" xr3:uid="{E61C12B1-5CFF-41F5-8612-A8895615028E}" name="Uup" dataDxfId="77"/>
    <tableColumn id="98" xr3:uid="{ED773DF7-4435-44F0-8506-D39E03996386}" name="Lv" dataDxfId="76"/>
    <tableColumn id="99" xr3:uid="{408379BB-DF4F-4C2E-8AF1-F45F10A95009}" name="Uus" dataDxfId="75"/>
    <tableColumn id="100" xr3:uid="{811E2788-2C2F-49FA-9B31-E916BE507420}" name="Uuo" dataDxfId="74"/>
    <tableColumn id="101" xr3:uid="{D9225500-4D07-4B2D-864D-93AA41B07E25}" name="La" dataDxfId="73"/>
    <tableColumn id="102" xr3:uid="{222BF7BC-FECB-4BEF-8728-7D525F8F8F27}" name="Ce" dataDxfId="72"/>
    <tableColumn id="103" xr3:uid="{E1AC260B-3884-4DA9-BF0A-474A4513FD8B}" name="Pr" dataDxfId="71"/>
    <tableColumn id="104" xr3:uid="{7D4E0844-4FE4-4FAF-A6A8-D6B0D6484111}" name="Nd" dataDxfId="70"/>
    <tableColumn id="105" xr3:uid="{0FB46487-8980-4C85-9E46-39C2FBC61431}" name="Pm" dataDxfId="69"/>
    <tableColumn id="106" xr3:uid="{BCE384F2-E212-4BCA-83A9-13AB4E0D1866}" name="Sm" dataDxfId="68"/>
    <tableColumn id="107" xr3:uid="{FCF023F3-190F-44F2-84D5-FA651D6DE3FF}" name="Eu" dataDxfId="67"/>
    <tableColumn id="108" xr3:uid="{8E7D5D56-F61D-4DE8-8D3D-DA6BEE7262C7}" name="Gd" dataDxfId="66"/>
    <tableColumn id="109" xr3:uid="{6952A976-DFCD-4BFD-846B-A6CA5EFEA3BC}" name="Tb" dataDxfId="65"/>
    <tableColumn id="110" xr3:uid="{213697E3-A50D-4345-AFE4-6805EB5AF4ED}" name="Dy" dataDxfId="64"/>
    <tableColumn id="111" xr3:uid="{3EF387E3-51C5-4734-861B-A46808BB9DAD}" name="Ho" dataDxfId="63"/>
    <tableColumn id="112" xr3:uid="{D790C89F-735B-40BC-8372-6C41B79CFF2B}" name="Er" dataDxfId="62"/>
    <tableColumn id="113" xr3:uid="{8266491F-2908-423A-8C92-D799AE66A237}" name="Tm" dataDxfId="61"/>
    <tableColumn id="114" xr3:uid="{1F8E04A1-07BA-4794-A1FA-82290592215E}" name="Yb" dataDxfId="60"/>
    <tableColumn id="115" xr3:uid="{591767EA-EA51-41B8-8932-77A52B06F07D}" name="Lu" dataDxfId="59"/>
    <tableColumn id="116" xr3:uid="{F62FE6CB-3D5F-43D0-872D-7FA029ED8D10}" name="Ac" dataDxfId="58"/>
    <tableColumn id="117" xr3:uid="{24C42F84-28C1-4651-ADEF-037C94EBC4B1}" name="Th" dataDxfId="57"/>
    <tableColumn id="118" xr3:uid="{14D2975F-74C2-43E6-B155-D191AF07C1CE}" name="Pa" dataDxfId="56"/>
    <tableColumn id="119" xr3:uid="{5799F5D7-D7F1-4D63-956C-CAE7DA6DDDFF}" name="U" dataDxfId="55"/>
    <tableColumn id="120" xr3:uid="{F6082B90-1427-4C73-89E4-3350EAD4BA0F}" name="Np" dataDxfId="54"/>
    <tableColumn id="121" xr3:uid="{289F70F9-D522-46D4-BE8D-79A082BD482B}" name="Pu" dataDxfId="53"/>
    <tableColumn id="122" xr3:uid="{1DBD8ABF-BB52-4A9A-97D2-6287033C6529}" name="Am" dataDxfId="52"/>
    <tableColumn id="123" xr3:uid="{C25B7134-840C-465B-9C96-20CC8406D821}" name="Cm" dataDxfId="51"/>
    <tableColumn id="124" xr3:uid="{60157138-CD88-4E33-B1E6-D4AF123C1CC9}" name="Bk" dataDxfId="50"/>
    <tableColumn id="125" xr3:uid="{70F0CE1B-FE79-4190-BC3B-2D0C047BC4FC}" name="Cf" dataDxfId="49"/>
    <tableColumn id="126" xr3:uid="{4CE38525-125A-426E-9804-618F85E08748}" name="Es" dataDxfId="48"/>
    <tableColumn id="127" xr3:uid="{4A98E4EA-C8F2-4BA2-9F74-C8B34B0DC3AF}" name="Fm" dataDxfId="47"/>
    <tableColumn id="128" xr3:uid="{4AE72D80-C11E-4EF7-A76B-E69D6F550B3A}" name="Md" dataDxfId="46"/>
    <tableColumn id="129" xr3:uid="{664FF5AD-D594-4878-93AE-CA4EDB7F5211}" name="No" dataDxfId="45"/>
    <tableColumn id="130" xr3:uid="{15AB1B9C-9F66-4169-8F60-1B0779FAF93A}" name="Lr" dataDxfId="44"/>
    <tableColumn id="131" xr3:uid="{02072A8C-6AE5-42D8-A357-7E3448D91F33}" name="REE" dataDxfId="43"/>
    <tableColumn id="132" xr3:uid="{10B45A6D-24FD-4BD8-82C0-3931D200AD91}" name="Abreviation" dataDxfId="42"/>
    <tableColumn id="133" xr3:uid="{274E4494-078D-4BB8-97E9-08508A2C0E56}" name="Formule-1" dataDxfId="41"/>
    <tableColumn id="134" xr3:uid="{3520C44A-B5EA-43A7-959E-C32FA8300E09}" name="Other Name" dataDxfId="40"/>
    <tableColumn id="135" xr3:uid="{344A6A5C-F4C8-4EFE-8F40-FC13CE279F42}" name="Crystalline-Form" dataDxfId="39"/>
    <tableColumn id="136" xr3:uid="{DD439A73-8759-4373-B045-2C8F38A85813}" name="Hardness" dataDxfId="38"/>
    <tableColumn id="137" xr3:uid="{58E034BA-11EE-483E-B7AE-EE227EE42C65}" name="Polishing Hardness" dataDxfId="37"/>
    <tableColumn id="138" xr3:uid="{081488B0-2AA2-4FF9-8D20-B3A6C917E613}" name="Morphology" dataDxfId="36"/>
    <tableColumn id="139" xr3:uid="{B2B471F8-C093-4AF5-B6D3-A98733992272}" name="Color" dataDxfId="35"/>
    <tableColumn id="140" xr3:uid="{3DCC9D68-65B1-43EA-BFE3-25142D49253A}" name="Color Details" dataDxfId="34"/>
    <tableColumn id="141" xr3:uid="{DA15E99A-509F-4D5C-9B81-FDD6B382C7E7}" name="Reflectance" dataDxfId="33"/>
    <tableColumn id="142" xr3:uid="{E09B5EAA-3430-4034-B1DD-5D7E71FDD859}" name="Bireflectance" dataDxfId="32"/>
    <tableColumn id="143" xr3:uid="{1C418353-6DEA-4255-8369-96C761B2B23D}" name="Pleochroism" dataDxfId="31"/>
    <tableColumn id="144" xr3:uid="{6D4E887F-FC8E-4F55-9D36-9BC92EE94BD6}" name="Pleochroism-Color" dataDxfId="30"/>
    <tableColumn id="145" xr3:uid="{59FA12AA-B4D7-431C-A548-116E3677B5B4}" name="Isotropic/Aniso" dataDxfId="29"/>
    <tableColumn id="146" xr3:uid="{6236AFC2-B394-4D69-AC56-0B9A77B3BA9C}" name="Anisotropy-intensity" dataDxfId="28"/>
    <tableColumn id="147" xr3:uid="{14AE909E-6368-4B1F-89B5-B4D0E790D061}" name="Polarisation-Color" dataDxfId="27"/>
    <tableColumn id="148" xr3:uid="{F57CF4F8-1F57-49EC-9673-95178B86C579}" name="Internal-Reflection" dataDxfId="26"/>
    <tableColumn id="149" xr3:uid="{0E8D6AC8-5820-439B-8B49-01620CEE177D}" name="Internal reflexion-Color" dataDxfId="25"/>
    <tableColumn id="150" xr3:uid="{DEAA21F8-8096-4331-BD0D-9232F3C0020A}" name="Exsolution" dataDxfId="24"/>
    <tableColumn id="151" xr3:uid="{F85D13D9-49DD-4172-B29F-6762122BC3F3}" name="Minerals in exsolution" dataDxfId="23"/>
    <tableColumn id="152" xr3:uid="{37FAD2C4-AE14-4821-9019-7CFBFDC7088E}" name="Macle" dataDxfId="22"/>
    <tableColumn id="153" xr3:uid="{EF667D56-0A1D-4510-9480-458CCB4A2805}" name="Mineral-Association" dataDxfId="21"/>
    <tableColumn id="154" xr3:uid="{C84C80E2-1140-4356-A427-4621C97577F6}" name="Key determination feature" dataDxfId="20"/>
    <tableColumn id="155" xr3:uid="{E37197EE-BE53-4E30-B0AF-D8E2727B132B}" name="Ref.PB" dataDxfId="19"/>
    <tableColumn id="156" xr3:uid="{AF323973-8DB8-4A55-8EC6-1E886A85F713}" name="Cytomine Link" dataDxfId="18"/>
    <tableColumn id="157" xr3:uid="{8010B9E0-FC8B-4A66-AF48-2D64BCBD7212}" name="X3" dataDxfId="17"/>
    <tableColumn id="158" xr3:uid="{7BF4BCD7-7135-4D69-AE25-1804C69AE985}" name="X4" dataDxfId="16"/>
    <tableColumn id="159" xr3:uid="{D2A5C01F-4DE8-4446-BA46-C0F14DE15C5D}" name="X5" dataDxfId="15"/>
    <tableColumn id="160" xr3:uid="{1192D06A-BDD0-408C-B043-F370031892DA}" name="X6" dataDxfId="14"/>
    <tableColumn id="161" xr3:uid="{34794E2F-255D-44B7-B081-D54A9F78B214}" name="X7" dataDxfId="13"/>
    <tableColumn id="162" xr3:uid="{1BA33DD6-D464-4044-A7B1-84F7BF30DB68}" name="X8" dataDxfId="12"/>
    <tableColumn id="163" xr3:uid="{AB54F089-219A-4CBB-91AD-A32E549C49B9}" name="X9" dataDxfId="11"/>
    <tableColumn id="164" xr3:uid="{97F1763F-3607-44EC-A265-7B23B60D6E13}" name="X10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s://shareview.ecampus.ulg.ac.be/" TargetMode="External"/><Relationship Id="rId1" Type="http://schemas.openxmlformats.org/officeDocument/2006/relationships/hyperlink" Target="https://shareview.ecampus.ulg.ac.be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https://shareview.ecampus.ulg.ac.be/" TargetMode="External"/><Relationship Id="rId1" Type="http://schemas.openxmlformats.org/officeDocument/2006/relationships/hyperlink" Target="https://shareview.ecampus.ulg.ac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16C92-0711-4A20-92A6-6F0481BF3D3A}">
  <sheetPr codeName="Feuil12">
    <tabColor rgb="FF00B050"/>
  </sheetPr>
  <dimension ref="A1:OY64"/>
  <sheetViews>
    <sheetView showZeros="0" zoomScale="80" zoomScaleNormal="80" workbookViewId="0">
      <pane xSplit="1" topLeftCell="EX1" activePane="topRight" state="frozen"/>
      <selection activeCell="EY34" sqref="EY34"/>
      <selection pane="topRight" activeCell="EY6" sqref="EY6"/>
    </sheetView>
  </sheetViews>
  <sheetFormatPr baseColWidth="10" defaultRowHeight="13.8" x14ac:dyDescent="0.3"/>
  <cols>
    <col min="1" max="1" width="22.5546875" style="1" bestFit="1" customWidth="1"/>
    <col min="2" max="2" width="22.5546875" style="2" customWidth="1"/>
    <col min="3" max="4" width="15.5546875" style="1" customWidth="1"/>
    <col min="5" max="5" width="15.5546875" style="3" customWidth="1"/>
    <col min="6" max="6" width="18.88671875" style="3" customWidth="1"/>
    <col min="7" max="8" width="20.44140625" style="3" customWidth="1"/>
    <col min="9" max="9" width="27.33203125" style="3" bestFit="1" customWidth="1"/>
    <col min="10" max="10" width="27.33203125" style="4" customWidth="1"/>
    <col min="11" max="11" width="13.88671875" style="5" customWidth="1"/>
    <col min="12" max="12" width="5.5546875" style="5" bestFit="1" customWidth="1"/>
    <col min="13" max="13" width="4.5546875" style="6" bestFit="1" customWidth="1"/>
    <col min="14" max="14" width="5" style="6" customWidth="1"/>
    <col min="15" max="15" width="4.21875" style="6" customWidth="1"/>
    <col min="16" max="16" width="4.88671875" style="6" customWidth="1"/>
    <col min="17" max="17" width="5.5546875" style="6" bestFit="1" customWidth="1"/>
    <col min="18" max="18" width="6.44140625" style="6" bestFit="1" customWidth="1"/>
    <col min="19" max="21" width="5.5546875" style="6" bestFit="1" customWidth="1"/>
    <col min="22" max="22" width="5.109375" style="6" customWidth="1"/>
    <col min="23" max="29" width="5.5546875" style="6" bestFit="1" customWidth="1"/>
    <col min="30" max="30" width="4.77734375" style="6" customWidth="1"/>
    <col min="31" max="35" width="5.5546875" style="6" bestFit="1" customWidth="1"/>
    <col min="36" max="36" width="4.5546875" style="6" customWidth="1"/>
    <col min="37" max="40" width="5.5546875" style="6" bestFit="1" customWidth="1"/>
    <col min="41" max="41" width="6.21875" style="6" customWidth="1"/>
    <col min="42" max="42" width="5.5546875" style="6" bestFit="1" customWidth="1"/>
    <col min="43" max="43" width="4.88671875" style="6" customWidth="1"/>
    <col min="44" max="44" width="5" style="6" customWidth="1"/>
    <col min="45" max="46" width="5.5546875" style="6" bestFit="1" customWidth="1"/>
    <col min="47" max="48" width="4.5546875" style="6" customWidth="1"/>
    <col min="49" max="49" width="4.88671875" style="6" customWidth="1"/>
    <col min="50" max="52" width="5.5546875" style="6" bestFit="1" customWidth="1"/>
    <col min="53" max="53" width="5.109375" style="6" customWidth="1"/>
    <col min="54" max="54" width="5.6640625" style="6" customWidth="1"/>
    <col min="55" max="55" width="4.44140625" style="6" customWidth="1"/>
    <col min="56" max="58" width="4.88671875" style="6" customWidth="1"/>
    <col min="59" max="59" width="6.44140625" style="6" bestFit="1" customWidth="1"/>
    <col min="60" max="60" width="4.88671875" style="6" customWidth="1"/>
    <col min="61" max="62" width="5.5546875" style="6" bestFit="1" customWidth="1"/>
    <col min="63" max="63" width="4.77734375" style="6" customWidth="1"/>
    <col min="64" max="64" width="5.5546875" style="6" bestFit="1" customWidth="1"/>
    <col min="65" max="65" width="3.33203125" style="6" customWidth="1"/>
    <col min="66" max="66" width="4.88671875" style="6" customWidth="1"/>
    <col min="67" max="67" width="4.5546875" style="6" customWidth="1"/>
    <col min="68" max="68" width="5.5546875" style="6" bestFit="1" customWidth="1"/>
    <col min="69" max="69" width="4.5546875" style="6" bestFit="1" customWidth="1"/>
    <col min="70" max="71" width="4.5546875" style="6" customWidth="1"/>
    <col min="72" max="73" width="4.88671875" style="6" customWidth="1"/>
    <col min="74" max="74" width="4" style="6" customWidth="1"/>
    <col min="75" max="75" width="4.5546875" style="6" customWidth="1"/>
    <col min="76" max="76" width="5" style="6" customWidth="1"/>
    <col min="77" max="77" width="5.5546875" style="6" bestFit="1" customWidth="1"/>
    <col min="78" max="78" width="5.109375" style="6" customWidth="1"/>
    <col min="79" max="80" width="5.5546875" style="6" bestFit="1" customWidth="1"/>
    <col min="81" max="81" width="4.88671875" style="6" customWidth="1"/>
    <col min="82" max="82" width="4.77734375" style="6" customWidth="1"/>
    <col min="83" max="83" width="4.88671875" style="6" customWidth="1"/>
    <col min="84" max="84" width="4.44140625" style="6" customWidth="1"/>
    <col min="85" max="85" width="4.77734375" style="6" customWidth="1"/>
    <col min="86" max="86" width="4.44140625" style="6" customWidth="1"/>
    <col min="87" max="87" width="5" style="6" customWidth="1"/>
    <col min="88" max="88" width="4.5546875" style="6" customWidth="1"/>
    <col min="89" max="89" width="4.88671875" style="6" customWidth="1"/>
    <col min="90" max="90" width="4.77734375" style="6" customWidth="1"/>
    <col min="91" max="91" width="5.109375" style="6" customWidth="1"/>
    <col min="92" max="93" width="4.77734375" style="6" customWidth="1"/>
    <col min="94" max="94" width="4.88671875" style="6" customWidth="1"/>
    <col min="95" max="95" width="5.6640625" style="6" customWidth="1"/>
    <col min="96" max="96" width="4.21875" style="6" customWidth="1"/>
    <col min="97" max="97" width="6" style="6" customWidth="1"/>
    <col min="98" max="98" width="4.5546875" style="6" customWidth="1"/>
    <col min="99" max="99" width="5.6640625" style="6" customWidth="1"/>
    <col min="100" max="100" width="6" style="6" customWidth="1"/>
    <col min="101" max="101" width="4.5546875" style="6" bestFit="1" customWidth="1"/>
    <col min="102" max="102" width="5.5546875" style="6" bestFit="1" customWidth="1"/>
    <col min="103" max="103" width="4.5546875" style="6" bestFit="1" customWidth="1"/>
    <col min="104" max="104" width="5.5546875" style="6" bestFit="1" customWidth="1"/>
    <col min="105" max="105" width="5.44140625" style="6" customWidth="1"/>
    <col min="106" max="106" width="5.33203125" style="6" customWidth="1"/>
    <col min="107" max="107" width="4.77734375" style="6" customWidth="1"/>
    <col min="108" max="108" width="5" style="6" customWidth="1"/>
    <col min="109" max="109" width="4.77734375" style="6" customWidth="1"/>
    <col min="110" max="110" width="4.88671875" style="6" customWidth="1"/>
    <col min="111" max="111" width="5" style="6" customWidth="1"/>
    <col min="112" max="112" width="4.5546875" style="6" bestFit="1" customWidth="1"/>
    <col min="113" max="113" width="5.33203125" style="6" customWidth="1"/>
    <col min="114" max="114" width="4.88671875" style="6" customWidth="1"/>
    <col min="115" max="118" width="4.77734375" style="6" customWidth="1"/>
    <col min="119" max="119" width="5.5546875" style="6" bestFit="1" customWidth="1"/>
    <col min="120" max="120" width="5.109375" style="6" customWidth="1"/>
    <col min="121" max="121" width="4.88671875" style="6" customWidth="1"/>
    <col min="122" max="122" width="5.5546875" style="6" customWidth="1"/>
    <col min="123" max="123" width="5.44140625" style="6" customWidth="1"/>
    <col min="124" max="124" width="4.77734375" style="6" customWidth="1"/>
    <col min="125" max="126" width="4.44140625" style="6" customWidth="1"/>
    <col min="127" max="127" width="5.33203125" style="6" customWidth="1"/>
    <col min="128" max="128" width="5.44140625" style="6" customWidth="1"/>
    <col min="129" max="129" width="5.109375" style="6" customWidth="1"/>
    <col min="130" max="130" width="4.44140625" style="6" customWidth="1"/>
    <col min="131" max="131" width="5.5546875" style="6" customWidth="1"/>
    <col min="132" max="132" width="15.44140625" style="4" bestFit="1" customWidth="1"/>
    <col min="133" max="133" width="14.44140625" style="4" bestFit="1" customWidth="1"/>
    <col min="134" max="134" width="12.5546875" style="7" customWidth="1"/>
    <col min="135" max="135" width="15.44140625" style="8" customWidth="1"/>
    <col min="136" max="136" width="21.44140625" style="8" bestFit="1" customWidth="1"/>
    <col min="137" max="137" width="70.33203125" style="8" bestFit="1" customWidth="1"/>
    <col min="138" max="138" width="62.109375" style="8" bestFit="1" customWidth="1"/>
    <col min="139" max="139" width="13.6640625" style="8" bestFit="1" customWidth="1"/>
    <col min="140" max="140" width="47.6640625" style="8" bestFit="1" customWidth="1"/>
    <col min="141" max="141" width="13.77734375" style="8" bestFit="1" customWidth="1"/>
    <col min="142" max="142" width="12.77734375" style="8" customWidth="1"/>
    <col min="143" max="143" width="18.21875" style="8" bestFit="1" customWidth="1"/>
    <col min="144" max="144" width="44.6640625" style="8" bestFit="1" customWidth="1"/>
    <col min="145" max="145" width="14.44140625" style="8" customWidth="1"/>
    <col min="146" max="146" width="83.21875" style="8" bestFit="1" customWidth="1"/>
    <col min="147" max="147" width="97.109375" style="8" bestFit="1" customWidth="1"/>
    <col min="148" max="148" width="17.109375" style="8" customWidth="1"/>
    <col min="149" max="149" width="71.109375" style="8" bestFit="1" customWidth="1"/>
    <col min="150" max="150" width="89" style="8" bestFit="1" customWidth="1"/>
    <col min="151" max="151" width="21.77734375" style="8" bestFit="1" customWidth="1"/>
    <col min="152" max="152" width="7.33203125" style="8" customWidth="1"/>
    <col min="153" max="153" width="38.77734375" style="8" customWidth="1"/>
    <col min="154" max="154" width="134.77734375" style="8" customWidth="1"/>
    <col min="155" max="155" width="21.21875" style="8" customWidth="1"/>
    <col min="156" max="156" width="23.33203125" style="8" bestFit="1" customWidth="1"/>
    <col min="157" max="163" width="4.88671875" style="8" customWidth="1"/>
    <col min="164" max="164" width="5.88671875" style="8" customWidth="1"/>
    <col min="165" max="238" width="11.5546875" style="4"/>
    <col min="239" max="239" width="12.109375" style="4" bestFit="1" customWidth="1"/>
    <col min="240" max="16384" width="11.5546875" style="4"/>
  </cols>
  <sheetData>
    <row r="1" spans="1:164" x14ac:dyDescent="0.3">
      <c r="A1" s="1">
        <v>6</v>
      </c>
    </row>
    <row r="2" spans="1:164" x14ac:dyDescent="0.3">
      <c r="C2" s="1" t="s">
        <v>219</v>
      </c>
    </row>
    <row r="3" spans="1:164" x14ac:dyDescent="0.3">
      <c r="C3" s="1" t="s">
        <v>218</v>
      </c>
    </row>
    <row r="5" spans="1:164" s="12" customFormat="1" x14ac:dyDescent="0.3">
      <c r="A5" s="9" t="s">
        <v>0</v>
      </c>
      <c r="B5" s="10" t="s">
        <v>1</v>
      </c>
      <c r="C5" s="11" t="s">
        <v>2</v>
      </c>
      <c r="D5" s="11" t="s">
        <v>3</v>
      </c>
      <c r="E5" s="11" t="s">
        <v>4</v>
      </c>
      <c r="F5" s="11" t="s">
        <v>5</v>
      </c>
      <c r="G5" s="11" t="s">
        <v>6</v>
      </c>
      <c r="H5" s="11" t="s">
        <v>7</v>
      </c>
      <c r="I5" s="12" t="s">
        <v>8</v>
      </c>
      <c r="J5" s="12" t="s">
        <v>9</v>
      </c>
      <c r="K5" s="9" t="s">
        <v>10</v>
      </c>
      <c r="L5" s="9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3" t="s">
        <v>16</v>
      </c>
      <c r="R5" s="13" t="s">
        <v>17</v>
      </c>
      <c r="S5" s="13" t="s">
        <v>18</v>
      </c>
      <c r="T5" s="13" t="s">
        <v>19</v>
      </c>
      <c r="U5" s="13" t="s">
        <v>20</v>
      </c>
      <c r="V5" s="13" t="s">
        <v>21</v>
      </c>
      <c r="W5" s="13" t="s">
        <v>22</v>
      </c>
      <c r="X5" s="13" t="s">
        <v>23</v>
      </c>
      <c r="Y5" s="13" t="s">
        <v>24</v>
      </c>
      <c r="Z5" s="13" t="s">
        <v>25</v>
      </c>
      <c r="AA5" s="13" t="s">
        <v>26</v>
      </c>
      <c r="AB5" s="13" t="s">
        <v>27</v>
      </c>
      <c r="AC5" s="13" t="s">
        <v>28</v>
      </c>
      <c r="AD5" s="13" t="s">
        <v>29</v>
      </c>
      <c r="AE5" s="13" t="s">
        <v>30</v>
      </c>
      <c r="AF5" s="13" t="s">
        <v>31</v>
      </c>
      <c r="AG5" s="13" t="s">
        <v>32</v>
      </c>
      <c r="AH5" s="13" t="s">
        <v>33</v>
      </c>
      <c r="AI5" s="13" t="s">
        <v>34</v>
      </c>
      <c r="AJ5" s="13" t="s">
        <v>35</v>
      </c>
      <c r="AK5" s="13" t="s">
        <v>36</v>
      </c>
      <c r="AL5" s="13" t="s">
        <v>37</v>
      </c>
      <c r="AM5" s="13" t="s">
        <v>38</v>
      </c>
      <c r="AN5" s="13" t="s">
        <v>39</v>
      </c>
      <c r="AO5" s="13" t="s">
        <v>40</v>
      </c>
      <c r="AP5" s="13" t="s">
        <v>41</v>
      </c>
      <c r="AQ5" s="13" t="s">
        <v>42</v>
      </c>
      <c r="AR5" s="13" t="s">
        <v>43</v>
      </c>
      <c r="AS5" s="13" t="s">
        <v>44</v>
      </c>
      <c r="AT5" s="13" t="s">
        <v>45</v>
      </c>
      <c r="AU5" s="13" t="s">
        <v>46</v>
      </c>
      <c r="AV5" s="13" t="s">
        <v>47</v>
      </c>
      <c r="AW5" s="13" t="s">
        <v>48</v>
      </c>
      <c r="AX5" s="13" t="s">
        <v>49</v>
      </c>
      <c r="AY5" s="13" t="s">
        <v>50</v>
      </c>
      <c r="AZ5" s="13" t="s">
        <v>51</v>
      </c>
      <c r="BA5" s="13" t="s">
        <v>52</v>
      </c>
      <c r="BB5" s="13" t="s">
        <v>53</v>
      </c>
      <c r="BC5" s="13" t="s">
        <v>54</v>
      </c>
      <c r="BD5" s="13" t="s">
        <v>55</v>
      </c>
      <c r="BE5" s="13" t="s">
        <v>56</v>
      </c>
      <c r="BF5" s="13" t="s">
        <v>57</v>
      </c>
      <c r="BG5" s="13" t="s">
        <v>58</v>
      </c>
      <c r="BH5" s="13" t="s">
        <v>59</v>
      </c>
      <c r="BI5" s="13" t="s">
        <v>60</v>
      </c>
      <c r="BJ5" s="13" t="s">
        <v>61</v>
      </c>
      <c r="BK5" s="13" t="s">
        <v>62</v>
      </c>
      <c r="BL5" s="13" t="s">
        <v>63</v>
      </c>
      <c r="BM5" s="13" t="s">
        <v>64</v>
      </c>
      <c r="BN5" s="13" t="s">
        <v>65</v>
      </c>
      <c r="BO5" s="13" t="s">
        <v>66</v>
      </c>
      <c r="BP5" s="13" t="s">
        <v>67</v>
      </c>
      <c r="BQ5" s="13" t="s">
        <v>68</v>
      </c>
      <c r="BR5" s="13" t="s">
        <v>69</v>
      </c>
      <c r="BS5" s="13" t="s">
        <v>70</v>
      </c>
      <c r="BT5" s="13" t="s">
        <v>71</v>
      </c>
      <c r="BU5" s="13" t="s">
        <v>72</v>
      </c>
      <c r="BV5" s="13" t="s">
        <v>73</v>
      </c>
      <c r="BW5" s="13" t="s">
        <v>74</v>
      </c>
      <c r="BX5" s="13" t="s">
        <v>75</v>
      </c>
      <c r="BY5" s="13" t="s">
        <v>76</v>
      </c>
      <c r="BZ5" s="13" t="s">
        <v>77</v>
      </c>
      <c r="CA5" s="13" t="s">
        <v>78</v>
      </c>
      <c r="CB5" s="13" t="s">
        <v>79</v>
      </c>
      <c r="CC5" s="13" t="s">
        <v>80</v>
      </c>
      <c r="CD5" s="13" t="s">
        <v>81</v>
      </c>
      <c r="CE5" s="13" t="s">
        <v>82</v>
      </c>
      <c r="CF5" s="13" t="s">
        <v>83</v>
      </c>
      <c r="CG5" s="13" t="s">
        <v>84</v>
      </c>
      <c r="CH5" s="13" t="s">
        <v>85</v>
      </c>
      <c r="CI5" s="13" t="s">
        <v>86</v>
      </c>
      <c r="CJ5" s="13" t="s">
        <v>87</v>
      </c>
      <c r="CK5" s="13" t="s">
        <v>88</v>
      </c>
      <c r="CL5" s="13" t="s">
        <v>89</v>
      </c>
      <c r="CM5" s="13" t="s">
        <v>90</v>
      </c>
      <c r="CN5" s="13" t="s">
        <v>91</v>
      </c>
      <c r="CO5" s="13" t="s">
        <v>92</v>
      </c>
      <c r="CP5" s="13" t="s">
        <v>93</v>
      </c>
      <c r="CQ5" s="13" t="s">
        <v>94</v>
      </c>
      <c r="CR5" s="13" t="s">
        <v>95</v>
      </c>
      <c r="CS5" s="13" t="s">
        <v>96</v>
      </c>
      <c r="CT5" s="13" t="s">
        <v>97</v>
      </c>
      <c r="CU5" s="13" t="s">
        <v>98</v>
      </c>
      <c r="CV5" s="13" t="s">
        <v>99</v>
      </c>
      <c r="CW5" s="13" t="s">
        <v>100</v>
      </c>
      <c r="CX5" s="13" t="s">
        <v>101</v>
      </c>
      <c r="CY5" s="13" t="s">
        <v>102</v>
      </c>
      <c r="CZ5" s="13" t="s">
        <v>103</v>
      </c>
      <c r="DA5" s="13" t="s">
        <v>104</v>
      </c>
      <c r="DB5" s="13" t="s">
        <v>105</v>
      </c>
      <c r="DC5" s="13" t="s">
        <v>106</v>
      </c>
      <c r="DD5" s="13" t="s">
        <v>107</v>
      </c>
      <c r="DE5" s="13" t="s">
        <v>108</v>
      </c>
      <c r="DF5" s="13" t="s">
        <v>109</v>
      </c>
      <c r="DG5" s="13" t="s">
        <v>110</v>
      </c>
      <c r="DH5" s="13" t="s">
        <v>111</v>
      </c>
      <c r="DI5" s="13" t="s">
        <v>112</v>
      </c>
      <c r="DJ5" s="13" t="s">
        <v>113</v>
      </c>
      <c r="DK5" s="13" t="s">
        <v>114</v>
      </c>
      <c r="DL5" s="13" t="s">
        <v>115</v>
      </c>
      <c r="DM5" s="13" t="s">
        <v>116</v>
      </c>
      <c r="DN5" s="13" t="s">
        <v>117</v>
      </c>
      <c r="DO5" s="13" t="s">
        <v>118</v>
      </c>
      <c r="DP5" s="13" t="s">
        <v>119</v>
      </c>
      <c r="DQ5" s="13" t="s">
        <v>120</v>
      </c>
      <c r="DR5" s="13" t="s">
        <v>121</v>
      </c>
      <c r="DS5" s="13" t="s">
        <v>122</v>
      </c>
      <c r="DT5" s="13" t="s">
        <v>123</v>
      </c>
      <c r="DU5" s="13" t="s">
        <v>124</v>
      </c>
      <c r="DV5" s="13" t="s">
        <v>125</v>
      </c>
      <c r="DW5" s="13" t="s">
        <v>126</v>
      </c>
      <c r="DX5" s="13" t="s">
        <v>127</v>
      </c>
      <c r="DY5" s="13" t="s">
        <v>128</v>
      </c>
      <c r="DZ5" s="13" t="s">
        <v>129</v>
      </c>
      <c r="EA5" s="13" t="s">
        <v>130</v>
      </c>
      <c r="EB5" s="14" t="s">
        <v>131</v>
      </c>
      <c r="EC5" s="15" t="s">
        <v>132</v>
      </c>
      <c r="ED5" s="16" t="s">
        <v>133</v>
      </c>
      <c r="EE5" s="12" t="s">
        <v>134</v>
      </c>
      <c r="EF5" s="12" t="s">
        <v>135</v>
      </c>
      <c r="EG5" s="12" t="s">
        <v>136</v>
      </c>
      <c r="EH5" s="12" t="s">
        <v>137</v>
      </c>
      <c r="EI5" s="12" t="s">
        <v>138</v>
      </c>
      <c r="EJ5" s="12" t="s">
        <v>139</v>
      </c>
      <c r="EK5" s="12" t="s">
        <v>140</v>
      </c>
      <c r="EL5" s="12" t="s">
        <v>141</v>
      </c>
      <c r="EM5" s="12" t="s">
        <v>142</v>
      </c>
      <c r="EN5" s="12" t="s">
        <v>143</v>
      </c>
      <c r="EO5" s="12" t="s">
        <v>144</v>
      </c>
      <c r="EP5" s="12" t="s">
        <v>145</v>
      </c>
      <c r="EQ5" s="12" t="s">
        <v>146</v>
      </c>
      <c r="ER5" s="12" t="s">
        <v>147</v>
      </c>
      <c r="ES5" s="12" t="s">
        <v>148</v>
      </c>
      <c r="ET5" s="12" t="s">
        <v>149</v>
      </c>
      <c r="EU5" s="12" t="s">
        <v>150</v>
      </c>
      <c r="EV5" s="12" t="s">
        <v>151</v>
      </c>
      <c r="EW5" s="12" t="s">
        <v>152</v>
      </c>
      <c r="EX5" s="12" t="s">
        <v>153</v>
      </c>
      <c r="EY5" s="17" t="s">
        <v>154</v>
      </c>
      <c r="EZ5" s="17" t="s">
        <v>155</v>
      </c>
      <c r="FA5" s="17" t="s">
        <v>156</v>
      </c>
      <c r="FB5" s="17" t="s">
        <v>157</v>
      </c>
      <c r="FC5" s="17" t="s">
        <v>158</v>
      </c>
      <c r="FD5" s="17" t="s">
        <v>159</v>
      </c>
      <c r="FE5" s="17" t="s">
        <v>160</v>
      </c>
      <c r="FF5" s="17" t="s">
        <v>161</v>
      </c>
      <c r="FG5" s="17" t="s">
        <v>162</v>
      </c>
      <c r="FH5" s="17" t="s">
        <v>163</v>
      </c>
    </row>
    <row r="6" spans="1:164" ht="14.4" x14ac:dyDescent="0.3">
      <c r="A6" s="1" t="s">
        <v>169</v>
      </c>
      <c r="B6" s="1" t="s">
        <v>168</v>
      </c>
      <c r="E6" s="1"/>
      <c r="F6" s="1"/>
      <c r="G6" s="1"/>
      <c r="H6" s="1"/>
      <c r="I6" s="1" t="s">
        <v>170</v>
      </c>
      <c r="J6" s="18"/>
      <c r="K6" s="5">
        <v>95.61</v>
      </c>
      <c r="L6" s="5">
        <v>4.68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33.537631259674498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66.462368740325402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  <c r="BK6" s="6">
        <v>0</v>
      </c>
      <c r="BL6" s="6">
        <v>0</v>
      </c>
      <c r="BM6" s="6">
        <v>0</v>
      </c>
      <c r="BN6" s="6">
        <v>0</v>
      </c>
      <c r="BO6" s="6">
        <v>0</v>
      </c>
      <c r="BP6" s="6">
        <v>0</v>
      </c>
      <c r="BQ6" s="6">
        <v>0</v>
      </c>
      <c r="BR6" s="6">
        <v>0</v>
      </c>
      <c r="BS6" s="6">
        <v>0</v>
      </c>
      <c r="BT6" s="6">
        <v>0</v>
      </c>
      <c r="BU6" s="6">
        <v>0</v>
      </c>
      <c r="BV6" s="6">
        <v>0</v>
      </c>
      <c r="BW6" s="6">
        <v>0</v>
      </c>
      <c r="BX6" s="6">
        <v>0</v>
      </c>
      <c r="BY6" s="6">
        <v>0</v>
      </c>
      <c r="BZ6" s="6">
        <v>0</v>
      </c>
      <c r="CA6" s="6">
        <v>0</v>
      </c>
      <c r="CB6" s="6">
        <v>0</v>
      </c>
      <c r="CC6" s="6">
        <v>0</v>
      </c>
      <c r="CD6" s="6">
        <v>0</v>
      </c>
      <c r="CE6" s="6">
        <v>0</v>
      </c>
      <c r="CF6" s="6">
        <v>0</v>
      </c>
      <c r="CG6" s="6">
        <v>0</v>
      </c>
      <c r="CH6" s="6">
        <v>0</v>
      </c>
      <c r="CI6" s="6">
        <v>0</v>
      </c>
      <c r="CJ6" s="6">
        <v>0</v>
      </c>
      <c r="CK6" s="6">
        <v>0</v>
      </c>
      <c r="CL6" s="6">
        <v>0</v>
      </c>
      <c r="CM6" s="6">
        <v>0</v>
      </c>
      <c r="CN6" s="6">
        <v>0</v>
      </c>
      <c r="CO6" s="6">
        <v>0</v>
      </c>
      <c r="CP6" s="6">
        <v>0</v>
      </c>
      <c r="CQ6" s="6">
        <v>0</v>
      </c>
      <c r="CR6" s="6">
        <v>0</v>
      </c>
      <c r="CS6" s="6">
        <v>0</v>
      </c>
      <c r="CT6" s="6">
        <v>0</v>
      </c>
      <c r="CU6" s="6">
        <v>0</v>
      </c>
      <c r="CV6" s="6">
        <v>0</v>
      </c>
      <c r="CW6" s="6">
        <v>0</v>
      </c>
      <c r="CX6" s="6">
        <v>0</v>
      </c>
      <c r="CY6" s="6">
        <v>0</v>
      </c>
      <c r="CZ6" s="6">
        <v>0</v>
      </c>
      <c r="DA6" s="6">
        <v>0</v>
      </c>
      <c r="DB6" s="6">
        <v>0</v>
      </c>
      <c r="DC6" s="6">
        <v>0</v>
      </c>
      <c r="DD6" s="6">
        <v>0</v>
      </c>
      <c r="DE6" s="6">
        <v>0</v>
      </c>
      <c r="DF6" s="6">
        <v>0</v>
      </c>
      <c r="DG6" s="6">
        <v>0</v>
      </c>
      <c r="DH6" s="6">
        <v>0</v>
      </c>
      <c r="DI6" s="6">
        <v>0</v>
      </c>
      <c r="DJ6" s="6">
        <v>0</v>
      </c>
      <c r="DK6" s="6">
        <v>0</v>
      </c>
      <c r="DL6" s="6">
        <v>0</v>
      </c>
      <c r="DM6" s="6">
        <v>0</v>
      </c>
      <c r="DN6" s="6">
        <v>0</v>
      </c>
      <c r="DO6" s="6">
        <v>0</v>
      </c>
      <c r="DP6" s="6">
        <v>0</v>
      </c>
      <c r="DQ6" s="6">
        <v>0</v>
      </c>
      <c r="DR6" s="6">
        <v>0</v>
      </c>
      <c r="DS6" s="6">
        <v>0</v>
      </c>
      <c r="DT6" s="6">
        <v>0</v>
      </c>
      <c r="DU6" s="6">
        <v>0</v>
      </c>
      <c r="DV6" s="6">
        <v>0</v>
      </c>
      <c r="DW6" s="6">
        <v>0</v>
      </c>
      <c r="DX6" s="6">
        <v>0</v>
      </c>
      <c r="DY6" s="6">
        <v>0</v>
      </c>
      <c r="DZ6" s="6">
        <v>0</v>
      </c>
      <c r="EA6" s="6">
        <v>0</v>
      </c>
      <c r="EB6" s="19" t="s">
        <v>171</v>
      </c>
      <c r="EC6" s="19"/>
      <c r="ED6" s="20"/>
      <c r="EE6" s="21"/>
      <c r="EF6" s="21" t="s">
        <v>172</v>
      </c>
      <c r="EG6" s="21" t="s">
        <v>173</v>
      </c>
      <c r="EH6" s="21" t="s">
        <v>174</v>
      </c>
      <c r="EI6" s="21" t="s">
        <v>175</v>
      </c>
      <c r="EJ6" s="21" t="s">
        <v>176</v>
      </c>
      <c r="EK6" s="21" t="s">
        <v>166</v>
      </c>
      <c r="EL6" s="21" t="s">
        <v>167</v>
      </c>
      <c r="EM6" s="21" t="s">
        <v>177</v>
      </c>
      <c r="EN6" s="21" t="s">
        <v>178</v>
      </c>
      <c r="EO6" s="21" t="s">
        <v>165</v>
      </c>
      <c r="EP6" s="21" t="s">
        <v>179</v>
      </c>
      <c r="EQ6" s="21" t="s">
        <v>180</v>
      </c>
      <c r="ER6" s="21" t="s">
        <v>128</v>
      </c>
      <c r="ES6" s="21"/>
      <c r="ET6" s="21" t="s">
        <v>128</v>
      </c>
      <c r="EU6" s="21"/>
      <c r="EV6" s="21" t="s">
        <v>128</v>
      </c>
      <c r="EW6" s="21" t="s">
        <v>181</v>
      </c>
      <c r="EX6" s="21" t="s">
        <v>182</v>
      </c>
      <c r="EY6" s="23" t="s">
        <v>220</v>
      </c>
      <c r="EZ6" s="23" t="s">
        <v>222</v>
      </c>
      <c r="FA6" s="22"/>
      <c r="FB6" s="22"/>
      <c r="FC6" s="22"/>
      <c r="FD6" s="22"/>
      <c r="FE6" s="22"/>
      <c r="FF6" s="22"/>
      <c r="FG6" s="22"/>
      <c r="FH6" s="22"/>
    </row>
    <row r="7" spans="1:164" s="8" customFormat="1" ht="14.4" x14ac:dyDescent="0.3">
      <c r="A7" s="1" t="s">
        <v>185</v>
      </c>
      <c r="B7" s="2"/>
      <c r="C7" s="1"/>
      <c r="D7" s="1"/>
      <c r="E7" s="1"/>
      <c r="F7" s="1"/>
      <c r="G7" s="1"/>
      <c r="H7" s="1"/>
      <c r="I7" s="1" t="s">
        <v>186</v>
      </c>
      <c r="J7" s="18"/>
      <c r="K7" s="5">
        <v>3512.19</v>
      </c>
      <c r="L7" s="5">
        <v>5.95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19.172845629474001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  <c r="BJ7" s="6">
        <v>0</v>
      </c>
      <c r="BK7" s="6">
        <v>27.732016470653797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0</v>
      </c>
      <c r="BR7" s="6">
        <v>0</v>
      </c>
      <c r="BS7" s="6">
        <v>0</v>
      </c>
      <c r="BT7" s="6">
        <v>0</v>
      </c>
      <c r="BU7" s="6">
        <v>0</v>
      </c>
      <c r="BV7" s="6">
        <v>0</v>
      </c>
      <c r="BW7" s="6">
        <v>0</v>
      </c>
      <c r="BX7" s="6">
        <v>0</v>
      </c>
      <c r="BY7" s="6">
        <v>0</v>
      </c>
      <c r="BZ7" s="6">
        <v>0</v>
      </c>
      <c r="CA7" s="6">
        <v>53.095137899872</v>
      </c>
      <c r="CB7" s="6">
        <v>0</v>
      </c>
      <c r="CC7" s="6">
        <v>0</v>
      </c>
      <c r="CD7" s="6">
        <v>0</v>
      </c>
      <c r="CE7" s="6">
        <v>0</v>
      </c>
      <c r="CF7" s="6">
        <v>0</v>
      </c>
      <c r="CG7" s="6">
        <v>0</v>
      </c>
      <c r="CH7" s="6">
        <v>0</v>
      </c>
      <c r="CI7" s="6">
        <v>0</v>
      </c>
      <c r="CJ7" s="6">
        <v>0</v>
      </c>
      <c r="CK7" s="6">
        <v>0</v>
      </c>
      <c r="CL7" s="6">
        <v>0</v>
      </c>
      <c r="CM7" s="6">
        <v>0</v>
      </c>
      <c r="CN7" s="6">
        <v>0</v>
      </c>
      <c r="CO7" s="6">
        <v>0</v>
      </c>
      <c r="CP7" s="6">
        <v>0</v>
      </c>
      <c r="CQ7" s="6">
        <v>0</v>
      </c>
      <c r="CR7" s="6">
        <v>0</v>
      </c>
      <c r="CS7" s="6">
        <v>0</v>
      </c>
      <c r="CT7" s="6">
        <v>0</v>
      </c>
      <c r="CU7" s="6">
        <v>0</v>
      </c>
      <c r="CV7" s="6">
        <v>0</v>
      </c>
      <c r="CW7" s="6">
        <v>0</v>
      </c>
      <c r="CX7" s="6">
        <v>0</v>
      </c>
      <c r="CY7" s="6">
        <v>0</v>
      </c>
      <c r="CZ7" s="6">
        <v>0</v>
      </c>
      <c r="DA7" s="6">
        <v>0</v>
      </c>
      <c r="DB7" s="6">
        <v>0</v>
      </c>
      <c r="DC7" s="6">
        <v>0</v>
      </c>
      <c r="DD7" s="6">
        <v>0</v>
      </c>
      <c r="DE7" s="6">
        <v>0</v>
      </c>
      <c r="DF7" s="6">
        <v>0</v>
      </c>
      <c r="DG7" s="6">
        <v>0</v>
      </c>
      <c r="DH7" s="6">
        <v>0</v>
      </c>
      <c r="DI7" s="6">
        <v>0</v>
      </c>
      <c r="DJ7" s="6">
        <v>0</v>
      </c>
      <c r="DK7" s="6">
        <v>0</v>
      </c>
      <c r="DL7" s="6">
        <v>0</v>
      </c>
      <c r="DM7" s="6">
        <v>0</v>
      </c>
      <c r="DN7" s="6">
        <v>0</v>
      </c>
      <c r="DO7" s="6">
        <v>0</v>
      </c>
      <c r="DP7" s="6">
        <v>0</v>
      </c>
      <c r="DQ7" s="6">
        <v>0</v>
      </c>
      <c r="DR7" s="6">
        <v>0</v>
      </c>
      <c r="DS7" s="6">
        <v>0</v>
      </c>
      <c r="DT7" s="6">
        <v>0</v>
      </c>
      <c r="DU7" s="6">
        <v>0</v>
      </c>
      <c r="DV7" s="6">
        <v>0</v>
      </c>
      <c r="DW7" s="6">
        <v>0</v>
      </c>
      <c r="DX7" s="6">
        <v>0</v>
      </c>
      <c r="DY7" s="6">
        <v>0</v>
      </c>
      <c r="DZ7" s="6">
        <v>0</v>
      </c>
      <c r="EA7" s="6">
        <v>0</v>
      </c>
      <c r="EB7" s="19" t="s">
        <v>187</v>
      </c>
      <c r="EC7" s="19"/>
      <c r="ED7" s="20"/>
      <c r="EE7" s="21"/>
      <c r="EF7" s="21" t="s">
        <v>188</v>
      </c>
      <c r="EG7" s="21"/>
      <c r="EH7" s="21"/>
      <c r="EI7" s="21" t="s">
        <v>164</v>
      </c>
      <c r="EJ7" s="21"/>
      <c r="EK7" s="21" t="s">
        <v>166</v>
      </c>
      <c r="EL7" s="21"/>
      <c r="EM7" s="21" t="s">
        <v>184</v>
      </c>
      <c r="EN7" s="21" t="s">
        <v>189</v>
      </c>
      <c r="EO7" s="21" t="s">
        <v>165</v>
      </c>
      <c r="EP7" s="21" t="s">
        <v>184</v>
      </c>
      <c r="EQ7" s="21" t="s">
        <v>190</v>
      </c>
      <c r="ER7" s="21"/>
      <c r="ES7" s="21"/>
      <c r="ET7" s="21"/>
      <c r="EU7" s="21"/>
      <c r="EV7" s="21"/>
      <c r="EW7" s="21"/>
      <c r="EX7" s="21"/>
      <c r="EY7" s="24" t="s">
        <v>221</v>
      </c>
      <c r="EZ7" s="24" t="s">
        <v>223</v>
      </c>
      <c r="FA7" s="22"/>
      <c r="FB7" s="22"/>
      <c r="FC7" s="22"/>
      <c r="FD7" s="22"/>
      <c r="FE7" s="22"/>
      <c r="FF7" s="22"/>
      <c r="FG7" s="22"/>
      <c r="FH7" s="22"/>
    </row>
    <row r="8" spans="1:164" s="8" customFormat="1" x14ac:dyDescent="0.3">
      <c r="A8" s="1"/>
      <c r="B8" s="2"/>
      <c r="C8" s="1"/>
      <c r="D8" s="1"/>
      <c r="E8" s="1"/>
      <c r="F8" s="1"/>
      <c r="G8" s="1"/>
      <c r="H8" s="1"/>
      <c r="I8" s="3"/>
      <c r="J8" s="4"/>
      <c r="K8" s="5"/>
      <c r="L8" s="5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4"/>
      <c r="EC8" s="4"/>
      <c r="ED8" s="7"/>
    </row>
    <row r="9" spans="1:164" s="8" customFormat="1" x14ac:dyDescent="0.3">
      <c r="A9" s="1"/>
      <c r="B9" s="2"/>
      <c r="C9" s="1"/>
      <c r="D9" s="1"/>
      <c r="E9" s="1"/>
      <c r="F9" s="1"/>
      <c r="G9" s="1"/>
      <c r="H9" s="1"/>
      <c r="I9" s="3"/>
      <c r="J9" s="4"/>
      <c r="K9" s="5"/>
      <c r="L9" s="5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4"/>
      <c r="EC9" s="4"/>
      <c r="ED9" s="7"/>
    </row>
    <row r="10" spans="1:164" s="8" customFormat="1" x14ac:dyDescent="0.3">
      <c r="A10" s="1"/>
      <c r="B10" s="2"/>
      <c r="C10" s="1"/>
      <c r="D10" s="1"/>
      <c r="E10" s="1"/>
      <c r="F10" s="1"/>
      <c r="G10" s="1"/>
      <c r="H10" s="1"/>
      <c r="I10" s="3"/>
      <c r="J10" s="4"/>
      <c r="K10" s="5"/>
      <c r="L10" s="5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4"/>
      <c r="EC10" s="4"/>
      <c r="ED10" s="7"/>
    </row>
    <row r="11" spans="1:164" s="8" customFormat="1" x14ac:dyDescent="0.3">
      <c r="A11" s="1"/>
      <c r="B11" s="2"/>
      <c r="C11" s="1"/>
      <c r="D11" s="1"/>
      <c r="E11" s="1"/>
      <c r="F11" s="1"/>
      <c r="G11" s="1"/>
      <c r="H11" s="1"/>
      <c r="I11" s="3"/>
      <c r="J11" s="4"/>
      <c r="K11" s="5"/>
      <c r="L11" s="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4"/>
      <c r="EC11" s="4"/>
      <c r="ED11" s="7"/>
    </row>
    <row r="12" spans="1:164" x14ac:dyDescent="0.3">
      <c r="E12" s="1"/>
      <c r="F12" s="1"/>
      <c r="G12" s="1"/>
      <c r="H12" s="1"/>
    </row>
    <row r="13" spans="1:164" x14ac:dyDescent="0.3">
      <c r="E13" s="1"/>
      <c r="F13" s="1"/>
      <c r="G13" s="1"/>
      <c r="H13" s="1"/>
    </row>
    <row r="14" spans="1:164" x14ac:dyDescent="0.3">
      <c r="E14" s="1"/>
      <c r="F14" s="1"/>
      <c r="G14" s="1"/>
      <c r="H14" s="1"/>
    </row>
    <row r="15" spans="1:164" x14ac:dyDescent="0.3">
      <c r="E15" s="1"/>
      <c r="F15" s="1"/>
      <c r="G15" s="1"/>
      <c r="H15" s="1"/>
    </row>
    <row r="16" spans="1:164" x14ac:dyDescent="0.3">
      <c r="E16" s="1"/>
      <c r="F16" s="1"/>
      <c r="G16" s="1"/>
      <c r="H16" s="1"/>
    </row>
    <row r="17" spans="1:415" s="3" customFormat="1" x14ac:dyDescent="0.3">
      <c r="A17" s="1"/>
      <c r="B17" s="2"/>
      <c r="C17" s="1"/>
      <c r="D17" s="1"/>
      <c r="E17" s="1"/>
      <c r="F17" s="1"/>
      <c r="G17" s="1"/>
      <c r="H17" s="1"/>
      <c r="J17" s="4"/>
      <c r="K17" s="5"/>
      <c r="L17" s="5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4"/>
      <c r="EC17" s="4"/>
      <c r="ED17" s="7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4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4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4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4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4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4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4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4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4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4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4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4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4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4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</row>
    <row r="18" spans="1:415" s="3" customFormat="1" x14ac:dyDescent="0.3">
      <c r="A18" s="1"/>
      <c r="B18" s="2"/>
      <c r="C18" s="1"/>
      <c r="D18" s="1"/>
      <c r="E18" s="1"/>
      <c r="F18" s="1"/>
      <c r="G18" s="1"/>
      <c r="H18" s="1"/>
      <c r="J18" s="4"/>
      <c r="K18" s="5"/>
      <c r="L18" s="5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4"/>
      <c r="EC18" s="4"/>
      <c r="ED18" s="7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4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4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4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4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4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4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4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4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4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4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4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4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4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4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</row>
    <row r="19" spans="1:415" s="3" customFormat="1" x14ac:dyDescent="0.3">
      <c r="A19" s="1"/>
      <c r="B19" s="2"/>
      <c r="C19" s="1"/>
      <c r="D19" s="1"/>
      <c r="E19" s="1"/>
      <c r="F19" s="1"/>
      <c r="G19" s="1"/>
      <c r="H19" s="1"/>
      <c r="J19" s="4"/>
      <c r="K19" s="5"/>
      <c r="L19" s="5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4"/>
      <c r="EC19" s="4"/>
      <c r="ED19" s="7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4"/>
      <c r="FJ19" s="4"/>
      <c r="FK19" s="4"/>
      <c r="FL19" s="4"/>
      <c r="FM19" s="4"/>
      <c r="FN19" s="4"/>
      <c r="FO19" s="4"/>
      <c r="FP19" s="4"/>
      <c r="FQ19" s="4"/>
      <c r="FR19" s="4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4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4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4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4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4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4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4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4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4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4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4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4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4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4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4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4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4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</row>
    <row r="20" spans="1:415" s="3" customFormat="1" x14ac:dyDescent="0.3">
      <c r="A20" s="1"/>
      <c r="B20" s="2"/>
      <c r="C20" s="1"/>
      <c r="D20" s="1"/>
      <c r="E20" s="1"/>
      <c r="F20" s="1"/>
      <c r="G20" s="1"/>
      <c r="H20" s="1"/>
      <c r="J20" s="4"/>
      <c r="K20" s="5"/>
      <c r="L20" s="5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4"/>
      <c r="EC20" s="4"/>
      <c r="ED20" s="7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4"/>
      <c r="FJ20" s="4"/>
      <c r="FK20" s="4"/>
      <c r="FL20" s="4"/>
      <c r="FM20" s="4"/>
      <c r="FN20" s="4"/>
      <c r="FO20" s="4"/>
      <c r="FP20" s="4"/>
      <c r="FQ20" s="4"/>
      <c r="FR20" s="4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4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4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4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4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4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4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4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4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4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4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4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4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4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4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4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</row>
    <row r="21" spans="1:415" s="3" customFormat="1" x14ac:dyDescent="0.3">
      <c r="A21" s="1"/>
      <c r="B21" s="2"/>
      <c r="C21" s="1"/>
      <c r="D21" s="1"/>
      <c r="E21" s="1"/>
      <c r="F21" s="1"/>
      <c r="G21" s="1"/>
      <c r="H21" s="1"/>
      <c r="J21" s="4"/>
      <c r="K21" s="5"/>
      <c r="L21" s="5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4"/>
      <c r="EC21" s="4"/>
      <c r="ED21" s="7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4"/>
      <c r="FJ21" s="4"/>
      <c r="FK21" s="4"/>
      <c r="FL21" s="4"/>
      <c r="FM21" s="4"/>
      <c r="FN21" s="4"/>
      <c r="FO21" s="4"/>
      <c r="FP21" s="4"/>
      <c r="FQ21" s="4"/>
      <c r="FR21" s="4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4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4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4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4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4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4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4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4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4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4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4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4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4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4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4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4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4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</row>
    <row r="22" spans="1:415" s="3" customFormat="1" x14ac:dyDescent="0.3">
      <c r="A22" s="1"/>
      <c r="B22" s="2"/>
      <c r="C22" s="1"/>
      <c r="D22" s="1"/>
      <c r="E22" s="1"/>
      <c r="F22" s="1"/>
      <c r="G22" s="1"/>
      <c r="H22" s="1"/>
      <c r="J22" s="4"/>
      <c r="K22" s="5"/>
      <c r="L22" s="5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4"/>
      <c r="EC22" s="4"/>
      <c r="ED22" s="7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4"/>
      <c r="FJ22" s="4"/>
      <c r="FK22" s="4"/>
      <c r="FL22" s="4"/>
      <c r="FM22" s="4"/>
      <c r="FN22" s="4"/>
      <c r="FO22" s="4"/>
      <c r="FP22" s="4"/>
      <c r="FQ22" s="4"/>
      <c r="FR22" s="4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4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4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4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4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4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4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4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4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4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4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4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4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4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4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4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4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4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</row>
    <row r="23" spans="1:415" s="3" customFormat="1" x14ac:dyDescent="0.3">
      <c r="A23" s="1"/>
      <c r="B23" s="2"/>
      <c r="C23" s="1"/>
      <c r="D23" s="1"/>
      <c r="E23" s="1"/>
      <c r="F23" s="1"/>
      <c r="G23" s="1"/>
      <c r="H23" s="1"/>
      <c r="J23" s="4"/>
      <c r="K23" s="5"/>
      <c r="L23" s="5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4"/>
      <c r="EC23" s="4"/>
      <c r="ED23" s="7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4"/>
      <c r="FJ23" s="4"/>
      <c r="FK23" s="4"/>
      <c r="FL23" s="4"/>
      <c r="FM23" s="4"/>
      <c r="FN23" s="4"/>
      <c r="FO23" s="4"/>
      <c r="FP23" s="4"/>
      <c r="FQ23" s="4"/>
      <c r="FR23" s="4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4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4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4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4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4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4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4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4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4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4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4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4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4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4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4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4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4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</row>
    <row r="24" spans="1:415" s="3" customFormat="1" x14ac:dyDescent="0.3">
      <c r="A24" s="1"/>
      <c r="B24" s="2"/>
      <c r="C24" s="1"/>
      <c r="D24" s="1"/>
      <c r="E24" s="1"/>
      <c r="F24" s="1"/>
      <c r="G24" s="1"/>
      <c r="H24" s="1"/>
      <c r="J24" s="4"/>
      <c r="K24" s="5"/>
      <c r="L24" s="5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4"/>
      <c r="EC24" s="4"/>
      <c r="ED24" s="7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4"/>
      <c r="FJ24" s="4"/>
      <c r="FK24" s="4"/>
      <c r="FL24" s="4"/>
      <c r="FM24" s="4"/>
      <c r="FN24" s="4"/>
      <c r="FO24" s="4"/>
      <c r="FP24" s="4"/>
      <c r="FQ24" s="4"/>
      <c r="FR24" s="4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4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4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4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4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4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4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4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4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4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4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4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4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4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4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4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4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4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</row>
    <row r="25" spans="1:415" s="3" customFormat="1" x14ac:dyDescent="0.3">
      <c r="A25" s="1"/>
      <c r="B25" s="2"/>
      <c r="C25" s="1"/>
      <c r="D25" s="1"/>
      <c r="E25" s="1"/>
      <c r="F25" s="1"/>
      <c r="G25" s="1"/>
      <c r="H25" s="1"/>
      <c r="J25" s="4"/>
      <c r="K25" s="5"/>
      <c r="L25" s="5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4"/>
      <c r="EC25" s="4"/>
      <c r="ED25" s="7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4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4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4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4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4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4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4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4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4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4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4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4"/>
      <c r="OS25" s="4"/>
      <c r="OT25" s="4"/>
      <c r="OU25" s="4"/>
      <c r="OV25" s="4"/>
      <c r="OW25" s="4"/>
      <c r="OX25" s="4"/>
      <c r="OY25" s="4"/>
    </row>
    <row r="26" spans="1:415" s="3" customFormat="1" x14ac:dyDescent="0.3">
      <c r="A26" s="1"/>
      <c r="B26" s="2"/>
      <c r="C26" s="1"/>
      <c r="D26" s="1"/>
      <c r="E26" s="1"/>
      <c r="F26" s="1"/>
      <c r="G26" s="1"/>
      <c r="H26" s="1"/>
      <c r="J26" s="4"/>
      <c r="K26" s="5"/>
      <c r="L26" s="5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4"/>
      <c r="EC26" s="4"/>
      <c r="ED26" s="7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4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4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4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4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4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4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4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4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4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4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4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</row>
    <row r="27" spans="1:415" s="3" customFormat="1" x14ac:dyDescent="0.3">
      <c r="A27" s="1"/>
      <c r="B27" s="2"/>
      <c r="C27" s="1"/>
      <c r="D27" s="1"/>
      <c r="E27" s="1"/>
      <c r="F27" s="1"/>
      <c r="G27" s="1"/>
      <c r="H27" s="1"/>
      <c r="J27" s="4"/>
      <c r="K27" s="5"/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4"/>
      <c r="EC27" s="4"/>
      <c r="ED27" s="7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4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4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4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4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4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4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4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4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4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4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4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</row>
    <row r="28" spans="1:415" s="3" customFormat="1" x14ac:dyDescent="0.3">
      <c r="A28" s="1"/>
      <c r="B28" s="2"/>
      <c r="C28" s="1"/>
      <c r="D28" s="1"/>
      <c r="E28" s="1"/>
      <c r="F28" s="1"/>
      <c r="G28" s="1"/>
      <c r="H28" s="1"/>
      <c r="J28" s="4"/>
      <c r="K28" s="5"/>
      <c r="L28" s="5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4"/>
      <c r="EC28" s="4"/>
      <c r="ED28" s="7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4"/>
      <c r="FJ28" s="4"/>
      <c r="FK28" s="4"/>
      <c r="FL28" s="4"/>
      <c r="FM28" s="4"/>
      <c r="FN28" s="4"/>
      <c r="FO28" s="4"/>
      <c r="FP28" s="4"/>
      <c r="FQ28" s="4"/>
      <c r="FR28" s="4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4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4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4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4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4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4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4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4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4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4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4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4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4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4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4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4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4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</row>
    <row r="29" spans="1:415" s="3" customFormat="1" x14ac:dyDescent="0.3">
      <c r="A29" s="1"/>
      <c r="B29" s="2"/>
      <c r="C29" s="1"/>
      <c r="D29" s="1"/>
      <c r="E29" s="1"/>
      <c r="F29" s="1"/>
      <c r="G29" s="1"/>
      <c r="H29" s="1"/>
      <c r="J29" s="4"/>
      <c r="K29" s="5"/>
      <c r="L29" s="5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4"/>
      <c r="EC29" s="4"/>
      <c r="ED29" s="7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4"/>
      <c r="FJ29" s="4"/>
      <c r="FK29" s="4"/>
      <c r="FL29" s="4"/>
      <c r="FM29" s="4"/>
      <c r="FN29" s="4"/>
      <c r="FO29" s="4"/>
      <c r="FP29" s="4"/>
      <c r="FQ29" s="4"/>
      <c r="FR29" s="4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4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4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4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4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4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4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4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4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4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4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4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4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4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4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4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4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4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</row>
    <row r="30" spans="1:415" s="3" customFormat="1" x14ac:dyDescent="0.3">
      <c r="A30" s="1"/>
      <c r="B30" s="2"/>
      <c r="C30" s="1"/>
      <c r="D30" s="1"/>
      <c r="E30" s="1"/>
      <c r="F30" s="1"/>
      <c r="G30" s="1"/>
      <c r="H30" s="1"/>
      <c r="J30" s="4"/>
      <c r="K30" s="5"/>
      <c r="L30" s="5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4"/>
      <c r="EC30" s="4"/>
      <c r="ED30" s="7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4"/>
      <c r="FJ30" s="4"/>
      <c r="FK30" s="4"/>
      <c r="FL30" s="4"/>
      <c r="FM30" s="4"/>
      <c r="FN30" s="4"/>
      <c r="FO30" s="4"/>
      <c r="FP30" s="4"/>
      <c r="FQ30" s="4"/>
      <c r="FR30" s="4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4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4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4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4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4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4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4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4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4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4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4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4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4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4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4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4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4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4"/>
      <c r="OS30" s="4"/>
      <c r="OT30" s="4"/>
      <c r="OU30" s="4"/>
      <c r="OV30" s="4"/>
      <c r="OW30" s="4"/>
      <c r="OX30" s="4"/>
      <c r="OY30" s="4"/>
    </row>
    <row r="31" spans="1:415" s="3" customFormat="1" x14ac:dyDescent="0.3">
      <c r="A31" s="1"/>
      <c r="B31" s="2"/>
      <c r="C31" s="1"/>
      <c r="D31" s="1"/>
      <c r="E31" s="1"/>
      <c r="F31" s="1"/>
      <c r="G31" s="1"/>
      <c r="H31" s="1"/>
      <c r="J31" s="4"/>
      <c r="K31" s="5"/>
      <c r="L31" s="5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4"/>
      <c r="EC31" s="4"/>
      <c r="ED31" s="7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4"/>
      <c r="FJ31" s="4"/>
      <c r="FK31" s="4"/>
      <c r="FL31" s="4"/>
      <c r="FM31" s="4"/>
      <c r="FN31" s="4"/>
      <c r="FO31" s="4"/>
      <c r="FP31" s="4"/>
      <c r="FQ31" s="4"/>
      <c r="FR31" s="4"/>
      <c r="FS31" s="4"/>
      <c r="FT31" s="4"/>
      <c r="FU31" s="4"/>
      <c r="FV31" s="4"/>
      <c r="FW31" s="4"/>
      <c r="FX31" s="4"/>
      <c r="FY31" s="4"/>
      <c r="FZ31" s="4"/>
      <c r="GA31" s="4"/>
      <c r="GB31" s="4"/>
      <c r="GC31" s="4"/>
      <c r="GD31" s="4"/>
      <c r="GE31" s="4"/>
      <c r="GF31" s="4"/>
      <c r="GG31" s="4"/>
      <c r="GH31" s="4"/>
      <c r="GI31" s="4"/>
      <c r="GJ31" s="4"/>
      <c r="GK31" s="4"/>
      <c r="GL31" s="4"/>
      <c r="GM31" s="4"/>
      <c r="GN31" s="4"/>
      <c r="GO31" s="4"/>
      <c r="GP31" s="4"/>
      <c r="GQ31" s="4"/>
      <c r="GR31" s="4"/>
      <c r="GS31" s="4"/>
      <c r="GT31" s="4"/>
      <c r="GU31" s="4"/>
      <c r="GV31" s="4"/>
      <c r="GW31" s="4"/>
      <c r="GX31" s="4"/>
      <c r="GY31" s="4"/>
      <c r="GZ31" s="4"/>
      <c r="HA31" s="4"/>
      <c r="HB31" s="4"/>
      <c r="HC31" s="4"/>
      <c r="HD31" s="4"/>
      <c r="HE31" s="4"/>
      <c r="HF31" s="4"/>
      <c r="HG31" s="4"/>
      <c r="HH31" s="4"/>
      <c r="HI31" s="4"/>
      <c r="HJ31" s="4"/>
      <c r="HK31" s="4"/>
      <c r="HL31" s="4"/>
      <c r="HM31" s="4"/>
      <c r="HN31" s="4"/>
      <c r="HO31" s="4"/>
      <c r="HP31" s="4"/>
      <c r="HQ31" s="4"/>
      <c r="HR31" s="4"/>
      <c r="HS31" s="4"/>
      <c r="HT31" s="4"/>
      <c r="HU31" s="4"/>
      <c r="HV31" s="4"/>
      <c r="HW31" s="4"/>
      <c r="HX31" s="4"/>
      <c r="HY31" s="4"/>
      <c r="HZ31" s="4"/>
      <c r="IA31" s="4"/>
      <c r="IB31" s="4"/>
      <c r="IC31" s="4"/>
      <c r="ID31" s="4"/>
      <c r="IE31" s="4"/>
      <c r="IF31" s="4"/>
      <c r="IG31" s="4"/>
      <c r="IH31" s="4"/>
      <c r="II31" s="4"/>
      <c r="IJ31" s="4"/>
      <c r="IK31" s="4"/>
      <c r="IL31" s="4"/>
      <c r="IM31" s="4"/>
      <c r="IN31" s="4"/>
      <c r="IO31" s="4"/>
      <c r="IP31" s="4"/>
      <c r="IQ31" s="4"/>
      <c r="IR31" s="4"/>
      <c r="IS31" s="4"/>
      <c r="IT31" s="4"/>
      <c r="IU31" s="4"/>
      <c r="IV31" s="4"/>
      <c r="IW31" s="4"/>
      <c r="IX31" s="4"/>
      <c r="IY31" s="4"/>
      <c r="IZ31" s="4"/>
      <c r="JA31" s="4"/>
      <c r="JB31" s="4"/>
      <c r="JC31" s="4"/>
      <c r="JD31" s="4"/>
      <c r="JE31" s="4"/>
      <c r="JF31" s="4"/>
      <c r="JG31" s="4"/>
      <c r="JH31" s="4"/>
      <c r="JI31" s="4"/>
      <c r="JJ31" s="4"/>
      <c r="JK31" s="4"/>
      <c r="JL31" s="4"/>
      <c r="JM31" s="4"/>
      <c r="JN31" s="4"/>
      <c r="JO31" s="4"/>
      <c r="JP31" s="4"/>
      <c r="JQ31" s="4"/>
      <c r="JR31" s="4"/>
      <c r="JS31" s="4"/>
      <c r="JT31" s="4"/>
      <c r="JU31" s="4"/>
      <c r="JV31" s="4"/>
      <c r="JW31" s="4"/>
      <c r="JX31" s="4"/>
      <c r="JY31" s="4"/>
      <c r="JZ31" s="4"/>
      <c r="KA31" s="4"/>
      <c r="KB31" s="4"/>
      <c r="KC31" s="4"/>
      <c r="KD31" s="4"/>
      <c r="KE31" s="4"/>
      <c r="KF31" s="4"/>
      <c r="KG31" s="4"/>
      <c r="KH31" s="4"/>
      <c r="KI31" s="4"/>
      <c r="KJ31" s="4"/>
      <c r="KK31" s="4"/>
      <c r="KL31" s="4"/>
      <c r="KM31" s="4"/>
      <c r="KN31" s="4"/>
      <c r="KO31" s="4"/>
      <c r="KP31" s="4"/>
      <c r="KQ31" s="4"/>
      <c r="KR31" s="4"/>
      <c r="KS31" s="4"/>
      <c r="KT31" s="4"/>
      <c r="KU31" s="4"/>
      <c r="KV31" s="4"/>
      <c r="KW31" s="4"/>
      <c r="KX31" s="4"/>
      <c r="KY31" s="4"/>
      <c r="KZ31" s="4"/>
      <c r="LA31" s="4"/>
      <c r="LB31" s="4"/>
      <c r="LC31" s="4"/>
      <c r="LD31" s="4"/>
      <c r="LE31" s="4"/>
      <c r="LF31" s="4"/>
      <c r="LG31" s="4"/>
      <c r="LH31" s="4"/>
      <c r="LI31" s="4"/>
      <c r="LJ31" s="4"/>
      <c r="LK31" s="4"/>
      <c r="LL31" s="4"/>
      <c r="LM31" s="4"/>
      <c r="LN31" s="4"/>
      <c r="LO31" s="4"/>
      <c r="LP31" s="4"/>
      <c r="LQ31" s="4"/>
      <c r="LR31" s="4"/>
      <c r="LS31" s="4"/>
      <c r="LT31" s="4"/>
      <c r="LU31" s="4"/>
      <c r="LV31" s="4"/>
      <c r="LW31" s="4"/>
      <c r="LX31" s="4"/>
      <c r="LY31" s="4"/>
      <c r="LZ31" s="4"/>
      <c r="MA31" s="4"/>
      <c r="MB31" s="4"/>
      <c r="MC31" s="4"/>
      <c r="MD31" s="4"/>
      <c r="ME31" s="4"/>
      <c r="MF31" s="4"/>
      <c r="MG31" s="4"/>
      <c r="MH31" s="4"/>
      <c r="MI31" s="4"/>
      <c r="MJ31" s="4"/>
      <c r="MK31" s="4"/>
      <c r="ML31" s="4"/>
      <c r="MM31" s="4"/>
      <c r="MN31" s="4"/>
      <c r="MO31" s="4"/>
      <c r="MP31" s="4"/>
      <c r="MQ31" s="4"/>
      <c r="MR31" s="4"/>
      <c r="MS31" s="4"/>
      <c r="MT31" s="4"/>
      <c r="MU31" s="4"/>
      <c r="MV31" s="4"/>
      <c r="MW31" s="4"/>
      <c r="MX31" s="4"/>
      <c r="MY31" s="4"/>
      <c r="MZ31" s="4"/>
      <c r="NA31" s="4"/>
      <c r="NB31" s="4"/>
      <c r="NC31" s="4"/>
      <c r="ND31" s="4"/>
      <c r="NE31" s="4"/>
      <c r="NF31" s="4"/>
      <c r="NG31" s="4"/>
      <c r="NH31" s="4"/>
      <c r="NI31" s="4"/>
      <c r="NJ31" s="4"/>
      <c r="NK31" s="4"/>
      <c r="NL31" s="4"/>
      <c r="NM31" s="4"/>
      <c r="NN31" s="4"/>
      <c r="NO31" s="4"/>
      <c r="NP31" s="4"/>
      <c r="NQ31" s="4"/>
      <c r="NR31" s="4"/>
      <c r="NS31" s="4"/>
      <c r="NT31" s="4"/>
      <c r="NU31" s="4"/>
      <c r="NV31" s="4"/>
      <c r="NW31" s="4"/>
      <c r="NX31" s="4"/>
      <c r="NY31" s="4"/>
      <c r="NZ31" s="4"/>
      <c r="OA31" s="4"/>
      <c r="OB31" s="4"/>
      <c r="OC31" s="4"/>
      <c r="OD31" s="4"/>
      <c r="OE31" s="4"/>
      <c r="OF31" s="4"/>
      <c r="OG31" s="4"/>
      <c r="OH31" s="4"/>
      <c r="OI31" s="4"/>
      <c r="OJ31" s="4"/>
      <c r="OK31" s="4"/>
      <c r="OL31" s="4"/>
      <c r="OM31" s="4"/>
      <c r="ON31" s="4"/>
      <c r="OO31" s="4"/>
      <c r="OP31" s="4"/>
      <c r="OQ31" s="4"/>
      <c r="OR31" s="4"/>
      <c r="OS31" s="4"/>
      <c r="OT31" s="4"/>
      <c r="OU31" s="4"/>
      <c r="OV31" s="4"/>
      <c r="OW31" s="4"/>
      <c r="OX31" s="4"/>
      <c r="OY31" s="4"/>
    </row>
    <row r="32" spans="1:415" s="3" customFormat="1" x14ac:dyDescent="0.3">
      <c r="A32" s="1"/>
      <c r="B32" s="2"/>
      <c r="C32" s="1"/>
      <c r="D32" s="1"/>
      <c r="E32" s="1"/>
      <c r="F32" s="1"/>
      <c r="G32" s="1"/>
      <c r="H32" s="1"/>
      <c r="J32" s="4"/>
      <c r="K32" s="5"/>
      <c r="L32" s="5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4"/>
      <c r="EC32" s="4"/>
      <c r="ED32" s="7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4"/>
      <c r="FJ32" s="4"/>
      <c r="FK32" s="4"/>
      <c r="FL32" s="4"/>
      <c r="FM32" s="4"/>
      <c r="FN32" s="4"/>
      <c r="FO32" s="4"/>
      <c r="FP32" s="4"/>
      <c r="FQ32" s="4"/>
      <c r="FR32" s="4"/>
      <c r="FS32" s="4"/>
      <c r="FT32" s="4"/>
      <c r="FU32" s="4"/>
      <c r="FV32" s="4"/>
      <c r="FW32" s="4"/>
      <c r="FX32" s="4"/>
      <c r="FY32" s="4"/>
      <c r="FZ32" s="4"/>
      <c r="GA32" s="4"/>
      <c r="GB32" s="4"/>
      <c r="GC32" s="4"/>
      <c r="GD32" s="4"/>
      <c r="GE32" s="4"/>
      <c r="GF32" s="4"/>
      <c r="GG32" s="4"/>
      <c r="GH32" s="4"/>
      <c r="GI32" s="4"/>
      <c r="GJ32" s="4"/>
      <c r="GK32" s="4"/>
      <c r="GL32" s="4"/>
      <c r="GM32" s="4"/>
      <c r="GN32" s="4"/>
      <c r="GO32" s="4"/>
      <c r="GP32" s="4"/>
      <c r="GQ32" s="4"/>
      <c r="GR32" s="4"/>
      <c r="GS32" s="4"/>
      <c r="GT32" s="4"/>
      <c r="GU32" s="4"/>
      <c r="GV32" s="4"/>
      <c r="GW32" s="4"/>
      <c r="GX32" s="4"/>
      <c r="GY32" s="4"/>
      <c r="GZ32" s="4"/>
      <c r="HA32" s="4"/>
      <c r="HB32" s="4"/>
      <c r="HC32" s="4"/>
      <c r="HD32" s="4"/>
      <c r="HE32" s="4"/>
      <c r="HF32" s="4"/>
      <c r="HG32" s="4"/>
      <c r="HH32" s="4"/>
      <c r="HI32" s="4"/>
      <c r="HJ32" s="4"/>
      <c r="HK32" s="4"/>
      <c r="HL32" s="4"/>
      <c r="HM32" s="4"/>
      <c r="HN32" s="4"/>
      <c r="HO32" s="4"/>
      <c r="HP32" s="4"/>
      <c r="HQ32" s="4"/>
      <c r="HR32" s="4"/>
      <c r="HS32" s="4"/>
      <c r="HT32" s="4"/>
      <c r="HU32" s="4"/>
      <c r="HV32" s="4"/>
      <c r="HW32" s="4"/>
      <c r="HX32" s="4"/>
      <c r="HY32" s="4"/>
      <c r="HZ32" s="4"/>
      <c r="IA32" s="4"/>
      <c r="IB32" s="4"/>
      <c r="IC32" s="4"/>
      <c r="ID32" s="4"/>
      <c r="IE32" s="4"/>
      <c r="IF32" s="4"/>
      <c r="IG32" s="4"/>
      <c r="IH32" s="4"/>
      <c r="II32" s="4"/>
      <c r="IJ32" s="4"/>
      <c r="IK32" s="4"/>
      <c r="IL32" s="4"/>
      <c r="IM32" s="4"/>
      <c r="IN32" s="4"/>
      <c r="IO32" s="4"/>
      <c r="IP32" s="4"/>
      <c r="IQ32" s="4"/>
      <c r="IR32" s="4"/>
      <c r="IS32" s="4"/>
      <c r="IT32" s="4"/>
      <c r="IU32" s="4"/>
      <c r="IV32" s="4"/>
      <c r="IW32" s="4"/>
      <c r="IX32" s="4"/>
      <c r="IY32" s="4"/>
      <c r="IZ32" s="4"/>
      <c r="JA32" s="4"/>
      <c r="JB32" s="4"/>
      <c r="JC32" s="4"/>
      <c r="JD32" s="4"/>
      <c r="JE32" s="4"/>
      <c r="JF32" s="4"/>
      <c r="JG32" s="4"/>
      <c r="JH32" s="4"/>
      <c r="JI32" s="4"/>
      <c r="JJ32" s="4"/>
      <c r="JK32" s="4"/>
      <c r="JL32" s="4"/>
      <c r="JM32" s="4"/>
      <c r="JN32" s="4"/>
      <c r="JO32" s="4"/>
      <c r="JP32" s="4"/>
      <c r="JQ32" s="4"/>
      <c r="JR32" s="4"/>
      <c r="JS32" s="4"/>
      <c r="JT32" s="4"/>
      <c r="JU32" s="4"/>
      <c r="JV32" s="4"/>
      <c r="JW32" s="4"/>
      <c r="JX32" s="4"/>
      <c r="JY32" s="4"/>
      <c r="JZ32" s="4"/>
      <c r="KA32" s="4"/>
      <c r="KB32" s="4"/>
      <c r="KC32" s="4"/>
      <c r="KD32" s="4"/>
      <c r="KE32" s="4"/>
      <c r="KF32" s="4"/>
      <c r="KG32" s="4"/>
      <c r="KH32" s="4"/>
      <c r="KI32" s="4"/>
      <c r="KJ32" s="4"/>
      <c r="KK32" s="4"/>
      <c r="KL32" s="4"/>
      <c r="KM32" s="4"/>
      <c r="KN32" s="4"/>
      <c r="KO32" s="4"/>
      <c r="KP32" s="4"/>
      <c r="KQ32" s="4"/>
      <c r="KR32" s="4"/>
      <c r="KS32" s="4"/>
      <c r="KT32" s="4"/>
      <c r="KU32" s="4"/>
      <c r="KV32" s="4"/>
      <c r="KW32" s="4"/>
      <c r="KX32" s="4"/>
      <c r="KY32" s="4"/>
      <c r="KZ32" s="4"/>
      <c r="LA32" s="4"/>
      <c r="LB32" s="4"/>
      <c r="LC32" s="4"/>
      <c r="LD32" s="4"/>
      <c r="LE32" s="4"/>
      <c r="LF32" s="4"/>
      <c r="LG32" s="4"/>
      <c r="LH32" s="4"/>
      <c r="LI32" s="4"/>
      <c r="LJ32" s="4"/>
      <c r="LK32" s="4"/>
      <c r="LL32" s="4"/>
      <c r="LM32" s="4"/>
      <c r="LN32" s="4"/>
      <c r="LO32" s="4"/>
      <c r="LP32" s="4"/>
      <c r="LQ32" s="4"/>
      <c r="LR32" s="4"/>
      <c r="LS32" s="4"/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  <c r="MS32" s="4"/>
      <c r="MT32" s="4"/>
      <c r="MU32" s="4"/>
      <c r="MV32" s="4"/>
      <c r="MW32" s="4"/>
      <c r="MX32" s="4"/>
      <c r="MY32" s="4"/>
      <c r="MZ32" s="4"/>
      <c r="NA32" s="4"/>
      <c r="NB32" s="4"/>
      <c r="NC32" s="4"/>
      <c r="ND32" s="4"/>
      <c r="NE32" s="4"/>
      <c r="NF32" s="4"/>
      <c r="NG32" s="4"/>
      <c r="NH32" s="4"/>
      <c r="NI32" s="4"/>
      <c r="NJ32" s="4"/>
      <c r="NK32" s="4"/>
      <c r="NL32" s="4"/>
      <c r="NM32" s="4"/>
      <c r="NN32" s="4"/>
      <c r="NO32" s="4"/>
      <c r="NP32" s="4"/>
      <c r="NQ32" s="4"/>
      <c r="NR32" s="4"/>
      <c r="NS32" s="4"/>
      <c r="NT32" s="4"/>
      <c r="NU32" s="4"/>
      <c r="NV32" s="4"/>
      <c r="NW32" s="4"/>
      <c r="NX32" s="4"/>
      <c r="NY32" s="4"/>
      <c r="NZ32" s="4"/>
      <c r="OA32" s="4"/>
      <c r="OB32" s="4"/>
      <c r="OC32" s="4"/>
      <c r="OD32" s="4"/>
      <c r="OE32" s="4"/>
      <c r="OF32" s="4"/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</row>
    <row r="33" spans="1:415" s="3" customFormat="1" x14ac:dyDescent="0.3">
      <c r="A33" s="1"/>
      <c r="B33" s="2"/>
      <c r="C33" s="1"/>
      <c r="D33" s="1"/>
      <c r="E33" s="1"/>
      <c r="F33" s="1"/>
      <c r="G33" s="1"/>
      <c r="H33" s="1"/>
      <c r="J33" s="4"/>
      <c r="K33" s="5"/>
      <c r="L33" s="5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4"/>
      <c r="EC33" s="4"/>
      <c r="ED33" s="7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  <c r="IW33" s="4"/>
      <c r="IX33" s="4"/>
      <c r="IY33" s="4"/>
      <c r="IZ33" s="4"/>
      <c r="JA33" s="4"/>
      <c r="JB33" s="4"/>
      <c r="JC33" s="4"/>
      <c r="JD33" s="4"/>
      <c r="JE33" s="4"/>
      <c r="JF33" s="4"/>
      <c r="JG33" s="4"/>
      <c r="JH33" s="4"/>
      <c r="JI33" s="4"/>
      <c r="JJ33" s="4"/>
      <c r="JK33" s="4"/>
      <c r="JL33" s="4"/>
      <c r="JM33" s="4"/>
      <c r="JN33" s="4"/>
      <c r="JO33" s="4"/>
      <c r="JP33" s="4"/>
      <c r="JQ33" s="4"/>
      <c r="JR33" s="4"/>
      <c r="JS33" s="4"/>
      <c r="JT33" s="4"/>
      <c r="JU33" s="4"/>
      <c r="JV33" s="4"/>
      <c r="JW33" s="4"/>
      <c r="JX33" s="4"/>
      <c r="JY33" s="4"/>
      <c r="JZ33" s="4"/>
      <c r="KA33" s="4"/>
      <c r="KB33" s="4"/>
      <c r="KC33" s="4"/>
      <c r="KD33" s="4"/>
      <c r="KE33" s="4"/>
      <c r="KF33" s="4"/>
      <c r="KG33" s="4"/>
      <c r="KH33" s="4"/>
      <c r="KI33" s="4"/>
      <c r="KJ33" s="4"/>
      <c r="KK33" s="4"/>
      <c r="KL33" s="4"/>
      <c r="KM33" s="4"/>
      <c r="KN33" s="4"/>
      <c r="KO33" s="4"/>
      <c r="KP33" s="4"/>
      <c r="KQ33" s="4"/>
      <c r="KR33" s="4"/>
      <c r="KS33" s="4"/>
      <c r="KT33" s="4"/>
      <c r="KU33" s="4"/>
      <c r="KV33" s="4"/>
      <c r="KW33" s="4"/>
      <c r="KX33" s="4"/>
      <c r="KY33" s="4"/>
      <c r="KZ33" s="4"/>
      <c r="LA33" s="4"/>
      <c r="LB33" s="4"/>
      <c r="LC33" s="4"/>
      <c r="LD33" s="4"/>
      <c r="LE33" s="4"/>
      <c r="LF33" s="4"/>
      <c r="LG33" s="4"/>
      <c r="LH33" s="4"/>
      <c r="LI33" s="4"/>
      <c r="LJ33" s="4"/>
      <c r="LK33" s="4"/>
      <c r="LL33" s="4"/>
      <c r="LM33" s="4"/>
      <c r="LN33" s="4"/>
      <c r="LO33" s="4"/>
      <c r="LP33" s="4"/>
      <c r="LQ33" s="4"/>
      <c r="LR33" s="4"/>
      <c r="LS33" s="4"/>
      <c r="LT33" s="4"/>
      <c r="LU33" s="4"/>
      <c r="LV33" s="4"/>
      <c r="LW33" s="4"/>
      <c r="LX33" s="4"/>
      <c r="LY33" s="4"/>
      <c r="LZ33" s="4"/>
      <c r="MA33" s="4"/>
      <c r="MB33" s="4"/>
      <c r="MC33" s="4"/>
      <c r="MD33" s="4"/>
      <c r="ME33" s="4"/>
      <c r="MF33" s="4"/>
      <c r="MG33" s="4"/>
      <c r="MH33" s="4"/>
      <c r="MI33" s="4"/>
      <c r="MJ33" s="4"/>
      <c r="MK33" s="4"/>
      <c r="ML33" s="4"/>
      <c r="MM33" s="4"/>
      <c r="MN33" s="4"/>
      <c r="MO33" s="4"/>
      <c r="MP33" s="4"/>
      <c r="MQ33" s="4"/>
      <c r="MR33" s="4"/>
      <c r="MS33" s="4"/>
      <c r="MT33" s="4"/>
      <c r="MU33" s="4"/>
      <c r="MV33" s="4"/>
      <c r="MW33" s="4"/>
      <c r="MX33" s="4"/>
      <c r="MY33" s="4"/>
      <c r="MZ33" s="4"/>
      <c r="NA33" s="4"/>
      <c r="NB33" s="4"/>
      <c r="NC33" s="4"/>
      <c r="ND33" s="4"/>
      <c r="NE33" s="4"/>
      <c r="NF33" s="4"/>
      <c r="NG33" s="4"/>
      <c r="NH33" s="4"/>
      <c r="NI33" s="4"/>
      <c r="NJ33" s="4"/>
      <c r="NK33" s="4"/>
      <c r="NL33" s="4"/>
      <c r="NM33" s="4"/>
      <c r="NN33" s="4"/>
      <c r="NO33" s="4"/>
      <c r="NP33" s="4"/>
      <c r="NQ33" s="4"/>
      <c r="NR33" s="4"/>
      <c r="NS33" s="4"/>
      <c r="NT33" s="4"/>
      <c r="NU33" s="4"/>
      <c r="NV33" s="4"/>
      <c r="NW33" s="4"/>
      <c r="NX33" s="4"/>
      <c r="NY33" s="4"/>
      <c r="NZ33" s="4"/>
      <c r="OA33" s="4"/>
      <c r="OB33" s="4"/>
      <c r="OC33" s="4"/>
      <c r="OD33" s="4"/>
      <c r="OE33" s="4"/>
      <c r="OF33" s="4"/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</row>
    <row r="34" spans="1:415" s="3" customFormat="1" x14ac:dyDescent="0.3">
      <c r="A34" s="1"/>
      <c r="B34" s="2"/>
      <c r="C34" s="1"/>
      <c r="D34" s="1"/>
      <c r="E34" s="1"/>
      <c r="F34" s="1"/>
      <c r="G34" s="1"/>
      <c r="H34" s="1"/>
      <c r="J34" s="4"/>
      <c r="K34" s="5"/>
      <c r="L34" s="5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4"/>
      <c r="EC34" s="4"/>
      <c r="ED34" s="7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  <c r="IW34" s="4"/>
      <c r="IX34" s="4"/>
      <c r="IY34" s="4"/>
      <c r="IZ34" s="4"/>
      <c r="JA34" s="4"/>
      <c r="JB34" s="4"/>
      <c r="JC34" s="4"/>
      <c r="JD34" s="4"/>
      <c r="JE34" s="4"/>
      <c r="JF34" s="4"/>
      <c r="JG34" s="4"/>
      <c r="JH34" s="4"/>
      <c r="JI34" s="4"/>
      <c r="JJ34" s="4"/>
      <c r="JK34" s="4"/>
      <c r="JL34" s="4"/>
      <c r="JM34" s="4"/>
      <c r="JN34" s="4"/>
      <c r="JO34" s="4"/>
      <c r="JP34" s="4"/>
      <c r="JQ34" s="4"/>
      <c r="JR34" s="4"/>
      <c r="JS34" s="4"/>
      <c r="JT34" s="4"/>
      <c r="JU34" s="4"/>
      <c r="JV34" s="4"/>
      <c r="JW34" s="4"/>
      <c r="JX34" s="4"/>
      <c r="JY34" s="4"/>
      <c r="JZ34" s="4"/>
      <c r="KA34" s="4"/>
      <c r="KB34" s="4"/>
      <c r="KC34" s="4"/>
      <c r="KD34" s="4"/>
      <c r="KE34" s="4"/>
      <c r="KF34" s="4"/>
      <c r="KG34" s="4"/>
      <c r="KH34" s="4"/>
      <c r="KI34" s="4"/>
      <c r="KJ34" s="4"/>
      <c r="KK34" s="4"/>
      <c r="KL34" s="4"/>
      <c r="KM34" s="4"/>
      <c r="KN34" s="4"/>
      <c r="KO34" s="4"/>
      <c r="KP34" s="4"/>
      <c r="KQ34" s="4"/>
      <c r="KR34" s="4"/>
      <c r="KS34" s="4"/>
      <c r="KT34" s="4"/>
      <c r="KU34" s="4"/>
      <c r="KV34" s="4"/>
      <c r="KW34" s="4"/>
      <c r="KX34" s="4"/>
      <c r="KY34" s="4"/>
      <c r="KZ34" s="4"/>
      <c r="LA34" s="4"/>
      <c r="LB34" s="4"/>
      <c r="LC34" s="4"/>
      <c r="LD34" s="4"/>
      <c r="LE34" s="4"/>
      <c r="LF34" s="4"/>
      <c r="LG34" s="4"/>
      <c r="LH34" s="4"/>
      <c r="LI34" s="4"/>
      <c r="LJ34" s="4"/>
      <c r="LK34" s="4"/>
      <c r="LL34" s="4"/>
      <c r="LM34" s="4"/>
      <c r="LN34" s="4"/>
      <c r="LO34" s="4"/>
      <c r="LP34" s="4"/>
      <c r="LQ34" s="4"/>
      <c r="LR34" s="4"/>
      <c r="LS34" s="4"/>
      <c r="LT34" s="4"/>
      <c r="LU34" s="4"/>
      <c r="LV34" s="4"/>
      <c r="LW34" s="4"/>
      <c r="LX34" s="4"/>
      <c r="LY34" s="4"/>
      <c r="LZ34" s="4"/>
      <c r="MA34" s="4"/>
      <c r="MB34" s="4"/>
      <c r="MC34" s="4"/>
      <c r="MD34" s="4"/>
      <c r="ME34" s="4"/>
      <c r="MF34" s="4"/>
      <c r="MG34" s="4"/>
      <c r="MH34" s="4"/>
      <c r="MI34" s="4"/>
      <c r="MJ34" s="4"/>
      <c r="MK34" s="4"/>
      <c r="ML34" s="4"/>
      <c r="MM34" s="4"/>
      <c r="MN34" s="4"/>
      <c r="MO34" s="4"/>
      <c r="MP34" s="4"/>
      <c r="MQ34" s="4"/>
      <c r="MR34" s="4"/>
      <c r="MS34" s="4"/>
      <c r="MT34" s="4"/>
      <c r="MU34" s="4"/>
      <c r="MV34" s="4"/>
      <c r="MW34" s="4"/>
      <c r="MX34" s="4"/>
      <c r="MY34" s="4"/>
      <c r="MZ34" s="4"/>
      <c r="NA34" s="4"/>
      <c r="NB34" s="4"/>
      <c r="NC34" s="4"/>
      <c r="ND34" s="4"/>
      <c r="NE34" s="4"/>
      <c r="NF34" s="4"/>
      <c r="NG34" s="4"/>
      <c r="NH34" s="4"/>
      <c r="NI34" s="4"/>
      <c r="NJ34" s="4"/>
      <c r="NK34" s="4"/>
      <c r="NL34" s="4"/>
      <c r="NM34" s="4"/>
      <c r="NN34" s="4"/>
      <c r="NO34" s="4"/>
      <c r="NP34" s="4"/>
      <c r="NQ34" s="4"/>
      <c r="NR34" s="4"/>
      <c r="NS34" s="4"/>
      <c r="NT34" s="4"/>
      <c r="NU34" s="4"/>
      <c r="NV34" s="4"/>
      <c r="NW34" s="4"/>
      <c r="NX34" s="4"/>
      <c r="NY34" s="4"/>
      <c r="NZ34" s="4"/>
      <c r="OA34" s="4"/>
      <c r="OB34" s="4"/>
      <c r="OC34" s="4"/>
      <c r="OD34" s="4"/>
      <c r="OE34" s="4"/>
      <c r="OF34" s="4"/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</row>
    <row r="35" spans="1:415" s="3" customFormat="1" x14ac:dyDescent="0.3">
      <c r="A35" s="1"/>
      <c r="B35" s="2"/>
      <c r="C35" s="1"/>
      <c r="D35" s="1"/>
      <c r="E35" s="1"/>
      <c r="F35" s="1"/>
      <c r="G35" s="1"/>
      <c r="H35" s="1"/>
      <c r="J35" s="4"/>
      <c r="K35" s="5"/>
      <c r="L35" s="5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4"/>
      <c r="EC35" s="4"/>
      <c r="ED35" s="7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  <c r="IW35" s="4"/>
      <c r="IX35" s="4"/>
      <c r="IY35" s="4"/>
      <c r="IZ35" s="4"/>
      <c r="JA35" s="4"/>
      <c r="JB35" s="4"/>
      <c r="JC35" s="4"/>
      <c r="JD35" s="4"/>
      <c r="JE35" s="4"/>
      <c r="JF35" s="4"/>
      <c r="JG35" s="4"/>
      <c r="JH35" s="4"/>
      <c r="JI35" s="4"/>
      <c r="JJ35" s="4"/>
      <c r="JK35" s="4"/>
      <c r="JL35" s="4"/>
      <c r="JM35" s="4"/>
      <c r="JN35" s="4"/>
      <c r="JO35" s="4"/>
      <c r="JP35" s="4"/>
      <c r="JQ35" s="4"/>
      <c r="JR35" s="4"/>
      <c r="JS35" s="4"/>
      <c r="JT35" s="4"/>
      <c r="JU35" s="4"/>
      <c r="JV35" s="4"/>
      <c r="JW35" s="4"/>
      <c r="JX35" s="4"/>
      <c r="JY35" s="4"/>
      <c r="JZ35" s="4"/>
      <c r="KA35" s="4"/>
      <c r="KB35" s="4"/>
      <c r="KC35" s="4"/>
      <c r="KD35" s="4"/>
      <c r="KE35" s="4"/>
      <c r="KF35" s="4"/>
      <c r="KG35" s="4"/>
      <c r="KH35" s="4"/>
      <c r="KI35" s="4"/>
      <c r="KJ35" s="4"/>
      <c r="KK35" s="4"/>
      <c r="KL35" s="4"/>
      <c r="KM35" s="4"/>
      <c r="KN35" s="4"/>
      <c r="KO35" s="4"/>
      <c r="KP35" s="4"/>
      <c r="KQ35" s="4"/>
      <c r="KR35" s="4"/>
      <c r="KS35" s="4"/>
      <c r="KT35" s="4"/>
      <c r="KU35" s="4"/>
      <c r="KV35" s="4"/>
      <c r="KW35" s="4"/>
      <c r="KX35" s="4"/>
      <c r="KY35" s="4"/>
      <c r="KZ35" s="4"/>
      <c r="LA35" s="4"/>
      <c r="LB35" s="4"/>
      <c r="LC35" s="4"/>
      <c r="LD35" s="4"/>
      <c r="LE35" s="4"/>
      <c r="LF35" s="4"/>
      <c r="LG35" s="4"/>
      <c r="LH35" s="4"/>
      <c r="LI35" s="4"/>
      <c r="LJ35" s="4"/>
      <c r="LK35" s="4"/>
      <c r="LL35" s="4"/>
      <c r="LM35" s="4"/>
      <c r="LN35" s="4"/>
      <c r="LO35" s="4"/>
      <c r="LP35" s="4"/>
      <c r="LQ35" s="4"/>
      <c r="LR35" s="4"/>
      <c r="LS35" s="4"/>
      <c r="LT35" s="4"/>
      <c r="LU35" s="4"/>
      <c r="LV35" s="4"/>
      <c r="LW35" s="4"/>
      <c r="LX35" s="4"/>
      <c r="LY35" s="4"/>
      <c r="LZ35" s="4"/>
      <c r="MA35" s="4"/>
      <c r="MB35" s="4"/>
      <c r="MC35" s="4"/>
      <c r="MD35" s="4"/>
      <c r="ME35" s="4"/>
      <c r="MF35" s="4"/>
      <c r="MG35" s="4"/>
      <c r="MH35" s="4"/>
      <c r="MI35" s="4"/>
      <c r="MJ35" s="4"/>
      <c r="MK35" s="4"/>
      <c r="ML35" s="4"/>
      <c r="MM35" s="4"/>
      <c r="MN35" s="4"/>
      <c r="MO35" s="4"/>
      <c r="MP35" s="4"/>
      <c r="MQ35" s="4"/>
      <c r="MR35" s="4"/>
      <c r="MS35" s="4"/>
      <c r="MT35" s="4"/>
      <c r="MU35" s="4"/>
      <c r="MV35" s="4"/>
      <c r="MW35" s="4"/>
      <c r="MX35" s="4"/>
      <c r="MY35" s="4"/>
      <c r="MZ35" s="4"/>
      <c r="NA35" s="4"/>
      <c r="NB35" s="4"/>
      <c r="NC35" s="4"/>
      <c r="ND35" s="4"/>
      <c r="NE35" s="4"/>
      <c r="NF35" s="4"/>
      <c r="NG35" s="4"/>
      <c r="NH35" s="4"/>
      <c r="NI35" s="4"/>
      <c r="NJ35" s="4"/>
      <c r="NK35" s="4"/>
      <c r="NL35" s="4"/>
      <c r="NM35" s="4"/>
      <c r="NN35" s="4"/>
      <c r="NO35" s="4"/>
      <c r="NP35" s="4"/>
      <c r="NQ35" s="4"/>
      <c r="NR35" s="4"/>
      <c r="NS35" s="4"/>
      <c r="NT35" s="4"/>
      <c r="NU35" s="4"/>
      <c r="NV35" s="4"/>
      <c r="NW35" s="4"/>
      <c r="NX35" s="4"/>
      <c r="NY35" s="4"/>
      <c r="NZ35" s="4"/>
      <c r="OA35" s="4"/>
      <c r="OB35" s="4"/>
      <c r="OC35" s="4"/>
      <c r="OD35" s="4"/>
      <c r="OE35" s="4"/>
      <c r="OF35" s="4"/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</row>
    <row r="36" spans="1:415" s="3" customFormat="1" x14ac:dyDescent="0.3">
      <c r="A36" s="1"/>
      <c r="B36" s="2"/>
      <c r="C36" s="1"/>
      <c r="D36" s="1"/>
      <c r="E36" s="1"/>
      <c r="F36" s="1"/>
      <c r="G36" s="1"/>
      <c r="H36" s="1"/>
      <c r="J36" s="4"/>
      <c r="K36" s="5"/>
      <c r="L36" s="5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4"/>
      <c r="EC36" s="4"/>
      <c r="ED36" s="7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4"/>
      <c r="FJ36" s="4"/>
      <c r="FK36" s="4"/>
      <c r="FL36" s="4"/>
      <c r="FM36" s="4"/>
      <c r="FN36" s="4"/>
      <c r="FO36" s="4"/>
      <c r="FP36" s="4"/>
      <c r="FQ36" s="4"/>
      <c r="FR36" s="4"/>
      <c r="FS36" s="4"/>
      <c r="FT36" s="4"/>
      <c r="FU36" s="4"/>
      <c r="FV36" s="4"/>
      <c r="FW36" s="4"/>
      <c r="FX36" s="4"/>
      <c r="FY36" s="4"/>
      <c r="FZ36" s="4"/>
      <c r="GA36" s="4"/>
      <c r="GB36" s="4"/>
      <c r="GC36" s="4"/>
      <c r="GD36" s="4"/>
      <c r="GE36" s="4"/>
      <c r="GF36" s="4"/>
      <c r="GG36" s="4"/>
      <c r="GH36" s="4"/>
      <c r="GI36" s="4"/>
      <c r="GJ36" s="4"/>
      <c r="GK36" s="4"/>
      <c r="GL36" s="4"/>
      <c r="GM36" s="4"/>
      <c r="GN36" s="4"/>
      <c r="GO36" s="4"/>
      <c r="GP36" s="4"/>
      <c r="GQ36" s="4"/>
      <c r="GR36" s="4"/>
      <c r="GS36" s="4"/>
      <c r="GT36" s="4"/>
      <c r="GU36" s="4"/>
      <c r="GV36" s="4"/>
      <c r="GW36" s="4"/>
      <c r="GX36" s="4"/>
      <c r="GY36" s="4"/>
      <c r="GZ36" s="4"/>
      <c r="HA36" s="4"/>
      <c r="HB36" s="4"/>
      <c r="HC36" s="4"/>
      <c r="HD36" s="4"/>
      <c r="HE36" s="4"/>
      <c r="HF36" s="4"/>
      <c r="HG36" s="4"/>
      <c r="HH36" s="4"/>
      <c r="HI36" s="4"/>
      <c r="HJ36" s="4"/>
      <c r="HK36" s="4"/>
      <c r="HL36" s="4"/>
      <c r="HM36" s="4"/>
      <c r="HN36" s="4"/>
      <c r="HO36" s="4"/>
      <c r="HP36" s="4"/>
      <c r="HQ36" s="4"/>
      <c r="HR36" s="4"/>
      <c r="HS36" s="4"/>
      <c r="HT36" s="4"/>
      <c r="HU36" s="4"/>
      <c r="HV36" s="4"/>
      <c r="HW36" s="4"/>
      <c r="HX36" s="4"/>
      <c r="HY36" s="4"/>
      <c r="HZ36" s="4"/>
      <c r="IA36" s="4"/>
      <c r="IB36" s="4"/>
      <c r="IC36" s="4"/>
      <c r="ID36" s="4"/>
      <c r="IE36" s="4"/>
      <c r="IF36" s="4"/>
      <c r="IG36" s="4"/>
      <c r="IH36" s="4"/>
      <c r="II36" s="4"/>
      <c r="IJ36" s="4"/>
      <c r="IK36" s="4"/>
      <c r="IL36" s="4"/>
      <c r="IM36" s="4"/>
      <c r="IN36" s="4"/>
      <c r="IO36" s="4"/>
      <c r="IP36" s="4"/>
      <c r="IQ36" s="4"/>
      <c r="IR36" s="4"/>
      <c r="IS36" s="4"/>
      <c r="IT36" s="4"/>
      <c r="IU36" s="4"/>
      <c r="IV36" s="4"/>
      <c r="IW36" s="4"/>
      <c r="IX36" s="4"/>
      <c r="IY36" s="4"/>
      <c r="IZ36" s="4"/>
      <c r="JA36" s="4"/>
      <c r="JB36" s="4"/>
      <c r="JC36" s="4"/>
      <c r="JD36" s="4"/>
      <c r="JE36" s="4"/>
      <c r="JF36" s="4"/>
      <c r="JG36" s="4"/>
      <c r="JH36" s="4"/>
      <c r="JI36" s="4"/>
      <c r="JJ36" s="4"/>
      <c r="JK36" s="4"/>
      <c r="JL36" s="4"/>
      <c r="JM36" s="4"/>
      <c r="JN36" s="4"/>
      <c r="JO36" s="4"/>
      <c r="JP36" s="4"/>
      <c r="JQ36" s="4"/>
      <c r="JR36" s="4"/>
      <c r="JS36" s="4"/>
      <c r="JT36" s="4"/>
      <c r="JU36" s="4"/>
      <c r="JV36" s="4"/>
      <c r="JW36" s="4"/>
      <c r="JX36" s="4"/>
      <c r="JY36" s="4"/>
      <c r="JZ36" s="4"/>
      <c r="KA36" s="4"/>
      <c r="KB36" s="4"/>
      <c r="KC36" s="4"/>
      <c r="KD36" s="4"/>
      <c r="KE36" s="4"/>
      <c r="KF36" s="4"/>
      <c r="KG36" s="4"/>
      <c r="KH36" s="4"/>
      <c r="KI36" s="4"/>
      <c r="KJ36" s="4"/>
      <c r="KK36" s="4"/>
      <c r="KL36" s="4"/>
      <c r="KM36" s="4"/>
      <c r="KN36" s="4"/>
      <c r="KO36" s="4"/>
      <c r="KP36" s="4"/>
      <c r="KQ36" s="4"/>
      <c r="KR36" s="4"/>
      <c r="KS36" s="4"/>
      <c r="KT36" s="4"/>
      <c r="KU36" s="4"/>
      <c r="KV36" s="4"/>
      <c r="KW36" s="4"/>
      <c r="KX36" s="4"/>
      <c r="KY36" s="4"/>
      <c r="KZ36" s="4"/>
      <c r="LA36" s="4"/>
      <c r="LB36" s="4"/>
      <c r="LC36" s="4"/>
      <c r="LD36" s="4"/>
      <c r="LE36" s="4"/>
      <c r="LF36" s="4"/>
      <c r="LG36" s="4"/>
      <c r="LH36" s="4"/>
      <c r="LI36" s="4"/>
      <c r="LJ36" s="4"/>
      <c r="LK36" s="4"/>
      <c r="LL36" s="4"/>
      <c r="LM36" s="4"/>
      <c r="LN36" s="4"/>
      <c r="LO36" s="4"/>
      <c r="LP36" s="4"/>
      <c r="LQ36" s="4"/>
      <c r="LR36" s="4"/>
      <c r="LS36" s="4"/>
      <c r="LT36" s="4"/>
      <c r="LU36" s="4"/>
      <c r="LV36" s="4"/>
      <c r="LW36" s="4"/>
      <c r="LX36" s="4"/>
      <c r="LY36" s="4"/>
      <c r="LZ36" s="4"/>
      <c r="MA36" s="4"/>
      <c r="MB36" s="4"/>
      <c r="MC36" s="4"/>
      <c r="MD36" s="4"/>
      <c r="ME36" s="4"/>
      <c r="MF36" s="4"/>
      <c r="MG36" s="4"/>
      <c r="MH36" s="4"/>
      <c r="MI36" s="4"/>
      <c r="MJ36" s="4"/>
      <c r="MK36" s="4"/>
      <c r="ML36" s="4"/>
      <c r="MM36" s="4"/>
      <c r="MN36" s="4"/>
      <c r="MO36" s="4"/>
      <c r="MP36" s="4"/>
      <c r="MQ36" s="4"/>
      <c r="MR36" s="4"/>
      <c r="MS36" s="4"/>
      <c r="MT36" s="4"/>
      <c r="MU36" s="4"/>
      <c r="MV36" s="4"/>
      <c r="MW36" s="4"/>
      <c r="MX36" s="4"/>
      <c r="MY36" s="4"/>
      <c r="MZ36" s="4"/>
      <c r="NA36" s="4"/>
      <c r="NB36" s="4"/>
      <c r="NC36" s="4"/>
      <c r="ND36" s="4"/>
      <c r="NE36" s="4"/>
      <c r="NF36" s="4"/>
      <c r="NG36" s="4"/>
      <c r="NH36" s="4"/>
      <c r="NI36" s="4"/>
      <c r="NJ36" s="4"/>
      <c r="NK36" s="4"/>
      <c r="NL36" s="4"/>
      <c r="NM36" s="4"/>
      <c r="NN36" s="4"/>
      <c r="NO36" s="4"/>
      <c r="NP36" s="4"/>
      <c r="NQ36" s="4"/>
      <c r="NR36" s="4"/>
      <c r="NS36" s="4"/>
      <c r="NT36" s="4"/>
      <c r="NU36" s="4"/>
      <c r="NV36" s="4"/>
      <c r="NW36" s="4"/>
      <c r="NX36" s="4"/>
      <c r="NY36" s="4"/>
      <c r="NZ36" s="4"/>
      <c r="OA36" s="4"/>
      <c r="OB36" s="4"/>
      <c r="OC36" s="4"/>
      <c r="OD36" s="4"/>
      <c r="OE36" s="4"/>
      <c r="OF36" s="4"/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</row>
    <row r="37" spans="1:415" s="3" customFormat="1" x14ac:dyDescent="0.3">
      <c r="A37" s="1"/>
      <c r="B37" s="2"/>
      <c r="C37" s="1"/>
      <c r="D37" s="1"/>
      <c r="E37" s="1"/>
      <c r="F37" s="1"/>
      <c r="G37" s="1"/>
      <c r="H37" s="1"/>
      <c r="J37" s="4"/>
      <c r="K37" s="5"/>
      <c r="L37" s="5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4"/>
      <c r="EC37" s="4"/>
      <c r="ED37" s="7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4"/>
      <c r="FJ37" s="4"/>
      <c r="FK37" s="4"/>
      <c r="FL37" s="4"/>
      <c r="FM37" s="4"/>
      <c r="FN37" s="4"/>
      <c r="FO37" s="4"/>
      <c r="FP37" s="4"/>
      <c r="FQ37" s="4"/>
      <c r="FR37" s="4"/>
      <c r="FS37" s="4"/>
      <c r="FT37" s="4"/>
      <c r="FU37" s="4"/>
      <c r="FV37" s="4"/>
      <c r="FW37" s="4"/>
      <c r="FX37" s="4"/>
      <c r="FY37" s="4"/>
      <c r="FZ37" s="4"/>
      <c r="GA37" s="4"/>
      <c r="GB37" s="4"/>
      <c r="GC37" s="4"/>
      <c r="GD37" s="4"/>
      <c r="GE37" s="4"/>
      <c r="GF37" s="4"/>
      <c r="GG37" s="4"/>
      <c r="GH37" s="4"/>
      <c r="GI37" s="4"/>
      <c r="GJ37" s="4"/>
      <c r="GK37" s="4"/>
      <c r="GL37" s="4"/>
      <c r="GM37" s="4"/>
      <c r="GN37" s="4"/>
      <c r="GO37" s="4"/>
      <c r="GP37" s="4"/>
      <c r="GQ37" s="4"/>
      <c r="GR37" s="4"/>
      <c r="GS37" s="4"/>
      <c r="GT37" s="4"/>
      <c r="GU37" s="4"/>
      <c r="GV37" s="4"/>
      <c r="GW37" s="4"/>
      <c r="GX37" s="4"/>
      <c r="GY37" s="4"/>
      <c r="GZ37" s="4"/>
      <c r="HA37" s="4"/>
      <c r="HB37" s="4"/>
      <c r="HC37" s="4"/>
      <c r="HD37" s="4"/>
      <c r="HE37" s="4"/>
      <c r="HF37" s="4"/>
      <c r="HG37" s="4"/>
      <c r="HH37" s="4"/>
      <c r="HI37" s="4"/>
      <c r="HJ37" s="4"/>
      <c r="HK37" s="4"/>
      <c r="HL37" s="4"/>
      <c r="HM37" s="4"/>
      <c r="HN37" s="4"/>
      <c r="HO37" s="4"/>
      <c r="HP37" s="4"/>
      <c r="HQ37" s="4"/>
      <c r="HR37" s="4"/>
      <c r="HS37" s="4"/>
      <c r="HT37" s="4"/>
      <c r="HU37" s="4"/>
      <c r="HV37" s="4"/>
      <c r="HW37" s="4"/>
      <c r="HX37" s="4"/>
      <c r="HY37" s="4"/>
      <c r="HZ37" s="4"/>
      <c r="IA37" s="4"/>
      <c r="IB37" s="4"/>
      <c r="IC37" s="4"/>
      <c r="ID37" s="4"/>
      <c r="IE37" s="4"/>
      <c r="IF37" s="4"/>
      <c r="IG37" s="4"/>
      <c r="IH37" s="4"/>
      <c r="II37" s="4"/>
      <c r="IJ37" s="4"/>
      <c r="IK37" s="4"/>
      <c r="IL37" s="4"/>
      <c r="IM37" s="4"/>
      <c r="IN37" s="4"/>
      <c r="IO37" s="4"/>
      <c r="IP37" s="4"/>
      <c r="IQ37" s="4"/>
      <c r="IR37" s="4"/>
      <c r="IS37" s="4"/>
      <c r="IT37" s="4"/>
      <c r="IU37" s="4"/>
      <c r="IV37" s="4"/>
      <c r="IW37" s="4"/>
      <c r="IX37" s="4"/>
      <c r="IY37" s="4"/>
      <c r="IZ37" s="4"/>
      <c r="JA37" s="4"/>
      <c r="JB37" s="4"/>
      <c r="JC37" s="4"/>
      <c r="JD37" s="4"/>
      <c r="JE37" s="4"/>
      <c r="JF37" s="4"/>
      <c r="JG37" s="4"/>
      <c r="JH37" s="4"/>
      <c r="JI37" s="4"/>
      <c r="JJ37" s="4"/>
      <c r="JK37" s="4"/>
      <c r="JL37" s="4"/>
      <c r="JM37" s="4"/>
      <c r="JN37" s="4"/>
      <c r="JO37" s="4"/>
      <c r="JP37" s="4"/>
      <c r="JQ37" s="4"/>
      <c r="JR37" s="4"/>
      <c r="JS37" s="4"/>
      <c r="JT37" s="4"/>
      <c r="JU37" s="4"/>
      <c r="JV37" s="4"/>
      <c r="JW37" s="4"/>
      <c r="JX37" s="4"/>
      <c r="JY37" s="4"/>
      <c r="JZ37" s="4"/>
      <c r="KA37" s="4"/>
      <c r="KB37" s="4"/>
      <c r="KC37" s="4"/>
      <c r="KD37" s="4"/>
      <c r="KE37" s="4"/>
      <c r="KF37" s="4"/>
      <c r="KG37" s="4"/>
      <c r="KH37" s="4"/>
      <c r="KI37" s="4"/>
      <c r="KJ37" s="4"/>
      <c r="KK37" s="4"/>
      <c r="KL37" s="4"/>
      <c r="KM37" s="4"/>
      <c r="KN37" s="4"/>
      <c r="KO37" s="4"/>
      <c r="KP37" s="4"/>
      <c r="KQ37" s="4"/>
      <c r="KR37" s="4"/>
      <c r="KS37" s="4"/>
      <c r="KT37" s="4"/>
      <c r="KU37" s="4"/>
      <c r="KV37" s="4"/>
      <c r="KW37" s="4"/>
      <c r="KX37" s="4"/>
      <c r="KY37" s="4"/>
      <c r="KZ37" s="4"/>
      <c r="LA37" s="4"/>
      <c r="LB37" s="4"/>
      <c r="LC37" s="4"/>
      <c r="LD37" s="4"/>
      <c r="LE37" s="4"/>
      <c r="LF37" s="4"/>
      <c r="LG37" s="4"/>
      <c r="LH37" s="4"/>
      <c r="LI37" s="4"/>
      <c r="LJ37" s="4"/>
      <c r="LK37" s="4"/>
      <c r="LL37" s="4"/>
      <c r="LM37" s="4"/>
      <c r="LN37" s="4"/>
      <c r="LO37" s="4"/>
      <c r="LP37" s="4"/>
      <c r="LQ37" s="4"/>
      <c r="LR37" s="4"/>
      <c r="LS37" s="4"/>
      <c r="LT37" s="4"/>
      <c r="LU37" s="4"/>
      <c r="LV37" s="4"/>
      <c r="LW37" s="4"/>
      <c r="LX37" s="4"/>
      <c r="LY37" s="4"/>
      <c r="LZ37" s="4"/>
      <c r="MA37" s="4"/>
      <c r="MB37" s="4"/>
      <c r="MC37" s="4"/>
      <c r="MD37" s="4"/>
      <c r="ME37" s="4"/>
      <c r="MF37" s="4"/>
      <c r="MG37" s="4"/>
      <c r="MH37" s="4"/>
      <c r="MI37" s="4"/>
      <c r="MJ37" s="4"/>
      <c r="MK37" s="4"/>
      <c r="ML37" s="4"/>
      <c r="MM37" s="4"/>
      <c r="MN37" s="4"/>
      <c r="MO37" s="4"/>
      <c r="MP37" s="4"/>
      <c r="MQ37" s="4"/>
      <c r="MR37" s="4"/>
      <c r="MS37" s="4"/>
      <c r="MT37" s="4"/>
      <c r="MU37" s="4"/>
      <c r="MV37" s="4"/>
      <c r="MW37" s="4"/>
      <c r="MX37" s="4"/>
      <c r="MY37" s="4"/>
      <c r="MZ37" s="4"/>
      <c r="NA37" s="4"/>
      <c r="NB37" s="4"/>
      <c r="NC37" s="4"/>
      <c r="ND37" s="4"/>
      <c r="NE37" s="4"/>
      <c r="NF37" s="4"/>
      <c r="NG37" s="4"/>
      <c r="NH37" s="4"/>
      <c r="NI37" s="4"/>
      <c r="NJ37" s="4"/>
      <c r="NK37" s="4"/>
      <c r="NL37" s="4"/>
      <c r="NM37" s="4"/>
      <c r="NN37" s="4"/>
      <c r="NO37" s="4"/>
      <c r="NP37" s="4"/>
      <c r="NQ37" s="4"/>
      <c r="NR37" s="4"/>
      <c r="NS37" s="4"/>
      <c r="NT37" s="4"/>
      <c r="NU37" s="4"/>
      <c r="NV37" s="4"/>
      <c r="NW37" s="4"/>
      <c r="NX37" s="4"/>
      <c r="NY37" s="4"/>
      <c r="NZ37" s="4"/>
      <c r="OA37" s="4"/>
      <c r="OB37" s="4"/>
      <c r="OC37" s="4"/>
      <c r="OD37" s="4"/>
      <c r="OE37" s="4"/>
      <c r="OF37" s="4"/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</row>
    <row r="38" spans="1:415" s="3" customFormat="1" x14ac:dyDescent="0.3">
      <c r="A38" s="1"/>
      <c r="B38" s="2"/>
      <c r="C38" s="1"/>
      <c r="D38" s="1"/>
      <c r="E38" s="1"/>
      <c r="F38" s="1"/>
      <c r="G38" s="1"/>
      <c r="H38" s="1"/>
      <c r="J38" s="4"/>
      <c r="K38" s="5"/>
      <c r="L38" s="5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4"/>
      <c r="EC38" s="4"/>
      <c r="ED38" s="7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4"/>
      <c r="FJ38" s="4"/>
      <c r="FK38" s="4"/>
      <c r="FL38" s="4"/>
      <c r="FM38" s="4"/>
      <c r="FN38" s="4"/>
      <c r="FO38" s="4"/>
      <c r="FP38" s="4"/>
      <c r="FQ38" s="4"/>
      <c r="FR38" s="4"/>
      <c r="FS38" s="4"/>
      <c r="FT38" s="4"/>
      <c r="FU38" s="4"/>
      <c r="FV38" s="4"/>
      <c r="FW38" s="4"/>
      <c r="FX38" s="4"/>
      <c r="FY38" s="4"/>
      <c r="FZ38" s="4"/>
      <c r="GA38" s="4"/>
      <c r="GB38" s="4"/>
      <c r="GC38" s="4"/>
      <c r="GD38" s="4"/>
      <c r="GE38" s="4"/>
      <c r="GF38" s="4"/>
      <c r="GG38" s="4"/>
      <c r="GH38" s="4"/>
      <c r="GI38" s="4"/>
      <c r="GJ38" s="4"/>
      <c r="GK38" s="4"/>
      <c r="GL38" s="4"/>
      <c r="GM38" s="4"/>
      <c r="GN38" s="4"/>
      <c r="GO38" s="4"/>
      <c r="GP38" s="4"/>
      <c r="GQ38" s="4"/>
      <c r="GR38" s="4"/>
      <c r="GS38" s="4"/>
      <c r="GT38" s="4"/>
      <c r="GU38" s="4"/>
      <c r="GV38" s="4"/>
      <c r="GW38" s="4"/>
      <c r="GX38" s="4"/>
      <c r="GY38" s="4"/>
      <c r="GZ38" s="4"/>
      <c r="HA38" s="4"/>
      <c r="HB38" s="4"/>
      <c r="HC38" s="4"/>
      <c r="HD38" s="4"/>
      <c r="HE38" s="4"/>
      <c r="HF38" s="4"/>
      <c r="HG38" s="4"/>
      <c r="HH38" s="4"/>
      <c r="HI38" s="4"/>
      <c r="HJ38" s="4"/>
      <c r="HK38" s="4"/>
      <c r="HL38" s="4"/>
      <c r="HM38" s="4"/>
      <c r="HN38" s="4"/>
      <c r="HO38" s="4"/>
      <c r="HP38" s="4"/>
      <c r="HQ38" s="4"/>
      <c r="HR38" s="4"/>
      <c r="HS38" s="4"/>
      <c r="HT38" s="4"/>
      <c r="HU38" s="4"/>
      <c r="HV38" s="4"/>
      <c r="HW38" s="4"/>
      <c r="HX38" s="4"/>
      <c r="HY38" s="4"/>
      <c r="HZ38" s="4"/>
      <c r="IA38" s="4"/>
      <c r="IB38" s="4"/>
      <c r="IC38" s="4"/>
      <c r="ID38" s="4"/>
      <c r="IE38" s="4"/>
      <c r="IF38" s="4"/>
      <c r="IG38" s="4"/>
      <c r="IH38" s="4"/>
      <c r="II38" s="4"/>
      <c r="IJ38" s="4"/>
      <c r="IK38" s="4"/>
      <c r="IL38" s="4"/>
      <c r="IM38" s="4"/>
      <c r="IN38" s="4"/>
      <c r="IO38" s="4"/>
      <c r="IP38" s="4"/>
      <c r="IQ38" s="4"/>
      <c r="IR38" s="4"/>
      <c r="IS38" s="4"/>
      <c r="IT38" s="4"/>
      <c r="IU38" s="4"/>
      <c r="IV38" s="4"/>
      <c r="IW38" s="4"/>
      <c r="IX38" s="4"/>
      <c r="IY38" s="4"/>
      <c r="IZ38" s="4"/>
      <c r="JA38" s="4"/>
      <c r="JB38" s="4"/>
      <c r="JC38" s="4"/>
      <c r="JD38" s="4"/>
      <c r="JE38" s="4"/>
      <c r="JF38" s="4"/>
      <c r="JG38" s="4"/>
      <c r="JH38" s="4"/>
      <c r="JI38" s="4"/>
      <c r="JJ38" s="4"/>
      <c r="JK38" s="4"/>
      <c r="JL38" s="4"/>
      <c r="JM38" s="4"/>
      <c r="JN38" s="4"/>
      <c r="JO38" s="4"/>
      <c r="JP38" s="4"/>
      <c r="JQ38" s="4"/>
      <c r="JR38" s="4"/>
      <c r="JS38" s="4"/>
      <c r="JT38" s="4"/>
      <c r="JU38" s="4"/>
      <c r="JV38" s="4"/>
      <c r="JW38" s="4"/>
      <c r="JX38" s="4"/>
      <c r="JY38" s="4"/>
      <c r="JZ38" s="4"/>
      <c r="KA38" s="4"/>
      <c r="KB38" s="4"/>
      <c r="KC38" s="4"/>
      <c r="KD38" s="4"/>
      <c r="KE38" s="4"/>
      <c r="KF38" s="4"/>
      <c r="KG38" s="4"/>
      <c r="KH38" s="4"/>
      <c r="KI38" s="4"/>
      <c r="KJ38" s="4"/>
      <c r="KK38" s="4"/>
      <c r="KL38" s="4"/>
      <c r="KM38" s="4"/>
      <c r="KN38" s="4"/>
      <c r="KO38" s="4"/>
      <c r="KP38" s="4"/>
      <c r="KQ38" s="4"/>
      <c r="KR38" s="4"/>
      <c r="KS38" s="4"/>
      <c r="KT38" s="4"/>
      <c r="KU38" s="4"/>
      <c r="KV38" s="4"/>
      <c r="KW38" s="4"/>
      <c r="KX38" s="4"/>
      <c r="KY38" s="4"/>
      <c r="KZ38" s="4"/>
      <c r="LA38" s="4"/>
      <c r="LB38" s="4"/>
      <c r="LC38" s="4"/>
      <c r="LD38" s="4"/>
      <c r="LE38" s="4"/>
      <c r="LF38" s="4"/>
      <c r="LG38" s="4"/>
      <c r="LH38" s="4"/>
      <c r="LI38" s="4"/>
      <c r="LJ38" s="4"/>
      <c r="LK38" s="4"/>
      <c r="LL38" s="4"/>
      <c r="LM38" s="4"/>
      <c r="LN38" s="4"/>
      <c r="LO38" s="4"/>
      <c r="LP38" s="4"/>
      <c r="LQ38" s="4"/>
      <c r="LR38" s="4"/>
      <c r="LS38" s="4"/>
      <c r="LT38" s="4"/>
      <c r="LU38" s="4"/>
      <c r="LV38" s="4"/>
      <c r="LW38" s="4"/>
      <c r="LX38" s="4"/>
      <c r="LY38" s="4"/>
      <c r="LZ38" s="4"/>
      <c r="MA38" s="4"/>
      <c r="MB38" s="4"/>
      <c r="MC38" s="4"/>
      <c r="MD38" s="4"/>
      <c r="ME38" s="4"/>
      <c r="MF38" s="4"/>
      <c r="MG38" s="4"/>
      <c r="MH38" s="4"/>
      <c r="MI38" s="4"/>
      <c r="MJ38" s="4"/>
      <c r="MK38" s="4"/>
      <c r="ML38" s="4"/>
      <c r="MM38" s="4"/>
      <c r="MN38" s="4"/>
      <c r="MO38" s="4"/>
      <c r="MP38" s="4"/>
      <c r="MQ38" s="4"/>
      <c r="MR38" s="4"/>
      <c r="MS38" s="4"/>
      <c r="MT38" s="4"/>
      <c r="MU38" s="4"/>
      <c r="MV38" s="4"/>
      <c r="MW38" s="4"/>
      <c r="MX38" s="4"/>
      <c r="MY38" s="4"/>
      <c r="MZ38" s="4"/>
      <c r="NA38" s="4"/>
      <c r="NB38" s="4"/>
      <c r="NC38" s="4"/>
      <c r="ND38" s="4"/>
      <c r="NE38" s="4"/>
      <c r="NF38" s="4"/>
      <c r="NG38" s="4"/>
      <c r="NH38" s="4"/>
      <c r="NI38" s="4"/>
      <c r="NJ38" s="4"/>
      <c r="NK38" s="4"/>
      <c r="NL38" s="4"/>
      <c r="NM38" s="4"/>
      <c r="NN38" s="4"/>
      <c r="NO38" s="4"/>
      <c r="NP38" s="4"/>
      <c r="NQ38" s="4"/>
      <c r="NR38" s="4"/>
      <c r="NS38" s="4"/>
      <c r="NT38" s="4"/>
      <c r="NU38" s="4"/>
      <c r="NV38" s="4"/>
      <c r="NW38" s="4"/>
      <c r="NX38" s="4"/>
      <c r="NY38" s="4"/>
      <c r="NZ38" s="4"/>
      <c r="OA38" s="4"/>
      <c r="OB38" s="4"/>
      <c r="OC38" s="4"/>
      <c r="OD38" s="4"/>
      <c r="OE38" s="4"/>
      <c r="OF38" s="4"/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</row>
    <row r="39" spans="1:415" s="3" customFormat="1" x14ac:dyDescent="0.3">
      <c r="A39" s="1"/>
      <c r="B39" s="2"/>
      <c r="C39" s="1"/>
      <c r="D39" s="1"/>
      <c r="E39" s="1"/>
      <c r="F39" s="1"/>
      <c r="G39" s="1"/>
      <c r="H39" s="1"/>
      <c r="J39" s="4"/>
      <c r="K39" s="5"/>
      <c r="L39" s="5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4"/>
      <c r="EC39" s="4"/>
      <c r="ED39" s="7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  <c r="IW39" s="4"/>
      <c r="IX39" s="4"/>
      <c r="IY39" s="4"/>
      <c r="IZ39" s="4"/>
      <c r="JA39" s="4"/>
      <c r="JB39" s="4"/>
      <c r="JC39" s="4"/>
      <c r="JD39" s="4"/>
      <c r="JE39" s="4"/>
      <c r="JF39" s="4"/>
      <c r="JG39" s="4"/>
      <c r="JH39" s="4"/>
      <c r="JI39" s="4"/>
      <c r="JJ39" s="4"/>
      <c r="JK39" s="4"/>
      <c r="JL39" s="4"/>
      <c r="JM39" s="4"/>
      <c r="JN39" s="4"/>
      <c r="JO39" s="4"/>
      <c r="JP39" s="4"/>
      <c r="JQ39" s="4"/>
      <c r="JR39" s="4"/>
      <c r="JS39" s="4"/>
      <c r="JT39" s="4"/>
      <c r="JU39" s="4"/>
      <c r="JV39" s="4"/>
      <c r="JW39" s="4"/>
      <c r="JX39" s="4"/>
      <c r="JY39" s="4"/>
      <c r="JZ39" s="4"/>
      <c r="KA39" s="4"/>
      <c r="KB39" s="4"/>
      <c r="KC39" s="4"/>
      <c r="KD39" s="4"/>
      <c r="KE39" s="4"/>
      <c r="KF39" s="4"/>
      <c r="KG39" s="4"/>
      <c r="KH39" s="4"/>
      <c r="KI39" s="4"/>
      <c r="KJ39" s="4"/>
      <c r="KK39" s="4"/>
      <c r="KL39" s="4"/>
      <c r="KM39" s="4"/>
      <c r="KN39" s="4"/>
      <c r="KO39" s="4"/>
      <c r="KP39" s="4"/>
      <c r="KQ39" s="4"/>
      <c r="KR39" s="4"/>
      <c r="KS39" s="4"/>
      <c r="KT39" s="4"/>
      <c r="KU39" s="4"/>
      <c r="KV39" s="4"/>
      <c r="KW39" s="4"/>
      <c r="KX39" s="4"/>
      <c r="KY39" s="4"/>
      <c r="KZ39" s="4"/>
      <c r="LA39" s="4"/>
      <c r="LB39" s="4"/>
      <c r="LC39" s="4"/>
      <c r="LD39" s="4"/>
      <c r="LE39" s="4"/>
      <c r="LF39" s="4"/>
      <c r="LG39" s="4"/>
      <c r="LH39" s="4"/>
      <c r="LI39" s="4"/>
      <c r="LJ39" s="4"/>
      <c r="LK39" s="4"/>
      <c r="LL39" s="4"/>
      <c r="LM39" s="4"/>
      <c r="LN39" s="4"/>
      <c r="LO39" s="4"/>
      <c r="LP39" s="4"/>
      <c r="LQ39" s="4"/>
      <c r="LR39" s="4"/>
      <c r="LS39" s="4"/>
      <c r="LT39" s="4"/>
      <c r="LU39" s="4"/>
      <c r="LV39" s="4"/>
      <c r="LW39" s="4"/>
      <c r="LX39" s="4"/>
      <c r="LY39" s="4"/>
      <c r="LZ39" s="4"/>
      <c r="MA39" s="4"/>
      <c r="MB39" s="4"/>
      <c r="MC39" s="4"/>
      <c r="MD39" s="4"/>
      <c r="ME39" s="4"/>
      <c r="MF39" s="4"/>
      <c r="MG39" s="4"/>
      <c r="MH39" s="4"/>
      <c r="MI39" s="4"/>
      <c r="MJ39" s="4"/>
      <c r="MK39" s="4"/>
      <c r="ML39" s="4"/>
      <c r="MM39" s="4"/>
      <c r="MN39" s="4"/>
      <c r="MO39" s="4"/>
      <c r="MP39" s="4"/>
      <c r="MQ39" s="4"/>
      <c r="MR39" s="4"/>
      <c r="MS39" s="4"/>
      <c r="MT39" s="4"/>
      <c r="MU39" s="4"/>
      <c r="MV39" s="4"/>
      <c r="MW39" s="4"/>
      <c r="MX39" s="4"/>
      <c r="MY39" s="4"/>
      <c r="MZ39" s="4"/>
      <c r="NA39" s="4"/>
      <c r="NB39" s="4"/>
      <c r="NC39" s="4"/>
      <c r="ND39" s="4"/>
      <c r="NE39" s="4"/>
      <c r="NF39" s="4"/>
      <c r="NG39" s="4"/>
      <c r="NH39" s="4"/>
      <c r="NI39" s="4"/>
      <c r="NJ39" s="4"/>
      <c r="NK39" s="4"/>
      <c r="NL39" s="4"/>
      <c r="NM39" s="4"/>
      <c r="NN39" s="4"/>
      <c r="NO39" s="4"/>
      <c r="NP39" s="4"/>
      <c r="NQ39" s="4"/>
      <c r="NR39" s="4"/>
      <c r="NS39" s="4"/>
      <c r="NT39" s="4"/>
      <c r="NU39" s="4"/>
      <c r="NV39" s="4"/>
      <c r="NW39" s="4"/>
      <c r="NX39" s="4"/>
      <c r="NY39" s="4"/>
      <c r="NZ39" s="4"/>
      <c r="OA39" s="4"/>
      <c r="OB39" s="4"/>
      <c r="OC39" s="4"/>
      <c r="OD39" s="4"/>
      <c r="OE39" s="4"/>
      <c r="OF39" s="4"/>
      <c r="OG39" s="4"/>
      <c r="OH39" s="4"/>
      <c r="OI39" s="4"/>
      <c r="OJ39" s="4"/>
      <c r="OK39" s="4"/>
      <c r="OL39" s="4"/>
      <c r="OM39" s="4"/>
      <c r="ON39" s="4"/>
      <c r="OO39" s="4"/>
      <c r="OP39" s="4"/>
      <c r="OQ39" s="4"/>
      <c r="OR39" s="4"/>
      <c r="OS39" s="4"/>
      <c r="OT39" s="4"/>
      <c r="OU39" s="4"/>
      <c r="OV39" s="4"/>
      <c r="OW39" s="4"/>
      <c r="OX39" s="4"/>
      <c r="OY39" s="4"/>
    </row>
    <row r="40" spans="1:415" s="3" customFormat="1" x14ac:dyDescent="0.3">
      <c r="A40" s="1"/>
      <c r="B40" s="2"/>
      <c r="C40" s="1"/>
      <c r="D40" s="1"/>
      <c r="E40" s="1"/>
      <c r="F40" s="1"/>
      <c r="G40" s="1"/>
      <c r="H40" s="1"/>
      <c r="J40" s="4"/>
      <c r="K40" s="5"/>
      <c r="L40" s="5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4"/>
      <c r="EC40" s="4"/>
      <c r="ED40" s="7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4"/>
      <c r="FJ40" s="4"/>
      <c r="FK40" s="4"/>
      <c r="FL40" s="4"/>
      <c r="FM40" s="4"/>
      <c r="FN40" s="4"/>
      <c r="FO40" s="4"/>
      <c r="FP40" s="4"/>
      <c r="FQ40" s="4"/>
      <c r="FR40" s="4"/>
      <c r="FS40" s="4"/>
      <c r="FT40" s="4"/>
      <c r="FU40" s="4"/>
      <c r="FV40" s="4"/>
      <c r="FW40" s="4"/>
      <c r="FX40" s="4"/>
      <c r="FY40" s="4"/>
      <c r="FZ40" s="4"/>
      <c r="GA40" s="4"/>
      <c r="GB40" s="4"/>
      <c r="GC40" s="4"/>
      <c r="GD40" s="4"/>
      <c r="GE40" s="4"/>
      <c r="GF40" s="4"/>
      <c r="GG40" s="4"/>
      <c r="GH40" s="4"/>
      <c r="GI40" s="4"/>
      <c r="GJ40" s="4"/>
      <c r="GK40" s="4"/>
      <c r="GL40" s="4"/>
      <c r="GM40" s="4"/>
      <c r="GN40" s="4"/>
      <c r="GO40" s="4"/>
      <c r="GP40" s="4"/>
      <c r="GQ40" s="4"/>
      <c r="GR40" s="4"/>
      <c r="GS40" s="4"/>
      <c r="GT40" s="4"/>
      <c r="GU40" s="4"/>
      <c r="GV40" s="4"/>
      <c r="GW40" s="4"/>
      <c r="GX40" s="4"/>
      <c r="GY40" s="4"/>
      <c r="GZ40" s="4"/>
      <c r="HA40" s="4"/>
      <c r="HB40" s="4"/>
      <c r="HC40" s="4"/>
      <c r="HD40" s="4"/>
      <c r="HE40" s="4"/>
      <c r="HF40" s="4"/>
      <c r="HG40" s="4"/>
      <c r="HH40" s="4"/>
      <c r="HI40" s="4"/>
      <c r="HJ40" s="4"/>
      <c r="HK40" s="4"/>
      <c r="HL40" s="4"/>
      <c r="HM40" s="4"/>
      <c r="HN40" s="4"/>
      <c r="HO40" s="4"/>
      <c r="HP40" s="4"/>
      <c r="HQ40" s="4"/>
      <c r="HR40" s="4"/>
      <c r="HS40" s="4"/>
      <c r="HT40" s="4"/>
      <c r="HU40" s="4"/>
      <c r="HV40" s="4"/>
      <c r="HW40" s="4"/>
      <c r="HX40" s="4"/>
      <c r="HY40" s="4"/>
      <c r="HZ40" s="4"/>
      <c r="IA40" s="4"/>
      <c r="IB40" s="4"/>
      <c r="IC40" s="4"/>
      <c r="ID40" s="4"/>
      <c r="IE40" s="4"/>
      <c r="IF40" s="4"/>
      <c r="IG40" s="4"/>
      <c r="IH40" s="4"/>
      <c r="II40" s="4"/>
      <c r="IJ40" s="4"/>
      <c r="IK40" s="4"/>
      <c r="IL40" s="4"/>
      <c r="IM40" s="4"/>
      <c r="IN40" s="4"/>
      <c r="IO40" s="4"/>
      <c r="IP40" s="4"/>
      <c r="IQ40" s="4"/>
      <c r="IR40" s="4"/>
      <c r="IS40" s="4"/>
      <c r="IT40" s="4"/>
      <c r="IU40" s="4"/>
      <c r="IV40" s="4"/>
      <c r="IW40" s="4"/>
      <c r="IX40" s="4"/>
      <c r="IY40" s="4"/>
      <c r="IZ40" s="4"/>
      <c r="JA40" s="4"/>
      <c r="JB40" s="4"/>
      <c r="JC40" s="4"/>
      <c r="JD40" s="4"/>
      <c r="JE40" s="4"/>
      <c r="JF40" s="4"/>
      <c r="JG40" s="4"/>
      <c r="JH40" s="4"/>
      <c r="JI40" s="4"/>
      <c r="JJ40" s="4"/>
      <c r="JK40" s="4"/>
      <c r="JL40" s="4"/>
      <c r="JM40" s="4"/>
      <c r="JN40" s="4"/>
      <c r="JO40" s="4"/>
      <c r="JP40" s="4"/>
      <c r="JQ40" s="4"/>
      <c r="JR40" s="4"/>
      <c r="JS40" s="4"/>
      <c r="JT40" s="4"/>
      <c r="JU40" s="4"/>
      <c r="JV40" s="4"/>
      <c r="JW40" s="4"/>
      <c r="JX40" s="4"/>
      <c r="JY40" s="4"/>
      <c r="JZ40" s="4"/>
      <c r="KA40" s="4"/>
      <c r="KB40" s="4"/>
      <c r="KC40" s="4"/>
      <c r="KD40" s="4"/>
      <c r="KE40" s="4"/>
      <c r="KF40" s="4"/>
      <c r="KG40" s="4"/>
      <c r="KH40" s="4"/>
      <c r="KI40" s="4"/>
      <c r="KJ40" s="4"/>
      <c r="KK40" s="4"/>
      <c r="KL40" s="4"/>
      <c r="KM40" s="4"/>
      <c r="KN40" s="4"/>
      <c r="KO40" s="4"/>
      <c r="KP40" s="4"/>
      <c r="KQ40" s="4"/>
      <c r="KR40" s="4"/>
      <c r="KS40" s="4"/>
      <c r="KT40" s="4"/>
      <c r="KU40" s="4"/>
      <c r="KV40" s="4"/>
      <c r="KW40" s="4"/>
      <c r="KX40" s="4"/>
      <c r="KY40" s="4"/>
      <c r="KZ40" s="4"/>
      <c r="LA40" s="4"/>
      <c r="LB40" s="4"/>
      <c r="LC40" s="4"/>
      <c r="LD40" s="4"/>
      <c r="LE40" s="4"/>
      <c r="LF40" s="4"/>
      <c r="LG40" s="4"/>
      <c r="LH40" s="4"/>
      <c r="LI40" s="4"/>
      <c r="LJ40" s="4"/>
      <c r="LK40" s="4"/>
      <c r="LL40" s="4"/>
      <c r="LM40" s="4"/>
      <c r="LN40" s="4"/>
      <c r="LO40" s="4"/>
      <c r="LP40" s="4"/>
      <c r="LQ40" s="4"/>
      <c r="LR40" s="4"/>
      <c r="LS40" s="4"/>
      <c r="LT40" s="4"/>
      <c r="LU40" s="4"/>
      <c r="LV40" s="4"/>
      <c r="LW40" s="4"/>
      <c r="LX40" s="4"/>
      <c r="LY40" s="4"/>
      <c r="LZ40" s="4"/>
      <c r="MA40" s="4"/>
      <c r="MB40" s="4"/>
      <c r="MC40" s="4"/>
      <c r="MD40" s="4"/>
      <c r="ME40" s="4"/>
      <c r="MF40" s="4"/>
      <c r="MG40" s="4"/>
      <c r="MH40" s="4"/>
      <c r="MI40" s="4"/>
      <c r="MJ40" s="4"/>
      <c r="MK40" s="4"/>
      <c r="ML40" s="4"/>
      <c r="MM40" s="4"/>
      <c r="MN40" s="4"/>
      <c r="MO40" s="4"/>
      <c r="MP40" s="4"/>
      <c r="MQ40" s="4"/>
      <c r="MR40" s="4"/>
      <c r="MS40" s="4"/>
      <c r="MT40" s="4"/>
      <c r="MU40" s="4"/>
      <c r="MV40" s="4"/>
      <c r="MW40" s="4"/>
      <c r="MX40" s="4"/>
      <c r="MY40" s="4"/>
      <c r="MZ40" s="4"/>
      <c r="NA40" s="4"/>
      <c r="NB40" s="4"/>
      <c r="NC40" s="4"/>
      <c r="ND40" s="4"/>
      <c r="NE40" s="4"/>
      <c r="NF40" s="4"/>
      <c r="NG40" s="4"/>
      <c r="NH40" s="4"/>
      <c r="NI40" s="4"/>
      <c r="NJ40" s="4"/>
      <c r="NK40" s="4"/>
      <c r="NL40" s="4"/>
      <c r="NM40" s="4"/>
      <c r="NN40" s="4"/>
      <c r="NO40" s="4"/>
      <c r="NP40" s="4"/>
      <c r="NQ40" s="4"/>
      <c r="NR40" s="4"/>
      <c r="NS40" s="4"/>
      <c r="NT40" s="4"/>
      <c r="NU40" s="4"/>
      <c r="NV40" s="4"/>
      <c r="NW40" s="4"/>
      <c r="NX40" s="4"/>
      <c r="NY40" s="4"/>
      <c r="NZ40" s="4"/>
      <c r="OA40" s="4"/>
      <c r="OB40" s="4"/>
      <c r="OC40" s="4"/>
      <c r="OD40" s="4"/>
      <c r="OE40" s="4"/>
      <c r="OF40" s="4"/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</row>
    <row r="41" spans="1:415" s="3" customFormat="1" x14ac:dyDescent="0.3">
      <c r="A41" s="1"/>
      <c r="B41" s="2"/>
      <c r="C41" s="1"/>
      <c r="D41" s="1"/>
      <c r="E41" s="1"/>
      <c r="F41" s="1"/>
      <c r="G41" s="1"/>
      <c r="H41" s="1"/>
      <c r="J41" s="4"/>
      <c r="K41" s="5"/>
      <c r="L41" s="5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4"/>
      <c r="EC41" s="4"/>
      <c r="ED41" s="7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4"/>
      <c r="FJ41" s="4"/>
      <c r="FK41" s="4"/>
      <c r="FL41" s="4"/>
      <c r="FM41" s="4"/>
      <c r="FN41" s="4"/>
      <c r="FO41" s="4"/>
      <c r="FP41" s="4"/>
      <c r="FQ41" s="4"/>
      <c r="FR41" s="4"/>
      <c r="FS41" s="4"/>
      <c r="FT41" s="4"/>
      <c r="FU41" s="4"/>
      <c r="FV41" s="4"/>
      <c r="FW41" s="4"/>
      <c r="FX41" s="4"/>
      <c r="FY41" s="4"/>
      <c r="FZ41" s="4"/>
      <c r="GA41" s="4"/>
      <c r="GB41" s="4"/>
      <c r="GC41" s="4"/>
      <c r="GD41" s="4"/>
      <c r="GE41" s="4"/>
      <c r="GF41" s="4"/>
      <c r="GG41" s="4"/>
      <c r="GH41" s="4"/>
      <c r="GI41" s="4"/>
      <c r="GJ41" s="4"/>
      <c r="GK41" s="4"/>
      <c r="GL41" s="4"/>
      <c r="GM41" s="4"/>
      <c r="GN41" s="4"/>
      <c r="GO41" s="4"/>
      <c r="GP41" s="4"/>
      <c r="GQ41" s="4"/>
      <c r="GR41" s="4"/>
      <c r="GS41" s="4"/>
      <c r="GT41" s="4"/>
      <c r="GU41" s="4"/>
      <c r="GV41" s="4"/>
      <c r="GW41" s="4"/>
      <c r="GX41" s="4"/>
      <c r="GY41" s="4"/>
      <c r="GZ41" s="4"/>
      <c r="HA41" s="4"/>
      <c r="HB41" s="4"/>
      <c r="HC41" s="4"/>
      <c r="HD41" s="4"/>
      <c r="HE41" s="4"/>
      <c r="HF41" s="4"/>
      <c r="HG41" s="4"/>
      <c r="HH41" s="4"/>
      <c r="HI41" s="4"/>
      <c r="HJ41" s="4"/>
      <c r="HK41" s="4"/>
      <c r="HL41" s="4"/>
      <c r="HM41" s="4"/>
      <c r="HN41" s="4"/>
      <c r="HO41" s="4"/>
      <c r="HP41" s="4"/>
      <c r="HQ41" s="4"/>
      <c r="HR41" s="4"/>
      <c r="HS41" s="4"/>
      <c r="HT41" s="4"/>
      <c r="HU41" s="4"/>
      <c r="HV41" s="4"/>
      <c r="HW41" s="4"/>
      <c r="HX41" s="4"/>
      <c r="HY41" s="4"/>
      <c r="HZ41" s="4"/>
      <c r="IA41" s="4"/>
      <c r="IB41" s="4"/>
      <c r="IC41" s="4"/>
      <c r="ID41" s="4"/>
      <c r="IE41" s="4"/>
      <c r="IF41" s="4"/>
      <c r="IG41" s="4"/>
      <c r="IH41" s="4"/>
      <c r="II41" s="4"/>
      <c r="IJ41" s="4"/>
      <c r="IK41" s="4"/>
      <c r="IL41" s="4"/>
      <c r="IM41" s="4"/>
      <c r="IN41" s="4"/>
      <c r="IO41" s="4"/>
      <c r="IP41" s="4"/>
      <c r="IQ41" s="4"/>
      <c r="IR41" s="4"/>
      <c r="IS41" s="4"/>
      <c r="IT41" s="4"/>
      <c r="IU41" s="4"/>
      <c r="IV41" s="4"/>
      <c r="IW41" s="4"/>
      <c r="IX41" s="4"/>
      <c r="IY41" s="4"/>
      <c r="IZ41" s="4"/>
      <c r="JA41" s="4"/>
      <c r="JB41" s="4"/>
      <c r="JC41" s="4"/>
      <c r="JD41" s="4"/>
      <c r="JE41" s="4"/>
      <c r="JF41" s="4"/>
      <c r="JG41" s="4"/>
      <c r="JH41" s="4"/>
      <c r="JI41" s="4"/>
      <c r="JJ41" s="4"/>
      <c r="JK41" s="4"/>
      <c r="JL41" s="4"/>
      <c r="JM41" s="4"/>
      <c r="JN41" s="4"/>
      <c r="JO41" s="4"/>
      <c r="JP41" s="4"/>
      <c r="JQ41" s="4"/>
      <c r="JR41" s="4"/>
      <c r="JS41" s="4"/>
      <c r="JT41" s="4"/>
      <c r="JU41" s="4"/>
      <c r="JV41" s="4"/>
      <c r="JW41" s="4"/>
      <c r="JX41" s="4"/>
      <c r="JY41" s="4"/>
      <c r="JZ41" s="4"/>
      <c r="KA41" s="4"/>
      <c r="KB41" s="4"/>
      <c r="KC41" s="4"/>
      <c r="KD41" s="4"/>
      <c r="KE41" s="4"/>
      <c r="KF41" s="4"/>
      <c r="KG41" s="4"/>
      <c r="KH41" s="4"/>
      <c r="KI41" s="4"/>
      <c r="KJ41" s="4"/>
      <c r="KK41" s="4"/>
      <c r="KL41" s="4"/>
      <c r="KM41" s="4"/>
      <c r="KN41" s="4"/>
      <c r="KO41" s="4"/>
      <c r="KP41" s="4"/>
      <c r="KQ41" s="4"/>
      <c r="KR41" s="4"/>
      <c r="KS41" s="4"/>
      <c r="KT41" s="4"/>
      <c r="KU41" s="4"/>
      <c r="KV41" s="4"/>
      <c r="KW41" s="4"/>
      <c r="KX41" s="4"/>
      <c r="KY41" s="4"/>
      <c r="KZ41" s="4"/>
      <c r="LA41" s="4"/>
      <c r="LB41" s="4"/>
      <c r="LC41" s="4"/>
      <c r="LD41" s="4"/>
      <c r="LE41" s="4"/>
      <c r="LF41" s="4"/>
      <c r="LG41" s="4"/>
      <c r="LH41" s="4"/>
      <c r="LI41" s="4"/>
      <c r="LJ41" s="4"/>
      <c r="LK41" s="4"/>
      <c r="LL41" s="4"/>
      <c r="LM41" s="4"/>
      <c r="LN41" s="4"/>
      <c r="LO41" s="4"/>
      <c r="LP41" s="4"/>
      <c r="LQ41" s="4"/>
      <c r="LR41" s="4"/>
      <c r="LS41" s="4"/>
      <c r="LT41" s="4"/>
      <c r="LU41" s="4"/>
      <c r="LV41" s="4"/>
      <c r="LW41" s="4"/>
      <c r="LX41" s="4"/>
      <c r="LY41" s="4"/>
      <c r="LZ41" s="4"/>
      <c r="MA41" s="4"/>
      <c r="MB41" s="4"/>
      <c r="MC41" s="4"/>
      <c r="MD41" s="4"/>
      <c r="ME41" s="4"/>
      <c r="MF41" s="4"/>
      <c r="MG41" s="4"/>
      <c r="MH41" s="4"/>
      <c r="MI41" s="4"/>
      <c r="MJ41" s="4"/>
      <c r="MK41" s="4"/>
      <c r="ML41" s="4"/>
      <c r="MM41" s="4"/>
      <c r="MN41" s="4"/>
      <c r="MO41" s="4"/>
      <c r="MP41" s="4"/>
      <c r="MQ41" s="4"/>
      <c r="MR41" s="4"/>
      <c r="MS41" s="4"/>
      <c r="MT41" s="4"/>
      <c r="MU41" s="4"/>
      <c r="MV41" s="4"/>
      <c r="MW41" s="4"/>
      <c r="MX41" s="4"/>
      <c r="MY41" s="4"/>
      <c r="MZ41" s="4"/>
      <c r="NA41" s="4"/>
      <c r="NB41" s="4"/>
      <c r="NC41" s="4"/>
      <c r="ND41" s="4"/>
      <c r="NE41" s="4"/>
      <c r="NF41" s="4"/>
      <c r="NG41" s="4"/>
      <c r="NH41" s="4"/>
      <c r="NI41" s="4"/>
      <c r="NJ41" s="4"/>
      <c r="NK41" s="4"/>
      <c r="NL41" s="4"/>
      <c r="NM41" s="4"/>
      <c r="NN41" s="4"/>
      <c r="NO41" s="4"/>
      <c r="NP41" s="4"/>
      <c r="NQ41" s="4"/>
      <c r="NR41" s="4"/>
      <c r="NS41" s="4"/>
      <c r="NT41" s="4"/>
      <c r="NU41" s="4"/>
      <c r="NV41" s="4"/>
      <c r="NW41" s="4"/>
      <c r="NX41" s="4"/>
      <c r="NY41" s="4"/>
      <c r="NZ41" s="4"/>
      <c r="OA41" s="4"/>
      <c r="OB41" s="4"/>
      <c r="OC41" s="4"/>
      <c r="OD41" s="4"/>
      <c r="OE41" s="4"/>
      <c r="OF41" s="4"/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</row>
    <row r="42" spans="1:415" s="3" customFormat="1" x14ac:dyDescent="0.3">
      <c r="A42" s="1"/>
      <c r="B42" s="2"/>
      <c r="C42" s="1"/>
      <c r="D42" s="1"/>
      <c r="E42" s="1"/>
      <c r="F42" s="1"/>
      <c r="G42" s="1"/>
      <c r="H42" s="1"/>
      <c r="J42" s="4"/>
      <c r="K42" s="5"/>
      <c r="L42" s="5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4"/>
      <c r="EC42" s="4"/>
      <c r="ED42" s="7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4"/>
      <c r="FJ42" s="4"/>
      <c r="FK42" s="4"/>
      <c r="FL42" s="4"/>
      <c r="FM42" s="4"/>
      <c r="FN42" s="4"/>
      <c r="FO42" s="4"/>
      <c r="FP42" s="4"/>
      <c r="FQ42" s="4"/>
      <c r="FR42" s="4"/>
      <c r="FS42" s="4"/>
      <c r="FT42" s="4"/>
      <c r="FU42" s="4"/>
      <c r="FV42" s="4"/>
      <c r="FW42" s="4"/>
      <c r="FX42" s="4"/>
      <c r="FY42" s="4"/>
      <c r="FZ42" s="4"/>
      <c r="GA42" s="4"/>
      <c r="GB42" s="4"/>
      <c r="GC42" s="4"/>
      <c r="GD42" s="4"/>
      <c r="GE42" s="4"/>
      <c r="GF42" s="4"/>
      <c r="GG42" s="4"/>
      <c r="GH42" s="4"/>
      <c r="GI42" s="4"/>
      <c r="GJ42" s="4"/>
      <c r="GK42" s="4"/>
      <c r="GL42" s="4"/>
      <c r="GM42" s="4"/>
      <c r="GN42" s="4"/>
      <c r="GO42" s="4"/>
      <c r="GP42" s="4"/>
      <c r="GQ42" s="4"/>
      <c r="GR42" s="4"/>
      <c r="GS42" s="4"/>
      <c r="GT42" s="4"/>
      <c r="GU42" s="4"/>
      <c r="GV42" s="4"/>
      <c r="GW42" s="4"/>
      <c r="GX42" s="4"/>
      <c r="GY42" s="4"/>
      <c r="GZ42" s="4"/>
      <c r="HA42" s="4"/>
      <c r="HB42" s="4"/>
      <c r="HC42" s="4"/>
      <c r="HD42" s="4"/>
      <c r="HE42" s="4"/>
      <c r="HF42" s="4"/>
      <c r="HG42" s="4"/>
      <c r="HH42" s="4"/>
      <c r="HI42" s="4"/>
      <c r="HJ42" s="4"/>
      <c r="HK42" s="4"/>
      <c r="HL42" s="4"/>
      <c r="HM42" s="4"/>
      <c r="HN42" s="4"/>
      <c r="HO42" s="4"/>
      <c r="HP42" s="4"/>
      <c r="HQ42" s="4"/>
      <c r="HR42" s="4"/>
      <c r="HS42" s="4"/>
      <c r="HT42" s="4"/>
      <c r="HU42" s="4"/>
      <c r="HV42" s="4"/>
      <c r="HW42" s="4"/>
      <c r="HX42" s="4"/>
      <c r="HY42" s="4"/>
      <c r="HZ42" s="4"/>
      <c r="IA42" s="4"/>
      <c r="IB42" s="4"/>
      <c r="IC42" s="4"/>
      <c r="ID42" s="4"/>
      <c r="IE42" s="4"/>
      <c r="IF42" s="4"/>
      <c r="IG42" s="4"/>
      <c r="IH42" s="4"/>
      <c r="II42" s="4"/>
      <c r="IJ42" s="4"/>
      <c r="IK42" s="4"/>
      <c r="IL42" s="4"/>
      <c r="IM42" s="4"/>
      <c r="IN42" s="4"/>
      <c r="IO42" s="4"/>
      <c r="IP42" s="4"/>
      <c r="IQ42" s="4"/>
      <c r="IR42" s="4"/>
      <c r="IS42" s="4"/>
      <c r="IT42" s="4"/>
      <c r="IU42" s="4"/>
      <c r="IV42" s="4"/>
      <c r="IW42" s="4"/>
      <c r="IX42" s="4"/>
      <c r="IY42" s="4"/>
      <c r="IZ42" s="4"/>
      <c r="JA42" s="4"/>
      <c r="JB42" s="4"/>
      <c r="JC42" s="4"/>
      <c r="JD42" s="4"/>
      <c r="JE42" s="4"/>
      <c r="JF42" s="4"/>
      <c r="JG42" s="4"/>
      <c r="JH42" s="4"/>
      <c r="JI42" s="4"/>
      <c r="JJ42" s="4"/>
      <c r="JK42" s="4"/>
      <c r="JL42" s="4"/>
      <c r="JM42" s="4"/>
      <c r="JN42" s="4"/>
      <c r="JO42" s="4"/>
      <c r="JP42" s="4"/>
      <c r="JQ42" s="4"/>
      <c r="JR42" s="4"/>
      <c r="JS42" s="4"/>
      <c r="JT42" s="4"/>
      <c r="JU42" s="4"/>
      <c r="JV42" s="4"/>
      <c r="JW42" s="4"/>
      <c r="JX42" s="4"/>
      <c r="JY42" s="4"/>
      <c r="JZ42" s="4"/>
      <c r="KA42" s="4"/>
      <c r="KB42" s="4"/>
      <c r="KC42" s="4"/>
      <c r="KD42" s="4"/>
      <c r="KE42" s="4"/>
      <c r="KF42" s="4"/>
      <c r="KG42" s="4"/>
      <c r="KH42" s="4"/>
      <c r="KI42" s="4"/>
      <c r="KJ42" s="4"/>
      <c r="KK42" s="4"/>
      <c r="KL42" s="4"/>
      <c r="KM42" s="4"/>
      <c r="KN42" s="4"/>
      <c r="KO42" s="4"/>
      <c r="KP42" s="4"/>
      <c r="KQ42" s="4"/>
      <c r="KR42" s="4"/>
      <c r="KS42" s="4"/>
      <c r="KT42" s="4"/>
      <c r="KU42" s="4"/>
      <c r="KV42" s="4"/>
      <c r="KW42" s="4"/>
      <c r="KX42" s="4"/>
      <c r="KY42" s="4"/>
      <c r="KZ42" s="4"/>
      <c r="LA42" s="4"/>
      <c r="LB42" s="4"/>
      <c r="LC42" s="4"/>
      <c r="LD42" s="4"/>
      <c r="LE42" s="4"/>
      <c r="LF42" s="4"/>
      <c r="LG42" s="4"/>
      <c r="LH42" s="4"/>
      <c r="LI42" s="4"/>
      <c r="LJ42" s="4"/>
      <c r="LK42" s="4"/>
      <c r="LL42" s="4"/>
      <c r="LM42" s="4"/>
      <c r="LN42" s="4"/>
      <c r="LO42" s="4"/>
      <c r="LP42" s="4"/>
      <c r="LQ42" s="4"/>
      <c r="LR42" s="4"/>
      <c r="LS42" s="4"/>
      <c r="LT42" s="4"/>
      <c r="LU42" s="4"/>
      <c r="LV42" s="4"/>
      <c r="LW42" s="4"/>
      <c r="LX42" s="4"/>
      <c r="LY42" s="4"/>
      <c r="LZ42" s="4"/>
      <c r="MA42" s="4"/>
      <c r="MB42" s="4"/>
      <c r="MC42" s="4"/>
      <c r="MD42" s="4"/>
      <c r="ME42" s="4"/>
      <c r="MF42" s="4"/>
      <c r="MG42" s="4"/>
      <c r="MH42" s="4"/>
      <c r="MI42" s="4"/>
      <c r="MJ42" s="4"/>
      <c r="MK42" s="4"/>
      <c r="ML42" s="4"/>
      <c r="MM42" s="4"/>
      <c r="MN42" s="4"/>
      <c r="MO42" s="4"/>
      <c r="MP42" s="4"/>
      <c r="MQ42" s="4"/>
      <c r="MR42" s="4"/>
      <c r="MS42" s="4"/>
      <c r="MT42" s="4"/>
      <c r="MU42" s="4"/>
      <c r="MV42" s="4"/>
      <c r="MW42" s="4"/>
      <c r="MX42" s="4"/>
      <c r="MY42" s="4"/>
      <c r="MZ42" s="4"/>
      <c r="NA42" s="4"/>
      <c r="NB42" s="4"/>
      <c r="NC42" s="4"/>
      <c r="ND42" s="4"/>
      <c r="NE42" s="4"/>
      <c r="NF42" s="4"/>
      <c r="NG42" s="4"/>
      <c r="NH42" s="4"/>
      <c r="NI42" s="4"/>
      <c r="NJ42" s="4"/>
      <c r="NK42" s="4"/>
      <c r="NL42" s="4"/>
      <c r="NM42" s="4"/>
      <c r="NN42" s="4"/>
      <c r="NO42" s="4"/>
      <c r="NP42" s="4"/>
      <c r="NQ42" s="4"/>
      <c r="NR42" s="4"/>
      <c r="NS42" s="4"/>
      <c r="NT42" s="4"/>
      <c r="NU42" s="4"/>
      <c r="NV42" s="4"/>
      <c r="NW42" s="4"/>
      <c r="NX42" s="4"/>
      <c r="NY42" s="4"/>
      <c r="NZ42" s="4"/>
      <c r="OA42" s="4"/>
      <c r="OB42" s="4"/>
      <c r="OC42" s="4"/>
      <c r="OD42" s="4"/>
      <c r="OE42" s="4"/>
      <c r="OF42" s="4"/>
      <c r="OG42" s="4"/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/>
    </row>
    <row r="43" spans="1:415" s="3" customFormat="1" x14ac:dyDescent="0.3">
      <c r="A43" s="1"/>
      <c r="B43" s="2"/>
      <c r="C43" s="1"/>
      <c r="D43" s="1"/>
      <c r="E43" s="1"/>
      <c r="F43" s="1"/>
      <c r="G43" s="1"/>
      <c r="H43" s="1"/>
      <c r="J43" s="4"/>
      <c r="K43" s="5"/>
      <c r="L43" s="5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4"/>
      <c r="EC43" s="4"/>
      <c r="ED43" s="7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4"/>
      <c r="FJ43" s="4"/>
      <c r="FK43" s="4"/>
      <c r="FL43" s="4"/>
      <c r="FM43" s="4"/>
      <c r="FN43" s="4"/>
      <c r="FO43" s="4"/>
      <c r="FP43" s="4"/>
      <c r="FQ43" s="4"/>
      <c r="FR43" s="4"/>
      <c r="FS43" s="4"/>
      <c r="FT43" s="4"/>
      <c r="FU43" s="4"/>
      <c r="FV43" s="4"/>
      <c r="FW43" s="4"/>
      <c r="FX43" s="4"/>
      <c r="FY43" s="4"/>
      <c r="FZ43" s="4"/>
      <c r="GA43" s="4"/>
      <c r="GB43" s="4"/>
      <c r="GC43" s="4"/>
      <c r="GD43" s="4"/>
      <c r="GE43" s="4"/>
      <c r="GF43" s="4"/>
      <c r="GG43" s="4"/>
      <c r="GH43" s="4"/>
      <c r="GI43" s="4"/>
      <c r="GJ43" s="4"/>
      <c r="GK43" s="4"/>
      <c r="GL43" s="4"/>
      <c r="GM43" s="4"/>
      <c r="GN43" s="4"/>
      <c r="GO43" s="4"/>
      <c r="GP43" s="4"/>
      <c r="GQ43" s="4"/>
      <c r="GR43" s="4"/>
      <c r="GS43" s="4"/>
      <c r="GT43" s="4"/>
      <c r="GU43" s="4"/>
      <c r="GV43" s="4"/>
      <c r="GW43" s="4"/>
      <c r="GX43" s="4"/>
      <c r="GY43" s="4"/>
      <c r="GZ43" s="4"/>
      <c r="HA43" s="4"/>
      <c r="HB43" s="4"/>
      <c r="HC43" s="4"/>
      <c r="HD43" s="4"/>
      <c r="HE43" s="4"/>
      <c r="HF43" s="4"/>
      <c r="HG43" s="4"/>
      <c r="HH43" s="4"/>
      <c r="HI43" s="4"/>
      <c r="HJ43" s="4"/>
      <c r="HK43" s="4"/>
      <c r="HL43" s="4"/>
      <c r="HM43" s="4"/>
      <c r="HN43" s="4"/>
      <c r="HO43" s="4"/>
      <c r="HP43" s="4"/>
      <c r="HQ43" s="4"/>
      <c r="HR43" s="4"/>
      <c r="HS43" s="4"/>
      <c r="HT43" s="4"/>
      <c r="HU43" s="4"/>
      <c r="HV43" s="4"/>
      <c r="HW43" s="4"/>
      <c r="HX43" s="4"/>
      <c r="HY43" s="4"/>
      <c r="HZ43" s="4"/>
      <c r="IA43" s="4"/>
      <c r="IB43" s="4"/>
      <c r="IC43" s="4"/>
      <c r="ID43" s="4"/>
      <c r="IE43" s="4"/>
      <c r="IF43" s="4"/>
      <c r="IG43" s="4"/>
      <c r="IH43" s="4"/>
      <c r="II43" s="4"/>
      <c r="IJ43" s="4"/>
      <c r="IK43" s="4"/>
      <c r="IL43" s="4"/>
      <c r="IM43" s="4"/>
      <c r="IN43" s="4"/>
      <c r="IO43" s="4"/>
      <c r="IP43" s="4"/>
      <c r="IQ43" s="4"/>
      <c r="IR43" s="4"/>
      <c r="IS43" s="4"/>
      <c r="IT43" s="4"/>
      <c r="IU43" s="4"/>
      <c r="IV43" s="4"/>
      <c r="IW43" s="4"/>
      <c r="IX43" s="4"/>
      <c r="IY43" s="4"/>
      <c r="IZ43" s="4"/>
      <c r="JA43" s="4"/>
      <c r="JB43" s="4"/>
      <c r="JC43" s="4"/>
      <c r="JD43" s="4"/>
      <c r="JE43" s="4"/>
      <c r="JF43" s="4"/>
      <c r="JG43" s="4"/>
      <c r="JH43" s="4"/>
      <c r="JI43" s="4"/>
      <c r="JJ43" s="4"/>
      <c r="JK43" s="4"/>
      <c r="JL43" s="4"/>
      <c r="JM43" s="4"/>
      <c r="JN43" s="4"/>
      <c r="JO43" s="4"/>
      <c r="JP43" s="4"/>
      <c r="JQ43" s="4"/>
      <c r="JR43" s="4"/>
      <c r="JS43" s="4"/>
      <c r="JT43" s="4"/>
      <c r="JU43" s="4"/>
      <c r="JV43" s="4"/>
      <c r="JW43" s="4"/>
      <c r="JX43" s="4"/>
      <c r="JY43" s="4"/>
      <c r="JZ43" s="4"/>
      <c r="KA43" s="4"/>
      <c r="KB43" s="4"/>
      <c r="KC43" s="4"/>
      <c r="KD43" s="4"/>
      <c r="KE43" s="4"/>
      <c r="KF43" s="4"/>
      <c r="KG43" s="4"/>
      <c r="KH43" s="4"/>
      <c r="KI43" s="4"/>
      <c r="KJ43" s="4"/>
      <c r="KK43" s="4"/>
      <c r="KL43" s="4"/>
      <c r="KM43" s="4"/>
      <c r="KN43" s="4"/>
      <c r="KO43" s="4"/>
      <c r="KP43" s="4"/>
      <c r="KQ43" s="4"/>
      <c r="KR43" s="4"/>
      <c r="KS43" s="4"/>
      <c r="KT43" s="4"/>
      <c r="KU43" s="4"/>
      <c r="KV43" s="4"/>
      <c r="KW43" s="4"/>
      <c r="KX43" s="4"/>
      <c r="KY43" s="4"/>
      <c r="KZ43" s="4"/>
      <c r="LA43" s="4"/>
      <c r="LB43" s="4"/>
      <c r="LC43" s="4"/>
      <c r="LD43" s="4"/>
      <c r="LE43" s="4"/>
      <c r="LF43" s="4"/>
      <c r="LG43" s="4"/>
      <c r="LH43" s="4"/>
      <c r="LI43" s="4"/>
      <c r="LJ43" s="4"/>
      <c r="LK43" s="4"/>
      <c r="LL43" s="4"/>
      <c r="LM43" s="4"/>
      <c r="LN43" s="4"/>
      <c r="LO43" s="4"/>
      <c r="LP43" s="4"/>
      <c r="LQ43" s="4"/>
      <c r="LR43" s="4"/>
      <c r="LS43" s="4"/>
      <c r="LT43" s="4"/>
      <c r="LU43" s="4"/>
      <c r="LV43" s="4"/>
      <c r="LW43" s="4"/>
      <c r="LX43" s="4"/>
      <c r="LY43" s="4"/>
      <c r="LZ43" s="4"/>
      <c r="MA43" s="4"/>
      <c r="MB43" s="4"/>
      <c r="MC43" s="4"/>
      <c r="MD43" s="4"/>
      <c r="ME43" s="4"/>
      <c r="MF43" s="4"/>
      <c r="MG43" s="4"/>
      <c r="MH43" s="4"/>
      <c r="MI43" s="4"/>
      <c r="MJ43" s="4"/>
      <c r="MK43" s="4"/>
      <c r="ML43" s="4"/>
      <c r="MM43" s="4"/>
      <c r="MN43" s="4"/>
      <c r="MO43" s="4"/>
      <c r="MP43" s="4"/>
      <c r="MQ43" s="4"/>
      <c r="MR43" s="4"/>
      <c r="MS43" s="4"/>
      <c r="MT43" s="4"/>
      <c r="MU43" s="4"/>
      <c r="MV43" s="4"/>
      <c r="MW43" s="4"/>
      <c r="MX43" s="4"/>
      <c r="MY43" s="4"/>
      <c r="MZ43" s="4"/>
      <c r="NA43" s="4"/>
      <c r="NB43" s="4"/>
      <c r="NC43" s="4"/>
      <c r="ND43" s="4"/>
      <c r="NE43" s="4"/>
      <c r="NF43" s="4"/>
      <c r="NG43" s="4"/>
      <c r="NH43" s="4"/>
      <c r="NI43" s="4"/>
      <c r="NJ43" s="4"/>
      <c r="NK43" s="4"/>
      <c r="NL43" s="4"/>
      <c r="NM43" s="4"/>
      <c r="NN43" s="4"/>
      <c r="NO43" s="4"/>
      <c r="NP43" s="4"/>
      <c r="NQ43" s="4"/>
      <c r="NR43" s="4"/>
      <c r="NS43" s="4"/>
      <c r="NT43" s="4"/>
      <c r="NU43" s="4"/>
      <c r="NV43" s="4"/>
      <c r="NW43" s="4"/>
      <c r="NX43" s="4"/>
      <c r="NY43" s="4"/>
      <c r="NZ43" s="4"/>
      <c r="OA43" s="4"/>
      <c r="OB43" s="4"/>
      <c r="OC43" s="4"/>
      <c r="OD43" s="4"/>
      <c r="OE43" s="4"/>
      <c r="OF43" s="4"/>
      <c r="OG43" s="4"/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/>
      <c r="OY43" s="4"/>
    </row>
    <row r="44" spans="1:415" s="3" customFormat="1" x14ac:dyDescent="0.3">
      <c r="A44" s="1"/>
      <c r="B44" s="2"/>
      <c r="C44" s="1"/>
      <c r="D44" s="1"/>
      <c r="E44" s="1"/>
      <c r="F44" s="1"/>
      <c r="G44" s="1"/>
      <c r="H44" s="1"/>
      <c r="J44" s="4"/>
      <c r="K44" s="5"/>
      <c r="L44" s="5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4"/>
      <c r="EC44" s="4"/>
      <c r="ED44" s="7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4"/>
      <c r="FJ44" s="4"/>
      <c r="FK44" s="4"/>
      <c r="FL44" s="4"/>
      <c r="FM44" s="4"/>
      <c r="FN44" s="4"/>
      <c r="FO44" s="4"/>
      <c r="FP44" s="4"/>
      <c r="FQ44" s="4"/>
      <c r="FR44" s="4"/>
      <c r="FS44" s="4"/>
      <c r="FT44" s="4"/>
      <c r="FU44" s="4"/>
      <c r="FV44" s="4"/>
      <c r="FW44" s="4"/>
      <c r="FX44" s="4"/>
      <c r="FY44" s="4"/>
      <c r="FZ44" s="4"/>
      <c r="GA44" s="4"/>
      <c r="GB44" s="4"/>
      <c r="GC44" s="4"/>
      <c r="GD44" s="4"/>
      <c r="GE44" s="4"/>
      <c r="GF44" s="4"/>
      <c r="GG44" s="4"/>
      <c r="GH44" s="4"/>
      <c r="GI44" s="4"/>
      <c r="GJ44" s="4"/>
      <c r="GK44" s="4"/>
      <c r="GL44" s="4"/>
      <c r="GM44" s="4"/>
      <c r="GN44" s="4"/>
      <c r="GO44" s="4"/>
      <c r="GP44" s="4"/>
      <c r="GQ44" s="4"/>
      <c r="GR44" s="4"/>
      <c r="GS44" s="4"/>
      <c r="GT44" s="4"/>
      <c r="GU44" s="4"/>
      <c r="GV44" s="4"/>
      <c r="GW44" s="4"/>
      <c r="GX44" s="4"/>
      <c r="GY44" s="4"/>
      <c r="GZ44" s="4"/>
      <c r="HA44" s="4"/>
      <c r="HB44" s="4"/>
      <c r="HC44" s="4"/>
      <c r="HD44" s="4"/>
      <c r="HE44" s="4"/>
      <c r="HF44" s="4"/>
      <c r="HG44" s="4"/>
      <c r="HH44" s="4"/>
      <c r="HI44" s="4"/>
      <c r="HJ44" s="4"/>
      <c r="HK44" s="4"/>
      <c r="HL44" s="4"/>
      <c r="HM44" s="4"/>
      <c r="HN44" s="4"/>
      <c r="HO44" s="4"/>
      <c r="HP44" s="4"/>
      <c r="HQ44" s="4"/>
      <c r="HR44" s="4"/>
      <c r="HS44" s="4"/>
      <c r="HT44" s="4"/>
      <c r="HU44" s="4"/>
      <c r="HV44" s="4"/>
      <c r="HW44" s="4"/>
      <c r="HX44" s="4"/>
      <c r="HY44" s="4"/>
      <c r="HZ44" s="4"/>
      <c r="IA44" s="4"/>
      <c r="IB44" s="4"/>
      <c r="IC44" s="4"/>
      <c r="ID44" s="4"/>
      <c r="IE44" s="4"/>
      <c r="IF44" s="4"/>
      <c r="IG44" s="4"/>
      <c r="IH44" s="4"/>
      <c r="II44" s="4"/>
      <c r="IJ44" s="4"/>
      <c r="IK44" s="4"/>
      <c r="IL44" s="4"/>
      <c r="IM44" s="4"/>
      <c r="IN44" s="4"/>
      <c r="IO44" s="4"/>
      <c r="IP44" s="4"/>
      <c r="IQ44" s="4"/>
      <c r="IR44" s="4"/>
      <c r="IS44" s="4"/>
      <c r="IT44" s="4"/>
      <c r="IU44" s="4"/>
      <c r="IV44" s="4"/>
      <c r="IW44" s="4"/>
      <c r="IX44" s="4"/>
      <c r="IY44" s="4"/>
      <c r="IZ44" s="4"/>
      <c r="JA44" s="4"/>
      <c r="JB44" s="4"/>
      <c r="JC44" s="4"/>
      <c r="JD44" s="4"/>
      <c r="JE44" s="4"/>
      <c r="JF44" s="4"/>
      <c r="JG44" s="4"/>
      <c r="JH44" s="4"/>
      <c r="JI44" s="4"/>
      <c r="JJ44" s="4"/>
      <c r="JK44" s="4"/>
      <c r="JL44" s="4"/>
      <c r="JM44" s="4"/>
      <c r="JN44" s="4"/>
      <c r="JO44" s="4"/>
      <c r="JP44" s="4"/>
      <c r="JQ44" s="4"/>
      <c r="JR44" s="4"/>
      <c r="JS44" s="4"/>
      <c r="JT44" s="4"/>
      <c r="JU44" s="4"/>
      <c r="JV44" s="4"/>
      <c r="JW44" s="4"/>
      <c r="JX44" s="4"/>
      <c r="JY44" s="4"/>
      <c r="JZ44" s="4"/>
      <c r="KA44" s="4"/>
      <c r="KB44" s="4"/>
      <c r="KC44" s="4"/>
      <c r="KD44" s="4"/>
      <c r="KE44" s="4"/>
      <c r="KF44" s="4"/>
      <c r="KG44" s="4"/>
      <c r="KH44" s="4"/>
      <c r="KI44" s="4"/>
      <c r="KJ44" s="4"/>
      <c r="KK44" s="4"/>
      <c r="KL44" s="4"/>
      <c r="KM44" s="4"/>
      <c r="KN44" s="4"/>
      <c r="KO44" s="4"/>
      <c r="KP44" s="4"/>
      <c r="KQ44" s="4"/>
      <c r="KR44" s="4"/>
      <c r="KS44" s="4"/>
      <c r="KT44" s="4"/>
      <c r="KU44" s="4"/>
      <c r="KV44" s="4"/>
      <c r="KW44" s="4"/>
      <c r="KX44" s="4"/>
      <c r="KY44" s="4"/>
      <c r="KZ44" s="4"/>
      <c r="LA44" s="4"/>
      <c r="LB44" s="4"/>
      <c r="LC44" s="4"/>
      <c r="LD44" s="4"/>
      <c r="LE44" s="4"/>
      <c r="LF44" s="4"/>
      <c r="LG44" s="4"/>
      <c r="LH44" s="4"/>
      <c r="LI44" s="4"/>
      <c r="LJ44" s="4"/>
      <c r="LK44" s="4"/>
      <c r="LL44" s="4"/>
      <c r="LM44" s="4"/>
      <c r="LN44" s="4"/>
      <c r="LO44" s="4"/>
      <c r="LP44" s="4"/>
      <c r="LQ44" s="4"/>
      <c r="LR44" s="4"/>
      <c r="LS44" s="4"/>
      <c r="LT44" s="4"/>
      <c r="LU44" s="4"/>
      <c r="LV44" s="4"/>
      <c r="LW44" s="4"/>
      <c r="LX44" s="4"/>
      <c r="LY44" s="4"/>
      <c r="LZ44" s="4"/>
      <c r="MA44" s="4"/>
      <c r="MB44" s="4"/>
      <c r="MC44" s="4"/>
      <c r="MD44" s="4"/>
      <c r="ME44" s="4"/>
      <c r="MF44" s="4"/>
      <c r="MG44" s="4"/>
      <c r="MH44" s="4"/>
      <c r="MI44" s="4"/>
      <c r="MJ44" s="4"/>
      <c r="MK44" s="4"/>
      <c r="ML44" s="4"/>
      <c r="MM44" s="4"/>
      <c r="MN44" s="4"/>
      <c r="MO44" s="4"/>
      <c r="MP44" s="4"/>
      <c r="MQ44" s="4"/>
      <c r="MR44" s="4"/>
      <c r="MS44" s="4"/>
      <c r="MT44" s="4"/>
      <c r="MU44" s="4"/>
      <c r="MV44" s="4"/>
      <c r="MW44" s="4"/>
      <c r="MX44" s="4"/>
      <c r="MY44" s="4"/>
      <c r="MZ44" s="4"/>
      <c r="NA44" s="4"/>
      <c r="NB44" s="4"/>
      <c r="NC44" s="4"/>
      <c r="ND44" s="4"/>
      <c r="NE44" s="4"/>
      <c r="NF44" s="4"/>
      <c r="NG44" s="4"/>
      <c r="NH44" s="4"/>
      <c r="NI44" s="4"/>
      <c r="NJ44" s="4"/>
      <c r="NK44" s="4"/>
      <c r="NL44" s="4"/>
      <c r="NM44" s="4"/>
      <c r="NN44" s="4"/>
      <c r="NO44" s="4"/>
      <c r="NP44" s="4"/>
      <c r="NQ44" s="4"/>
      <c r="NR44" s="4"/>
      <c r="NS44" s="4"/>
      <c r="NT44" s="4"/>
      <c r="NU44" s="4"/>
      <c r="NV44" s="4"/>
      <c r="NW44" s="4"/>
      <c r="NX44" s="4"/>
      <c r="NY44" s="4"/>
      <c r="NZ44" s="4"/>
      <c r="OA44" s="4"/>
      <c r="OB44" s="4"/>
      <c r="OC44" s="4"/>
      <c r="OD44" s="4"/>
      <c r="OE44" s="4"/>
      <c r="OF44" s="4"/>
      <c r="OG44" s="4"/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</row>
    <row r="45" spans="1:415" s="3" customFormat="1" x14ac:dyDescent="0.3">
      <c r="A45" s="1"/>
      <c r="B45" s="2"/>
      <c r="C45" s="1"/>
      <c r="D45" s="1"/>
      <c r="E45" s="1"/>
      <c r="F45" s="1"/>
      <c r="G45" s="1"/>
      <c r="H45" s="1"/>
      <c r="J45" s="4"/>
      <c r="K45" s="5"/>
      <c r="L45" s="5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4"/>
      <c r="EC45" s="4"/>
      <c r="ED45" s="7"/>
      <c r="EE45" s="8"/>
      <c r="EF45" s="8"/>
      <c r="EG45" s="8"/>
      <c r="EH45" s="8"/>
      <c r="EI45" s="8"/>
      <c r="EJ45" s="8"/>
      <c r="EK45" s="8"/>
      <c r="EL45" s="8"/>
      <c r="EM45" s="8"/>
      <c r="EN45" s="8"/>
      <c r="EO45" s="8"/>
      <c r="EP45" s="8"/>
      <c r="EQ45" s="8"/>
      <c r="ER45" s="8"/>
      <c r="ES45" s="8"/>
      <c r="ET45" s="8"/>
      <c r="EU45" s="8"/>
      <c r="EV45" s="8"/>
      <c r="EW45" s="8"/>
      <c r="EX45" s="8"/>
      <c r="EY45" s="8"/>
      <c r="EZ45" s="8"/>
      <c r="FA45" s="8"/>
      <c r="FB45" s="8"/>
      <c r="FC45" s="8"/>
      <c r="FD45" s="8"/>
      <c r="FE45" s="8"/>
      <c r="FF45" s="8"/>
      <c r="FG45" s="8"/>
      <c r="FH45" s="8"/>
      <c r="FI45" s="4"/>
      <c r="FJ45" s="4"/>
      <c r="FK45" s="4"/>
      <c r="FL45" s="4"/>
      <c r="FM45" s="4"/>
      <c r="FN45" s="4"/>
      <c r="FO45" s="4"/>
      <c r="FP45" s="4"/>
      <c r="FQ45" s="4"/>
      <c r="FR45" s="4"/>
      <c r="FS45" s="4"/>
      <c r="FT45" s="4"/>
      <c r="FU45" s="4"/>
      <c r="FV45" s="4"/>
      <c r="FW45" s="4"/>
      <c r="FX45" s="4"/>
      <c r="FY45" s="4"/>
      <c r="FZ45" s="4"/>
      <c r="GA45" s="4"/>
      <c r="GB45" s="4"/>
      <c r="GC45" s="4"/>
      <c r="GD45" s="4"/>
      <c r="GE45" s="4"/>
      <c r="GF45" s="4"/>
      <c r="GG45" s="4"/>
      <c r="GH45" s="4"/>
      <c r="GI45" s="4"/>
      <c r="GJ45" s="4"/>
      <c r="GK45" s="4"/>
      <c r="GL45" s="4"/>
      <c r="GM45" s="4"/>
      <c r="GN45" s="4"/>
      <c r="GO45" s="4"/>
      <c r="GP45" s="4"/>
      <c r="GQ45" s="4"/>
      <c r="GR45" s="4"/>
      <c r="GS45" s="4"/>
      <c r="GT45" s="4"/>
      <c r="GU45" s="4"/>
      <c r="GV45" s="4"/>
      <c r="GW45" s="4"/>
      <c r="GX45" s="4"/>
      <c r="GY45" s="4"/>
      <c r="GZ45" s="4"/>
      <c r="HA45" s="4"/>
      <c r="HB45" s="4"/>
      <c r="HC45" s="4"/>
      <c r="HD45" s="4"/>
      <c r="HE45" s="4"/>
      <c r="HF45" s="4"/>
      <c r="HG45" s="4"/>
      <c r="HH45" s="4"/>
      <c r="HI45" s="4"/>
      <c r="HJ45" s="4"/>
      <c r="HK45" s="4"/>
      <c r="HL45" s="4"/>
      <c r="HM45" s="4"/>
      <c r="HN45" s="4"/>
      <c r="HO45" s="4"/>
      <c r="HP45" s="4"/>
      <c r="HQ45" s="4"/>
      <c r="HR45" s="4"/>
      <c r="HS45" s="4"/>
      <c r="HT45" s="4"/>
      <c r="HU45" s="4"/>
      <c r="HV45" s="4"/>
      <c r="HW45" s="4"/>
      <c r="HX45" s="4"/>
      <c r="HY45" s="4"/>
      <c r="HZ45" s="4"/>
      <c r="IA45" s="4"/>
      <c r="IB45" s="4"/>
      <c r="IC45" s="4"/>
      <c r="ID45" s="4"/>
      <c r="IE45" s="4"/>
      <c r="IF45" s="4"/>
      <c r="IG45" s="4"/>
      <c r="IH45" s="4"/>
      <c r="II45" s="4"/>
      <c r="IJ45" s="4"/>
      <c r="IK45" s="4"/>
      <c r="IL45" s="4"/>
      <c r="IM45" s="4"/>
      <c r="IN45" s="4"/>
      <c r="IO45" s="4"/>
      <c r="IP45" s="4"/>
      <c r="IQ45" s="4"/>
      <c r="IR45" s="4"/>
      <c r="IS45" s="4"/>
      <c r="IT45" s="4"/>
      <c r="IU45" s="4"/>
      <c r="IV45" s="4"/>
      <c r="IW45" s="4"/>
      <c r="IX45" s="4"/>
      <c r="IY45" s="4"/>
      <c r="IZ45" s="4"/>
      <c r="JA45" s="4"/>
      <c r="JB45" s="4"/>
      <c r="JC45" s="4"/>
      <c r="JD45" s="4"/>
      <c r="JE45" s="4"/>
      <c r="JF45" s="4"/>
      <c r="JG45" s="4"/>
      <c r="JH45" s="4"/>
      <c r="JI45" s="4"/>
      <c r="JJ45" s="4"/>
      <c r="JK45" s="4"/>
      <c r="JL45" s="4"/>
      <c r="JM45" s="4"/>
      <c r="JN45" s="4"/>
      <c r="JO45" s="4"/>
      <c r="JP45" s="4"/>
      <c r="JQ45" s="4"/>
      <c r="JR45" s="4"/>
      <c r="JS45" s="4"/>
      <c r="JT45" s="4"/>
      <c r="JU45" s="4"/>
      <c r="JV45" s="4"/>
      <c r="JW45" s="4"/>
      <c r="JX45" s="4"/>
      <c r="JY45" s="4"/>
      <c r="JZ45" s="4"/>
      <c r="KA45" s="4"/>
      <c r="KB45" s="4"/>
      <c r="KC45" s="4"/>
      <c r="KD45" s="4"/>
      <c r="KE45" s="4"/>
      <c r="KF45" s="4"/>
      <c r="KG45" s="4"/>
      <c r="KH45" s="4"/>
      <c r="KI45" s="4"/>
      <c r="KJ45" s="4"/>
      <c r="KK45" s="4"/>
      <c r="KL45" s="4"/>
      <c r="KM45" s="4"/>
      <c r="KN45" s="4"/>
      <c r="KO45" s="4"/>
      <c r="KP45" s="4"/>
      <c r="KQ45" s="4"/>
      <c r="KR45" s="4"/>
      <c r="KS45" s="4"/>
      <c r="KT45" s="4"/>
      <c r="KU45" s="4"/>
      <c r="KV45" s="4"/>
      <c r="KW45" s="4"/>
      <c r="KX45" s="4"/>
      <c r="KY45" s="4"/>
      <c r="KZ45" s="4"/>
      <c r="LA45" s="4"/>
      <c r="LB45" s="4"/>
      <c r="LC45" s="4"/>
      <c r="LD45" s="4"/>
      <c r="LE45" s="4"/>
      <c r="LF45" s="4"/>
      <c r="LG45" s="4"/>
      <c r="LH45" s="4"/>
      <c r="LI45" s="4"/>
      <c r="LJ45" s="4"/>
      <c r="LK45" s="4"/>
      <c r="LL45" s="4"/>
      <c r="LM45" s="4"/>
      <c r="LN45" s="4"/>
      <c r="LO45" s="4"/>
      <c r="LP45" s="4"/>
      <c r="LQ45" s="4"/>
      <c r="LR45" s="4"/>
      <c r="LS45" s="4"/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  <c r="MS45" s="4"/>
      <c r="MT45" s="4"/>
      <c r="MU45" s="4"/>
      <c r="MV45" s="4"/>
      <c r="MW45" s="4"/>
      <c r="MX45" s="4"/>
      <c r="MY45" s="4"/>
      <c r="MZ45" s="4"/>
      <c r="NA45" s="4"/>
      <c r="NB45" s="4"/>
      <c r="NC45" s="4"/>
      <c r="ND45" s="4"/>
      <c r="NE45" s="4"/>
      <c r="NF45" s="4"/>
      <c r="NG45" s="4"/>
      <c r="NH45" s="4"/>
      <c r="NI45" s="4"/>
      <c r="NJ45" s="4"/>
      <c r="NK45" s="4"/>
      <c r="NL45" s="4"/>
      <c r="NM45" s="4"/>
      <c r="NN45" s="4"/>
      <c r="NO45" s="4"/>
      <c r="NP45" s="4"/>
      <c r="NQ45" s="4"/>
      <c r="NR45" s="4"/>
      <c r="NS45" s="4"/>
      <c r="NT45" s="4"/>
      <c r="NU45" s="4"/>
      <c r="NV45" s="4"/>
      <c r="NW45" s="4"/>
      <c r="NX45" s="4"/>
      <c r="NY45" s="4"/>
      <c r="NZ45" s="4"/>
      <c r="OA45" s="4"/>
      <c r="OB45" s="4"/>
      <c r="OC45" s="4"/>
      <c r="OD45" s="4"/>
      <c r="OE45" s="4"/>
      <c r="OF45" s="4"/>
      <c r="OG45" s="4"/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</row>
    <row r="46" spans="1:415" s="3" customFormat="1" x14ac:dyDescent="0.3">
      <c r="A46" s="1"/>
      <c r="B46" s="2"/>
      <c r="C46" s="1"/>
      <c r="D46" s="1"/>
      <c r="E46" s="1"/>
      <c r="F46" s="1"/>
      <c r="G46" s="1"/>
      <c r="H46" s="1"/>
      <c r="J46" s="4"/>
      <c r="K46" s="5"/>
      <c r="L46" s="5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4"/>
      <c r="EC46" s="4"/>
      <c r="ED46" s="7"/>
      <c r="EE46" s="8"/>
      <c r="EF46" s="8"/>
      <c r="EG46" s="8"/>
      <c r="EH46" s="8"/>
      <c r="EI46" s="8"/>
      <c r="EJ46" s="8"/>
      <c r="EK46" s="8"/>
      <c r="EL46" s="8"/>
      <c r="EM46" s="8"/>
      <c r="EN46" s="8"/>
      <c r="EO46" s="8"/>
      <c r="EP46" s="8"/>
      <c r="EQ46" s="8"/>
      <c r="ER46" s="8"/>
      <c r="ES46" s="8"/>
      <c r="ET46" s="8"/>
      <c r="EU46" s="8"/>
      <c r="EV46" s="8"/>
      <c r="EW46" s="8"/>
      <c r="EX46" s="8"/>
      <c r="EY46" s="8"/>
      <c r="EZ46" s="8"/>
      <c r="FA46" s="8"/>
      <c r="FB46" s="8"/>
      <c r="FC46" s="8"/>
      <c r="FD46" s="8"/>
      <c r="FE46" s="8"/>
      <c r="FF46" s="8"/>
      <c r="FG46" s="8"/>
      <c r="FH46" s="8"/>
      <c r="FI46" s="4"/>
      <c r="FJ46" s="4"/>
      <c r="FK46" s="4"/>
      <c r="FL46" s="4"/>
      <c r="FM46" s="4"/>
      <c r="FN46" s="4"/>
      <c r="FO46" s="4"/>
      <c r="FP46" s="4"/>
      <c r="FQ46" s="4"/>
      <c r="FR46" s="4"/>
      <c r="FS46" s="4"/>
      <c r="FT46" s="4"/>
      <c r="FU46" s="4"/>
      <c r="FV46" s="4"/>
      <c r="FW46" s="4"/>
      <c r="FX46" s="4"/>
      <c r="FY46" s="4"/>
      <c r="FZ46" s="4"/>
      <c r="GA46" s="4"/>
      <c r="GB46" s="4"/>
      <c r="GC46" s="4"/>
      <c r="GD46" s="4"/>
      <c r="GE46" s="4"/>
      <c r="GF46" s="4"/>
      <c r="GG46" s="4"/>
      <c r="GH46" s="4"/>
      <c r="GI46" s="4"/>
      <c r="GJ46" s="4"/>
      <c r="GK46" s="4"/>
      <c r="GL46" s="4"/>
      <c r="GM46" s="4"/>
      <c r="GN46" s="4"/>
      <c r="GO46" s="4"/>
      <c r="GP46" s="4"/>
      <c r="GQ46" s="4"/>
      <c r="GR46" s="4"/>
      <c r="GS46" s="4"/>
      <c r="GT46" s="4"/>
      <c r="GU46" s="4"/>
      <c r="GV46" s="4"/>
      <c r="GW46" s="4"/>
      <c r="GX46" s="4"/>
      <c r="GY46" s="4"/>
      <c r="GZ46" s="4"/>
      <c r="HA46" s="4"/>
      <c r="HB46" s="4"/>
      <c r="HC46" s="4"/>
      <c r="HD46" s="4"/>
      <c r="HE46" s="4"/>
      <c r="HF46" s="4"/>
      <c r="HG46" s="4"/>
      <c r="HH46" s="4"/>
      <c r="HI46" s="4"/>
      <c r="HJ46" s="4"/>
      <c r="HK46" s="4"/>
      <c r="HL46" s="4"/>
      <c r="HM46" s="4"/>
      <c r="HN46" s="4"/>
      <c r="HO46" s="4"/>
      <c r="HP46" s="4"/>
      <c r="HQ46" s="4"/>
      <c r="HR46" s="4"/>
      <c r="HS46" s="4"/>
      <c r="HT46" s="4"/>
      <c r="HU46" s="4"/>
      <c r="HV46" s="4"/>
      <c r="HW46" s="4"/>
      <c r="HX46" s="4"/>
      <c r="HY46" s="4"/>
      <c r="HZ46" s="4"/>
      <c r="IA46" s="4"/>
      <c r="IB46" s="4"/>
      <c r="IC46" s="4"/>
      <c r="ID46" s="4"/>
      <c r="IE46" s="4"/>
      <c r="IF46" s="4"/>
      <c r="IG46" s="4"/>
      <c r="IH46" s="4"/>
      <c r="II46" s="4"/>
      <c r="IJ46" s="4"/>
      <c r="IK46" s="4"/>
      <c r="IL46" s="4"/>
      <c r="IM46" s="4"/>
      <c r="IN46" s="4"/>
      <c r="IO46" s="4"/>
      <c r="IP46" s="4"/>
      <c r="IQ46" s="4"/>
      <c r="IR46" s="4"/>
      <c r="IS46" s="4"/>
      <c r="IT46" s="4"/>
      <c r="IU46" s="4"/>
      <c r="IV46" s="4"/>
      <c r="IW46" s="4"/>
      <c r="IX46" s="4"/>
      <c r="IY46" s="4"/>
      <c r="IZ46" s="4"/>
      <c r="JA46" s="4"/>
      <c r="JB46" s="4"/>
      <c r="JC46" s="4"/>
      <c r="JD46" s="4"/>
      <c r="JE46" s="4"/>
      <c r="JF46" s="4"/>
      <c r="JG46" s="4"/>
      <c r="JH46" s="4"/>
      <c r="JI46" s="4"/>
      <c r="JJ46" s="4"/>
      <c r="JK46" s="4"/>
      <c r="JL46" s="4"/>
      <c r="JM46" s="4"/>
      <c r="JN46" s="4"/>
      <c r="JO46" s="4"/>
      <c r="JP46" s="4"/>
      <c r="JQ46" s="4"/>
      <c r="JR46" s="4"/>
      <c r="JS46" s="4"/>
      <c r="JT46" s="4"/>
      <c r="JU46" s="4"/>
      <c r="JV46" s="4"/>
      <c r="JW46" s="4"/>
      <c r="JX46" s="4"/>
      <c r="JY46" s="4"/>
      <c r="JZ46" s="4"/>
      <c r="KA46" s="4"/>
      <c r="KB46" s="4"/>
      <c r="KC46" s="4"/>
      <c r="KD46" s="4"/>
      <c r="KE46" s="4"/>
      <c r="KF46" s="4"/>
      <c r="KG46" s="4"/>
      <c r="KH46" s="4"/>
      <c r="KI46" s="4"/>
      <c r="KJ46" s="4"/>
      <c r="KK46" s="4"/>
      <c r="KL46" s="4"/>
      <c r="KM46" s="4"/>
      <c r="KN46" s="4"/>
      <c r="KO46" s="4"/>
      <c r="KP46" s="4"/>
      <c r="KQ46" s="4"/>
      <c r="KR46" s="4"/>
      <c r="KS46" s="4"/>
      <c r="KT46" s="4"/>
      <c r="KU46" s="4"/>
      <c r="KV46" s="4"/>
      <c r="KW46" s="4"/>
      <c r="KX46" s="4"/>
      <c r="KY46" s="4"/>
      <c r="KZ46" s="4"/>
      <c r="LA46" s="4"/>
      <c r="LB46" s="4"/>
      <c r="LC46" s="4"/>
      <c r="LD46" s="4"/>
      <c r="LE46" s="4"/>
      <c r="LF46" s="4"/>
      <c r="LG46" s="4"/>
      <c r="LH46" s="4"/>
      <c r="LI46" s="4"/>
      <c r="LJ46" s="4"/>
      <c r="LK46" s="4"/>
      <c r="LL46" s="4"/>
      <c r="LM46" s="4"/>
      <c r="LN46" s="4"/>
      <c r="LO46" s="4"/>
      <c r="LP46" s="4"/>
      <c r="LQ46" s="4"/>
      <c r="LR46" s="4"/>
      <c r="LS46" s="4"/>
      <c r="LT46" s="4"/>
      <c r="LU46" s="4"/>
      <c r="LV46" s="4"/>
      <c r="LW46" s="4"/>
      <c r="LX46" s="4"/>
      <c r="LY46" s="4"/>
      <c r="LZ46" s="4"/>
      <c r="MA46" s="4"/>
      <c r="MB46" s="4"/>
      <c r="MC46" s="4"/>
      <c r="MD46" s="4"/>
      <c r="ME46" s="4"/>
      <c r="MF46" s="4"/>
      <c r="MG46" s="4"/>
      <c r="MH46" s="4"/>
      <c r="MI46" s="4"/>
      <c r="MJ46" s="4"/>
      <c r="MK46" s="4"/>
      <c r="ML46" s="4"/>
      <c r="MM46" s="4"/>
      <c r="MN46" s="4"/>
      <c r="MO46" s="4"/>
      <c r="MP46" s="4"/>
      <c r="MQ46" s="4"/>
      <c r="MR46" s="4"/>
      <c r="MS46" s="4"/>
      <c r="MT46" s="4"/>
      <c r="MU46" s="4"/>
      <c r="MV46" s="4"/>
      <c r="MW46" s="4"/>
      <c r="MX46" s="4"/>
      <c r="MY46" s="4"/>
      <c r="MZ46" s="4"/>
      <c r="NA46" s="4"/>
      <c r="NB46" s="4"/>
      <c r="NC46" s="4"/>
      <c r="ND46" s="4"/>
      <c r="NE46" s="4"/>
      <c r="NF46" s="4"/>
      <c r="NG46" s="4"/>
      <c r="NH46" s="4"/>
      <c r="NI46" s="4"/>
      <c r="NJ46" s="4"/>
      <c r="NK46" s="4"/>
      <c r="NL46" s="4"/>
      <c r="NM46" s="4"/>
      <c r="NN46" s="4"/>
      <c r="NO46" s="4"/>
      <c r="NP46" s="4"/>
      <c r="NQ46" s="4"/>
      <c r="NR46" s="4"/>
      <c r="NS46" s="4"/>
      <c r="NT46" s="4"/>
      <c r="NU46" s="4"/>
      <c r="NV46" s="4"/>
      <c r="NW46" s="4"/>
      <c r="NX46" s="4"/>
      <c r="NY46" s="4"/>
      <c r="NZ46" s="4"/>
      <c r="OA46" s="4"/>
      <c r="OB46" s="4"/>
      <c r="OC46" s="4"/>
      <c r="OD46" s="4"/>
      <c r="OE46" s="4"/>
      <c r="OF46" s="4"/>
      <c r="OG46" s="4"/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/>
      <c r="OX46" s="4"/>
      <c r="OY46" s="4"/>
    </row>
    <row r="47" spans="1:415" s="3" customFormat="1" x14ac:dyDescent="0.3">
      <c r="A47" s="1"/>
      <c r="B47" s="2"/>
      <c r="C47" s="1"/>
      <c r="D47" s="1"/>
      <c r="E47" s="1"/>
      <c r="F47" s="1"/>
      <c r="G47" s="1"/>
      <c r="H47" s="1"/>
      <c r="J47" s="4"/>
      <c r="K47" s="5"/>
      <c r="L47" s="5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4"/>
      <c r="EC47" s="4"/>
      <c r="ED47" s="7"/>
      <c r="EE47" s="8"/>
      <c r="EF47" s="8"/>
      <c r="EG47" s="8"/>
      <c r="EH47" s="8"/>
      <c r="EI47" s="8"/>
      <c r="EJ47" s="8"/>
      <c r="EK47" s="8"/>
      <c r="EL47" s="8"/>
      <c r="EM47" s="8"/>
      <c r="EN47" s="8"/>
      <c r="EO47" s="8"/>
      <c r="EP47" s="8"/>
      <c r="EQ47" s="8"/>
      <c r="ER47" s="8"/>
      <c r="ES47" s="8"/>
      <c r="ET47" s="8"/>
      <c r="EU47" s="8"/>
      <c r="EV47" s="8"/>
      <c r="EW47" s="8"/>
      <c r="EX47" s="8"/>
      <c r="EY47" s="8"/>
      <c r="EZ47" s="8"/>
      <c r="FA47" s="8"/>
      <c r="FB47" s="8"/>
      <c r="FC47" s="8"/>
      <c r="FD47" s="8"/>
      <c r="FE47" s="8"/>
      <c r="FF47" s="8"/>
      <c r="FG47" s="8"/>
      <c r="FH47" s="8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  <c r="IW47" s="4"/>
      <c r="IX47" s="4"/>
      <c r="IY47" s="4"/>
      <c r="IZ47" s="4"/>
      <c r="JA47" s="4"/>
      <c r="JB47" s="4"/>
      <c r="JC47" s="4"/>
      <c r="JD47" s="4"/>
      <c r="JE47" s="4"/>
      <c r="JF47" s="4"/>
      <c r="JG47" s="4"/>
      <c r="JH47" s="4"/>
      <c r="JI47" s="4"/>
      <c r="JJ47" s="4"/>
      <c r="JK47" s="4"/>
      <c r="JL47" s="4"/>
      <c r="JM47" s="4"/>
      <c r="JN47" s="4"/>
      <c r="JO47" s="4"/>
      <c r="JP47" s="4"/>
      <c r="JQ47" s="4"/>
      <c r="JR47" s="4"/>
      <c r="JS47" s="4"/>
      <c r="JT47" s="4"/>
      <c r="JU47" s="4"/>
      <c r="JV47" s="4"/>
      <c r="JW47" s="4"/>
      <c r="JX47" s="4"/>
      <c r="JY47" s="4"/>
      <c r="JZ47" s="4"/>
      <c r="KA47" s="4"/>
      <c r="KB47" s="4"/>
      <c r="KC47" s="4"/>
      <c r="KD47" s="4"/>
      <c r="KE47" s="4"/>
      <c r="KF47" s="4"/>
      <c r="KG47" s="4"/>
      <c r="KH47" s="4"/>
      <c r="KI47" s="4"/>
      <c r="KJ47" s="4"/>
      <c r="KK47" s="4"/>
      <c r="KL47" s="4"/>
      <c r="KM47" s="4"/>
      <c r="KN47" s="4"/>
      <c r="KO47" s="4"/>
      <c r="KP47" s="4"/>
      <c r="KQ47" s="4"/>
      <c r="KR47" s="4"/>
      <c r="KS47" s="4"/>
      <c r="KT47" s="4"/>
      <c r="KU47" s="4"/>
      <c r="KV47" s="4"/>
      <c r="KW47" s="4"/>
      <c r="KX47" s="4"/>
      <c r="KY47" s="4"/>
      <c r="KZ47" s="4"/>
      <c r="LA47" s="4"/>
      <c r="LB47" s="4"/>
      <c r="LC47" s="4"/>
      <c r="LD47" s="4"/>
      <c r="LE47" s="4"/>
      <c r="LF47" s="4"/>
      <c r="LG47" s="4"/>
      <c r="LH47" s="4"/>
      <c r="LI47" s="4"/>
      <c r="LJ47" s="4"/>
      <c r="LK47" s="4"/>
      <c r="LL47" s="4"/>
      <c r="LM47" s="4"/>
      <c r="LN47" s="4"/>
      <c r="LO47" s="4"/>
      <c r="LP47" s="4"/>
      <c r="LQ47" s="4"/>
      <c r="LR47" s="4"/>
      <c r="LS47" s="4"/>
      <c r="LT47" s="4"/>
      <c r="LU47" s="4"/>
      <c r="LV47" s="4"/>
      <c r="LW47" s="4"/>
      <c r="LX47" s="4"/>
      <c r="LY47" s="4"/>
      <c r="LZ47" s="4"/>
      <c r="MA47" s="4"/>
      <c r="MB47" s="4"/>
      <c r="MC47" s="4"/>
      <c r="MD47" s="4"/>
      <c r="ME47" s="4"/>
      <c r="MF47" s="4"/>
      <c r="MG47" s="4"/>
      <c r="MH47" s="4"/>
      <c r="MI47" s="4"/>
      <c r="MJ47" s="4"/>
      <c r="MK47" s="4"/>
      <c r="ML47" s="4"/>
      <c r="MM47" s="4"/>
      <c r="MN47" s="4"/>
      <c r="MO47" s="4"/>
      <c r="MP47" s="4"/>
      <c r="MQ47" s="4"/>
      <c r="MR47" s="4"/>
      <c r="MS47" s="4"/>
      <c r="MT47" s="4"/>
      <c r="MU47" s="4"/>
      <c r="MV47" s="4"/>
      <c r="MW47" s="4"/>
      <c r="MX47" s="4"/>
      <c r="MY47" s="4"/>
      <c r="MZ47" s="4"/>
      <c r="NA47" s="4"/>
      <c r="NB47" s="4"/>
      <c r="NC47" s="4"/>
      <c r="ND47" s="4"/>
      <c r="NE47" s="4"/>
      <c r="NF47" s="4"/>
      <c r="NG47" s="4"/>
      <c r="NH47" s="4"/>
      <c r="NI47" s="4"/>
      <c r="NJ47" s="4"/>
      <c r="NK47" s="4"/>
      <c r="NL47" s="4"/>
      <c r="NM47" s="4"/>
      <c r="NN47" s="4"/>
      <c r="NO47" s="4"/>
      <c r="NP47" s="4"/>
      <c r="NQ47" s="4"/>
      <c r="NR47" s="4"/>
      <c r="NS47" s="4"/>
      <c r="NT47" s="4"/>
      <c r="NU47" s="4"/>
      <c r="NV47" s="4"/>
      <c r="NW47" s="4"/>
      <c r="NX47" s="4"/>
      <c r="NY47" s="4"/>
      <c r="NZ47" s="4"/>
      <c r="OA47" s="4"/>
      <c r="OB47" s="4"/>
      <c r="OC47" s="4"/>
      <c r="OD47" s="4"/>
      <c r="OE47" s="4"/>
      <c r="OF47" s="4"/>
      <c r="OG47" s="4"/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/>
      <c r="OX47" s="4"/>
      <c r="OY47" s="4"/>
    </row>
    <row r="48" spans="1:415" s="3" customFormat="1" x14ac:dyDescent="0.3">
      <c r="A48" s="1"/>
      <c r="B48" s="2"/>
      <c r="C48" s="1"/>
      <c r="D48" s="1"/>
      <c r="E48" s="1"/>
      <c r="F48" s="1"/>
      <c r="G48" s="1"/>
      <c r="H48" s="1"/>
      <c r="J48" s="4"/>
      <c r="K48" s="5"/>
      <c r="L48" s="5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4"/>
      <c r="EC48" s="4"/>
      <c r="ED48" s="7"/>
      <c r="EE48" s="8"/>
      <c r="EF48" s="8"/>
      <c r="EG48" s="8"/>
      <c r="EH48" s="8"/>
      <c r="EI48" s="8"/>
      <c r="EJ48" s="8"/>
      <c r="EK48" s="8"/>
      <c r="EL48" s="8"/>
      <c r="EM48" s="8"/>
      <c r="EN48" s="8"/>
      <c r="EO48" s="8"/>
      <c r="EP48" s="8"/>
      <c r="EQ48" s="8"/>
      <c r="ER48" s="8"/>
      <c r="ES48" s="8"/>
      <c r="ET48" s="8"/>
      <c r="EU48" s="8"/>
      <c r="EV48" s="8"/>
      <c r="EW48" s="8"/>
      <c r="EX48" s="8"/>
      <c r="EY48" s="8"/>
      <c r="EZ48" s="8"/>
      <c r="FA48" s="8"/>
      <c r="FB48" s="8"/>
      <c r="FC48" s="8"/>
      <c r="FD48" s="8"/>
      <c r="FE48" s="8"/>
      <c r="FF48" s="8"/>
      <c r="FG48" s="8"/>
      <c r="FH48" s="8"/>
      <c r="FI48" s="4"/>
      <c r="FJ48" s="4"/>
      <c r="FK48" s="4"/>
      <c r="FL48" s="4"/>
      <c r="FM48" s="4"/>
      <c r="FN48" s="4"/>
      <c r="FO48" s="4"/>
      <c r="FP48" s="4"/>
      <c r="FQ48" s="4"/>
      <c r="FR48" s="4"/>
      <c r="FS48" s="4"/>
      <c r="FT48" s="4"/>
      <c r="FU48" s="4"/>
      <c r="FV48" s="4"/>
      <c r="FW48" s="4"/>
      <c r="FX48" s="4"/>
      <c r="FY48" s="4"/>
      <c r="FZ48" s="4"/>
      <c r="GA48" s="4"/>
      <c r="GB48" s="4"/>
      <c r="GC48" s="4"/>
      <c r="GD48" s="4"/>
      <c r="GE48" s="4"/>
      <c r="GF48" s="4"/>
      <c r="GG48" s="4"/>
      <c r="GH48" s="4"/>
      <c r="GI48" s="4"/>
      <c r="GJ48" s="4"/>
      <c r="GK48" s="4"/>
      <c r="GL48" s="4"/>
      <c r="GM48" s="4"/>
      <c r="GN48" s="4"/>
      <c r="GO48" s="4"/>
      <c r="GP48" s="4"/>
      <c r="GQ48" s="4"/>
      <c r="GR48" s="4"/>
      <c r="GS48" s="4"/>
      <c r="GT48" s="4"/>
      <c r="GU48" s="4"/>
      <c r="GV48" s="4"/>
      <c r="GW48" s="4"/>
      <c r="GX48" s="4"/>
      <c r="GY48" s="4"/>
      <c r="GZ48" s="4"/>
      <c r="HA48" s="4"/>
      <c r="HB48" s="4"/>
      <c r="HC48" s="4"/>
      <c r="HD48" s="4"/>
      <c r="HE48" s="4"/>
      <c r="HF48" s="4"/>
      <c r="HG48" s="4"/>
      <c r="HH48" s="4"/>
      <c r="HI48" s="4"/>
      <c r="HJ48" s="4"/>
      <c r="HK48" s="4"/>
      <c r="HL48" s="4"/>
      <c r="HM48" s="4"/>
      <c r="HN48" s="4"/>
      <c r="HO48" s="4"/>
      <c r="HP48" s="4"/>
      <c r="HQ48" s="4"/>
      <c r="HR48" s="4"/>
      <c r="HS48" s="4"/>
      <c r="HT48" s="4"/>
      <c r="HU48" s="4"/>
      <c r="HV48" s="4"/>
      <c r="HW48" s="4"/>
      <c r="HX48" s="4"/>
      <c r="HY48" s="4"/>
      <c r="HZ48" s="4"/>
      <c r="IA48" s="4"/>
      <c r="IB48" s="4"/>
      <c r="IC48" s="4"/>
      <c r="ID48" s="4"/>
      <c r="IE48" s="4"/>
      <c r="IF48" s="4"/>
      <c r="IG48" s="4"/>
      <c r="IH48" s="4"/>
      <c r="II48" s="4"/>
      <c r="IJ48" s="4"/>
      <c r="IK48" s="4"/>
      <c r="IL48" s="4"/>
      <c r="IM48" s="4"/>
      <c r="IN48" s="4"/>
      <c r="IO48" s="4"/>
      <c r="IP48" s="4"/>
      <c r="IQ48" s="4"/>
      <c r="IR48" s="4"/>
      <c r="IS48" s="4"/>
      <c r="IT48" s="4"/>
      <c r="IU48" s="4"/>
      <c r="IV48" s="4"/>
      <c r="IW48" s="4"/>
      <c r="IX48" s="4"/>
      <c r="IY48" s="4"/>
      <c r="IZ48" s="4"/>
      <c r="JA48" s="4"/>
      <c r="JB48" s="4"/>
      <c r="JC48" s="4"/>
      <c r="JD48" s="4"/>
      <c r="JE48" s="4"/>
      <c r="JF48" s="4"/>
      <c r="JG48" s="4"/>
      <c r="JH48" s="4"/>
      <c r="JI48" s="4"/>
      <c r="JJ48" s="4"/>
      <c r="JK48" s="4"/>
      <c r="JL48" s="4"/>
      <c r="JM48" s="4"/>
      <c r="JN48" s="4"/>
      <c r="JO48" s="4"/>
      <c r="JP48" s="4"/>
      <c r="JQ48" s="4"/>
      <c r="JR48" s="4"/>
      <c r="JS48" s="4"/>
      <c r="JT48" s="4"/>
      <c r="JU48" s="4"/>
      <c r="JV48" s="4"/>
      <c r="JW48" s="4"/>
      <c r="JX48" s="4"/>
      <c r="JY48" s="4"/>
      <c r="JZ48" s="4"/>
      <c r="KA48" s="4"/>
      <c r="KB48" s="4"/>
      <c r="KC48" s="4"/>
      <c r="KD48" s="4"/>
      <c r="KE48" s="4"/>
      <c r="KF48" s="4"/>
      <c r="KG48" s="4"/>
      <c r="KH48" s="4"/>
      <c r="KI48" s="4"/>
      <c r="KJ48" s="4"/>
      <c r="KK48" s="4"/>
      <c r="KL48" s="4"/>
      <c r="KM48" s="4"/>
      <c r="KN48" s="4"/>
      <c r="KO48" s="4"/>
      <c r="KP48" s="4"/>
      <c r="KQ48" s="4"/>
      <c r="KR48" s="4"/>
      <c r="KS48" s="4"/>
      <c r="KT48" s="4"/>
      <c r="KU48" s="4"/>
      <c r="KV48" s="4"/>
      <c r="KW48" s="4"/>
      <c r="KX48" s="4"/>
      <c r="KY48" s="4"/>
      <c r="KZ48" s="4"/>
      <c r="LA48" s="4"/>
      <c r="LB48" s="4"/>
      <c r="LC48" s="4"/>
      <c r="LD48" s="4"/>
      <c r="LE48" s="4"/>
      <c r="LF48" s="4"/>
      <c r="LG48" s="4"/>
      <c r="LH48" s="4"/>
      <c r="LI48" s="4"/>
      <c r="LJ48" s="4"/>
      <c r="LK48" s="4"/>
      <c r="LL48" s="4"/>
      <c r="LM48" s="4"/>
      <c r="LN48" s="4"/>
      <c r="LO48" s="4"/>
      <c r="LP48" s="4"/>
      <c r="LQ48" s="4"/>
      <c r="LR48" s="4"/>
      <c r="LS48" s="4"/>
      <c r="LT48" s="4"/>
      <c r="LU48" s="4"/>
      <c r="LV48" s="4"/>
      <c r="LW48" s="4"/>
      <c r="LX48" s="4"/>
      <c r="LY48" s="4"/>
      <c r="LZ48" s="4"/>
      <c r="MA48" s="4"/>
      <c r="MB48" s="4"/>
      <c r="MC48" s="4"/>
      <c r="MD48" s="4"/>
      <c r="ME48" s="4"/>
      <c r="MF48" s="4"/>
      <c r="MG48" s="4"/>
      <c r="MH48" s="4"/>
      <c r="MI48" s="4"/>
      <c r="MJ48" s="4"/>
      <c r="MK48" s="4"/>
      <c r="ML48" s="4"/>
      <c r="MM48" s="4"/>
      <c r="MN48" s="4"/>
      <c r="MO48" s="4"/>
      <c r="MP48" s="4"/>
      <c r="MQ48" s="4"/>
      <c r="MR48" s="4"/>
      <c r="MS48" s="4"/>
      <c r="MT48" s="4"/>
      <c r="MU48" s="4"/>
      <c r="MV48" s="4"/>
      <c r="MW48" s="4"/>
      <c r="MX48" s="4"/>
      <c r="MY48" s="4"/>
      <c r="MZ48" s="4"/>
      <c r="NA48" s="4"/>
      <c r="NB48" s="4"/>
      <c r="NC48" s="4"/>
      <c r="ND48" s="4"/>
      <c r="NE48" s="4"/>
      <c r="NF48" s="4"/>
      <c r="NG48" s="4"/>
      <c r="NH48" s="4"/>
      <c r="NI48" s="4"/>
      <c r="NJ48" s="4"/>
      <c r="NK48" s="4"/>
      <c r="NL48" s="4"/>
      <c r="NM48" s="4"/>
      <c r="NN48" s="4"/>
      <c r="NO48" s="4"/>
      <c r="NP48" s="4"/>
      <c r="NQ48" s="4"/>
      <c r="NR48" s="4"/>
      <c r="NS48" s="4"/>
      <c r="NT48" s="4"/>
      <c r="NU48" s="4"/>
      <c r="NV48" s="4"/>
      <c r="NW48" s="4"/>
      <c r="NX48" s="4"/>
      <c r="NY48" s="4"/>
      <c r="NZ48" s="4"/>
      <c r="OA48" s="4"/>
      <c r="OB48" s="4"/>
      <c r="OC48" s="4"/>
      <c r="OD48" s="4"/>
      <c r="OE48" s="4"/>
      <c r="OF48" s="4"/>
      <c r="OG48" s="4"/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</row>
    <row r="49" spans="1:415" s="3" customFormat="1" x14ac:dyDescent="0.3">
      <c r="A49" s="1"/>
      <c r="B49" s="2"/>
      <c r="C49" s="1"/>
      <c r="D49" s="1"/>
      <c r="E49" s="1"/>
      <c r="F49" s="1"/>
      <c r="G49" s="1"/>
      <c r="H49" s="1"/>
      <c r="J49" s="4"/>
      <c r="K49" s="5"/>
      <c r="L49" s="5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4"/>
      <c r="EC49" s="4"/>
      <c r="ED49" s="7"/>
      <c r="EE49" s="8"/>
      <c r="EF49" s="8"/>
      <c r="EG49" s="8"/>
      <c r="EH49" s="8"/>
      <c r="EI49" s="8"/>
      <c r="EJ49" s="8"/>
      <c r="EK49" s="8"/>
      <c r="EL49" s="8"/>
      <c r="EM49" s="8"/>
      <c r="EN49" s="8"/>
      <c r="EO49" s="8"/>
      <c r="EP49" s="8"/>
      <c r="EQ49" s="8"/>
      <c r="ER49" s="8"/>
      <c r="ES49" s="8"/>
      <c r="ET49" s="8"/>
      <c r="EU49" s="8"/>
      <c r="EV49" s="8"/>
      <c r="EW49" s="8"/>
      <c r="EX49" s="8"/>
      <c r="EY49" s="8"/>
      <c r="EZ49" s="8"/>
      <c r="FA49" s="8"/>
      <c r="FB49" s="8"/>
      <c r="FC49" s="8"/>
      <c r="FD49" s="8"/>
      <c r="FE49" s="8"/>
      <c r="FF49" s="8"/>
      <c r="FG49" s="8"/>
      <c r="FH49" s="8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  <c r="IW49" s="4"/>
      <c r="IX49" s="4"/>
      <c r="IY49" s="4"/>
      <c r="IZ49" s="4"/>
      <c r="JA49" s="4"/>
      <c r="JB49" s="4"/>
      <c r="JC49" s="4"/>
      <c r="JD49" s="4"/>
      <c r="JE49" s="4"/>
      <c r="JF49" s="4"/>
      <c r="JG49" s="4"/>
      <c r="JH49" s="4"/>
      <c r="JI49" s="4"/>
      <c r="JJ49" s="4"/>
      <c r="JK49" s="4"/>
      <c r="JL49" s="4"/>
      <c r="JM49" s="4"/>
      <c r="JN49" s="4"/>
      <c r="JO49" s="4"/>
      <c r="JP49" s="4"/>
      <c r="JQ49" s="4"/>
      <c r="JR49" s="4"/>
      <c r="JS49" s="4"/>
      <c r="JT49" s="4"/>
      <c r="JU49" s="4"/>
      <c r="JV49" s="4"/>
      <c r="JW49" s="4"/>
      <c r="JX49" s="4"/>
      <c r="JY49" s="4"/>
      <c r="JZ49" s="4"/>
      <c r="KA49" s="4"/>
      <c r="KB49" s="4"/>
      <c r="KC49" s="4"/>
      <c r="KD49" s="4"/>
      <c r="KE49" s="4"/>
      <c r="KF49" s="4"/>
      <c r="KG49" s="4"/>
      <c r="KH49" s="4"/>
      <c r="KI49" s="4"/>
      <c r="KJ49" s="4"/>
      <c r="KK49" s="4"/>
      <c r="KL49" s="4"/>
      <c r="KM49" s="4"/>
      <c r="KN49" s="4"/>
      <c r="KO49" s="4"/>
      <c r="KP49" s="4"/>
      <c r="KQ49" s="4"/>
      <c r="KR49" s="4"/>
      <c r="KS49" s="4"/>
      <c r="KT49" s="4"/>
      <c r="KU49" s="4"/>
      <c r="KV49" s="4"/>
      <c r="KW49" s="4"/>
      <c r="KX49" s="4"/>
      <c r="KY49" s="4"/>
      <c r="KZ49" s="4"/>
      <c r="LA49" s="4"/>
      <c r="LB49" s="4"/>
      <c r="LC49" s="4"/>
      <c r="LD49" s="4"/>
      <c r="LE49" s="4"/>
      <c r="LF49" s="4"/>
      <c r="LG49" s="4"/>
      <c r="LH49" s="4"/>
      <c r="LI49" s="4"/>
      <c r="LJ49" s="4"/>
      <c r="LK49" s="4"/>
      <c r="LL49" s="4"/>
      <c r="LM49" s="4"/>
      <c r="LN49" s="4"/>
      <c r="LO49" s="4"/>
      <c r="LP49" s="4"/>
      <c r="LQ49" s="4"/>
      <c r="LR49" s="4"/>
      <c r="LS49" s="4"/>
      <c r="LT49" s="4"/>
      <c r="LU49" s="4"/>
      <c r="LV49" s="4"/>
      <c r="LW49" s="4"/>
      <c r="LX49" s="4"/>
      <c r="LY49" s="4"/>
      <c r="LZ49" s="4"/>
      <c r="MA49" s="4"/>
      <c r="MB49" s="4"/>
      <c r="MC49" s="4"/>
      <c r="MD49" s="4"/>
      <c r="ME49" s="4"/>
      <c r="MF49" s="4"/>
      <c r="MG49" s="4"/>
      <c r="MH49" s="4"/>
      <c r="MI49" s="4"/>
      <c r="MJ49" s="4"/>
      <c r="MK49" s="4"/>
      <c r="ML49" s="4"/>
      <c r="MM49" s="4"/>
      <c r="MN49" s="4"/>
      <c r="MO49" s="4"/>
      <c r="MP49" s="4"/>
      <c r="MQ49" s="4"/>
      <c r="MR49" s="4"/>
      <c r="MS49" s="4"/>
      <c r="MT49" s="4"/>
      <c r="MU49" s="4"/>
      <c r="MV49" s="4"/>
      <c r="MW49" s="4"/>
      <c r="MX49" s="4"/>
      <c r="MY49" s="4"/>
      <c r="MZ49" s="4"/>
      <c r="NA49" s="4"/>
      <c r="NB49" s="4"/>
      <c r="NC49" s="4"/>
      <c r="ND49" s="4"/>
      <c r="NE49" s="4"/>
      <c r="NF49" s="4"/>
      <c r="NG49" s="4"/>
      <c r="NH49" s="4"/>
      <c r="NI49" s="4"/>
      <c r="NJ49" s="4"/>
      <c r="NK49" s="4"/>
      <c r="NL49" s="4"/>
      <c r="NM49" s="4"/>
      <c r="NN49" s="4"/>
      <c r="NO49" s="4"/>
      <c r="NP49" s="4"/>
      <c r="NQ49" s="4"/>
      <c r="NR49" s="4"/>
      <c r="NS49" s="4"/>
      <c r="NT49" s="4"/>
      <c r="NU49" s="4"/>
      <c r="NV49" s="4"/>
      <c r="NW49" s="4"/>
      <c r="NX49" s="4"/>
      <c r="NY49" s="4"/>
      <c r="NZ49" s="4"/>
      <c r="OA49" s="4"/>
      <c r="OB49" s="4"/>
      <c r="OC49" s="4"/>
      <c r="OD49" s="4"/>
      <c r="OE49" s="4"/>
      <c r="OF49" s="4"/>
      <c r="OG49" s="4"/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</row>
    <row r="50" spans="1:415" s="3" customFormat="1" x14ac:dyDescent="0.3">
      <c r="A50" s="1"/>
      <c r="B50" s="2"/>
      <c r="C50" s="1"/>
      <c r="D50" s="1"/>
      <c r="E50" s="1"/>
      <c r="F50" s="1"/>
      <c r="G50" s="1"/>
      <c r="H50" s="1"/>
      <c r="J50" s="4"/>
      <c r="K50" s="5"/>
      <c r="L50" s="5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4"/>
      <c r="EC50" s="4"/>
      <c r="ED50" s="7"/>
      <c r="EE50" s="8"/>
      <c r="EF50" s="8"/>
      <c r="EG50" s="8"/>
      <c r="EH50" s="8"/>
      <c r="EI50" s="8"/>
      <c r="EJ50" s="8"/>
      <c r="EK50" s="8"/>
      <c r="EL50" s="8"/>
      <c r="EM50" s="8"/>
      <c r="EN50" s="8"/>
      <c r="EO50" s="8"/>
      <c r="EP50" s="8"/>
      <c r="EQ50" s="8"/>
      <c r="ER50" s="8"/>
      <c r="ES50" s="8"/>
      <c r="ET50" s="8"/>
      <c r="EU50" s="8"/>
      <c r="EV50" s="8"/>
      <c r="EW50" s="8"/>
      <c r="EX50" s="8"/>
      <c r="EY50" s="8"/>
      <c r="EZ50" s="8"/>
      <c r="FA50" s="8"/>
      <c r="FB50" s="8"/>
      <c r="FC50" s="8"/>
      <c r="FD50" s="8"/>
      <c r="FE50" s="8"/>
      <c r="FF50" s="8"/>
      <c r="FG50" s="8"/>
      <c r="FH50" s="8"/>
      <c r="FI50" s="4"/>
      <c r="FJ50" s="4"/>
      <c r="FK50" s="4"/>
      <c r="FL50" s="4"/>
      <c r="FM50" s="4"/>
      <c r="FN50" s="4"/>
      <c r="FO50" s="4"/>
      <c r="FP50" s="4"/>
      <c r="FQ50" s="4"/>
      <c r="FR50" s="4"/>
      <c r="FS50" s="4"/>
      <c r="FT50" s="4"/>
      <c r="FU50" s="4"/>
      <c r="FV50" s="4"/>
      <c r="FW50" s="4"/>
      <c r="FX50" s="4"/>
      <c r="FY50" s="4"/>
      <c r="FZ50" s="4"/>
      <c r="GA50" s="4"/>
      <c r="GB50" s="4"/>
      <c r="GC50" s="4"/>
      <c r="GD50" s="4"/>
      <c r="GE50" s="4"/>
      <c r="GF50" s="4"/>
      <c r="GG50" s="4"/>
      <c r="GH50" s="4"/>
      <c r="GI50" s="4"/>
      <c r="GJ50" s="4"/>
      <c r="GK50" s="4"/>
      <c r="GL50" s="4"/>
      <c r="GM50" s="4"/>
      <c r="GN50" s="4"/>
      <c r="GO50" s="4"/>
      <c r="GP50" s="4"/>
      <c r="GQ50" s="4"/>
      <c r="GR50" s="4"/>
      <c r="GS50" s="4"/>
      <c r="GT50" s="4"/>
      <c r="GU50" s="4"/>
      <c r="GV50" s="4"/>
      <c r="GW50" s="4"/>
      <c r="GX50" s="4"/>
      <c r="GY50" s="4"/>
      <c r="GZ50" s="4"/>
      <c r="HA50" s="4"/>
      <c r="HB50" s="4"/>
      <c r="HC50" s="4"/>
      <c r="HD50" s="4"/>
      <c r="HE50" s="4"/>
      <c r="HF50" s="4"/>
      <c r="HG50" s="4"/>
      <c r="HH50" s="4"/>
      <c r="HI50" s="4"/>
      <c r="HJ50" s="4"/>
      <c r="HK50" s="4"/>
      <c r="HL50" s="4"/>
      <c r="HM50" s="4"/>
      <c r="HN50" s="4"/>
      <c r="HO50" s="4"/>
      <c r="HP50" s="4"/>
      <c r="HQ50" s="4"/>
      <c r="HR50" s="4"/>
      <c r="HS50" s="4"/>
      <c r="HT50" s="4"/>
      <c r="HU50" s="4"/>
      <c r="HV50" s="4"/>
      <c r="HW50" s="4"/>
      <c r="HX50" s="4"/>
      <c r="HY50" s="4"/>
      <c r="HZ50" s="4"/>
      <c r="IA50" s="4"/>
      <c r="IB50" s="4"/>
      <c r="IC50" s="4"/>
      <c r="ID50" s="4"/>
      <c r="IE50" s="4"/>
      <c r="IF50" s="4"/>
      <c r="IG50" s="4"/>
      <c r="IH50" s="4"/>
      <c r="II50" s="4"/>
      <c r="IJ50" s="4"/>
      <c r="IK50" s="4"/>
      <c r="IL50" s="4"/>
      <c r="IM50" s="4"/>
      <c r="IN50" s="4"/>
      <c r="IO50" s="4"/>
      <c r="IP50" s="4"/>
      <c r="IQ50" s="4"/>
      <c r="IR50" s="4"/>
      <c r="IS50" s="4"/>
      <c r="IT50" s="4"/>
      <c r="IU50" s="4"/>
      <c r="IV50" s="4"/>
      <c r="IW50" s="4"/>
      <c r="IX50" s="4"/>
      <c r="IY50" s="4"/>
      <c r="IZ50" s="4"/>
      <c r="JA50" s="4"/>
      <c r="JB50" s="4"/>
      <c r="JC50" s="4"/>
      <c r="JD50" s="4"/>
      <c r="JE50" s="4"/>
      <c r="JF50" s="4"/>
      <c r="JG50" s="4"/>
      <c r="JH50" s="4"/>
      <c r="JI50" s="4"/>
      <c r="JJ50" s="4"/>
      <c r="JK50" s="4"/>
      <c r="JL50" s="4"/>
      <c r="JM50" s="4"/>
      <c r="JN50" s="4"/>
      <c r="JO50" s="4"/>
      <c r="JP50" s="4"/>
      <c r="JQ50" s="4"/>
      <c r="JR50" s="4"/>
      <c r="JS50" s="4"/>
      <c r="JT50" s="4"/>
      <c r="JU50" s="4"/>
      <c r="JV50" s="4"/>
      <c r="JW50" s="4"/>
      <c r="JX50" s="4"/>
      <c r="JY50" s="4"/>
      <c r="JZ50" s="4"/>
      <c r="KA50" s="4"/>
      <c r="KB50" s="4"/>
      <c r="KC50" s="4"/>
      <c r="KD50" s="4"/>
      <c r="KE50" s="4"/>
      <c r="KF50" s="4"/>
      <c r="KG50" s="4"/>
      <c r="KH50" s="4"/>
      <c r="KI50" s="4"/>
      <c r="KJ50" s="4"/>
      <c r="KK50" s="4"/>
      <c r="KL50" s="4"/>
      <c r="KM50" s="4"/>
      <c r="KN50" s="4"/>
      <c r="KO50" s="4"/>
      <c r="KP50" s="4"/>
      <c r="KQ50" s="4"/>
      <c r="KR50" s="4"/>
      <c r="KS50" s="4"/>
      <c r="KT50" s="4"/>
      <c r="KU50" s="4"/>
      <c r="KV50" s="4"/>
      <c r="KW50" s="4"/>
      <c r="KX50" s="4"/>
      <c r="KY50" s="4"/>
      <c r="KZ50" s="4"/>
      <c r="LA50" s="4"/>
      <c r="LB50" s="4"/>
      <c r="LC50" s="4"/>
      <c r="LD50" s="4"/>
      <c r="LE50" s="4"/>
      <c r="LF50" s="4"/>
      <c r="LG50" s="4"/>
      <c r="LH50" s="4"/>
      <c r="LI50" s="4"/>
      <c r="LJ50" s="4"/>
      <c r="LK50" s="4"/>
      <c r="LL50" s="4"/>
      <c r="LM50" s="4"/>
      <c r="LN50" s="4"/>
      <c r="LO50" s="4"/>
      <c r="LP50" s="4"/>
      <c r="LQ50" s="4"/>
      <c r="LR50" s="4"/>
      <c r="LS50" s="4"/>
      <c r="LT50" s="4"/>
      <c r="LU50" s="4"/>
      <c r="LV50" s="4"/>
      <c r="LW50" s="4"/>
      <c r="LX50" s="4"/>
      <c r="LY50" s="4"/>
      <c r="LZ50" s="4"/>
      <c r="MA50" s="4"/>
      <c r="MB50" s="4"/>
      <c r="MC50" s="4"/>
      <c r="MD50" s="4"/>
      <c r="ME50" s="4"/>
      <c r="MF50" s="4"/>
      <c r="MG50" s="4"/>
      <c r="MH50" s="4"/>
      <c r="MI50" s="4"/>
      <c r="MJ50" s="4"/>
      <c r="MK50" s="4"/>
      <c r="ML50" s="4"/>
      <c r="MM50" s="4"/>
      <c r="MN50" s="4"/>
      <c r="MO50" s="4"/>
      <c r="MP50" s="4"/>
      <c r="MQ50" s="4"/>
      <c r="MR50" s="4"/>
      <c r="MS50" s="4"/>
      <c r="MT50" s="4"/>
      <c r="MU50" s="4"/>
      <c r="MV50" s="4"/>
      <c r="MW50" s="4"/>
      <c r="MX50" s="4"/>
      <c r="MY50" s="4"/>
      <c r="MZ50" s="4"/>
      <c r="NA50" s="4"/>
      <c r="NB50" s="4"/>
      <c r="NC50" s="4"/>
      <c r="ND50" s="4"/>
      <c r="NE50" s="4"/>
      <c r="NF50" s="4"/>
      <c r="NG50" s="4"/>
      <c r="NH50" s="4"/>
      <c r="NI50" s="4"/>
      <c r="NJ50" s="4"/>
      <c r="NK50" s="4"/>
      <c r="NL50" s="4"/>
      <c r="NM50" s="4"/>
      <c r="NN50" s="4"/>
      <c r="NO50" s="4"/>
      <c r="NP50" s="4"/>
      <c r="NQ50" s="4"/>
      <c r="NR50" s="4"/>
      <c r="NS50" s="4"/>
      <c r="NT50" s="4"/>
      <c r="NU50" s="4"/>
      <c r="NV50" s="4"/>
      <c r="NW50" s="4"/>
      <c r="NX50" s="4"/>
      <c r="NY50" s="4"/>
      <c r="NZ50" s="4"/>
      <c r="OA50" s="4"/>
      <c r="OB50" s="4"/>
      <c r="OC50" s="4"/>
      <c r="OD50" s="4"/>
      <c r="OE50" s="4"/>
      <c r="OF50" s="4"/>
      <c r="OG50" s="4"/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</row>
    <row r="51" spans="1:415" s="3" customFormat="1" x14ac:dyDescent="0.3">
      <c r="A51" s="1"/>
      <c r="B51" s="2"/>
      <c r="C51" s="1"/>
      <c r="D51" s="1"/>
      <c r="E51" s="1"/>
      <c r="F51" s="1"/>
      <c r="G51" s="1"/>
      <c r="H51" s="1"/>
      <c r="J51" s="4"/>
      <c r="K51" s="5"/>
      <c r="L51" s="5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4"/>
      <c r="EC51" s="4"/>
      <c r="ED51" s="7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4"/>
      <c r="FJ51" s="4"/>
      <c r="FK51" s="4"/>
      <c r="FL51" s="4"/>
      <c r="FM51" s="4"/>
      <c r="FN51" s="4"/>
      <c r="FO51" s="4"/>
      <c r="FP51" s="4"/>
      <c r="FQ51" s="4"/>
      <c r="FR51" s="4"/>
      <c r="FS51" s="4"/>
      <c r="FT51" s="4"/>
      <c r="FU51" s="4"/>
      <c r="FV51" s="4"/>
      <c r="FW51" s="4"/>
      <c r="FX51" s="4"/>
      <c r="FY51" s="4"/>
      <c r="FZ51" s="4"/>
      <c r="GA51" s="4"/>
      <c r="GB51" s="4"/>
      <c r="GC51" s="4"/>
      <c r="GD51" s="4"/>
      <c r="GE51" s="4"/>
      <c r="GF51" s="4"/>
      <c r="GG51" s="4"/>
      <c r="GH51" s="4"/>
      <c r="GI51" s="4"/>
      <c r="GJ51" s="4"/>
      <c r="GK51" s="4"/>
      <c r="GL51" s="4"/>
      <c r="GM51" s="4"/>
      <c r="GN51" s="4"/>
      <c r="GO51" s="4"/>
      <c r="GP51" s="4"/>
      <c r="GQ51" s="4"/>
      <c r="GR51" s="4"/>
      <c r="GS51" s="4"/>
      <c r="GT51" s="4"/>
      <c r="GU51" s="4"/>
      <c r="GV51" s="4"/>
      <c r="GW51" s="4"/>
      <c r="GX51" s="4"/>
      <c r="GY51" s="4"/>
      <c r="GZ51" s="4"/>
      <c r="HA51" s="4"/>
      <c r="HB51" s="4"/>
      <c r="HC51" s="4"/>
      <c r="HD51" s="4"/>
      <c r="HE51" s="4"/>
      <c r="HF51" s="4"/>
      <c r="HG51" s="4"/>
      <c r="HH51" s="4"/>
      <c r="HI51" s="4"/>
      <c r="HJ51" s="4"/>
      <c r="HK51" s="4"/>
      <c r="HL51" s="4"/>
      <c r="HM51" s="4"/>
      <c r="HN51" s="4"/>
      <c r="HO51" s="4"/>
      <c r="HP51" s="4"/>
      <c r="HQ51" s="4"/>
      <c r="HR51" s="4"/>
      <c r="HS51" s="4"/>
      <c r="HT51" s="4"/>
      <c r="HU51" s="4"/>
      <c r="HV51" s="4"/>
      <c r="HW51" s="4"/>
      <c r="HX51" s="4"/>
      <c r="HY51" s="4"/>
      <c r="HZ51" s="4"/>
      <c r="IA51" s="4"/>
      <c r="IB51" s="4"/>
      <c r="IC51" s="4"/>
      <c r="ID51" s="4"/>
      <c r="IE51" s="4"/>
      <c r="IF51" s="4"/>
      <c r="IG51" s="4"/>
      <c r="IH51" s="4"/>
      <c r="II51" s="4"/>
      <c r="IJ51" s="4"/>
      <c r="IK51" s="4"/>
      <c r="IL51" s="4"/>
      <c r="IM51" s="4"/>
      <c r="IN51" s="4"/>
      <c r="IO51" s="4"/>
      <c r="IP51" s="4"/>
      <c r="IQ51" s="4"/>
      <c r="IR51" s="4"/>
      <c r="IS51" s="4"/>
      <c r="IT51" s="4"/>
      <c r="IU51" s="4"/>
      <c r="IV51" s="4"/>
      <c r="IW51" s="4"/>
      <c r="IX51" s="4"/>
      <c r="IY51" s="4"/>
      <c r="IZ51" s="4"/>
      <c r="JA51" s="4"/>
      <c r="JB51" s="4"/>
      <c r="JC51" s="4"/>
      <c r="JD51" s="4"/>
      <c r="JE51" s="4"/>
      <c r="JF51" s="4"/>
      <c r="JG51" s="4"/>
      <c r="JH51" s="4"/>
      <c r="JI51" s="4"/>
      <c r="JJ51" s="4"/>
      <c r="JK51" s="4"/>
      <c r="JL51" s="4"/>
      <c r="JM51" s="4"/>
      <c r="JN51" s="4"/>
      <c r="JO51" s="4"/>
      <c r="JP51" s="4"/>
      <c r="JQ51" s="4"/>
      <c r="JR51" s="4"/>
      <c r="JS51" s="4"/>
      <c r="JT51" s="4"/>
      <c r="JU51" s="4"/>
      <c r="JV51" s="4"/>
      <c r="JW51" s="4"/>
      <c r="JX51" s="4"/>
      <c r="JY51" s="4"/>
      <c r="JZ51" s="4"/>
      <c r="KA51" s="4"/>
      <c r="KB51" s="4"/>
      <c r="KC51" s="4"/>
      <c r="KD51" s="4"/>
      <c r="KE51" s="4"/>
      <c r="KF51" s="4"/>
      <c r="KG51" s="4"/>
      <c r="KH51" s="4"/>
      <c r="KI51" s="4"/>
      <c r="KJ51" s="4"/>
      <c r="KK51" s="4"/>
      <c r="KL51" s="4"/>
      <c r="KM51" s="4"/>
      <c r="KN51" s="4"/>
      <c r="KO51" s="4"/>
      <c r="KP51" s="4"/>
      <c r="KQ51" s="4"/>
      <c r="KR51" s="4"/>
      <c r="KS51" s="4"/>
      <c r="KT51" s="4"/>
      <c r="KU51" s="4"/>
      <c r="KV51" s="4"/>
      <c r="KW51" s="4"/>
      <c r="KX51" s="4"/>
      <c r="KY51" s="4"/>
      <c r="KZ51" s="4"/>
      <c r="LA51" s="4"/>
      <c r="LB51" s="4"/>
      <c r="LC51" s="4"/>
      <c r="LD51" s="4"/>
      <c r="LE51" s="4"/>
      <c r="LF51" s="4"/>
      <c r="LG51" s="4"/>
      <c r="LH51" s="4"/>
      <c r="LI51" s="4"/>
      <c r="LJ51" s="4"/>
      <c r="LK51" s="4"/>
      <c r="LL51" s="4"/>
      <c r="LM51" s="4"/>
      <c r="LN51" s="4"/>
      <c r="LO51" s="4"/>
      <c r="LP51" s="4"/>
      <c r="LQ51" s="4"/>
      <c r="LR51" s="4"/>
      <c r="LS51" s="4"/>
      <c r="LT51" s="4"/>
      <c r="LU51" s="4"/>
      <c r="LV51" s="4"/>
      <c r="LW51" s="4"/>
      <c r="LX51" s="4"/>
      <c r="LY51" s="4"/>
      <c r="LZ51" s="4"/>
      <c r="MA51" s="4"/>
      <c r="MB51" s="4"/>
      <c r="MC51" s="4"/>
      <c r="MD51" s="4"/>
      <c r="ME51" s="4"/>
      <c r="MF51" s="4"/>
      <c r="MG51" s="4"/>
      <c r="MH51" s="4"/>
      <c r="MI51" s="4"/>
      <c r="MJ51" s="4"/>
      <c r="MK51" s="4"/>
      <c r="ML51" s="4"/>
      <c r="MM51" s="4"/>
      <c r="MN51" s="4"/>
      <c r="MO51" s="4"/>
      <c r="MP51" s="4"/>
      <c r="MQ51" s="4"/>
      <c r="MR51" s="4"/>
      <c r="MS51" s="4"/>
      <c r="MT51" s="4"/>
      <c r="MU51" s="4"/>
      <c r="MV51" s="4"/>
      <c r="MW51" s="4"/>
      <c r="MX51" s="4"/>
      <c r="MY51" s="4"/>
      <c r="MZ51" s="4"/>
      <c r="NA51" s="4"/>
      <c r="NB51" s="4"/>
      <c r="NC51" s="4"/>
      <c r="ND51" s="4"/>
      <c r="NE51" s="4"/>
      <c r="NF51" s="4"/>
      <c r="NG51" s="4"/>
      <c r="NH51" s="4"/>
      <c r="NI51" s="4"/>
      <c r="NJ51" s="4"/>
      <c r="NK51" s="4"/>
      <c r="NL51" s="4"/>
      <c r="NM51" s="4"/>
      <c r="NN51" s="4"/>
      <c r="NO51" s="4"/>
      <c r="NP51" s="4"/>
      <c r="NQ51" s="4"/>
      <c r="NR51" s="4"/>
      <c r="NS51" s="4"/>
      <c r="NT51" s="4"/>
      <c r="NU51" s="4"/>
      <c r="NV51" s="4"/>
      <c r="NW51" s="4"/>
      <c r="NX51" s="4"/>
      <c r="NY51" s="4"/>
      <c r="NZ51" s="4"/>
      <c r="OA51" s="4"/>
      <c r="OB51" s="4"/>
      <c r="OC51" s="4"/>
      <c r="OD51" s="4"/>
      <c r="OE51" s="4"/>
      <c r="OF51" s="4"/>
      <c r="OG51" s="4"/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</row>
    <row r="52" spans="1:415" s="3" customFormat="1" x14ac:dyDescent="0.3">
      <c r="A52" s="1"/>
      <c r="B52" s="2"/>
      <c r="C52" s="1"/>
      <c r="D52" s="1"/>
      <c r="E52" s="1"/>
      <c r="F52" s="1"/>
      <c r="G52" s="1"/>
      <c r="H52" s="1"/>
      <c r="J52" s="4"/>
      <c r="K52" s="5"/>
      <c r="L52" s="5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4"/>
      <c r="EC52" s="4"/>
      <c r="ED52" s="7"/>
      <c r="EE52" s="8"/>
      <c r="EF52" s="8"/>
      <c r="EG52" s="8"/>
      <c r="EH52" s="8"/>
      <c r="EI52" s="8"/>
      <c r="EJ52" s="8"/>
      <c r="EK52" s="8"/>
      <c r="EL52" s="8"/>
      <c r="EM52" s="8"/>
      <c r="EN52" s="8"/>
      <c r="EO52" s="8"/>
      <c r="EP52" s="8"/>
      <c r="EQ52" s="8"/>
      <c r="ER52" s="8"/>
      <c r="ES52" s="8"/>
      <c r="ET52" s="8"/>
      <c r="EU52" s="8"/>
      <c r="EV52" s="8"/>
      <c r="EW52" s="8"/>
      <c r="EX52" s="8"/>
      <c r="EY52" s="8"/>
      <c r="EZ52" s="8"/>
      <c r="FA52" s="8"/>
      <c r="FB52" s="8"/>
      <c r="FC52" s="8"/>
      <c r="FD52" s="8"/>
      <c r="FE52" s="8"/>
      <c r="FF52" s="8"/>
      <c r="FG52" s="8"/>
      <c r="FH52" s="8"/>
      <c r="FI52" s="4"/>
      <c r="FJ52" s="4"/>
      <c r="FK52" s="4"/>
      <c r="FL52" s="4"/>
      <c r="FM52" s="4"/>
      <c r="FN52" s="4"/>
      <c r="FO52" s="4"/>
      <c r="FP52" s="4"/>
      <c r="FQ52" s="4"/>
      <c r="FR52" s="4"/>
      <c r="FS52" s="4"/>
      <c r="FT52" s="4"/>
      <c r="FU52" s="4"/>
      <c r="FV52" s="4"/>
      <c r="FW52" s="4"/>
      <c r="FX52" s="4"/>
      <c r="FY52" s="4"/>
      <c r="FZ52" s="4"/>
      <c r="GA52" s="4"/>
      <c r="GB52" s="4"/>
      <c r="GC52" s="4"/>
      <c r="GD52" s="4"/>
      <c r="GE52" s="4"/>
      <c r="GF52" s="4"/>
      <c r="GG52" s="4"/>
      <c r="GH52" s="4"/>
      <c r="GI52" s="4"/>
      <c r="GJ52" s="4"/>
      <c r="GK52" s="4"/>
      <c r="GL52" s="4"/>
      <c r="GM52" s="4"/>
      <c r="GN52" s="4"/>
      <c r="GO52" s="4"/>
      <c r="GP52" s="4"/>
      <c r="GQ52" s="4"/>
      <c r="GR52" s="4"/>
      <c r="GS52" s="4"/>
      <c r="GT52" s="4"/>
      <c r="GU52" s="4"/>
      <c r="GV52" s="4"/>
      <c r="GW52" s="4"/>
      <c r="GX52" s="4"/>
      <c r="GY52" s="4"/>
      <c r="GZ52" s="4"/>
      <c r="HA52" s="4"/>
      <c r="HB52" s="4"/>
      <c r="HC52" s="4"/>
      <c r="HD52" s="4"/>
      <c r="HE52" s="4"/>
      <c r="HF52" s="4"/>
      <c r="HG52" s="4"/>
      <c r="HH52" s="4"/>
      <c r="HI52" s="4"/>
      <c r="HJ52" s="4"/>
      <c r="HK52" s="4"/>
      <c r="HL52" s="4"/>
      <c r="HM52" s="4"/>
      <c r="HN52" s="4"/>
      <c r="HO52" s="4"/>
      <c r="HP52" s="4"/>
      <c r="HQ52" s="4"/>
      <c r="HR52" s="4"/>
      <c r="HS52" s="4"/>
      <c r="HT52" s="4"/>
      <c r="HU52" s="4"/>
      <c r="HV52" s="4"/>
      <c r="HW52" s="4"/>
      <c r="HX52" s="4"/>
      <c r="HY52" s="4"/>
      <c r="HZ52" s="4"/>
      <c r="IA52" s="4"/>
      <c r="IB52" s="4"/>
      <c r="IC52" s="4"/>
      <c r="ID52" s="4"/>
      <c r="IE52" s="4"/>
      <c r="IF52" s="4"/>
      <c r="IG52" s="4"/>
      <c r="IH52" s="4"/>
      <c r="II52" s="4"/>
      <c r="IJ52" s="4"/>
      <c r="IK52" s="4"/>
      <c r="IL52" s="4"/>
      <c r="IM52" s="4"/>
      <c r="IN52" s="4"/>
      <c r="IO52" s="4"/>
      <c r="IP52" s="4"/>
      <c r="IQ52" s="4"/>
      <c r="IR52" s="4"/>
      <c r="IS52" s="4"/>
      <c r="IT52" s="4"/>
      <c r="IU52" s="4"/>
      <c r="IV52" s="4"/>
      <c r="IW52" s="4"/>
      <c r="IX52" s="4"/>
      <c r="IY52" s="4"/>
      <c r="IZ52" s="4"/>
      <c r="JA52" s="4"/>
      <c r="JB52" s="4"/>
      <c r="JC52" s="4"/>
      <c r="JD52" s="4"/>
      <c r="JE52" s="4"/>
      <c r="JF52" s="4"/>
      <c r="JG52" s="4"/>
      <c r="JH52" s="4"/>
      <c r="JI52" s="4"/>
      <c r="JJ52" s="4"/>
      <c r="JK52" s="4"/>
      <c r="JL52" s="4"/>
      <c r="JM52" s="4"/>
      <c r="JN52" s="4"/>
      <c r="JO52" s="4"/>
      <c r="JP52" s="4"/>
      <c r="JQ52" s="4"/>
      <c r="JR52" s="4"/>
      <c r="JS52" s="4"/>
      <c r="JT52" s="4"/>
      <c r="JU52" s="4"/>
      <c r="JV52" s="4"/>
      <c r="JW52" s="4"/>
      <c r="JX52" s="4"/>
      <c r="JY52" s="4"/>
      <c r="JZ52" s="4"/>
      <c r="KA52" s="4"/>
      <c r="KB52" s="4"/>
      <c r="KC52" s="4"/>
      <c r="KD52" s="4"/>
      <c r="KE52" s="4"/>
      <c r="KF52" s="4"/>
      <c r="KG52" s="4"/>
      <c r="KH52" s="4"/>
      <c r="KI52" s="4"/>
      <c r="KJ52" s="4"/>
      <c r="KK52" s="4"/>
      <c r="KL52" s="4"/>
      <c r="KM52" s="4"/>
      <c r="KN52" s="4"/>
      <c r="KO52" s="4"/>
      <c r="KP52" s="4"/>
      <c r="KQ52" s="4"/>
      <c r="KR52" s="4"/>
      <c r="KS52" s="4"/>
      <c r="KT52" s="4"/>
      <c r="KU52" s="4"/>
      <c r="KV52" s="4"/>
      <c r="KW52" s="4"/>
      <c r="KX52" s="4"/>
      <c r="KY52" s="4"/>
      <c r="KZ52" s="4"/>
      <c r="LA52" s="4"/>
      <c r="LB52" s="4"/>
      <c r="LC52" s="4"/>
      <c r="LD52" s="4"/>
      <c r="LE52" s="4"/>
      <c r="LF52" s="4"/>
      <c r="LG52" s="4"/>
      <c r="LH52" s="4"/>
      <c r="LI52" s="4"/>
      <c r="LJ52" s="4"/>
      <c r="LK52" s="4"/>
      <c r="LL52" s="4"/>
      <c r="LM52" s="4"/>
      <c r="LN52" s="4"/>
      <c r="LO52" s="4"/>
      <c r="LP52" s="4"/>
      <c r="LQ52" s="4"/>
      <c r="LR52" s="4"/>
      <c r="LS52" s="4"/>
      <c r="LT52" s="4"/>
      <c r="LU52" s="4"/>
      <c r="LV52" s="4"/>
      <c r="LW52" s="4"/>
      <c r="LX52" s="4"/>
      <c r="LY52" s="4"/>
      <c r="LZ52" s="4"/>
      <c r="MA52" s="4"/>
      <c r="MB52" s="4"/>
      <c r="MC52" s="4"/>
      <c r="MD52" s="4"/>
      <c r="ME52" s="4"/>
      <c r="MF52" s="4"/>
      <c r="MG52" s="4"/>
      <c r="MH52" s="4"/>
      <c r="MI52" s="4"/>
      <c r="MJ52" s="4"/>
      <c r="MK52" s="4"/>
      <c r="ML52" s="4"/>
      <c r="MM52" s="4"/>
      <c r="MN52" s="4"/>
      <c r="MO52" s="4"/>
      <c r="MP52" s="4"/>
      <c r="MQ52" s="4"/>
      <c r="MR52" s="4"/>
      <c r="MS52" s="4"/>
      <c r="MT52" s="4"/>
      <c r="MU52" s="4"/>
      <c r="MV52" s="4"/>
      <c r="MW52" s="4"/>
      <c r="MX52" s="4"/>
      <c r="MY52" s="4"/>
      <c r="MZ52" s="4"/>
      <c r="NA52" s="4"/>
      <c r="NB52" s="4"/>
      <c r="NC52" s="4"/>
      <c r="ND52" s="4"/>
      <c r="NE52" s="4"/>
      <c r="NF52" s="4"/>
      <c r="NG52" s="4"/>
      <c r="NH52" s="4"/>
      <c r="NI52" s="4"/>
      <c r="NJ52" s="4"/>
      <c r="NK52" s="4"/>
      <c r="NL52" s="4"/>
      <c r="NM52" s="4"/>
      <c r="NN52" s="4"/>
      <c r="NO52" s="4"/>
      <c r="NP52" s="4"/>
      <c r="NQ52" s="4"/>
      <c r="NR52" s="4"/>
      <c r="NS52" s="4"/>
      <c r="NT52" s="4"/>
      <c r="NU52" s="4"/>
      <c r="NV52" s="4"/>
      <c r="NW52" s="4"/>
      <c r="NX52" s="4"/>
      <c r="NY52" s="4"/>
      <c r="NZ52" s="4"/>
      <c r="OA52" s="4"/>
      <c r="OB52" s="4"/>
      <c r="OC52" s="4"/>
      <c r="OD52" s="4"/>
      <c r="OE52" s="4"/>
      <c r="OF52" s="4"/>
      <c r="OG52" s="4"/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</row>
    <row r="53" spans="1:415" s="3" customFormat="1" x14ac:dyDescent="0.3">
      <c r="A53" s="1"/>
      <c r="B53" s="2"/>
      <c r="C53" s="1"/>
      <c r="D53" s="1"/>
      <c r="E53" s="1"/>
      <c r="F53" s="1"/>
      <c r="G53" s="1"/>
      <c r="H53" s="1"/>
      <c r="J53" s="4"/>
      <c r="K53" s="5"/>
      <c r="L53" s="5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4"/>
      <c r="EC53" s="4"/>
      <c r="ED53" s="7"/>
      <c r="EE53" s="8"/>
      <c r="EF53" s="8"/>
      <c r="EG53" s="8"/>
      <c r="EH53" s="8"/>
      <c r="EI53" s="8"/>
      <c r="EJ53" s="8"/>
      <c r="EK53" s="8"/>
      <c r="EL53" s="8"/>
      <c r="EM53" s="8"/>
      <c r="EN53" s="8"/>
      <c r="EO53" s="8"/>
      <c r="EP53" s="8"/>
      <c r="EQ53" s="8"/>
      <c r="ER53" s="8"/>
      <c r="ES53" s="8"/>
      <c r="ET53" s="8"/>
      <c r="EU53" s="8"/>
      <c r="EV53" s="8"/>
      <c r="EW53" s="8"/>
      <c r="EX53" s="8"/>
      <c r="EY53" s="8"/>
      <c r="EZ53" s="8"/>
      <c r="FA53" s="8"/>
      <c r="FB53" s="8"/>
      <c r="FC53" s="8"/>
      <c r="FD53" s="8"/>
      <c r="FE53" s="8"/>
      <c r="FF53" s="8"/>
      <c r="FG53" s="8"/>
      <c r="FH53" s="8"/>
      <c r="FI53" s="4"/>
      <c r="FJ53" s="4"/>
      <c r="FK53" s="4"/>
      <c r="FL53" s="4"/>
      <c r="FM53" s="4"/>
      <c r="FN53" s="4"/>
      <c r="FO53" s="4"/>
      <c r="FP53" s="4"/>
      <c r="FQ53" s="4"/>
      <c r="FR53" s="4"/>
      <c r="FS53" s="4"/>
      <c r="FT53" s="4"/>
      <c r="FU53" s="4"/>
      <c r="FV53" s="4"/>
      <c r="FW53" s="4"/>
      <c r="FX53" s="4"/>
      <c r="FY53" s="4"/>
      <c r="FZ53" s="4"/>
      <c r="GA53" s="4"/>
      <c r="GB53" s="4"/>
      <c r="GC53" s="4"/>
      <c r="GD53" s="4"/>
      <c r="GE53" s="4"/>
      <c r="GF53" s="4"/>
      <c r="GG53" s="4"/>
      <c r="GH53" s="4"/>
      <c r="GI53" s="4"/>
      <c r="GJ53" s="4"/>
      <c r="GK53" s="4"/>
      <c r="GL53" s="4"/>
      <c r="GM53" s="4"/>
      <c r="GN53" s="4"/>
      <c r="GO53" s="4"/>
      <c r="GP53" s="4"/>
      <c r="GQ53" s="4"/>
      <c r="GR53" s="4"/>
      <c r="GS53" s="4"/>
      <c r="GT53" s="4"/>
      <c r="GU53" s="4"/>
      <c r="GV53" s="4"/>
      <c r="GW53" s="4"/>
      <c r="GX53" s="4"/>
      <c r="GY53" s="4"/>
      <c r="GZ53" s="4"/>
      <c r="HA53" s="4"/>
      <c r="HB53" s="4"/>
      <c r="HC53" s="4"/>
      <c r="HD53" s="4"/>
      <c r="HE53" s="4"/>
      <c r="HF53" s="4"/>
      <c r="HG53" s="4"/>
      <c r="HH53" s="4"/>
      <c r="HI53" s="4"/>
      <c r="HJ53" s="4"/>
      <c r="HK53" s="4"/>
      <c r="HL53" s="4"/>
      <c r="HM53" s="4"/>
      <c r="HN53" s="4"/>
      <c r="HO53" s="4"/>
      <c r="HP53" s="4"/>
      <c r="HQ53" s="4"/>
      <c r="HR53" s="4"/>
      <c r="HS53" s="4"/>
      <c r="HT53" s="4"/>
      <c r="HU53" s="4"/>
      <c r="HV53" s="4"/>
      <c r="HW53" s="4"/>
      <c r="HX53" s="4"/>
      <c r="HY53" s="4"/>
      <c r="HZ53" s="4"/>
      <c r="IA53" s="4"/>
      <c r="IB53" s="4"/>
      <c r="IC53" s="4"/>
      <c r="ID53" s="4"/>
      <c r="IE53" s="4"/>
      <c r="IF53" s="4"/>
      <c r="IG53" s="4"/>
      <c r="IH53" s="4"/>
      <c r="II53" s="4"/>
      <c r="IJ53" s="4"/>
      <c r="IK53" s="4"/>
      <c r="IL53" s="4"/>
      <c r="IM53" s="4"/>
      <c r="IN53" s="4"/>
      <c r="IO53" s="4"/>
      <c r="IP53" s="4"/>
      <c r="IQ53" s="4"/>
      <c r="IR53" s="4"/>
      <c r="IS53" s="4"/>
      <c r="IT53" s="4"/>
      <c r="IU53" s="4"/>
      <c r="IV53" s="4"/>
      <c r="IW53" s="4"/>
      <c r="IX53" s="4"/>
      <c r="IY53" s="4"/>
      <c r="IZ53" s="4"/>
      <c r="JA53" s="4"/>
      <c r="JB53" s="4"/>
      <c r="JC53" s="4"/>
      <c r="JD53" s="4"/>
      <c r="JE53" s="4"/>
      <c r="JF53" s="4"/>
      <c r="JG53" s="4"/>
      <c r="JH53" s="4"/>
      <c r="JI53" s="4"/>
      <c r="JJ53" s="4"/>
      <c r="JK53" s="4"/>
      <c r="JL53" s="4"/>
      <c r="JM53" s="4"/>
      <c r="JN53" s="4"/>
      <c r="JO53" s="4"/>
      <c r="JP53" s="4"/>
      <c r="JQ53" s="4"/>
      <c r="JR53" s="4"/>
      <c r="JS53" s="4"/>
      <c r="JT53" s="4"/>
      <c r="JU53" s="4"/>
      <c r="JV53" s="4"/>
      <c r="JW53" s="4"/>
      <c r="JX53" s="4"/>
      <c r="JY53" s="4"/>
      <c r="JZ53" s="4"/>
      <c r="KA53" s="4"/>
      <c r="KB53" s="4"/>
      <c r="KC53" s="4"/>
      <c r="KD53" s="4"/>
      <c r="KE53" s="4"/>
      <c r="KF53" s="4"/>
      <c r="KG53" s="4"/>
      <c r="KH53" s="4"/>
      <c r="KI53" s="4"/>
      <c r="KJ53" s="4"/>
      <c r="KK53" s="4"/>
      <c r="KL53" s="4"/>
      <c r="KM53" s="4"/>
      <c r="KN53" s="4"/>
      <c r="KO53" s="4"/>
      <c r="KP53" s="4"/>
      <c r="KQ53" s="4"/>
      <c r="KR53" s="4"/>
      <c r="KS53" s="4"/>
      <c r="KT53" s="4"/>
      <c r="KU53" s="4"/>
      <c r="KV53" s="4"/>
      <c r="KW53" s="4"/>
      <c r="KX53" s="4"/>
      <c r="KY53" s="4"/>
      <c r="KZ53" s="4"/>
      <c r="LA53" s="4"/>
      <c r="LB53" s="4"/>
      <c r="LC53" s="4"/>
      <c r="LD53" s="4"/>
      <c r="LE53" s="4"/>
      <c r="LF53" s="4"/>
      <c r="LG53" s="4"/>
      <c r="LH53" s="4"/>
      <c r="LI53" s="4"/>
      <c r="LJ53" s="4"/>
      <c r="LK53" s="4"/>
      <c r="LL53" s="4"/>
      <c r="LM53" s="4"/>
      <c r="LN53" s="4"/>
      <c r="LO53" s="4"/>
      <c r="LP53" s="4"/>
      <c r="LQ53" s="4"/>
      <c r="LR53" s="4"/>
      <c r="LS53" s="4"/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  <c r="MS53" s="4"/>
      <c r="MT53" s="4"/>
      <c r="MU53" s="4"/>
      <c r="MV53" s="4"/>
      <c r="MW53" s="4"/>
      <c r="MX53" s="4"/>
      <c r="MY53" s="4"/>
      <c r="MZ53" s="4"/>
      <c r="NA53" s="4"/>
      <c r="NB53" s="4"/>
      <c r="NC53" s="4"/>
      <c r="ND53" s="4"/>
      <c r="NE53" s="4"/>
      <c r="NF53" s="4"/>
      <c r="NG53" s="4"/>
      <c r="NH53" s="4"/>
      <c r="NI53" s="4"/>
      <c r="NJ53" s="4"/>
      <c r="NK53" s="4"/>
      <c r="NL53" s="4"/>
      <c r="NM53" s="4"/>
      <c r="NN53" s="4"/>
      <c r="NO53" s="4"/>
      <c r="NP53" s="4"/>
      <c r="NQ53" s="4"/>
      <c r="NR53" s="4"/>
      <c r="NS53" s="4"/>
      <c r="NT53" s="4"/>
      <c r="NU53" s="4"/>
      <c r="NV53" s="4"/>
      <c r="NW53" s="4"/>
      <c r="NX53" s="4"/>
      <c r="NY53" s="4"/>
      <c r="NZ53" s="4"/>
      <c r="OA53" s="4"/>
      <c r="OB53" s="4"/>
      <c r="OC53" s="4"/>
      <c r="OD53" s="4"/>
      <c r="OE53" s="4"/>
      <c r="OF53" s="4"/>
      <c r="OG53" s="4"/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</row>
    <row r="54" spans="1:415" s="3" customFormat="1" x14ac:dyDescent="0.3">
      <c r="A54" s="1"/>
      <c r="B54" s="2"/>
      <c r="C54" s="1"/>
      <c r="D54" s="1"/>
      <c r="E54" s="1"/>
      <c r="F54" s="1"/>
      <c r="G54" s="1"/>
      <c r="H54" s="1"/>
      <c r="J54" s="4"/>
      <c r="K54" s="5"/>
      <c r="L54" s="5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4"/>
      <c r="EC54" s="4"/>
      <c r="ED54" s="7"/>
      <c r="EE54" s="8"/>
      <c r="EF54" s="8"/>
      <c r="EG54" s="8"/>
      <c r="EH54" s="8"/>
      <c r="EI54" s="8"/>
      <c r="EJ54" s="8"/>
      <c r="EK54" s="8"/>
      <c r="EL54" s="8"/>
      <c r="EM54" s="8"/>
      <c r="EN54" s="8"/>
      <c r="EO54" s="8"/>
      <c r="EP54" s="8"/>
      <c r="EQ54" s="8"/>
      <c r="ER54" s="8"/>
      <c r="ES54" s="8"/>
      <c r="ET54" s="8"/>
      <c r="EU54" s="8"/>
      <c r="EV54" s="8"/>
      <c r="EW54" s="8"/>
      <c r="EX54" s="8"/>
      <c r="EY54" s="8"/>
      <c r="EZ54" s="8"/>
      <c r="FA54" s="8"/>
      <c r="FB54" s="8"/>
      <c r="FC54" s="8"/>
      <c r="FD54" s="8"/>
      <c r="FE54" s="8"/>
      <c r="FF54" s="8"/>
      <c r="FG54" s="8"/>
      <c r="FH54" s="8"/>
      <c r="FI54" s="4"/>
      <c r="FJ54" s="4"/>
      <c r="FK54" s="4"/>
      <c r="FL54" s="4"/>
      <c r="FM54" s="4"/>
      <c r="FN54" s="4"/>
      <c r="FO54" s="4"/>
      <c r="FP54" s="4"/>
      <c r="FQ54" s="4"/>
      <c r="FR54" s="4"/>
      <c r="FS54" s="4"/>
      <c r="FT54" s="4"/>
      <c r="FU54" s="4"/>
      <c r="FV54" s="4"/>
      <c r="FW54" s="4"/>
      <c r="FX54" s="4"/>
      <c r="FY54" s="4"/>
      <c r="FZ54" s="4"/>
      <c r="GA54" s="4"/>
      <c r="GB54" s="4"/>
      <c r="GC54" s="4"/>
      <c r="GD54" s="4"/>
      <c r="GE54" s="4"/>
      <c r="GF54" s="4"/>
      <c r="GG54" s="4"/>
      <c r="GH54" s="4"/>
      <c r="GI54" s="4"/>
      <c r="GJ54" s="4"/>
      <c r="GK54" s="4"/>
      <c r="GL54" s="4"/>
      <c r="GM54" s="4"/>
      <c r="GN54" s="4"/>
      <c r="GO54" s="4"/>
      <c r="GP54" s="4"/>
      <c r="GQ54" s="4"/>
      <c r="GR54" s="4"/>
      <c r="GS54" s="4"/>
      <c r="GT54" s="4"/>
      <c r="GU54" s="4"/>
      <c r="GV54" s="4"/>
      <c r="GW54" s="4"/>
      <c r="GX54" s="4"/>
      <c r="GY54" s="4"/>
      <c r="GZ54" s="4"/>
      <c r="HA54" s="4"/>
      <c r="HB54" s="4"/>
      <c r="HC54" s="4"/>
      <c r="HD54" s="4"/>
      <c r="HE54" s="4"/>
      <c r="HF54" s="4"/>
      <c r="HG54" s="4"/>
      <c r="HH54" s="4"/>
      <c r="HI54" s="4"/>
      <c r="HJ54" s="4"/>
      <c r="HK54" s="4"/>
      <c r="HL54" s="4"/>
      <c r="HM54" s="4"/>
      <c r="HN54" s="4"/>
      <c r="HO54" s="4"/>
      <c r="HP54" s="4"/>
      <c r="HQ54" s="4"/>
      <c r="HR54" s="4"/>
      <c r="HS54" s="4"/>
      <c r="HT54" s="4"/>
      <c r="HU54" s="4"/>
      <c r="HV54" s="4"/>
      <c r="HW54" s="4"/>
      <c r="HX54" s="4"/>
      <c r="HY54" s="4"/>
      <c r="HZ54" s="4"/>
      <c r="IA54" s="4"/>
      <c r="IB54" s="4"/>
      <c r="IC54" s="4"/>
      <c r="ID54" s="4"/>
      <c r="IE54" s="4"/>
      <c r="IF54" s="4"/>
      <c r="IG54" s="4"/>
      <c r="IH54" s="4"/>
      <c r="II54" s="4"/>
      <c r="IJ54" s="4"/>
      <c r="IK54" s="4"/>
      <c r="IL54" s="4"/>
      <c r="IM54" s="4"/>
      <c r="IN54" s="4"/>
      <c r="IO54" s="4"/>
      <c r="IP54" s="4"/>
      <c r="IQ54" s="4"/>
      <c r="IR54" s="4"/>
      <c r="IS54" s="4"/>
      <c r="IT54" s="4"/>
      <c r="IU54" s="4"/>
      <c r="IV54" s="4"/>
      <c r="IW54" s="4"/>
      <c r="IX54" s="4"/>
      <c r="IY54" s="4"/>
      <c r="IZ54" s="4"/>
      <c r="JA54" s="4"/>
      <c r="JB54" s="4"/>
      <c r="JC54" s="4"/>
      <c r="JD54" s="4"/>
      <c r="JE54" s="4"/>
      <c r="JF54" s="4"/>
      <c r="JG54" s="4"/>
      <c r="JH54" s="4"/>
      <c r="JI54" s="4"/>
      <c r="JJ54" s="4"/>
      <c r="JK54" s="4"/>
      <c r="JL54" s="4"/>
      <c r="JM54" s="4"/>
      <c r="JN54" s="4"/>
      <c r="JO54" s="4"/>
      <c r="JP54" s="4"/>
      <c r="JQ54" s="4"/>
      <c r="JR54" s="4"/>
      <c r="JS54" s="4"/>
      <c r="JT54" s="4"/>
      <c r="JU54" s="4"/>
      <c r="JV54" s="4"/>
      <c r="JW54" s="4"/>
      <c r="JX54" s="4"/>
      <c r="JY54" s="4"/>
      <c r="JZ54" s="4"/>
      <c r="KA54" s="4"/>
      <c r="KB54" s="4"/>
      <c r="KC54" s="4"/>
      <c r="KD54" s="4"/>
      <c r="KE54" s="4"/>
      <c r="KF54" s="4"/>
      <c r="KG54" s="4"/>
      <c r="KH54" s="4"/>
      <c r="KI54" s="4"/>
      <c r="KJ54" s="4"/>
      <c r="KK54" s="4"/>
      <c r="KL54" s="4"/>
      <c r="KM54" s="4"/>
      <c r="KN54" s="4"/>
      <c r="KO54" s="4"/>
      <c r="KP54" s="4"/>
      <c r="KQ54" s="4"/>
      <c r="KR54" s="4"/>
      <c r="KS54" s="4"/>
      <c r="KT54" s="4"/>
      <c r="KU54" s="4"/>
      <c r="KV54" s="4"/>
      <c r="KW54" s="4"/>
      <c r="KX54" s="4"/>
      <c r="KY54" s="4"/>
      <c r="KZ54" s="4"/>
      <c r="LA54" s="4"/>
      <c r="LB54" s="4"/>
      <c r="LC54" s="4"/>
      <c r="LD54" s="4"/>
      <c r="LE54" s="4"/>
      <c r="LF54" s="4"/>
      <c r="LG54" s="4"/>
      <c r="LH54" s="4"/>
      <c r="LI54" s="4"/>
      <c r="LJ54" s="4"/>
      <c r="LK54" s="4"/>
      <c r="LL54" s="4"/>
      <c r="LM54" s="4"/>
      <c r="LN54" s="4"/>
      <c r="LO54" s="4"/>
      <c r="LP54" s="4"/>
      <c r="LQ54" s="4"/>
      <c r="LR54" s="4"/>
      <c r="LS54" s="4"/>
      <c r="LT54" s="4"/>
      <c r="LU54" s="4"/>
      <c r="LV54" s="4"/>
      <c r="LW54" s="4"/>
      <c r="LX54" s="4"/>
      <c r="LY54" s="4"/>
      <c r="LZ54" s="4"/>
      <c r="MA54" s="4"/>
      <c r="MB54" s="4"/>
      <c r="MC54" s="4"/>
      <c r="MD54" s="4"/>
      <c r="ME54" s="4"/>
      <c r="MF54" s="4"/>
      <c r="MG54" s="4"/>
      <c r="MH54" s="4"/>
      <c r="MI54" s="4"/>
      <c r="MJ54" s="4"/>
      <c r="MK54" s="4"/>
      <c r="ML54" s="4"/>
      <c r="MM54" s="4"/>
      <c r="MN54" s="4"/>
      <c r="MO54" s="4"/>
      <c r="MP54" s="4"/>
      <c r="MQ54" s="4"/>
      <c r="MR54" s="4"/>
      <c r="MS54" s="4"/>
      <c r="MT54" s="4"/>
      <c r="MU54" s="4"/>
      <c r="MV54" s="4"/>
      <c r="MW54" s="4"/>
      <c r="MX54" s="4"/>
      <c r="MY54" s="4"/>
      <c r="MZ54" s="4"/>
      <c r="NA54" s="4"/>
      <c r="NB54" s="4"/>
      <c r="NC54" s="4"/>
      <c r="ND54" s="4"/>
      <c r="NE54" s="4"/>
      <c r="NF54" s="4"/>
      <c r="NG54" s="4"/>
      <c r="NH54" s="4"/>
      <c r="NI54" s="4"/>
      <c r="NJ54" s="4"/>
      <c r="NK54" s="4"/>
      <c r="NL54" s="4"/>
      <c r="NM54" s="4"/>
      <c r="NN54" s="4"/>
      <c r="NO54" s="4"/>
      <c r="NP54" s="4"/>
      <c r="NQ54" s="4"/>
      <c r="NR54" s="4"/>
      <c r="NS54" s="4"/>
      <c r="NT54" s="4"/>
      <c r="NU54" s="4"/>
      <c r="NV54" s="4"/>
      <c r="NW54" s="4"/>
      <c r="NX54" s="4"/>
      <c r="NY54" s="4"/>
      <c r="NZ54" s="4"/>
      <c r="OA54" s="4"/>
      <c r="OB54" s="4"/>
      <c r="OC54" s="4"/>
      <c r="OD54" s="4"/>
      <c r="OE54" s="4"/>
      <c r="OF54" s="4"/>
      <c r="OG54" s="4"/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</row>
    <row r="55" spans="1:415" s="3" customFormat="1" x14ac:dyDescent="0.3">
      <c r="A55" s="1"/>
      <c r="B55" s="2"/>
      <c r="C55" s="1"/>
      <c r="D55" s="1"/>
      <c r="E55" s="1"/>
      <c r="F55" s="1"/>
      <c r="G55" s="1"/>
      <c r="H55" s="1"/>
      <c r="J55" s="4"/>
      <c r="K55" s="5"/>
      <c r="L55" s="5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4"/>
      <c r="EC55" s="4"/>
      <c r="ED55" s="7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  <c r="EU55" s="8"/>
      <c r="EV55" s="8"/>
      <c r="EW55" s="8"/>
      <c r="EX55" s="8"/>
      <c r="EY55" s="8"/>
      <c r="EZ55" s="8"/>
      <c r="FA55" s="8"/>
      <c r="FB55" s="8"/>
      <c r="FC55" s="8"/>
      <c r="FD55" s="8"/>
      <c r="FE55" s="8"/>
      <c r="FF55" s="8"/>
      <c r="FG55" s="8"/>
      <c r="FH55" s="8"/>
      <c r="FI55" s="4"/>
      <c r="FJ55" s="4"/>
      <c r="FK55" s="4"/>
      <c r="FL55" s="4"/>
      <c r="FM55" s="4"/>
      <c r="FN55" s="4"/>
      <c r="FO55" s="4"/>
      <c r="FP55" s="4"/>
      <c r="FQ55" s="4"/>
      <c r="FR55" s="4"/>
      <c r="FS55" s="4"/>
      <c r="FT55" s="4"/>
      <c r="FU55" s="4"/>
      <c r="FV55" s="4"/>
      <c r="FW55" s="4"/>
      <c r="FX55" s="4"/>
      <c r="FY55" s="4"/>
      <c r="FZ55" s="4"/>
      <c r="GA55" s="4"/>
      <c r="GB55" s="4"/>
      <c r="GC55" s="4"/>
      <c r="GD55" s="4"/>
      <c r="GE55" s="4"/>
      <c r="GF55" s="4"/>
      <c r="GG55" s="4"/>
      <c r="GH55" s="4"/>
      <c r="GI55" s="4"/>
      <c r="GJ55" s="4"/>
      <c r="GK55" s="4"/>
      <c r="GL55" s="4"/>
      <c r="GM55" s="4"/>
      <c r="GN55" s="4"/>
      <c r="GO55" s="4"/>
      <c r="GP55" s="4"/>
      <c r="GQ55" s="4"/>
      <c r="GR55" s="4"/>
      <c r="GS55" s="4"/>
      <c r="GT55" s="4"/>
      <c r="GU55" s="4"/>
      <c r="GV55" s="4"/>
      <c r="GW55" s="4"/>
      <c r="GX55" s="4"/>
      <c r="GY55" s="4"/>
      <c r="GZ55" s="4"/>
      <c r="HA55" s="4"/>
      <c r="HB55" s="4"/>
      <c r="HC55" s="4"/>
      <c r="HD55" s="4"/>
      <c r="HE55" s="4"/>
      <c r="HF55" s="4"/>
      <c r="HG55" s="4"/>
      <c r="HH55" s="4"/>
      <c r="HI55" s="4"/>
      <c r="HJ55" s="4"/>
      <c r="HK55" s="4"/>
      <c r="HL55" s="4"/>
      <c r="HM55" s="4"/>
      <c r="HN55" s="4"/>
      <c r="HO55" s="4"/>
      <c r="HP55" s="4"/>
      <c r="HQ55" s="4"/>
      <c r="HR55" s="4"/>
      <c r="HS55" s="4"/>
      <c r="HT55" s="4"/>
      <c r="HU55" s="4"/>
      <c r="HV55" s="4"/>
      <c r="HW55" s="4"/>
      <c r="HX55" s="4"/>
      <c r="HY55" s="4"/>
      <c r="HZ55" s="4"/>
      <c r="IA55" s="4"/>
      <c r="IB55" s="4"/>
      <c r="IC55" s="4"/>
      <c r="ID55" s="4"/>
      <c r="IE55" s="4"/>
      <c r="IF55" s="4"/>
      <c r="IG55" s="4"/>
      <c r="IH55" s="4"/>
      <c r="II55" s="4"/>
      <c r="IJ55" s="4"/>
      <c r="IK55" s="4"/>
      <c r="IL55" s="4"/>
      <c r="IM55" s="4"/>
      <c r="IN55" s="4"/>
      <c r="IO55" s="4"/>
      <c r="IP55" s="4"/>
      <c r="IQ55" s="4"/>
      <c r="IR55" s="4"/>
      <c r="IS55" s="4"/>
      <c r="IT55" s="4"/>
      <c r="IU55" s="4"/>
      <c r="IV55" s="4"/>
      <c r="IW55" s="4"/>
      <c r="IX55" s="4"/>
      <c r="IY55" s="4"/>
      <c r="IZ55" s="4"/>
      <c r="JA55" s="4"/>
      <c r="JB55" s="4"/>
      <c r="JC55" s="4"/>
      <c r="JD55" s="4"/>
      <c r="JE55" s="4"/>
      <c r="JF55" s="4"/>
      <c r="JG55" s="4"/>
      <c r="JH55" s="4"/>
      <c r="JI55" s="4"/>
      <c r="JJ55" s="4"/>
      <c r="JK55" s="4"/>
      <c r="JL55" s="4"/>
      <c r="JM55" s="4"/>
      <c r="JN55" s="4"/>
      <c r="JO55" s="4"/>
      <c r="JP55" s="4"/>
      <c r="JQ55" s="4"/>
      <c r="JR55" s="4"/>
      <c r="JS55" s="4"/>
      <c r="JT55" s="4"/>
      <c r="JU55" s="4"/>
      <c r="JV55" s="4"/>
      <c r="JW55" s="4"/>
      <c r="JX55" s="4"/>
      <c r="JY55" s="4"/>
      <c r="JZ55" s="4"/>
      <c r="KA55" s="4"/>
      <c r="KB55" s="4"/>
      <c r="KC55" s="4"/>
      <c r="KD55" s="4"/>
      <c r="KE55" s="4"/>
      <c r="KF55" s="4"/>
      <c r="KG55" s="4"/>
      <c r="KH55" s="4"/>
      <c r="KI55" s="4"/>
      <c r="KJ55" s="4"/>
      <c r="KK55" s="4"/>
      <c r="KL55" s="4"/>
      <c r="KM55" s="4"/>
      <c r="KN55" s="4"/>
      <c r="KO55" s="4"/>
      <c r="KP55" s="4"/>
      <c r="KQ55" s="4"/>
      <c r="KR55" s="4"/>
      <c r="KS55" s="4"/>
      <c r="KT55" s="4"/>
      <c r="KU55" s="4"/>
      <c r="KV55" s="4"/>
      <c r="KW55" s="4"/>
      <c r="KX55" s="4"/>
      <c r="KY55" s="4"/>
      <c r="KZ55" s="4"/>
      <c r="LA55" s="4"/>
      <c r="LB55" s="4"/>
      <c r="LC55" s="4"/>
      <c r="LD55" s="4"/>
      <c r="LE55" s="4"/>
      <c r="LF55" s="4"/>
      <c r="LG55" s="4"/>
      <c r="LH55" s="4"/>
      <c r="LI55" s="4"/>
      <c r="LJ55" s="4"/>
      <c r="LK55" s="4"/>
      <c r="LL55" s="4"/>
      <c r="LM55" s="4"/>
      <c r="LN55" s="4"/>
      <c r="LO55" s="4"/>
      <c r="LP55" s="4"/>
      <c r="LQ55" s="4"/>
      <c r="LR55" s="4"/>
      <c r="LS55" s="4"/>
      <c r="LT55" s="4"/>
      <c r="LU55" s="4"/>
      <c r="LV55" s="4"/>
      <c r="LW55" s="4"/>
      <c r="LX55" s="4"/>
      <c r="LY55" s="4"/>
      <c r="LZ55" s="4"/>
      <c r="MA55" s="4"/>
      <c r="MB55" s="4"/>
      <c r="MC55" s="4"/>
      <c r="MD55" s="4"/>
      <c r="ME55" s="4"/>
      <c r="MF55" s="4"/>
      <c r="MG55" s="4"/>
      <c r="MH55" s="4"/>
      <c r="MI55" s="4"/>
      <c r="MJ55" s="4"/>
      <c r="MK55" s="4"/>
      <c r="ML55" s="4"/>
      <c r="MM55" s="4"/>
      <c r="MN55" s="4"/>
      <c r="MO55" s="4"/>
      <c r="MP55" s="4"/>
      <c r="MQ55" s="4"/>
      <c r="MR55" s="4"/>
      <c r="MS55" s="4"/>
      <c r="MT55" s="4"/>
      <c r="MU55" s="4"/>
      <c r="MV55" s="4"/>
      <c r="MW55" s="4"/>
      <c r="MX55" s="4"/>
      <c r="MY55" s="4"/>
      <c r="MZ55" s="4"/>
      <c r="NA55" s="4"/>
      <c r="NB55" s="4"/>
      <c r="NC55" s="4"/>
      <c r="ND55" s="4"/>
      <c r="NE55" s="4"/>
      <c r="NF55" s="4"/>
      <c r="NG55" s="4"/>
      <c r="NH55" s="4"/>
      <c r="NI55" s="4"/>
      <c r="NJ55" s="4"/>
      <c r="NK55" s="4"/>
      <c r="NL55" s="4"/>
      <c r="NM55" s="4"/>
      <c r="NN55" s="4"/>
      <c r="NO55" s="4"/>
      <c r="NP55" s="4"/>
      <c r="NQ55" s="4"/>
      <c r="NR55" s="4"/>
      <c r="NS55" s="4"/>
      <c r="NT55" s="4"/>
      <c r="NU55" s="4"/>
      <c r="NV55" s="4"/>
      <c r="NW55" s="4"/>
      <c r="NX55" s="4"/>
      <c r="NY55" s="4"/>
      <c r="NZ55" s="4"/>
      <c r="OA55" s="4"/>
      <c r="OB55" s="4"/>
      <c r="OC55" s="4"/>
      <c r="OD55" s="4"/>
      <c r="OE55" s="4"/>
      <c r="OF55" s="4"/>
      <c r="OG55" s="4"/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</row>
    <row r="56" spans="1:415" s="3" customFormat="1" x14ac:dyDescent="0.3">
      <c r="A56" s="1"/>
      <c r="B56" s="2"/>
      <c r="C56" s="1"/>
      <c r="D56" s="1"/>
      <c r="E56" s="1"/>
      <c r="F56" s="1"/>
      <c r="G56" s="1"/>
      <c r="H56" s="1"/>
      <c r="J56" s="4"/>
      <c r="K56" s="5"/>
      <c r="L56" s="5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4"/>
      <c r="EC56" s="4"/>
      <c r="ED56" s="7"/>
      <c r="EE56" s="8"/>
      <c r="EF56" s="8"/>
      <c r="EG56" s="8"/>
      <c r="EH56" s="8"/>
      <c r="EI56" s="8"/>
      <c r="EJ56" s="8"/>
      <c r="EK56" s="8"/>
      <c r="EL56" s="8"/>
      <c r="EM56" s="8"/>
      <c r="EN56" s="8"/>
      <c r="EO56" s="8"/>
      <c r="EP56" s="8"/>
      <c r="EQ56" s="8"/>
      <c r="ER56" s="8"/>
      <c r="ES56" s="8"/>
      <c r="ET56" s="8"/>
      <c r="EU56" s="8"/>
      <c r="EV56" s="8"/>
      <c r="EW56" s="8"/>
      <c r="EX56" s="8"/>
      <c r="EY56" s="8"/>
      <c r="EZ56" s="8"/>
      <c r="FA56" s="8"/>
      <c r="FB56" s="8"/>
      <c r="FC56" s="8"/>
      <c r="FD56" s="8"/>
      <c r="FE56" s="8"/>
      <c r="FF56" s="8"/>
      <c r="FG56" s="8"/>
      <c r="FH56" s="8"/>
      <c r="FI56" s="4"/>
      <c r="FJ56" s="4"/>
      <c r="FK56" s="4"/>
      <c r="FL56" s="4"/>
      <c r="FM56" s="4"/>
      <c r="FN56" s="4"/>
      <c r="FO56" s="4"/>
      <c r="FP56" s="4"/>
      <c r="FQ56" s="4"/>
      <c r="FR56" s="4"/>
      <c r="FS56" s="4"/>
      <c r="FT56" s="4"/>
      <c r="FU56" s="4"/>
      <c r="FV56" s="4"/>
      <c r="FW56" s="4"/>
      <c r="FX56" s="4"/>
      <c r="FY56" s="4"/>
      <c r="FZ56" s="4"/>
      <c r="GA56" s="4"/>
      <c r="GB56" s="4"/>
      <c r="GC56" s="4"/>
      <c r="GD56" s="4"/>
      <c r="GE56" s="4"/>
      <c r="GF56" s="4"/>
      <c r="GG56" s="4"/>
      <c r="GH56" s="4"/>
      <c r="GI56" s="4"/>
      <c r="GJ56" s="4"/>
      <c r="GK56" s="4"/>
      <c r="GL56" s="4"/>
      <c r="GM56" s="4"/>
      <c r="GN56" s="4"/>
      <c r="GO56" s="4"/>
      <c r="GP56" s="4"/>
      <c r="GQ56" s="4"/>
      <c r="GR56" s="4"/>
      <c r="GS56" s="4"/>
      <c r="GT56" s="4"/>
      <c r="GU56" s="4"/>
      <c r="GV56" s="4"/>
      <c r="GW56" s="4"/>
      <c r="GX56" s="4"/>
      <c r="GY56" s="4"/>
      <c r="GZ56" s="4"/>
      <c r="HA56" s="4"/>
      <c r="HB56" s="4"/>
      <c r="HC56" s="4"/>
      <c r="HD56" s="4"/>
      <c r="HE56" s="4"/>
      <c r="HF56" s="4"/>
      <c r="HG56" s="4"/>
      <c r="HH56" s="4"/>
      <c r="HI56" s="4"/>
      <c r="HJ56" s="4"/>
      <c r="HK56" s="4"/>
      <c r="HL56" s="4"/>
      <c r="HM56" s="4"/>
      <c r="HN56" s="4"/>
      <c r="HO56" s="4"/>
      <c r="HP56" s="4"/>
      <c r="HQ56" s="4"/>
      <c r="HR56" s="4"/>
      <c r="HS56" s="4"/>
      <c r="HT56" s="4"/>
      <c r="HU56" s="4"/>
      <c r="HV56" s="4"/>
      <c r="HW56" s="4"/>
      <c r="HX56" s="4"/>
      <c r="HY56" s="4"/>
      <c r="HZ56" s="4"/>
      <c r="IA56" s="4"/>
      <c r="IB56" s="4"/>
      <c r="IC56" s="4"/>
      <c r="ID56" s="4"/>
      <c r="IE56" s="4"/>
      <c r="IF56" s="4"/>
      <c r="IG56" s="4"/>
      <c r="IH56" s="4"/>
      <c r="II56" s="4"/>
      <c r="IJ56" s="4"/>
      <c r="IK56" s="4"/>
      <c r="IL56" s="4"/>
      <c r="IM56" s="4"/>
      <c r="IN56" s="4"/>
      <c r="IO56" s="4"/>
      <c r="IP56" s="4"/>
      <c r="IQ56" s="4"/>
      <c r="IR56" s="4"/>
      <c r="IS56" s="4"/>
      <c r="IT56" s="4"/>
      <c r="IU56" s="4"/>
      <c r="IV56" s="4"/>
      <c r="IW56" s="4"/>
      <c r="IX56" s="4"/>
      <c r="IY56" s="4"/>
      <c r="IZ56" s="4"/>
      <c r="JA56" s="4"/>
      <c r="JB56" s="4"/>
      <c r="JC56" s="4"/>
      <c r="JD56" s="4"/>
      <c r="JE56" s="4"/>
      <c r="JF56" s="4"/>
      <c r="JG56" s="4"/>
      <c r="JH56" s="4"/>
      <c r="JI56" s="4"/>
      <c r="JJ56" s="4"/>
      <c r="JK56" s="4"/>
      <c r="JL56" s="4"/>
      <c r="JM56" s="4"/>
      <c r="JN56" s="4"/>
      <c r="JO56" s="4"/>
      <c r="JP56" s="4"/>
      <c r="JQ56" s="4"/>
      <c r="JR56" s="4"/>
      <c r="JS56" s="4"/>
      <c r="JT56" s="4"/>
      <c r="JU56" s="4"/>
      <c r="JV56" s="4"/>
      <c r="JW56" s="4"/>
      <c r="JX56" s="4"/>
      <c r="JY56" s="4"/>
      <c r="JZ56" s="4"/>
      <c r="KA56" s="4"/>
      <c r="KB56" s="4"/>
      <c r="KC56" s="4"/>
      <c r="KD56" s="4"/>
      <c r="KE56" s="4"/>
      <c r="KF56" s="4"/>
      <c r="KG56" s="4"/>
      <c r="KH56" s="4"/>
      <c r="KI56" s="4"/>
      <c r="KJ56" s="4"/>
      <c r="KK56" s="4"/>
      <c r="KL56" s="4"/>
      <c r="KM56" s="4"/>
      <c r="KN56" s="4"/>
      <c r="KO56" s="4"/>
      <c r="KP56" s="4"/>
      <c r="KQ56" s="4"/>
      <c r="KR56" s="4"/>
      <c r="KS56" s="4"/>
      <c r="KT56" s="4"/>
      <c r="KU56" s="4"/>
      <c r="KV56" s="4"/>
      <c r="KW56" s="4"/>
      <c r="KX56" s="4"/>
      <c r="KY56" s="4"/>
      <c r="KZ56" s="4"/>
      <c r="LA56" s="4"/>
      <c r="LB56" s="4"/>
      <c r="LC56" s="4"/>
      <c r="LD56" s="4"/>
      <c r="LE56" s="4"/>
      <c r="LF56" s="4"/>
      <c r="LG56" s="4"/>
      <c r="LH56" s="4"/>
      <c r="LI56" s="4"/>
      <c r="LJ56" s="4"/>
      <c r="LK56" s="4"/>
      <c r="LL56" s="4"/>
      <c r="LM56" s="4"/>
      <c r="LN56" s="4"/>
      <c r="LO56" s="4"/>
      <c r="LP56" s="4"/>
      <c r="LQ56" s="4"/>
      <c r="LR56" s="4"/>
      <c r="LS56" s="4"/>
      <c r="LT56" s="4"/>
      <c r="LU56" s="4"/>
      <c r="LV56" s="4"/>
      <c r="LW56" s="4"/>
      <c r="LX56" s="4"/>
      <c r="LY56" s="4"/>
      <c r="LZ56" s="4"/>
      <c r="MA56" s="4"/>
      <c r="MB56" s="4"/>
      <c r="MC56" s="4"/>
      <c r="MD56" s="4"/>
      <c r="ME56" s="4"/>
      <c r="MF56" s="4"/>
      <c r="MG56" s="4"/>
      <c r="MH56" s="4"/>
      <c r="MI56" s="4"/>
      <c r="MJ56" s="4"/>
      <c r="MK56" s="4"/>
      <c r="ML56" s="4"/>
      <c r="MM56" s="4"/>
      <c r="MN56" s="4"/>
      <c r="MO56" s="4"/>
      <c r="MP56" s="4"/>
      <c r="MQ56" s="4"/>
      <c r="MR56" s="4"/>
      <c r="MS56" s="4"/>
      <c r="MT56" s="4"/>
      <c r="MU56" s="4"/>
      <c r="MV56" s="4"/>
      <c r="MW56" s="4"/>
      <c r="MX56" s="4"/>
      <c r="MY56" s="4"/>
      <c r="MZ56" s="4"/>
      <c r="NA56" s="4"/>
      <c r="NB56" s="4"/>
      <c r="NC56" s="4"/>
      <c r="ND56" s="4"/>
      <c r="NE56" s="4"/>
      <c r="NF56" s="4"/>
      <c r="NG56" s="4"/>
      <c r="NH56" s="4"/>
      <c r="NI56" s="4"/>
      <c r="NJ56" s="4"/>
      <c r="NK56" s="4"/>
      <c r="NL56" s="4"/>
      <c r="NM56" s="4"/>
      <c r="NN56" s="4"/>
      <c r="NO56" s="4"/>
      <c r="NP56" s="4"/>
      <c r="NQ56" s="4"/>
      <c r="NR56" s="4"/>
      <c r="NS56" s="4"/>
      <c r="NT56" s="4"/>
      <c r="NU56" s="4"/>
      <c r="NV56" s="4"/>
      <c r="NW56" s="4"/>
      <c r="NX56" s="4"/>
      <c r="NY56" s="4"/>
      <c r="NZ56" s="4"/>
      <c r="OA56" s="4"/>
      <c r="OB56" s="4"/>
      <c r="OC56" s="4"/>
      <c r="OD56" s="4"/>
      <c r="OE56" s="4"/>
      <c r="OF56" s="4"/>
      <c r="OG56" s="4"/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</row>
    <row r="57" spans="1:415" s="3" customFormat="1" x14ac:dyDescent="0.3">
      <c r="A57" s="1"/>
      <c r="B57" s="2"/>
      <c r="C57" s="1"/>
      <c r="D57" s="1"/>
      <c r="E57" s="1"/>
      <c r="F57" s="1"/>
      <c r="G57" s="1"/>
      <c r="H57" s="1"/>
      <c r="J57" s="4"/>
      <c r="K57" s="5"/>
      <c r="L57" s="5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4"/>
      <c r="EC57" s="4"/>
      <c r="ED57" s="7"/>
      <c r="EE57" s="8"/>
      <c r="EF57" s="8"/>
      <c r="EG57" s="8"/>
      <c r="EH57" s="8"/>
      <c r="EI57" s="8"/>
      <c r="EJ57" s="8"/>
      <c r="EK57" s="8"/>
      <c r="EL57" s="8"/>
      <c r="EM57" s="8"/>
      <c r="EN57" s="8"/>
      <c r="EO57" s="8"/>
      <c r="EP57" s="8"/>
      <c r="EQ57" s="8"/>
      <c r="ER57" s="8"/>
      <c r="ES57" s="8"/>
      <c r="ET57" s="8"/>
      <c r="EU57" s="8"/>
      <c r="EV57" s="8"/>
      <c r="EW57" s="8"/>
      <c r="EX57" s="8"/>
      <c r="EY57" s="8"/>
      <c r="EZ57" s="8"/>
      <c r="FA57" s="8"/>
      <c r="FB57" s="8"/>
      <c r="FC57" s="8"/>
      <c r="FD57" s="8"/>
      <c r="FE57" s="8"/>
      <c r="FF57" s="8"/>
      <c r="FG57" s="8"/>
      <c r="FH57" s="8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  <c r="IW57" s="4"/>
      <c r="IX57" s="4"/>
      <c r="IY57" s="4"/>
      <c r="IZ57" s="4"/>
      <c r="JA57" s="4"/>
      <c r="JB57" s="4"/>
      <c r="JC57" s="4"/>
      <c r="JD57" s="4"/>
      <c r="JE57" s="4"/>
      <c r="JF57" s="4"/>
      <c r="JG57" s="4"/>
      <c r="JH57" s="4"/>
      <c r="JI57" s="4"/>
      <c r="JJ57" s="4"/>
      <c r="JK57" s="4"/>
      <c r="JL57" s="4"/>
      <c r="JM57" s="4"/>
      <c r="JN57" s="4"/>
      <c r="JO57" s="4"/>
      <c r="JP57" s="4"/>
      <c r="JQ57" s="4"/>
      <c r="JR57" s="4"/>
      <c r="JS57" s="4"/>
      <c r="JT57" s="4"/>
      <c r="JU57" s="4"/>
      <c r="JV57" s="4"/>
      <c r="JW57" s="4"/>
      <c r="JX57" s="4"/>
      <c r="JY57" s="4"/>
      <c r="JZ57" s="4"/>
      <c r="KA57" s="4"/>
      <c r="KB57" s="4"/>
      <c r="KC57" s="4"/>
      <c r="KD57" s="4"/>
      <c r="KE57" s="4"/>
      <c r="KF57" s="4"/>
      <c r="KG57" s="4"/>
      <c r="KH57" s="4"/>
      <c r="KI57" s="4"/>
      <c r="KJ57" s="4"/>
      <c r="KK57" s="4"/>
      <c r="KL57" s="4"/>
      <c r="KM57" s="4"/>
      <c r="KN57" s="4"/>
      <c r="KO57" s="4"/>
      <c r="KP57" s="4"/>
      <c r="KQ57" s="4"/>
      <c r="KR57" s="4"/>
      <c r="KS57" s="4"/>
      <c r="KT57" s="4"/>
      <c r="KU57" s="4"/>
      <c r="KV57" s="4"/>
      <c r="KW57" s="4"/>
      <c r="KX57" s="4"/>
      <c r="KY57" s="4"/>
      <c r="KZ57" s="4"/>
      <c r="LA57" s="4"/>
      <c r="LB57" s="4"/>
      <c r="LC57" s="4"/>
      <c r="LD57" s="4"/>
      <c r="LE57" s="4"/>
      <c r="LF57" s="4"/>
      <c r="LG57" s="4"/>
      <c r="LH57" s="4"/>
      <c r="LI57" s="4"/>
      <c r="LJ57" s="4"/>
      <c r="LK57" s="4"/>
      <c r="LL57" s="4"/>
      <c r="LM57" s="4"/>
      <c r="LN57" s="4"/>
      <c r="LO57" s="4"/>
      <c r="LP57" s="4"/>
      <c r="LQ57" s="4"/>
      <c r="LR57" s="4"/>
      <c r="LS57" s="4"/>
      <c r="LT57" s="4"/>
      <c r="LU57" s="4"/>
      <c r="LV57" s="4"/>
      <c r="LW57" s="4"/>
      <c r="LX57" s="4"/>
      <c r="LY57" s="4"/>
      <c r="LZ57" s="4"/>
      <c r="MA57" s="4"/>
      <c r="MB57" s="4"/>
      <c r="MC57" s="4"/>
      <c r="MD57" s="4"/>
      <c r="ME57" s="4"/>
      <c r="MF57" s="4"/>
      <c r="MG57" s="4"/>
      <c r="MH57" s="4"/>
      <c r="MI57" s="4"/>
      <c r="MJ57" s="4"/>
      <c r="MK57" s="4"/>
      <c r="ML57" s="4"/>
      <c r="MM57" s="4"/>
      <c r="MN57" s="4"/>
      <c r="MO57" s="4"/>
      <c r="MP57" s="4"/>
      <c r="MQ57" s="4"/>
      <c r="MR57" s="4"/>
      <c r="MS57" s="4"/>
      <c r="MT57" s="4"/>
      <c r="MU57" s="4"/>
      <c r="MV57" s="4"/>
      <c r="MW57" s="4"/>
      <c r="MX57" s="4"/>
      <c r="MY57" s="4"/>
      <c r="MZ57" s="4"/>
      <c r="NA57" s="4"/>
      <c r="NB57" s="4"/>
      <c r="NC57" s="4"/>
      <c r="ND57" s="4"/>
      <c r="NE57" s="4"/>
      <c r="NF57" s="4"/>
      <c r="NG57" s="4"/>
      <c r="NH57" s="4"/>
      <c r="NI57" s="4"/>
      <c r="NJ57" s="4"/>
      <c r="NK57" s="4"/>
      <c r="NL57" s="4"/>
      <c r="NM57" s="4"/>
      <c r="NN57" s="4"/>
      <c r="NO57" s="4"/>
      <c r="NP57" s="4"/>
      <c r="NQ57" s="4"/>
      <c r="NR57" s="4"/>
      <c r="NS57" s="4"/>
      <c r="NT57" s="4"/>
      <c r="NU57" s="4"/>
      <c r="NV57" s="4"/>
      <c r="NW57" s="4"/>
      <c r="NX57" s="4"/>
      <c r="NY57" s="4"/>
      <c r="NZ57" s="4"/>
      <c r="OA57" s="4"/>
      <c r="OB57" s="4"/>
      <c r="OC57" s="4"/>
      <c r="OD57" s="4"/>
      <c r="OE57" s="4"/>
      <c r="OF57" s="4"/>
      <c r="OG57" s="4"/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</row>
    <row r="58" spans="1:415" s="3" customFormat="1" x14ac:dyDescent="0.3">
      <c r="A58" s="1"/>
      <c r="B58" s="2"/>
      <c r="C58" s="1"/>
      <c r="D58" s="1"/>
      <c r="E58" s="1"/>
      <c r="F58" s="1"/>
      <c r="G58" s="1"/>
      <c r="H58" s="1"/>
      <c r="J58" s="4"/>
      <c r="K58" s="5"/>
      <c r="L58" s="5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4"/>
      <c r="EC58" s="4"/>
      <c r="ED58" s="7"/>
      <c r="EE58" s="8"/>
      <c r="EF58" s="8"/>
      <c r="EG58" s="8"/>
      <c r="EH58" s="8"/>
      <c r="EI58" s="8"/>
      <c r="EJ58" s="8"/>
      <c r="EK58" s="8"/>
      <c r="EL58" s="8"/>
      <c r="EM58" s="8"/>
      <c r="EN58" s="8"/>
      <c r="EO58" s="8"/>
      <c r="EP58" s="8"/>
      <c r="EQ58" s="8"/>
      <c r="ER58" s="8"/>
      <c r="ES58" s="8"/>
      <c r="ET58" s="8"/>
      <c r="EU58" s="8"/>
      <c r="EV58" s="8"/>
      <c r="EW58" s="8"/>
      <c r="EX58" s="8"/>
      <c r="EY58" s="8"/>
      <c r="EZ58" s="8"/>
      <c r="FA58" s="8"/>
      <c r="FB58" s="8"/>
      <c r="FC58" s="8"/>
      <c r="FD58" s="8"/>
      <c r="FE58" s="8"/>
      <c r="FF58" s="8"/>
      <c r="FG58" s="8"/>
      <c r="FH58" s="8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  <c r="IW58" s="4"/>
      <c r="IX58" s="4"/>
      <c r="IY58" s="4"/>
      <c r="IZ58" s="4"/>
      <c r="JA58" s="4"/>
      <c r="JB58" s="4"/>
      <c r="JC58" s="4"/>
      <c r="JD58" s="4"/>
      <c r="JE58" s="4"/>
      <c r="JF58" s="4"/>
      <c r="JG58" s="4"/>
      <c r="JH58" s="4"/>
      <c r="JI58" s="4"/>
      <c r="JJ58" s="4"/>
      <c r="JK58" s="4"/>
      <c r="JL58" s="4"/>
      <c r="JM58" s="4"/>
      <c r="JN58" s="4"/>
      <c r="JO58" s="4"/>
      <c r="JP58" s="4"/>
      <c r="JQ58" s="4"/>
      <c r="JR58" s="4"/>
      <c r="JS58" s="4"/>
      <c r="JT58" s="4"/>
      <c r="JU58" s="4"/>
      <c r="JV58" s="4"/>
      <c r="JW58" s="4"/>
      <c r="JX58" s="4"/>
      <c r="JY58" s="4"/>
      <c r="JZ58" s="4"/>
      <c r="KA58" s="4"/>
      <c r="KB58" s="4"/>
      <c r="KC58" s="4"/>
      <c r="KD58" s="4"/>
      <c r="KE58" s="4"/>
      <c r="KF58" s="4"/>
      <c r="KG58" s="4"/>
      <c r="KH58" s="4"/>
      <c r="KI58" s="4"/>
      <c r="KJ58" s="4"/>
      <c r="KK58" s="4"/>
      <c r="KL58" s="4"/>
      <c r="KM58" s="4"/>
      <c r="KN58" s="4"/>
      <c r="KO58" s="4"/>
      <c r="KP58" s="4"/>
      <c r="KQ58" s="4"/>
      <c r="KR58" s="4"/>
      <c r="KS58" s="4"/>
      <c r="KT58" s="4"/>
      <c r="KU58" s="4"/>
      <c r="KV58" s="4"/>
      <c r="KW58" s="4"/>
      <c r="KX58" s="4"/>
      <c r="KY58" s="4"/>
      <c r="KZ58" s="4"/>
      <c r="LA58" s="4"/>
      <c r="LB58" s="4"/>
      <c r="LC58" s="4"/>
      <c r="LD58" s="4"/>
      <c r="LE58" s="4"/>
      <c r="LF58" s="4"/>
      <c r="LG58" s="4"/>
      <c r="LH58" s="4"/>
      <c r="LI58" s="4"/>
      <c r="LJ58" s="4"/>
      <c r="LK58" s="4"/>
      <c r="LL58" s="4"/>
      <c r="LM58" s="4"/>
      <c r="LN58" s="4"/>
      <c r="LO58" s="4"/>
      <c r="LP58" s="4"/>
      <c r="LQ58" s="4"/>
      <c r="LR58" s="4"/>
      <c r="LS58" s="4"/>
      <c r="LT58" s="4"/>
      <c r="LU58" s="4"/>
      <c r="LV58" s="4"/>
      <c r="LW58" s="4"/>
      <c r="LX58" s="4"/>
      <c r="LY58" s="4"/>
      <c r="LZ58" s="4"/>
      <c r="MA58" s="4"/>
      <c r="MB58" s="4"/>
      <c r="MC58" s="4"/>
      <c r="MD58" s="4"/>
      <c r="ME58" s="4"/>
      <c r="MF58" s="4"/>
      <c r="MG58" s="4"/>
      <c r="MH58" s="4"/>
      <c r="MI58" s="4"/>
      <c r="MJ58" s="4"/>
      <c r="MK58" s="4"/>
      <c r="ML58" s="4"/>
      <c r="MM58" s="4"/>
      <c r="MN58" s="4"/>
      <c r="MO58" s="4"/>
      <c r="MP58" s="4"/>
      <c r="MQ58" s="4"/>
      <c r="MR58" s="4"/>
      <c r="MS58" s="4"/>
      <c r="MT58" s="4"/>
      <c r="MU58" s="4"/>
      <c r="MV58" s="4"/>
      <c r="MW58" s="4"/>
      <c r="MX58" s="4"/>
      <c r="MY58" s="4"/>
      <c r="MZ58" s="4"/>
      <c r="NA58" s="4"/>
      <c r="NB58" s="4"/>
      <c r="NC58" s="4"/>
      <c r="ND58" s="4"/>
      <c r="NE58" s="4"/>
      <c r="NF58" s="4"/>
      <c r="NG58" s="4"/>
      <c r="NH58" s="4"/>
      <c r="NI58" s="4"/>
      <c r="NJ58" s="4"/>
      <c r="NK58" s="4"/>
      <c r="NL58" s="4"/>
      <c r="NM58" s="4"/>
      <c r="NN58" s="4"/>
      <c r="NO58" s="4"/>
      <c r="NP58" s="4"/>
      <c r="NQ58" s="4"/>
      <c r="NR58" s="4"/>
      <c r="NS58" s="4"/>
      <c r="NT58" s="4"/>
      <c r="NU58" s="4"/>
      <c r="NV58" s="4"/>
      <c r="NW58" s="4"/>
      <c r="NX58" s="4"/>
      <c r="NY58" s="4"/>
      <c r="NZ58" s="4"/>
      <c r="OA58" s="4"/>
      <c r="OB58" s="4"/>
      <c r="OC58" s="4"/>
      <c r="OD58" s="4"/>
      <c r="OE58" s="4"/>
      <c r="OF58" s="4"/>
      <c r="OG58" s="4"/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</row>
    <row r="59" spans="1:415" s="3" customFormat="1" x14ac:dyDescent="0.3">
      <c r="A59" s="1"/>
      <c r="B59" s="2"/>
      <c r="C59" s="1"/>
      <c r="D59" s="1"/>
      <c r="E59" s="1"/>
      <c r="F59" s="1"/>
      <c r="G59" s="1"/>
      <c r="H59" s="1"/>
      <c r="J59" s="4"/>
      <c r="K59" s="5"/>
      <c r="L59" s="5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4"/>
      <c r="EC59" s="4"/>
      <c r="ED59" s="7"/>
      <c r="EE59" s="8"/>
      <c r="EF59" s="8"/>
      <c r="EG59" s="8"/>
      <c r="EH59" s="8"/>
      <c r="EI59" s="8"/>
      <c r="EJ59" s="8"/>
      <c r="EK59" s="8"/>
      <c r="EL59" s="8"/>
      <c r="EM59" s="8"/>
      <c r="EN59" s="8"/>
      <c r="EO59" s="8"/>
      <c r="EP59" s="8"/>
      <c r="EQ59" s="8"/>
      <c r="ER59" s="8"/>
      <c r="ES59" s="8"/>
      <c r="ET59" s="8"/>
      <c r="EU59" s="8"/>
      <c r="EV59" s="8"/>
      <c r="EW59" s="8"/>
      <c r="EX59" s="8"/>
      <c r="EY59" s="8"/>
      <c r="EZ59" s="8"/>
      <c r="FA59" s="8"/>
      <c r="FB59" s="8"/>
      <c r="FC59" s="8"/>
      <c r="FD59" s="8"/>
      <c r="FE59" s="8"/>
      <c r="FF59" s="8"/>
      <c r="FG59" s="8"/>
      <c r="FH59" s="8"/>
      <c r="FI59" s="4"/>
      <c r="FJ59" s="4"/>
      <c r="FK59" s="4"/>
      <c r="FL59" s="4"/>
      <c r="FM59" s="4"/>
      <c r="FN59" s="4"/>
      <c r="FO59" s="4"/>
      <c r="FP59" s="4"/>
      <c r="FQ59" s="4"/>
      <c r="FR59" s="4"/>
      <c r="FS59" s="4"/>
      <c r="FT59" s="4"/>
      <c r="FU59" s="4"/>
      <c r="FV59" s="4"/>
      <c r="FW59" s="4"/>
      <c r="FX59" s="4"/>
      <c r="FY59" s="4"/>
      <c r="FZ59" s="4"/>
      <c r="GA59" s="4"/>
      <c r="GB59" s="4"/>
      <c r="GC59" s="4"/>
      <c r="GD59" s="4"/>
      <c r="GE59" s="4"/>
      <c r="GF59" s="4"/>
      <c r="GG59" s="4"/>
      <c r="GH59" s="4"/>
      <c r="GI59" s="4"/>
      <c r="GJ59" s="4"/>
      <c r="GK59" s="4"/>
      <c r="GL59" s="4"/>
      <c r="GM59" s="4"/>
      <c r="GN59" s="4"/>
      <c r="GO59" s="4"/>
      <c r="GP59" s="4"/>
      <c r="GQ59" s="4"/>
      <c r="GR59" s="4"/>
      <c r="GS59" s="4"/>
      <c r="GT59" s="4"/>
      <c r="GU59" s="4"/>
      <c r="GV59" s="4"/>
      <c r="GW59" s="4"/>
      <c r="GX59" s="4"/>
      <c r="GY59" s="4"/>
      <c r="GZ59" s="4"/>
      <c r="HA59" s="4"/>
      <c r="HB59" s="4"/>
      <c r="HC59" s="4"/>
      <c r="HD59" s="4"/>
      <c r="HE59" s="4"/>
      <c r="HF59" s="4"/>
      <c r="HG59" s="4"/>
      <c r="HH59" s="4"/>
      <c r="HI59" s="4"/>
      <c r="HJ59" s="4"/>
      <c r="HK59" s="4"/>
      <c r="HL59" s="4"/>
      <c r="HM59" s="4"/>
      <c r="HN59" s="4"/>
      <c r="HO59" s="4"/>
      <c r="HP59" s="4"/>
      <c r="HQ59" s="4"/>
      <c r="HR59" s="4"/>
      <c r="HS59" s="4"/>
      <c r="HT59" s="4"/>
      <c r="HU59" s="4"/>
      <c r="HV59" s="4"/>
      <c r="HW59" s="4"/>
      <c r="HX59" s="4"/>
      <c r="HY59" s="4"/>
      <c r="HZ59" s="4"/>
      <c r="IA59" s="4"/>
      <c r="IB59" s="4"/>
      <c r="IC59" s="4"/>
      <c r="ID59" s="4"/>
      <c r="IE59" s="4"/>
      <c r="IF59" s="4"/>
      <c r="IG59" s="4"/>
      <c r="IH59" s="4"/>
      <c r="II59" s="4"/>
      <c r="IJ59" s="4"/>
      <c r="IK59" s="4"/>
      <c r="IL59" s="4"/>
      <c r="IM59" s="4"/>
      <c r="IN59" s="4"/>
      <c r="IO59" s="4"/>
      <c r="IP59" s="4"/>
      <c r="IQ59" s="4"/>
      <c r="IR59" s="4"/>
      <c r="IS59" s="4"/>
      <c r="IT59" s="4"/>
      <c r="IU59" s="4"/>
      <c r="IV59" s="4"/>
      <c r="IW59" s="4"/>
      <c r="IX59" s="4"/>
      <c r="IY59" s="4"/>
      <c r="IZ59" s="4"/>
      <c r="JA59" s="4"/>
      <c r="JB59" s="4"/>
      <c r="JC59" s="4"/>
      <c r="JD59" s="4"/>
      <c r="JE59" s="4"/>
      <c r="JF59" s="4"/>
      <c r="JG59" s="4"/>
      <c r="JH59" s="4"/>
      <c r="JI59" s="4"/>
      <c r="JJ59" s="4"/>
      <c r="JK59" s="4"/>
      <c r="JL59" s="4"/>
      <c r="JM59" s="4"/>
      <c r="JN59" s="4"/>
      <c r="JO59" s="4"/>
      <c r="JP59" s="4"/>
      <c r="JQ59" s="4"/>
      <c r="JR59" s="4"/>
      <c r="JS59" s="4"/>
      <c r="JT59" s="4"/>
      <c r="JU59" s="4"/>
      <c r="JV59" s="4"/>
      <c r="JW59" s="4"/>
      <c r="JX59" s="4"/>
      <c r="JY59" s="4"/>
      <c r="JZ59" s="4"/>
      <c r="KA59" s="4"/>
      <c r="KB59" s="4"/>
      <c r="KC59" s="4"/>
      <c r="KD59" s="4"/>
      <c r="KE59" s="4"/>
      <c r="KF59" s="4"/>
      <c r="KG59" s="4"/>
      <c r="KH59" s="4"/>
      <c r="KI59" s="4"/>
      <c r="KJ59" s="4"/>
      <c r="KK59" s="4"/>
      <c r="KL59" s="4"/>
      <c r="KM59" s="4"/>
      <c r="KN59" s="4"/>
      <c r="KO59" s="4"/>
      <c r="KP59" s="4"/>
      <c r="KQ59" s="4"/>
      <c r="KR59" s="4"/>
      <c r="KS59" s="4"/>
      <c r="KT59" s="4"/>
      <c r="KU59" s="4"/>
      <c r="KV59" s="4"/>
      <c r="KW59" s="4"/>
      <c r="KX59" s="4"/>
      <c r="KY59" s="4"/>
      <c r="KZ59" s="4"/>
      <c r="LA59" s="4"/>
      <c r="LB59" s="4"/>
      <c r="LC59" s="4"/>
      <c r="LD59" s="4"/>
      <c r="LE59" s="4"/>
      <c r="LF59" s="4"/>
      <c r="LG59" s="4"/>
      <c r="LH59" s="4"/>
      <c r="LI59" s="4"/>
      <c r="LJ59" s="4"/>
      <c r="LK59" s="4"/>
      <c r="LL59" s="4"/>
      <c r="LM59" s="4"/>
      <c r="LN59" s="4"/>
      <c r="LO59" s="4"/>
      <c r="LP59" s="4"/>
      <c r="LQ59" s="4"/>
      <c r="LR59" s="4"/>
      <c r="LS59" s="4"/>
      <c r="LT59" s="4"/>
      <c r="LU59" s="4"/>
      <c r="LV59" s="4"/>
      <c r="LW59" s="4"/>
      <c r="LX59" s="4"/>
      <c r="LY59" s="4"/>
      <c r="LZ59" s="4"/>
      <c r="MA59" s="4"/>
      <c r="MB59" s="4"/>
      <c r="MC59" s="4"/>
      <c r="MD59" s="4"/>
      <c r="ME59" s="4"/>
      <c r="MF59" s="4"/>
      <c r="MG59" s="4"/>
      <c r="MH59" s="4"/>
      <c r="MI59" s="4"/>
      <c r="MJ59" s="4"/>
      <c r="MK59" s="4"/>
      <c r="ML59" s="4"/>
      <c r="MM59" s="4"/>
      <c r="MN59" s="4"/>
      <c r="MO59" s="4"/>
      <c r="MP59" s="4"/>
      <c r="MQ59" s="4"/>
      <c r="MR59" s="4"/>
      <c r="MS59" s="4"/>
      <c r="MT59" s="4"/>
      <c r="MU59" s="4"/>
      <c r="MV59" s="4"/>
      <c r="MW59" s="4"/>
      <c r="MX59" s="4"/>
      <c r="MY59" s="4"/>
      <c r="MZ59" s="4"/>
      <c r="NA59" s="4"/>
      <c r="NB59" s="4"/>
      <c r="NC59" s="4"/>
      <c r="ND59" s="4"/>
      <c r="NE59" s="4"/>
      <c r="NF59" s="4"/>
      <c r="NG59" s="4"/>
      <c r="NH59" s="4"/>
      <c r="NI59" s="4"/>
      <c r="NJ59" s="4"/>
      <c r="NK59" s="4"/>
      <c r="NL59" s="4"/>
      <c r="NM59" s="4"/>
      <c r="NN59" s="4"/>
      <c r="NO59" s="4"/>
      <c r="NP59" s="4"/>
      <c r="NQ59" s="4"/>
      <c r="NR59" s="4"/>
      <c r="NS59" s="4"/>
      <c r="NT59" s="4"/>
      <c r="NU59" s="4"/>
      <c r="NV59" s="4"/>
      <c r="NW59" s="4"/>
      <c r="NX59" s="4"/>
      <c r="NY59" s="4"/>
      <c r="NZ59" s="4"/>
      <c r="OA59" s="4"/>
      <c r="OB59" s="4"/>
      <c r="OC59" s="4"/>
      <c r="OD59" s="4"/>
      <c r="OE59" s="4"/>
      <c r="OF59" s="4"/>
      <c r="OG59" s="4"/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</row>
    <row r="60" spans="1:415" s="3" customFormat="1" x14ac:dyDescent="0.3">
      <c r="A60" s="1"/>
      <c r="B60" s="2"/>
      <c r="C60" s="1"/>
      <c r="D60" s="1"/>
      <c r="E60" s="1"/>
      <c r="F60" s="1"/>
      <c r="G60" s="1"/>
      <c r="H60" s="1"/>
      <c r="J60" s="4"/>
      <c r="K60" s="5"/>
      <c r="L60" s="5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4"/>
      <c r="EC60" s="4"/>
      <c r="ED60" s="7"/>
      <c r="EE60" s="8"/>
      <c r="EF60" s="8"/>
      <c r="EG60" s="8"/>
      <c r="EH60" s="8"/>
      <c r="EI60" s="8"/>
      <c r="EJ60" s="8"/>
      <c r="EK60" s="8"/>
      <c r="EL60" s="8"/>
      <c r="EM60" s="8"/>
      <c r="EN60" s="8"/>
      <c r="EO60" s="8"/>
      <c r="EP60" s="8"/>
      <c r="EQ60" s="8"/>
      <c r="ER60" s="8"/>
      <c r="ES60" s="8"/>
      <c r="ET60" s="8"/>
      <c r="EU60" s="8"/>
      <c r="EV60" s="8"/>
      <c r="EW60" s="8"/>
      <c r="EX60" s="8"/>
      <c r="EY60" s="8"/>
      <c r="EZ60" s="8"/>
      <c r="FA60" s="8"/>
      <c r="FB60" s="8"/>
      <c r="FC60" s="8"/>
      <c r="FD60" s="8"/>
      <c r="FE60" s="8"/>
      <c r="FF60" s="8"/>
      <c r="FG60" s="8"/>
      <c r="FH60" s="8"/>
      <c r="FI60" s="4"/>
      <c r="FJ60" s="4"/>
      <c r="FK60" s="4"/>
      <c r="FL60" s="4"/>
      <c r="FM60" s="4"/>
      <c r="FN60" s="4"/>
      <c r="FO60" s="4"/>
      <c r="FP60" s="4"/>
      <c r="FQ60" s="4"/>
      <c r="FR60" s="4"/>
      <c r="FS60" s="4"/>
      <c r="FT60" s="4"/>
      <c r="FU60" s="4"/>
      <c r="FV60" s="4"/>
      <c r="FW60" s="4"/>
      <c r="FX60" s="4"/>
      <c r="FY60" s="4"/>
      <c r="FZ60" s="4"/>
      <c r="GA60" s="4"/>
      <c r="GB60" s="4"/>
      <c r="GC60" s="4"/>
      <c r="GD60" s="4"/>
      <c r="GE60" s="4"/>
      <c r="GF60" s="4"/>
      <c r="GG60" s="4"/>
      <c r="GH60" s="4"/>
      <c r="GI60" s="4"/>
      <c r="GJ60" s="4"/>
      <c r="GK60" s="4"/>
      <c r="GL60" s="4"/>
      <c r="GM60" s="4"/>
      <c r="GN60" s="4"/>
      <c r="GO60" s="4"/>
      <c r="GP60" s="4"/>
      <c r="GQ60" s="4"/>
      <c r="GR60" s="4"/>
      <c r="GS60" s="4"/>
      <c r="GT60" s="4"/>
      <c r="GU60" s="4"/>
      <c r="GV60" s="4"/>
      <c r="GW60" s="4"/>
      <c r="GX60" s="4"/>
      <c r="GY60" s="4"/>
      <c r="GZ60" s="4"/>
      <c r="HA60" s="4"/>
      <c r="HB60" s="4"/>
      <c r="HC60" s="4"/>
      <c r="HD60" s="4"/>
      <c r="HE60" s="4"/>
      <c r="HF60" s="4"/>
      <c r="HG60" s="4"/>
      <c r="HH60" s="4"/>
      <c r="HI60" s="4"/>
      <c r="HJ60" s="4"/>
      <c r="HK60" s="4"/>
      <c r="HL60" s="4"/>
      <c r="HM60" s="4"/>
      <c r="HN60" s="4"/>
      <c r="HO60" s="4"/>
      <c r="HP60" s="4"/>
      <c r="HQ60" s="4"/>
      <c r="HR60" s="4"/>
      <c r="HS60" s="4"/>
      <c r="HT60" s="4"/>
      <c r="HU60" s="4"/>
      <c r="HV60" s="4"/>
      <c r="HW60" s="4"/>
      <c r="HX60" s="4"/>
      <c r="HY60" s="4"/>
      <c r="HZ60" s="4"/>
      <c r="IA60" s="4"/>
      <c r="IB60" s="4"/>
      <c r="IC60" s="4"/>
      <c r="ID60" s="4"/>
      <c r="IE60" s="4"/>
      <c r="IF60" s="4"/>
      <c r="IG60" s="4"/>
      <c r="IH60" s="4"/>
      <c r="II60" s="4"/>
      <c r="IJ60" s="4"/>
      <c r="IK60" s="4"/>
      <c r="IL60" s="4"/>
      <c r="IM60" s="4"/>
      <c r="IN60" s="4"/>
      <c r="IO60" s="4"/>
      <c r="IP60" s="4"/>
      <c r="IQ60" s="4"/>
      <c r="IR60" s="4"/>
      <c r="IS60" s="4"/>
      <c r="IT60" s="4"/>
      <c r="IU60" s="4"/>
      <c r="IV60" s="4"/>
      <c r="IW60" s="4"/>
      <c r="IX60" s="4"/>
      <c r="IY60" s="4"/>
      <c r="IZ60" s="4"/>
      <c r="JA60" s="4"/>
      <c r="JB60" s="4"/>
      <c r="JC60" s="4"/>
      <c r="JD60" s="4"/>
      <c r="JE60" s="4"/>
      <c r="JF60" s="4"/>
      <c r="JG60" s="4"/>
      <c r="JH60" s="4"/>
      <c r="JI60" s="4"/>
      <c r="JJ60" s="4"/>
      <c r="JK60" s="4"/>
      <c r="JL60" s="4"/>
      <c r="JM60" s="4"/>
      <c r="JN60" s="4"/>
      <c r="JO60" s="4"/>
      <c r="JP60" s="4"/>
      <c r="JQ60" s="4"/>
      <c r="JR60" s="4"/>
      <c r="JS60" s="4"/>
      <c r="JT60" s="4"/>
      <c r="JU60" s="4"/>
      <c r="JV60" s="4"/>
      <c r="JW60" s="4"/>
      <c r="JX60" s="4"/>
      <c r="JY60" s="4"/>
      <c r="JZ60" s="4"/>
      <c r="KA60" s="4"/>
      <c r="KB60" s="4"/>
      <c r="KC60" s="4"/>
      <c r="KD60" s="4"/>
      <c r="KE60" s="4"/>
      <c r="KF60" s="4"/>
      <c r="KG60" s="4"/>
      <c r="KH60" s="4"/>
      <c r="KI60" s="4"/>
      <c r="KJ60" s="4"/>
      <c r="KK60" s="4"/>
      <c r="KL60" s="4"/>
      <c r="KM60" s="4"/>
      <c r="KN60" s="4"/>
      <c r="KO60" s="4"/>
      <c r="KP60" s="4"/>
      <c r="KQ60" s="4"/>
      <c r="KR60" s="4"/>
      <c r="KS60" s="4"/>
      <c r="KT60" s="4"/>
      <c r="KU60" s="4"/>
      <c r="KV60" s="4"/>
      <c r="KW60" s="4"/>
      <c r="KX60" s="4"/>
      <c r="KY60" s="4"/>
      <c r="KZ60" s="4"/>
      <c r="LA60" s="4"/>
      <c r="LB60" s="4"/>
      <c r="LC60" s="4"/>
      <c r="LD60" s="4"/>
      <c r="LE60" s="4"/>
      <c r="LF60" s="4"/>
      <c r="LG60" s="4"/>
      <c r="LH60" s="4"/>
      <c r="LI60" s="4"/>
      <c r="LJ60" s="4"/>
      <c r="LK60" s="4"/>
      <c r="LL60" s="4"/>
      <c r="LM60" s="4"/>
      <c r="LN60" s="4"/>
      <c r="LO60" s="4"/>
      <c r="LP60" s="4"/>
      <c r="LQ60" s="4"/>
      <c r="LR60" s="4"/>
      <c r="LS60" s="4"/>
      <c r="LT60" s="4"/>
      <c r="LU60" s="4"/>
      <c r="LV60" s="4"/>
      <c r="LW60" s="4"/>
      <c r="LX60" s="4"/>
      <c r="LY60" s="4"/>
      <c r="LZ60" s="4"/>
      <c r="MA60" s="4"/>
      <c r="MB60" s="4"/>
      <c r="MC60" s="4"/>
      <c r="MD60" s="4"/>
      <c r="ME60" s="4"/>
      <c r="MF60" s="4"/>
      <c r="MG60" s="4"/>
      <c r="MH60" s="4"/>
      <c r="MI60" s="4"/>
      <c r="MJ60" s="4"/>
      <c r="MK60" s="4"/>
      <c r="ML60" s="4"/>
      <c r="MM60" s="4"/>
      <c r="MN60" s="4"/>
      <c r="MO60" s="4"/>
      <c r="MP60" s="4"/>
      <c r="MQ60" s="4"/>
      <c r="MR60" s="4"/>
      <c r="MS60" s="4"/>
      <c r="MT60" s="4"/>
      <c r="MU60" s="4"/>
      <c r="MV60" s="4"/>
      <c r="MW60" s="4"/>
      <c r="MX60" s="4"/>
      <c r="MY60" s="4"/>
      <c r="MZ60" s="4"/>
      <c r="NA60" s="4"/>
      <c r="NB60" s="4"/>
      <c r="NC60" s="4"/>
      <c r="ND60" s="4"/>
      <c r="NE60" s="4"/>
      <c r="NF60" s="4"/>
      <c r="NG60" s="4"/>
      <c r="NH60" s="4"/>
      <c r="NI60" s="4"/>
      <c r="NJ60" s="4"/>
      <c r="NK60" s="4"/>
      <c r="NL60" s="4"/>
      <c r="NM60" s="4"/>
      <c r="NN60" s="4"/>
      <c r="NO60" s="4"/>
      <c r="NP60" s="4"/>
      <c r="NQ60" s="4"/>
      <c r="NR60" s="4"/>
      <c r="NS60" s="4"/>
      <c r="NT60" s="4"/>
      <c r="NU60" s="4"/>
      <c r="NV60" s="4"/>
      <c r="NW60" s="4"/>
      <c r="NX60" s="4"/>
      <c r="NY60" s="4"/>
      <c r="NZ60" s="4"/>
      <c r="OA60" s="4"/>
      <c r="OB60" s="4"/>
      <c r="OC60" s="4"/>
      <c r="OD60" s="4"/>
      <c r="OE60" s="4"/>
      <c r="OF60" s="4"/>
      <c r="OG60" s="4"/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</row>
    <row r="61" spans="1:415" s="3" customFormat="1" x14ac:dyDescent="0.3">
      <c r="A61" s="1"/>
      <c r="B61" s="2"/>
      <c r="C61" s="1"/>
      <c r="D61" s="1"/>
      <c r="E61" s="1"/>
      <c r="F61" s="1"/>
      <c r="G61" s="1"/>
      <c r="H61" s="1"/>
      <c r="J61" s="4"/>
      <c r="K61" s="5"/>
      <c r="L61" s="5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4"/>
      <c r="EC61" s="4"/>
      <c r="ED61" s="7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4"/>
      <c r="FJ61" s="4"/>
      <c r="FK61" s="4"/>
      <c r="FL61" s="4"/>
      <c r="FM61" s="4"/>
      <c r="FN61" s="4"/>
      <c r="FO61" s="4"/>
      <c r="FP61" s="4"/>
      <c r="FQ61" s="4"/>
      <c r="FR61" s="4"/>
      <c r="FS61" s="4"/>
      <c r="FT61" s="4"/>
      <c r="FU61" s="4"/>
      <c r="FV61" s="4"/>
      <c r="FW61" s="4"/>
      <c r="FX61" s="4"/>
      <c r="FY61" s="4"/>
      <c r="FZ61" s="4"/>
      <c r="GA61" s="4"/>
      <c r="GB61" s="4"/>
      <c r="GC61" s="4"/>
      <c r="GD61" s="4"/>
      <c r="GE61" s="4"/>
      <c r="GF61" s="4"/>
      <c r="GG61" s="4"/>
      <c r="GH61" s="4"/>
      <c r="GI61" s="4"/>
      <c r="GJ61" s="4"/>
      <c r="GK61" s="4"/>
      <c r="GL61" s="4"/>
      <c r="GM61" s="4"/>
      <c r="GN61" s="4"/>
      <c r="GO61" s="4"/>
      <c r="GP61" s="4"/>
      <c r="GQ61" s="4"/>
      <c r="GR61" s="4"/>
      <c r="GS61" s="4"/>
      <c r="GT61" s="4"/>
      <c r="GU61" s="4"/>
      <c r="GV61" s="4"/>
      <c r="GW61" s="4"/>
      <c r="GX61" s="4"/>
      <c r="GY61" s="4"/>
      <c r="GZ61" s="4"/>
      <c r="HA61" s="4"/>
      <c r="HB61" s="4"/>
      <c r="HC61" s="4"/>
      <c r="HD61" s="4"/>
      <c r="HE61" s="4"/>
      <c r="HF61" s="4"/>
      <c r="HG61" s="4"/>
      <c r="HH61" s="4"/>
      <c r="HI61" s="4"/>
      <c r="HJ61" s="4"/>
      <c r="HK61" s="4"/>
      <c r="HL61" s="4"/>
      <c r="HM61" s="4"/>
      <c r="HN61" s="4"/>
      <c r="HO61" s="4"/>
      <c r="HP61" s="4"/>
      <c r="HQ61" s="4"/>
      <c r="HR61" s="4"/>
      <c r="HS61" s="4"/>
      <c r="HT61" s="4"/>
      <c r="HU61" s="4"/>
      <c r="HV61" s="4"/>
      <c r="HW61" s="4"/>
      <c r="HX61" s="4"/>
      <c r="HY61" s="4"/>
      <c r="HZ61" s="4"/>
      <c r="IA61" s="4"/>
      <c r="IB61" s="4"/>
      <c r="IC61" s="4"/>
      <c r="ID61" s="4"/>
      <c r="IE61" s="4"/>
      <c r="IF61" s="4"/>
      <c r="IG61" s="4"/>
      <c r="IH61" s="4"/>
      <c r="II61" s="4"/>
      <c r="IJ61" s="4"/>
      <c r="IK61" s="4"/>
      <c r="IL61" s="4"/>
      <c r="IM61" s="4"/>
      <c r="IN61" s="4"/>
      <c r="IO61" s="4"/>
      <c r="IP61" s="4"/>
      <c r="IQ61" s="4"/>
      <c r="IR61" s="4"/>
      <c r="IS61" s="4"/>
      <c r="IT61" s="4"/>
      <c r="IU61" s="4"/>
      <c r="IV61" s="4"/>
      <c r="IW61" s="4"/>
      <c r="IX61" s="4"/>
      <c r="IY61" s="4"/>
      <c r="IZ61" s="4"/>
      <c r="JA61" s="4"/>
      <c r="JB61" s="4"/>
      <c r="JC61" s="4"/>
      <c r="JD61" s="4"/>
      <c r="JE61" s="4"/>
      <c r="JF61" s="4"/>
      <c r="JG61" s="4"/>
      <c r="JH61" s="4"/>
      <c r="JI61" s="4"/>
      <c r="JJ61" s="4"/>
      <c r="JK61" s="4"/>
      <c r="JL61" s="4"/>
      <c r="JM61" s="4"/>
      <c r="JN61" s="4"/>
      <c r="JO61" s="4"/>
      <c r="JP61" s="4"/>
      <c r="JQ61" s="4"/>
      <c r="JR61" s="4"/>
      <c r="JS61" s="4"/>
      <c r="JT61" s="4"/>
      <c r="JU61" s="4"/>
      <c r="JV61" s="4"/>
      <c r="JW61" s="4"/>
      <c r="JX61" s="4"/>
      <c r="JY61" s="4"/>
      <c r="JZ61" s="4"/>
      <c r="KA61" s="4"/>
      <c r="KB61" s="4"/>
      <c r="KC61" s="4"/>
      <c r="KD61" s="4"/>
      <c r="KE61" s="4"/>
      <c r="KF61" s="4"/>
      <c r="KG61" s="4"/>
      <c r="KH61" s="4"/>
      <c r="KI61" s="4"/>
      <c r="KJ61" s="4"/>
      <c r="KK61" s="4"/>
      <c r="KL61" s="4"/>
      <c r="KM61" s="4"/>
      <c r="KN61" s="4"/>
      <c r="KO61" s="4"/>
      <c r="KP61" s="4"/>
      <c r="KQ61" s="4"/>
      <c r="KR61" s="4"/>
      <c r="KS61" s="4"/>
      <c r="KT61" s="4"/>
      <c r="KU61" s="4"/>
      <c r="KV61" s="4"/>
      <c r="KW61" s="4"/>
      <c r="KX61" s="4"/>
      <c r="KY61" s="4"/>
      <c r="KZ61" s="4"/>
      <c r="LA61" s="4"/>
      <c r="LB61" s="4"/>
      <c r="LC61" s="4"/>
      <c r="LD61" s="4"/>
      <c r="LE61" s="4"/>
      <c r="LF61" s="4"/>
      <c r="LG61" s="4"/>
      <c r="LH61" s="4"/>
      <c r="LI61" s="4"/>
      <c r="LJ61" s="4"/>
      <c r="LK61" s="4"/>
      <c r="LL61" s="4"/>
      <c r="LM61" s="4"/>
      <c r="LN61" s="4"/>
      <c r="LO61" s="4"/>
      <c r="LP61" s="4"/>
      <c r="LQ61" s="4"/>
      <c r="LR61" s="4"/>
      <c r="LS61" s="4"/>
      <c r="LT61" s="4"/>
      <c r="LU61" s="4"/>
      <c r="LV61" s="4"/>
      <c r="LW61" s="4"/>
      <c r="LX61" s="4"/>
      <c r="LY61" s="4"/>
      <c r="LZ61" s="4"/>
      <c r="MA61" s="4"/>
      <c r="MB61" s="4"/>
      <c r="MC61" s="4"/>
      <c r="MD61" s="4"/>
      <c r="ME61" s="4"/>
      <c r="MF61" s="4"/>
      <c r="MG61" s="4"/>
      <c r="MH61" s="4"/>
      <c r="MI61" s="4"/>
      <c r="MJ61" s="4"/>
      <c r="MK61" s="4"/>
      <c r="ML61" s="4"/>
      <c r="MM61" s="4"/>
      <c r="MN61" s="4"/>
      <c r="MO61" s="4"/>
      <c r="MP61" s="4"/>
      <c r="MQ61" s="4"/>
      <c r="MR61" s="4"/>
      <c r="MS61" s="4"/>
      <c r="MT61" s="4"/>
      <c r="MU61" s="4"/>
      <c r="MV61" s="4"/>
      <c r="MW61" s="4"/>
      <c r="MX61" s="4"/>
      <c r="MY61" s="4"/>
      <c r="MZ61" s="4"/>
      <c r="NA61" s="4"/>
      <c r="NB61" s="4"/>
      <c r="NC61" s="4"/>
      <c r="ND61" s="4"/>
      <c r="NE61" s="4"/>
      <c r="NF61" s="4"/>
      <c r="NG61" s="4"/>
      <c r="NH61" s="4"/>
      <c r="NI61" s="4"/>
      <c r="NJ61" s="4"/>
      <c r="NK61" s="4"/>
      <c r="NL61" s="4"/>
      <c r="NM61" s="4"/>
      <c r="NN61" s="4"/>
      <c r="NO61" s="4"/>
      <c r="NP61" s="4"/>
      <c r="NQ61" s="4"/>
      <c r="NR61" s="4"/>
      <c r="NS61" s="4"/>
      <c r="NT61" s="4"/>
      <c r="NU61" s="4"/>
      <c r="NV61" s="4"/>
      <c r="NW61" s="4"/>
      <c r="NX61" s="4"/>
      <c r="NY61" s="4"/>
      <c r="NZ61" s="4"/>
      <c r="OA61" s="4"/>
      <c r="OB61" s="4"/>
      <c r="OC61" s="4"/>
      <c r="OD61" s="4"/>
      <c r="OE61" s="4"/>
      <c r="OF61" s="4"/>
      <c r="OG61" s="4"/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</row>
    <row r="62" spans="1:415" s="3" customFormat="1" x14ac:dyDescent="0.3">
      <c r="A62" s="1"/>
      <c r="B62" s="2"/>
      <c r="C62" s="1"/>
      <c r="D62" s="1"/>
      <c r="E62" s="1"/>
      <c r="F62" s="1"/>
      <c r="G62" s="1"/>
      <c r="H62" s="1"/>
      <c r="J62" s="4"/>
      <c r="K62" s="5"/>
      <c r="L62" s="5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4"/>
      <c r="EC62" s="4"/>
      <c r="ED62" s="7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4"/>
      <c r="FJ62" s="4"/>
      <c r="FK62" s="4"/>
      <c r="FL62" s="4"/>
      <c r="FM62" s="4"/>
      <c r="FN62" s="4"/>
      <c r="FO62" s="4"/>
      <c r="FP62" s="4"/>
      <c r="FQ62" s="4"/>
      <c r="FR62" s="4"/>
      <c r="FS62" s="4"/>
      <c r="FT62" s="4"/>
      <c r="FU62" s="4"/>
      <c r="FV62" s="4"/>
      <c r="FW62" s="4"/>
      <c r="FX62" s="4"/>
      <c r="FY62" s="4"/>
      <c r="FZ62" s="4"/>
      <c r="GA62" s="4"/>
      <c r="GB62" s="4"/>
      <c r="GC62" s="4"/>
      <c r="GD62" s="4"/>
      <c r="GE62" s="4"/>
      <c r="GF62" s="4"/>
      <c r="GG62" s="4"/>
      <c r="GH62" s="4"/>
      <c r="GI62" s="4"/>
      <c r="GJ62" s="4"/>
      <c r="GK62" s="4"/>
      <c r="GL62" s="4"/>
      <c r="GM62" s="4"/>
      <c r="GN62" s="4"/>
      <c r="GO62" s="4"/>
      <c r="GP62" s="4"/>
      <c r="GQ62" s="4"/>
      <c r="GR62" s="4"/>
      <c r="GS62" s="4"/>
      <c r="GT62" s="4"/>
      <c r="GU62" s="4"/>
      <c r="GV62" s="4"/>
      <c r="GW62" s="4"/>
      <c r="GX62" s="4"/>
      <c r="GY62" s="4"/>
      <c r="GZ62" s="4"/>
      <c r="HA62" s="4"/>
      <c r="HB62" s="4"/>
      <c r="HC62" s="4"/>
      <c r="HD62" s="4"/>
      <c r="HE62" s="4"/>
      <c r="HF62" s="4"/>
      <c r="HG62" s="4"/>
      <c r="HH62" s="4"/>
      <c r="HI62" s="4"/>
      <c r="HJ62" s="4"/>
      <c r="HK62" s="4"/>
      <c r="HL62" s="4"/>
      <c r="HM62" s="4"/>
      <c r="HN62" s="4"/>
      <c r="HO62" s="4"/>
      <c r="HP62" s="4"/>
      <c r="HQ62" s="4"/>
      <c r="HR62" s="4"/>
      <c r="HS62" s="4"/>
      <c r="HT62" s="4"/>
      <c r="HU62" s="4"/>
      <c r="HV62" s="4"/>
      <c r="HW62" s="4"/>
      <c r="HX62" s="4"/>
      <c r="HY62" s="4"/>
      <c r="HZ62" s="4"/>
      <c r="IA62" s="4"/>
      <c r="IB62" s="4"/>
      <c r="IC62" s="4"/>
      <c r="ID62" s="4"/>
      <c r="IE62" s="4"/>
      <c r="IF62" s="4"/>
      <c r="IG62" s="4"/>
      <c r="IH62" s="4"/>
      <c r="II62" s="4"/>
      <c r="IJ62" s="4"/>
      <c r="IK62" s="4"/>
      <c r="IL62" s="4"/>
      <c r="IM62" s="4"/>
      <c r="IN62" s="4"/>
      <c r="IO62" s="4"/>
      <c r="IP62" s="4"/>
      <c r="IQ62" s="4"/>
      <c r="IR62" s="4"/>
      <c r="IS62" s="4"/>
      <c r="IT62" s="4"/>
      <c r="IU62" s="4"/>
      <c r="IV62" s="4"/>
      <c r="IW62" s="4"/>
      <c r="IX62" s="4"/>
      <c r="IY62" s="4"/>
      <c r="IZ62" s="4"/>
      <c r="JA62" s="4"/>
      <c r="JB62" s="4"/>
      <c r="JC62" s="4"/>
      <c r="JD62" s="4"/>
      <c r="JE62" s="4"/>
      <c r="JF62" s="4"/>
      <c r="JG62" s="4"/>
      <c r="JH62" s="4"/>
      <c r="JI62" s="4"/>
      <c r="JJ62" s="4"/>
      <c r="JK62" s="4"/>
      <c r="JL62" s="4"/>
      <c r="JM62" s="4"/>
      <c r="JN62" s="4"/>
      <c r="JO62" s="4"/>
      <c r="JP62" s="4"/>
      <c r="JQ62" s="4"/>
      <c r="JR62" s="4"/>
      <c r="JS62" s="4"/>
      <c r="JT62" s="4"/>
      <c r="JU62" s="4"/>
      <c r="JV62" s="4"/>
      <c r="JW62" s="4"/>
      <c r="JX62" s="4"/>
      <c r="JY62" s="4"/>
      <c r="JZ62" s="4"/>
      <c r="KA62" s="4"/>
      <c r="KB62" s="4"/>
      <c r="KC62" s="4"/>
      <c r="KD62" s="4"/>
      <c r="KE62" s="4"/>
      <c r="KF62" s="4"/>
      <c r="KG62" s="4"/>
      <c r="KH62" s="4"/>
      <c r="KI62" s="4"/>
      <c r="KJ62" s="4"/>
      <c r="KK62" s="4"/>
      <c r="KL62" s="4"/>
      <c r="KM62" s="4"/>
      <c r="KN62" s="4"/>
      <c r="KO62" s="4"/>
      <c r="KP62" s="4"/>
      <c r="KQ62" s="4"/>
      <c r="KR62" s="4"/>
      <c r="KS62" s="4"/>
      <c r="KT62" s="4"/>
      <c r="KU62" s="4"/>
      <c r="KV62" s="4"/>
      <c r="KW62" s="4"/>
      <c r="KX62" s="4"/>
      <c r="KY62" s="4"/>
      <c r="KZ62" s="4"/>
      <c r="LA62" s="4"/>
      <c r="LB62" s="4"/>
      <c r="LC62" s="4"/>
      <c r="LD62" s="4"/>
      <c r="LE62" s="4"/>
      <c r="LF62" s="4"/>
      <c r="LG62" s="4"/>
      <c r="LH62" s="4"/>
      <c r="LI62" s="4"/>
      <c r="LJ62" s="4"/>
      <c r="LK62" s="4"/>
      <c r="LL62" s="4"/>
      <c r="LM62" s="4"/>
      <c r="LN62" s="4"/>
      <c r="LO62" s="4"/>
      <c r="LP62" s="4"/>
      <c r="LQ62" s="4"/>
      <c r="LR62" s="4"/>
      <c r="LS62" s="4"/>
      <c r="LT62" s="4"/>
      <c r="LU62" s="4"/>
      <c r="LV62" s="4"/>
      <c r="LW62" s="4"/>
      <c r="LX62" s="4"/>
      <c r="LY62" s="4"/>
      <c r="LZ62" s="4"/>
      <c r="MA62" s="4"/>
      <c r="MB62" s="4"/>
      <c r="MC62" s="4"/>
      <c r="MD62" s="4"/>
      <c r="ME62" s="4"/>
      <c r="MF62" s="4"/>
      <c r="MG62" s="4"/>
      <c r="MH62" s="4"/>
      <c r="MI62" s="4"/>
      <c r="MJ62" s="4"/>
      <c r="MK62" s="4"/>
      <c r="ML62" s="4"/>
      <c r="MM62" s="4"/>
      <c r="MN62" s="4"/>
      <c r="MO62" s="4"/>
      <c r="MP62" s="4"/>
      <c r="MQ62" s="4"/>
      <c r="MR62" s="4"/>
      <c r="MS62" s="4"/>
      <c r="MT62" s="4"/>
      <c r="MU62" s="4"/>
      <c r="MV62" s="4"/>
      <c r="MW62" s="4"/>
      <c r="MX62" s="4"/>
      <c r="MY62" s="4"/>
      <c r="MZ62" s="4"/>
      <c r="NA62" s="4"/>
      <c r="NB62" s="4"/>
      <c r="NC62" s="4"/>
      <c r="ND62" s="4"/>
      <c r="NE62" s="4"/>
      <c r="NF62" s="4"/>
      <c r="NG62" s="4"/>
      <c r="NH62" s="4"/>
      <c r="NI62" s="4"/>
      <c r="NJ62" s="4"/>
      <c r="NK62" s="4"/>
      <c r="NL62" s="4"/>
      <c r="NM62" s="4"/>
      <c r="NN62" s="4"/>
      <c r="NO62" s="4"/>
      <c r="NP62" s="4"/>
      <c r="NQ62" s="4"/>
      <c r="NR62" s="4"/>
      <c r="NS62" s="4"/>
      <c r="NT62" s="4"/>
      <c r="NU62" s="4"/>
      <c r="NV62" s="4"/>
      <c r="NW62" s="4"/>
      <c r="NX62" s="4"/>
      <c r="NY62" s="4"/>
      <c r="NZ62" s="4"/>
      <c r="OA62" s="4"/>
      <c r="OB62" s="4"/>
      <c r="OC62" s="4"/>
      <c r="OD62" s="4"/>
      <c r="OE62" s="4"/>
      <c r="OF62" s="4"/>
      <c r="OG62" s="4"/>
      <c r="OH62" s="4"/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</row>
    <row r="63" spans="1:415" s="3" customFormat="1" x14ac:dyDescent="0.3">
      <c r="A63" s="1"/>
      <c r="B63" s="2"/>
      <c r="C63" s="1"/>
      <c r="D63" s="1"/>
      <c r="E63" s="1"/>
      <c r="F63" s="1"/>
      <c r="G63" s="1"/>
      <c r="H63" s="1"/>
      <c r="J63" s="4"/>
      <c r="K63" s="5"/>
      <c r="L63" s="5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4"/>
      <c r="EC63" s="4"/>
      <c r="ED63" s="7"/>
      <c r="EE63" s="8"/>
      <c r="EF63" s="8"/>
      <c r="EG63" s="8"/>
      <c r="EH63" s="8"/>
      <c r="EI63" s="8"/>
      <c r="EJ63" s="8"/>
      <c r="EK63" s="8"/>
      <c r="EL63" s="8"/>
      <c r="EM63" s="8"/>
      <c r="EN63" s="8"/>
      <c r="EO63" s="8"/>
      <c r="EP63" s="8"/>
      <c r="EQ63" s="8"/>
      <c r="ER63" s="8"/>
      <c r="ES63" s="8"/>
      <c r="ET63" s="8"/>
      <c r="EU63" s="8"/>
      <c r="EV63" s="8"/>
      <c r="EW63" s="8"/>
      <c r="EX63" s="8"/>
      <c r="EY63" s="8"/>
      <c r="EZ63" s="8"/>
      <c r="FA63" s="8"/>
      <c r="FB63" s="8"/>
      <c r="FC63" s="8"/>
      <c r="FD63" s="8"/>
      <c r="FE63" s="8"/>
      <c r="FF63" s="8"/>
      <c r="FG63" s="8"/>
      <c r="FH63" s="8"/>
      <c r="FI63" s="4"/>
      <c r="FJ63" s="4"/>
      <c r="FK63" s="4"/>
      <c r="FL63" s="4"/>
      <c r="FM63" s="4"/>
      <c r="FN63" s="4"/>
      <c r="FO63" s="4"/>
      <c r="FP63" s="4"/>
      <c r="FQ63" s="4"/>
      <c r="FR63" s="4"/>
      <c r="FS63" s="4"/>
      <c r="FT63" s="4"/>
      <c r="FU63" s="4"/>
      <c r="FV63" s="4"/>
      <c r="FW63" s="4"/>
      <c r="FX63" s="4"/>
      <c r="FY63" s="4"/>
      <c r="FZ63" s="4"/>
      <c r="GA63" s="4"/>
      <c r="GB63" s="4"/>
      <c r="GC63" s="4"/>
      <c r="GD63" s="4"/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/>
      <c r="GY63" s="4"/>
      <c r="GZ63" s="4"/>
      <c r="HA63" s="4"/>
      <c r="HB63" s="4"/>
      <c r="HC63" s="4"/>
      <c r="HD63" s="4"/>
      <c r="HE63" s="4"/>
      <c r="HF63" s="4"/>
      <c r="HG63" s="4"/>
      <c r="HH63" s="4"/>
      <c r="HI63" s="4"/>
      <c r="HJ63" s="4"/>
      <c r="HK63" s="4"/>
      <c r="HL63" s="4"/>
      <c r="HM63" s="4"/>
      <c r="HN63" s="4"/>
      <c r="HO63" s="4"/>
      <c r="HP63" s="4"/>
      <c r="HQ63" s="4"/>
      <c r="HR63" s="4"/>
      <c r="HS63" s="4"/>
      <c r="HT63" s="4"/>
      <c r="HU63" s="4"/>
      <c r="HV63" s="4"/>
      <c r="HW63" s="4"/>
      <c r="HX63" s="4"/>
      <c r="HY63" s="4"/>
      <c r="HZ63" s="4"/>
      <c r="IA63" s="4"/>
      <c r="IB63" s="4"/>
      <c r="IC63" s="4"/>
      <c r="ID63" s="4"/>
      <c r="IE63" s="4"/>
      <c r="IF63" s="4"/>
      <c r="IG63" s="4"/>
      <c r="IH63" s="4"/>
      <c r="II63" s="4"/>
      <c r="IJ63" s="4"/>
      <c r="IK63" s="4"/>
      <c r="IL63" s="4"/>
      <c r="IM63" s="4"/>
      <c r="IN63" s="4"/>
      <c r="IO63" s="4"/>
      <c r="IP63" s="4"/>
      <c r="IQ63" s="4"/>
      <c r="IR63" s="4"/>
      <c r="IS63" s="4"/>
      <c r="IT63" s="4"/>
      <c r="IU63" s="4"/>
      <c r="IV63" s="4"/>
      <c r="IW63" s="4"/>
      <c r="IX63" s="4"/>
      <c r="IY63" s="4"/>
      <c r="IZ63" s="4"/>
      <c r="JA63" s="4"/>
      <c r="JB63" s="4"/>
      <c r="JC63" s="4"/>
      <c r="JD63" s="4"/>
      <c r="JE63" s="4"/>
      <c r="JF63" s="4"/>
      <c r="JG63" s="4"/>
      <c r="JH63" s="4"/>
      <c r="JI63" s="4"/>
      <c r="JJ63" s="4"/>
      <c r="JK63" s="4"/>
      <c r="JL63" s="4"/>
      <c r="JM63" s="4"/>
      <c r="JN63" s="4"/>
      <c r="JO63" s="4"/>
      <c r="JP63" s="4"/>
      <c r="JQ63" s="4"/>
      <c r="JR63" s="4"/>
      <c r="JS63" s="4"/>
      <c r="JT63" s="4"/>
      <c r="JU63" s="4"/>
      <c r="JV63" s="4"/>
      <c r="JW63" s="4"/>
      <c r="JX63" s="4"/>
      <c r="JY63" s="4"/>
      <c r="JZ63" s="4"/>
      <c r="KA63" s="4"/>
      <c r="KB63" s="4"/>
      <c r="KC63" s="4"/>
      <c r="KD63" s="4"/>
      <c r="KE63" s="4"/>
      <c r="KF63" s="4"/>
      <c r="KG63" s="4"/>
      <c r="KH63" s="4"/>
      <c r="KI63" s="4"/>
      <c r="KJ63" s="4"/>
      <c r="KK63" s="4"/>
      <c r="KL63" s="4"/>
      <c r="KM63" s="4"/>
      <c r="KN63" s="4"/>
      <c r="KO63" s="4"/>
      <c r="KP63" s="4"/>
      <c r="KQ63" s="4"/>
      <c r="KR63" s="4"/>
      <c r="KS63" s="4"/>
      <c r="KT63" s="4"/>
      <c r="KU63" s="4"/>
      <c r="KV63" s="4"/>
      <c r="KW63" s="4"/>
      <c r="KX63" s="4"/>
      <c r="KY63" s="4"/>
      <c r="KZ63" s="4"/>
      <c r="LA63" s="4"/>
      <c r="LB63" s="4"/>
      <c r="LC63" s="4"/>
      <c r="LD63" s="4"/>
      <c r="LE63" s="4"/>
      <c r="LF63" s="4"/>
      <c r="LG63" s="4"/>
      <c r="LH63" s="4"/>
      <c r="LI63" s="4"/>
      <c r="LJ63" s="4"/>
      <c r="LK63" s="4"/>
      <c r="LL63" s="4"/>
      <c r="LM63" s="4"/>
      <c r="LN63" s="4"/>
      <c r="LO63" s="4"/>
      <c r="LP63" s="4"/>
      <c r="LQ63" s="4"/>
      <c r="LR63" s="4"/>
      <c r="LS63" s="4"/>
      <c r="LT63" s="4"/>
      <c r="LU63" s="4"/>
      <c r="LV63" s="4"/>
      <c r="LW63" s="4"/>
      <c r="LX63" s="4"/>
      <c r="LY63" s="4"/>
      <c r="LZ63" s="4"/>
      <c r="MA63" s="4"/>
      <c r="MB63" s="4"/>
      <c r="MC63" s="4"/>
      <c r="MD63" s="4"/>
      <c r="ME63" s="4"/>
      <c r="MF63" s="4"/>
      <c r="MG63" s="4"/>
      <c r="MH63" s="4"/>
      <c r="MI63" s="4"/>
      <c r="MJ63" s="4"/>
      <c r="MK63" s="4"/>
      <c r="ML63" s="4"/>
      <c r="MM63" s="4"/>
      <c r="MN63" s="4"/>
      <c r="MO63" s="4"/>
      <c r="MP63" s="4"/>
      <c r="MQ63" s="4"/>
      <c r="MR63" s="4"/>
      <c r="MS63" s="4"/>
      <c r="MT63" s="4"/>
      <c r="MU63" s="4"/>
      <c r="MV63" s="4"/>
      <c r="MW63" s="4"/>
      <c r="MX63" s="4"/>
      <c r="MY63" s="4"/>
      <c r="MZ63" s="4"/>
      <c r="NA63" s="4"/>
      <c r="NB63" s="4"/>
      <c r="NC63" s="4"/>
      <c r="ND63" s="4"/>
      <c r="NE63" s="4"/>
      <c r="NF63" s="4"/>
      <c r="NG63" s="4"/>
      <c r="NH63" s="4"/>
      <c r="NI63" s="4"/>
      <c r="NJ63" s="4"/>
      <c r="NK63" s="4"/>
      <c r="NL63" s="4"/>
      <c r="NM63" s="4"/>
      <c r="NN63" s="4"/>
      <c r="NO63" s="4"/>
      <c r="NP63" s="4"/>
      <c r="NQ63" s="4"/>
      <c r="NR63" s="4"/>
      <c r="NS63" s="4"/>
      <c r="NT63" s="4"/>
      <c r="NU63" s="4"/>
      <c r="NV63" s="4"/>
      <c r="NW63" s="4"/>
      <c r="NX63" s="4"/>
      <c r="NY63" s="4"/>
      <c r="NZ63" s="4"/>
      <c r="OA63" s="4"/>
      <c r="OB63" s="4"/>
      <c r="OC63" s="4"/>
      <c r="OD63" s="4"/>
      <c r="OE63" s="4"/>
      <c r="OF63" s="4"/>
      <c r="OG63" s="4"/>
      <c r="OH63" s="4"/>
      <c r="OI63" s="4"/>
      <c r="OJ63" s="4"/>
      <c r="OK63" s="4"/>
      <c r="OL63" s="4"/>
      <c r="OM63" s="4"/>
      <c r="ON63" s="4"/>
      <c r="OO63" s="4"/>
      <c r="OP63" s="4"/>
      <c r="OQ63" s="4"/>
      <c r="OR63" s="4"/>
      <c r="OS63" s="4"/>
      <c r="OT63" s="4"/>
      <c r="OU63" s="4"/>
      <c r="OV63" s="4"/>
      <c r="OW63" s="4"/>
      <c r="OX63" s="4"/>
      <c r="OY63" s="4"/>
    </row>
    <row r="64" spans="1:415" s="3" customFormat="1" x14ac:dyDescent="0.3">
      <c r="A64" s="1"/>
      <c r="B64" s="2"/>
      <c r="C64" s="1"/>
      <c r="D64" s="1"/>
      <c r="E64" s="1"/>
      <c r="F64" s="1"/>
      <c r="G64" s="1"/>
      <c r="H64" s="1"/>
      <c r="J64" s="4"/>
      <c r="K64" s="5"/>
      <c r="L64" s="5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4"/>
      <c r="EC64" s="4"/>
      <c r="ED64" s="7"/>
      <c r="EE64" s="8"/>
      <c r="EF64" s="8"/>
      <c r="EG64" s="8"/>
      <c r="EH64" s="8"/>
      <c r="EI64" s="8"/>
      <c r="EJ64" s="8"/>
      <c r="EK64" s="8"/>
      <c r="EL64" s="8"/>
      <c r="EM64" s="8"/>
      <c r="EN64" s="8"/>
      <c r="EO64" s="8"/>
      <c r="EP64" s="8"/>
      <c r="EQ64" s="8"/>
      <c r="ER64" s="8"/>
      <c r="ES64" s="8"/>
      <c r="ET64" s="8"/>
      <c r="EU64" s="8"/>
      <c r="EV64" s="8"/>
      <c r="EW64" s="8"/>
      <c r="EX64" s="8"/>
      <c r="EY64" s="8"/>
      <c r="EZ64" s="8"/>
      <c r="FA64" s="8"/>
      <c r="FB64" s="8"/>
      <c r="FC64" s="8"/>
      <c r="FD64" s="8"/>
      <c r="FE64" s="8"/>
      <c r="FF64" s="8"/>
      <c r="FG64" s="8"/>
      <c r="FH64" s="8"/>
      <c r="FI64" s="4"/>
      <c r="FJ64" s="4"/>
      <c r="FK64" s="4"/>
      <c r="FL64" s="4"/>
      <c r="FM64" s="4"/>
      <c r="FN64" s="4"/>
      <c r="FO64" s="4"/>
      <c r="FP64" s="4"/>
      <c r="FQ64" s="4"/>
      <c r="FR64" s="4"/>
      <c r="FS64" s="4"/>
      <c r="FT64" s="4"/>
      <c r="FU64" s="4"/>
      <c r="FV64" s="4"/>
      <c r="FW64" s="4"/>
      <c r="FX64" s="4"/>
      <c r="FY64" s="4"/>
      <c r="FZ64" s="4"/>
      <c r="GA64" s="4"/>
      <c r="GB64" s="4"/>
      <c r="GC64" s="4"/>
      <c r="GD64" s="4"/>
      <c r="GE64" s="4"/>
      <c r="GF64" s="4"/>
      <c r="GG64" s="4"/>
      <c r="GH64" s="4"/>
      <c r="GI64" s="4"/>
      <c r="GJ64" s="4"/>
      <c r="GK64" s="4"/>
      <c r="GL64" s="4"/>
      <c r="GM64" s="4"/>
      <c r="GN64" s="4"/>
      <c r="GO64" s="4"/>
      <c r="GP64" s="4"/>
      <c r="GQ64" s="4"/>
      <c r="GR64" s="4"/>
      <c r="GS64" s="4"/>
      <c r="GT64" s="4"/>
      <c r="GU64" s="4"/>
      <c r="GV64" s="4"/>
      <c r="GW64" s="4"/>
      <c r="GX64" s="4"/>
      <c r="GY64" s="4"/>
      <c r="GZ64" s="4"/>
      <c r="HA64" s="4"/>
      <c r="HB64" s="4"/>
      <c r="HC64" s="4"/>
      <c r="HD64" s="4"/>
      <c r="HE64" s="4"/>
      <c r="HF64" s="4"/>
      <c r="HG64" s="4"/>
      <c r="HH64" s="4"/>
      <c r="HI64" s="4"/>
      <c r="HJ64" s="4"/>
      <c r="HK64" s="4"/>
      <c r="HL64" s="4"/>
      <c r="HM64" s="4"/>
      <c r="HN64" s="4"/>
      <c r="HO64" s="4"/>
      <c r="HP64" s="4"/>
      <c r="HQ64" s="4"/>
      <c r="HR64" s="4"/>
      <c r="HS64" s="4"/>
      <c r="HT64" s="4"/>
      <c r="HU64" s="4"/>
      <c r="HV64" s="4"/>
      <c r="HW64" s="4"/>
      <c r="HX64" s="4"/>
      <c r="HY64" s="4"/>
      <c r="HZ64" s="4"/>
      <c r="IA64" s="4"/>
      <c r="IB64" s="4"/>
      <c r="IC64" s="4"/>
      <c r="ID64" s="4"/>
      <c r="IE64" s="4"/>
      <c r="IF64" s="4"/>
      <c r="IG64" s="4"/>
      <c r="IH64" s="4"/>
      <c r="II64" s="4"/>
      <c r="IJ64" s="4"/>
      <c r="IK64" s="4"/>
      <c r="IL64" s="4"/>
      <c r="IM64" s="4"/>
      <c r="IN64" s="4"/>
      <c r="IO64" s="4"/>
      <c r="IP64" s="4"/>
      <c r="IQ64" s="4"/>
      <c r="IR64" s="4"/>
      <c r="IS64" s="4"/>
      <c r="IT64" s="4"/>
      <c r="IU64" s="4"/>
      <c r="IV64" s="4"/>
      <c r="IW64" s="4"/>
      <c r="IX64" s="4"/>
      <c r="IY64" s="4"/>
      <c r="IZ64" s="4"/>
      <c r="JA64" s="4"/>
      <c r="JB64" s="4"/>
      <c r="JC64" s="4"/>
      <c r="JD64" s="4"/>
      <c r="JE64" s="4"/>
      <c r="JF64" s="4"/>
      <c r="JG64" s="4"/>
      <c r="JH64" s="4"/>
      <c r="JI64" s="4"/>
      <c r="JJ64" s="4"/>
      <c r="JK64" s="4"/>
      <c r="JL64" s="4"/>
      <c r="JM64" s="4"/>
      <c r="JN64" s="4"/>
      <c r="JO64" s="4"/>
      <c r="JP64" s="4"/>
      <c r="JQ64" s="4"/>
      <c r="JR64" s="4"/>
      <c r="JS64" s="4"/>
      <c r="JT64" s="4"/>
      <c r="JU64" s="4"/>
      <c r="JV64" s="4"/>
      <c r="JW64" s="4"/>
      <c r="JX64" s="4"/>
      <c r="JY64" s="4"/>
      <c r="JZ64" s="4"/>
      <c r="KA64" s="4"/>
      <c r="KB64" s="4"/>
      <c r="KC64" s="4"/>
      <c r="KD64" s="4"/>
      <c r="KE64" s="4"/>
      <c r="KF64" s="4"/>
      <c r="KG64" s="4"/>
      <c r="KH64" s="4"/>
      <c r="KI64" s="4"/>
      <c r="KJ64" s="4"/>
      <c r="KK64" s="4"/>
      <c r="KL64" s="4"/>
      <c r="KM64" s="4"/>
      <c r="KN64" s="4"/>
      <c r="KO64" s="4"/>
      <c r="KP64" s="4"/>
      <c r="KQ64" s="4"/>
      <c r="KR64" s="4"/>
      <c r="KS64" s="4"/>
      <c r="KT64" s="4"/>
      <c r="KU64" s="4"/>
      <c r="KV64" s="4"/>
      <c r="KW64" s="4"/>
      <c r="KX64" s="4"/>
      <c r="KY64" s="4"/>
      <c r="KZ64" s="4"/>
      <c r="LA64" s="4"/>
      <c r="LB64" s="4"/>
      <c r="LC64" s="4"/>
      <c r="LD64" s="4"/>
      <c r="LE64" s="4"/>
      <c r="LF64" s="4"/>
      <c r="LG64" s="4"/>
      <c r="LH64" s="4"/>
      <c r="LI64" s="4"/>
      <c r="LJ64" s="4"/>
      <c r="LK64" s="4"/>
      <c r="LL64" s="4"/>
      <c r="LM64" s="4"/>
      <c r="LN64" s="4"/>
      <c r="LO64" s="4"/>
      <c r="LP64" s="4"/>
      <c r="LQ64" s="4"/>
      <c r="LR64" s="4"/>
      <c r="LS64" s="4"/>
      <c r="LT64" s="4"/>
      <c r="LU64" s="4"/>
      <c r="LV64" s="4"/>
      <c r="LW64" s="4"/>
      <c r="LX64" s="4"/>
      <c r="LY64" s="4"/>
      <c r="LZ64" s="4"/>
      <c r="MA64" s="4"/>
      <c r="MB64" s="4"/>
      <c r="MC64" s="4"/>
      <c r="MD64" s="4"/>
      <c r="ME64" s="4"/>
      <c r="MF64" s="4"/>
      <c r="MG64" s="4"/>
      <c r="MH64" s="4"/>
      <c r="MI64" s="4"/>
      <c r="MJ64" s="4"/>
      <c r="MK64" s="4"/>
      <c r="ML64" s="4"/>
      <c r="MM64" s="4"/>
      <c r="MN64" s="4"/>
      <c r="MO64" s="4"/>
      <c r="MP64" s="4"/>
      <c r="MQ64" s="4"/>
      <c r="MR64" s="4"/>
      <c r="MS64" s="4"/>
      <c r="MT64" s="4"/>
      <c r="MU64" s="4"/>
      <c r="MV64" s="4"/>
      <c r="MW64" s="4"/>
      <c r="MX64" s="4"/>
      <c r="MY64" s="4"/>
      <c r="MZ64" s="4"/>
      <c r="NA64" s="4"/>
      <c r="NB64" s="4"/>
      <c r="NC64" s="4"/>
      <c r="ND64" s="4"/>
      <c r="NE64" s="4"/>
      <c r="NF64" s="4"/>
      <c r="NG64" s="4"/>
      <c r="NH64" s="4"/>
      <c r="NI64" s="4"/>
      <c r="NJ64" s="4"/>
      <c r="NK64" s="4"/>
      <c r="NL64" s="4"/>
      <c r="NM64" s="4"/>
      <c r="NN64" s="4"/>
      <c r="NO64" s="4"/>
      <c r="NP64" s="4"/>
      <c r="NQ64" s="4"/>
      <c r="NR64" s="4"/>
      <c r="NS64" s="4"/>
      <c r="NT64" s="4"/>
      <c r="NU64" s="4"/>
      <c r="NV64" s="4"/>
      <c r="NW64" s="4"/>
      <c r="NX64" s="4"/>
      <c r="NY64" s="4"/>
      <c r="NZ64" s="4"/>
      <c r="OA64" s="4"/>
      <c r="OB64" s="4"/>
      <c r="OC64" s="4"/>
      <c r="OD64" s="4"/>
      <c r="OE64" s="4"/>
      <c r="OF64" s="4"/>
      <c r="OG64" s="4"/>
      <c r="OH64" s="4"/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</row>
  </sheetData>
  <conditionalFormatting sqref="A6:EX7 FA6:FH7 A8:FH408">
    <cfRule type="expression" dxfId="179" priority="3">
      <formula>$A$1=ROW()</formula>
    </cfRule>
  </conditionalFormatting>
  <conditionalFormatting sqref="EY7:EZ7">
    <cfRule type="expression" dxfId="178" priority="2">
      <formula>$AX$1=ROW()</formula>
    </cfRule>
  </conditionalFormatting>
  <conditionalFormatting sqref="EY6:EZ6">
    <cfRule type="expression" dxfId="177" priority="1">
      <formula>$AX$1=ROW()</formula>
    </cfRule>
  </conditionalFormatting>
  <hyperlinks>
    <hyperlink ref="EY7" location="M137_" display="M137" xr:uid="{72B9D407-E790-4EC7-832B-8521347AD0E5}"/>
    <hyperlink ref="EZ7" r:id="rId1" location="/project/459608819/image/484154345?viewer=uga179pcp" display="M137" xr:uid="{B824A81E-0B4E-4101-9DB2-1A874525AD9B}"/>
    <hyperlink ref="EY6" location="M118_" display="M118 in Excel" xr:uid="{61ECCE6E-66F8-414D-8FAD-E1037DD440DB}"/>
    <hyperlink ref="EZ6" r:id="rId2" location="/project/459608819/image/487211129?viewer=cyoe0s9he" display="M118 in Cytomine" xr:uid="{7C6FBD65-7864-4B71-AE5E-177A1DE60465}"/>
  </hyperlinks>
  <pageMargins left="0.7" right="0.7" top="0.75" bottom="0.75" header="0.3" footer="0.3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erreur" error="Select in the list" xr:uid="{55357D68-935D-4E81-8374-7814E902E9AE}">
          <x14:formula1>
            <xm:f>'C:\Users\Hassan Bouzahzah\Desktop\Datas\5_Base de données\Base de données minéralogique\Propritétés optiques des minéraux-Pour EMERALD 2022\[Propriété optique des minéraux V16.xlsm]Groups and Sub-Groups'!#REF!</xm:f>
          </x14:formula1>
          <xm:sqref>B8:B64</xm:sqref>
        </x14:dataValidation>
        <x14:dataValidation type="list" allowBlank="1" showInputMessage="1" showErrorMessage="1" errorTitle="erreur" error="Select in the list" prompt="Select from the drop-down list." xr:uid="{E8721963-5C93-40AC-B05F-99561F68AFFD}">
          <x14:formula1>
            <xm:f>'C:\Users\Hassan Bouzahzah\Desktop\Datas\5_Base de données\Base de données minéralogique\Propritétés optiques des minéraux-Pour EMERALD 2022\[Propriété optique des minéraux V16.xlsm]Valuable Elements'!#REF!</xm:f>
          </x14:formula1>
          <xm:sqref>F6:H7</xm:sqref>
        </x14:dataValidation>
        <x14:dataValidation type="list" allowBlank="1" showInputMessage="1" showErrorMessage="1" errorTitle="erreur" error="Select in the list" prompt="Select from the drop-down list." xr:uid="{B5B71A28-E175-4075-A0EE-8DF1C919E8B1}">
          <x14:formula1>
            <xm:f>'C:\Users\Hassan Bouzahzah\Desktop\Datas\5_Base de données\Base de données minéralogique\Propritétés optiques des minéraux-Pour EMERALD 2022\[Propriété optique des minéraux V16.xlsm]Famille des minéraux'!#REF!</xm:f>
          </x14:formula1>
          <xm:sqref>E6:E7</xm:sqref>
        </x14:dataValidation>
        <x14:dataValidation type="list" allowBlank="1" showInputMessage="1" showErrorMessage="1" errorTitle="erreur" error="Select in the list" prompt="Select from the drop-down list." xr:uid="{A2BC2F52-C347-4D13-921B-096BCCE53044}">
          <x14:formula1>
            <xm:f>'C:\Users\Hassan Bouzahzah\Desktop\Datas\5_Base de données\Base de données minéralogique\Propritétés optiques des minéraux-Pour EMERALD 2022\[Propriété optique des minéraux V16.xlsm]Groups and Sub-Groups'!#REF!</xm:f>
          </x14:formula1>
          <xm:sqref>B6:D7</xm:sqref>
        </x14:dataValidation>
        <x14:dataValidation type="list" allowBlank="1" showInputMessage="1" showErrorMessage="1" errorTitle="erreur" error="Select in the list" xr:uid="{BC8C1E69-D38B-4355-8879-7BCE57ABB26F}">
          <x14:formula1>
            <xm:f>'C:\Users\Hassan Bouzahzah\Desktop\Datas\5_Base de données\Base de données minéralogique\Propritétés optiques des minéraux-Pour EMERALD 2022\[Propriété optique des minéraux V16.xlsm]Valuable Elements'!#REF!</xm:f>
          </x14:formula1>
          <xm:sqref>F8:H64</xm:sqref>
        </x14:dataValidation>
        <x14:dataValidation type="list" allowBlank="1" showInputMessage="1" showErrorMessage="1" errorTitle="erreur" error="Select in the list" xr:uid="{BF9F99AF-D406-4F3A-BF5C-14D244A41C26}">
          <x14:formula1>
            <xm:f>'C:\Users\Hassan Bouzahzah\Desktop\Datas\5_Base de données\Base de données minéralogique\Propritétés optiques des minéraux-Pour EMERALD 2022\[Propriété optique des minéraux V16.xlsm]Groups and Sub-Groups'!#REF!</xm:f>
          </x14:formula1>
          <xm:sqref>C8:D64</xm:sqref>
        </x14:dataValidation>
        <x14:dataValidation type="list" allowBlank="1" showInputMessage="1" showErrorMessage="1" errorTitle="erreur" error="Select in the list" xr:uid="{5EBFCE36-0C1A-4576-B8C3-45F9D786D736}">
          <x14:formula1>
            <xm:f>'C:\Users\Hassan Bouzahzah\Desktop\Datas\5_Base de données\Base de données minéralogique\Propritétés optiques des minéraux-Pour EMERALD 2022\[Propriété optique des minéraux V16.xlsm]Famille des minéraux'!#REF!</xm:f>
          </x14:formula1>
          <xm:sqref>E8:E64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EA8EE-87B6-42D0-BF9F-C10C34878670}">
  <sheetPr codeName="Feuil14">
    <tabColor rgb="FF005F6C"/>
  </sheetPr>
  <dimension ref="A1:FK311"/>
  <sheetViews>
    <sheetView showZeros="0" zoomScale="50" zoomScaleNormal="50" workbookViewId="0">
      <selection activeCell="A52" sqref="A52"/>
    </sheetView>
  </sheetViews>
  <sheetFormatPr baseColWidth="10" defaultRowHeight="15.6" x14ac:dyDescent="0.3"/>
  <cols>
    <col min="1" max="1" width="38.21875" style="25" bestFit="1" customWidth="1"/>
    <col min="2" max="2" width="26.88671875" style="25" customWidth="1"/>
    <col min="3" max="3" width="9.77734375" style="25" customWidth="1"/>
    <col min="4" max="4" width="7.77734375" style="26" customWidth="1"/>
    <col min="5" max="5" width="32.6640625" style="33" customWidth="1"/>
    <col min="6" max="22" width="7.88671875" style="33" customWidth="1"/>
    <col min="23" max="25" width="7.88671875" style="26" customWidth="1"/>
    <col min="26" max="66" width="11.5546875" style="26"/>
    <col min="67" max="134" width="11.5546875" style="33"/>
    <col min="135" max="135" width="11.109375" style="33" bestFit="1" customWidth="1"/>
    <col min="136" max="136" width="9.88671875" style="33" bestFit="1" customWidth="1"/>
    <col min="137" max="137" width="11.5546875" style="33"/>
    <col min="138" max="138" width="15.21875" style="33" bestFit="1" customWidth="1"/>
    <col min="139" max="139" width="9.21875" style="33" bestFit="1" customWidth="1"/>
    <col min="140" max="140" width="17.33203125" style="33" bestFit="1" customWidth="1"/>
    <col min="141" max="141" width="14.33203125" style="33" bestFit="1" customWidth="1"/>
    <col min="142" max="142" width="14.6640625" style="33" bestFit="1" customWidth="1"/>
    <col min="143" max="143" width="18.5546875" style="33" bestFit="1" customWidth="1"/>
    <col min="144" max="146" width="14.33203125" style="33" bestFit="1" customWidth="1"/>
    <col min="147" max="147" width="17.109375" style="33" bestFit="1" customWidth="1"/>
    <col min="148" max="148" width="14.33203125" style="33" bestFit="1" customWidth="1"/>
    <col min="149" max="149" width="18.88671875" style="33" bestFit="1" customWidth="1"/>
    <col min="150" max="150" width="16.6640625" style="33" bestFit="1" customWidth="1"/>
    <col min="151" max="151" width="17.44140625" style="33" bestFit="1" customWidth="1"/>
    <col min="152" max="152" width="21.6640625" style="33" bestFit="1" customWidth="1"/>
    <col min="153" max="153" width="14.33203125" style="33" bestFit="1" customWidth="1"/>
    <col min="154" max="154" width="20.21875" style="33" bestFit="1" customWidth="1"/>
    <col min="155" max="155" width="14.33203125" style="33" bestFit="1" customWidth="1"/>
    <col min="156" max="156" width="55" style="33" bestFit="1" customWidth="1"/>
    <col min="157" max="157" width="107.33203125" style="33" bestFit="1" customWidth="1"/>
    <col min="158" max="167" width="14.33203125" style="33" bestFit="1" customWidth="1"/>
    <col min="168" max="16384" width="11.5546875" style="33"/>
  </cols>
  <sheetData>
    <row r="1" spans="1:167" s="26" customFormat="1" x14ac:dyDescent="0.3">
      <c r="A1" s="25"/>
      <c r="B1" s="25"/>
      <c r="C1" s="25"/>
    </row>
    <row r="2" spans="1:167" s="26" customFormat="1" ht="21" customHeight="1" x14ac:dyDescent="0.3">
      <c r="A2" s="27" t="s">
        <v>191</v>
      </c>
      <c r="B2" s="28" t="s">
        <v>192</v>
      </c>
      <c r="E2" s="66" t="s">
        <v>224</v>
      </c>
      <c r="F2" s="66"/>
      <c r="G2" s="66"/>
      <c r="H2" s="66"/>
      <c r="I2" s="66"/>
      <c r="J2" s="66"/>
      <c r="M2" s="29"/>
    </row>
    <row r="3" spans="1:167" ht="15.6" customHeight="1" x14ac:dyDescent="0.3">
      <c r="A3" s="30"/>
      <c r="B3" s="31"/>
      <c r="C3" s="32"/>
      <c r="E3" s="66"/>
      <c r="F3" s="66"/>
      <c r="G3" s="66"/>
      <c r="H3" s="66"/>
      <c r="I3" s="66"/>
      <c r="J3" s="6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FJ3" s="33" t="s">
        <v>162</v>
      </c>
      <c r="FK3" s="33" t="s">
        <v>163</v>
      </c>
    </row>
    <row r="4" spans="1:167" ht="15.6" customHeight="1" x14ac:dyDescent="0.3">
      <c r="A4" s="34" t="s">
        <v>131</v>
      </c>
      <c r="B4" s="35" t="str">
        <f>IF($B2="","",(VLOOKUP($B2,'[2]Mineral database'!$A$6:KH399948,132,0)))</f>
        <v>Cv</v>
      </c>
      <c r="C4" s="32"/>
      <c r="E4" s="66"/>
      <c r="F4" s="66"/>
      <c r="G4" s="66"/>
      <c r="H4" s="66"/>
      <c r="I4" s="66"/>
      <c r="J4" s="6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FJ4" s="33">
        <f>IF($B2="","",(VLOOKUP($B2,'[2]Mineral database'!$A$6:LM399948,163,0)))</f>
        <v>0</v>
      </c>
      <c r="FK4" s="33">
        <f>IF($B2="","",(VLOOKUP($B2,'[2]Mineral database'!$A$6:LN399948,164,0)))</f>
        <v>0</v>
      </c>
    </row>
    <row r="5" spans="1:167" x14ac:dyDescent="0.3">
      <c r="A5" s="34" t="s">
        <v>133</v>
      </c>
      <c r="B5" s="35">
        <f>IF($B2="","",(VLOOKUP($B2,'[2]Mineral database'!$A$6:KJ399948,134,0)))</f>
        <v>0</v>
      </c>
      <c r="C5" s="32"/>
      <c r="E5" s="66"/>
      <c r="F5" s="66"/>
      <c r="G5" s="66"/>
      <c r="H5" s="66"/>
      <c r="I5" s="66"/>
      <c r="J5" s="6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</row>
    <row r="6" spans="1:167" x14ac:dyDescent="0.3"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</row>
    <row r="7" spans="1:167" x14ac:dyDescent="0.3">
      <c r="A7" s="68" t="s">
        <v>193</v>
      </c>
      <c r="B7" s="68"/>
      <c r="C7" s="36"/>
      <c r="D7" s="78" t="s">
        <v>194</v>
      </c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</row>
    <row r="8" spans="1:167" x14ac:dyDescent="0.3">
      <c r="A8" s="37" t="s">
        <v>8</v>
      </c>
      <c r="B8" s="38" t="str">
        <f>IF($B2="","",(VLOOKUP($B2,'[2]Mineral database'!$A$6:FO399948,9,0)))</f>
        <v>CuS</v>
      </c>
      <c r="C8" s="32"/>
      <c r="D8" s="79" t="s">
        <v>195</v>
      </c>
      <c r="E8" s="37" t="s">
        <v>135</v>
      </c>
      <c r="F8" s="81" t="str">
        <f>IF($B2="","",(VLOOKUP($B2,'[2]Mineral database'!$A$6:KL399948,136,0)))</f>
        <v>Low (H = 1.5 - 2)</v>
      </c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3"/>
    </row>
    <row r="9" spans="1:167" x14ac:dyDescent="0.3">
      <c r="A9" s="34" t="s">
        <v>10</v>
      </c>
      <c r="B9" s="39">
        <f>IF($B2="","",(VLOOKUP($B2,'[2]Mineral database'!$A$6:FQ399948,11,0)))</f>
        <v>95.61</v>
      </c>
      <c r="C9" s="40"/>
      <c r="D9" s="79"/>
      <c r="E9" s="34" t="s">
        <v>136</v>
      </c>
      <c r="F9" s="69" t="str">
        <f>IF($B2="","",(VLOOKUP($B2,'[2]Mineral database'!$A$6:KM399948,137,0)))</f>
        <v>Good polishing</v>
      </c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1"/>
    </row>
    <row r="10" spans="1:167" x14ac:dyDescent="0.3">
      <c r="A10" s="34" t="s">
        <v>11</v>
      </c>
      <c r="B10" s="35">
        <f>IF($B2="","",(VLOOKUP($B2,'[2]Mineral database'!$A$6:FR399948,12,0)))</f>
        <v>4.68</v>
      </c>
      <c r="C10" s="32"/>
      <c r="D10" s="79"/>
      <c r="E10" s="34" t="s">
        <v>137</v>
      </c>
      <c r="F10" s="69" t="str">
        <f>IF($B2="","",(VLOOKUP($B2,'[2]Mineral database'!$A$6:KN399948,138,0)))</f>
        <v>Often idiomorphic, tabular, curved lamellae</v>
      </c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1"/>
    </row>
    <row r="11" spans="1:167" s="26" customFormat="1" x14ac:dyDescent="0.3">
      <c r="A11" s="37" t="s">
        <v>196</v>
      </c>
      <c r="B11" s="38">
        <f>IF($B2="","",(VLOOKUP($B2,'[2]Mineral database'!$A$6:KK399948,135,0)))</f>
        <v>0</v>
      </c>
      <c r="C11" s="32"/>
      <c r="D11" s="79"/>
      <c r="E11" s="34" t="s">
        <v>138</v>
      </c>
      <c r="F11" s="69" t="str">
        <f>IF($B2="","",(VLOOKUP($B2,'[2]Mineral database'!$A$6:KO399948,139,0)))</f>
        <v>Blue</v>
      </c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1"/>
    </row>
    <row r="12" spans="1:167" x14ac:dyDescent="0.3">
      <c r="D12" s="79"/>
      <c r="E12" s="34" t="s">
        <v>139</v>
      </c>
      <c r="F12" s="69" t="str">
        <f>IF($B2="","",(VLOOKUP($B2,'[2]Mineral database'!$A$6:KP399948,140,0)))</f>
        <v>Very pure Blue</v>
      </c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1"/>
    </row>
    <row r="13" spans="1:167" x14ac:dyDescent="0.3">
      <c r="D13" s="79"/>
      <c r="E13" s="34" t="s">
        <v>140</v>
      </c>
      <c r="F13" s="69" t="str">
        <f>IF($B2="","",(VLOOKUP($B2,'[2]Mineral database'!$A$6:KQ399948,141,0)))</f>
        <v>Moderate</v>
      </c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1"/>
    </row>
    <row r="14" spans="1:167" s="26" customFormat="1" x14ac:dyDescent="0.3">
      <c r="A14" s="68" t="s">
        <v>197</v>
      </c>
      <c r="B14" s="68"/>
      <c r="C14" s="36"/>
      <c r="D14" s="79"/>
      <c r="E14" s="34" t="s">
        <v>141</v>
      </c>
      <c r="F14" s="69" t="str">
        <f>IF($B2="","",(VLOOKUP($B2,'[2]Mineral database'!$A$6:KR399948,142,0)))</f>
        <v>Yes</v>
      </c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1"/>
    </row>
    <row r="15" spans="1:167" x14ac:dyDescent="0.3">
      <c r="A15" s="34" t="s">
        <v>198</v>
      </c>
      <c r="B15" s="35">
        <f>IF($B2="","",(VLOOKUP($B2,'[2]Mineral database'!$A$6:FI399948,3,0)))</f>
        <v>0</v>
      </c>
      <c r="C15" s="32"/>
      <c r="D15" s="79"/>
      <c r="E15" s="34" t="s">
        <v>142</v>
      </c>
      <c r="F15" s="69" t="str">
        <f>IF($B2="","",(VLOOKUP($B2,'[2]Mineral database'!$A$6:KS399948,143,0)))</f>
        <v>Yes / High</v>
      </c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1"/>
    </row>
    <row r="16" spans="1:167" x14ac:dyDescent="0.3">
      <c r="A16" s="34" t="s">
        <v>199</v>
      </c>
      <c r="B16" s="35">
        <f>IF($B2="","",(VLOOKUP($B2,'[2]Mineral database'!$A$6:FJ399948,4,0)))</f>
        <v>0</v>
      </c>
      <c r="C16" s="32"/>
      <c r="D16" s="80"/>
      <c r="E16" s="41" t="s">
        <v>200</v>
      </c>
      <c r="F16" s="69" t="str">
        <f>IF($B2="","",(VLOOKUP($B2,'[2]Mineral database'!$A$6:KT399948,144,0)))</f>
        <v>Bluish white to deep (dark) blue</v>
      </c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1"/>
    </row>
    <row r="17" spans="1:45" s="26" customFormat="1" x14ac:dyDescent="0.3">
      <c r="A17" s="34" t="s">
        <v>4</v>
      </c>
      <c r="B17" s="35">
        <f>IF($B2="","",(VLOOKUP($B2,'[2]Mineral database'!$A$6:FK399948,5,0)))</f>
        <v>0</v>
      </c>
      <c r="C17" s="32"/>
      <c r="D17" s="75" t="s">
        <v>201</v>
      </c>
      <c r="E17" s="37" t="s">
        <v>202</v>
      </c>
      <c r="F17" s="69" t="str">
        <f>IF($B2="","",(VLOOKUP($B2,'[2]Mineral database'!$A$6:KU399948,145,0)))</f>
        <v>Anisotropic</v>
      </c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1"/>
    </row>
    <row r="18" spans="1:45" x14ac:dyDescent="0.3">
      <c r="D18" s="76"/>
      <c r="E18" s="34" t="s">
        <v>203</v>
      </c>
      <c r="F18" s="69" t="str">
        <f>IF($B2="","",(VLOOKUP($B2,'[2]Mineral database'!$A$6:KV399948,146,0)))</f>
        <v>Very strong</v>
      </c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1"/>
    </row>
    <row r="19" spans="1:45" x14ac:dyDescent="0.3">
      <c r="D19" s="76"/>
      <c r="E19" s="34" t="s">
        <v>204</v>
      </c>
      <c r="F19" s="69" t="str">
        <f>IF($B2="","",(VLOOKUP($B2,'[2]Mineral database'!$A$6:KW399948,147,0)))</f>
        <v>Bright reddish orange to brown</v>
      </c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1"/>
    </row>
    <row r="20" spans="1:45" s="26" customFormat="1" x14ac:dyDescent="0.3">
      <c r="A20" s="68" t="s">
        <v>1</v>
      </c>
      <c r="B20" s="68"/>
      <c r="C20" s="36"/>
      <c r="D20" s="76"/>
      <c r="E20" s="34" t="s">
        <v>147</v>
      </c>
      <c r="F20" s="69" t="str">
        <f>IF($B2="","",(VLOOKUP($B2,'[2]Mineral database'!$A$6:KX399948,148,0)))</f>
        <v>No</v>
      </c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1"/>
    </row>
    <row r="21" spans="1:45" x14ac:dyDescent="0.3">
      <c r="A21" s="37" t="s">
        <v>1</v>
      </c>
      <c r="B21" s="38" t="str">
        <f>IF($B2="","",(VLOOKUP($B2,'[2]Mineral database'!$A$6:FH399948,2,0)))</f>
        <v>Ore</v>
      </c>
      <c r="C21" s="32"/>
      <c r="D21" s="77"/>
      <c r="E21" s="41" t="s">
        <v>205</v>
      </c>
      <c r="F21" s="69">
        <f>IF($B2="","",(VLOOKUP($B2,'[2]Mineral database'!$A$6:KY399948,149,0)))</f>
        <v>0</v>
      </c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1"/>
    </row>
    <row r="22" spans="1:45" x14ac:dyDescent="0.3">
      <c r="A22" s="37" t="s">
        <v>5</v>
      </c>
      <c r="B22" s="38">
        <f>IF($B2="","",(VLOOKUP($B2,'[2]Mineral database'!$A$6:FL399948,6,0)))</f>
        <v>0</v>
      </c>
      <c r="C22" s="32"/>
      <c r="D22" s="72" t="s">
        <v>206</v>
      </c>
      <c r="E22" s="37" t="s">
        <v>149</v>
      </c>
      <c r="F22" s="69" t="str">
        <f>IF($B2="","",(VLOOKUP($B2,'[2]Mineral database'!$A$6:KZ399948,150,0)))</f>
        <v>No</v>
      </c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1"/>
    </row>
    <row r="23" spans="1:45" s="26" customFormat="1" x14ac:dyDescent="0.3">
      <c r="A23" s="34" t="s">
        <v>6</v>
      </c>
      <c r="B23" s="35">
        <f>IF($B2="","",(VLOOKUP($B2,'[2]Mineral database'!$A$6:FM399948,7,0)))</f>
        <v>0</v>
      </c>
      <c r="C23" s="32"/>
      <c r="D23" s="73"/>
      <c r="E23" s="34" t="s">
        <v>150</v>
      </c>
      <c r="F23" s="69">
        <f>IF($B2="","",(VLOOKUP($B2,'[2]Mineral database'!$A$6:LA399948,151,0)))</f>
        <v>0</v>
      </c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1"/>
    </row>
    <row r="24" spans="1:45" x14ac:dyDescent="0.3">
      <c r="A24" s="34" t="s">
        <v>207</v>
      </c>
      <c r="B24" s="35">
        <f>IF($B2="","",(VLOOKUP($B2,'[2]Mineral database'!$A$6:FN399948,8,0)))</f>
        <v>0</v>
      </c>
      <c r="C24" s="32"/>
      <c r="D24" s="73"/>
      <c r="E24" s="34" t="s">
        <v>151</v>
      </c>
      <c r="F24" s="69" t="str">
        <f>IF($B2="","",(VLOOKUP($B2,'[2]Mineral database'!$A$6:LB399948,152,0)))</f>
        <v>No</v>
      </c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1"/>
    </row>
    <row r="25" spans="1:45" x14ac:dyDescent="0.3">
      <c r="A25" s="37" t="s">
        <v>208</v>
      </c>
      <c r="B25" s="38">
        <f>IF($B2="","",(VLOOKUP($B2,'[2]Mineral database'!$A$6:FP399948,10,0)))</f>
        <v>0</v>
      </c>
      <c r="C25" s="32"/>
      <c r="D25" s="73"/>
      <c r="E25" s="34" t="s">
        <v>152</v>
      </c>
      <c r="F25" s="69" t="str">
        <f>IF($B2="","",(VLOOKUP($B2,'[2]Mineral database'!$A$6:LC399948,153,0)))</f>
        <v>Cc, dgt, bn, cp, mc, py, sl, gn, Au, etc</v>
      </c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1"/>
    </row>
    <row r="26" spans="1:45" x14ac:dyDescent="0.3">
      <c r="D26" s="74"/>
      <c r="E26" s="41" t="s">
        <v>153</v>
      </c>
      <c r="F26" s="69" t="str">
        <f>IF($B2="","",(VLOOKUP($B2,'[2]Mineral database'!$A$6:LD399948,154,0)))</f>
        <v>The pure blue colour, Strong pleochroism, Extreme anisotropism in orange tints, twisted lamellae generally with deformation.</v>
      </c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1"/>
    </row>
    <row r="27" spans="1:45" x14ac:dyDescent="0.3">
      <c r="D27" s="25"/>
      <c r="E27" s="4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</row>
    <row r="28" spans="1:45" x14ac:dyDescent="0.3">
      <c r="D28" s="25"/>
      <c r="E28" s="4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</row>
    <row r="29" spans="1:45" x14ac:dyDescent="0.3">
      <c r="A29" s="68" t="s">
        <v>209</v>
      </c>
      <c r="B29" s="68"/>
      <c r="D29" s="78" t="s">
        <v>210</v>
      </c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</row>
    <row r="30" spans="1:45" s="26" customFormat="1" ht="13.8" customHeight="1" x14ac:dyDescent="0.3">
      <c r="A30" s="37" t="s">
        <v>211</v>
      </c>
      <c r="B30" s="35" t="str">
        <f>IF($B2="","",(VLOOKUP($B2,'Mineral database'!$A$6:LE399948,155,0)))</f>
        <v>Display M118 in Excel</v>
      </c>
      <c r="AB30" s="25"/>
      <c r="AC30" s="25"/>
      <c r="AD30" s="25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</row>
    <row r="31" spans="1:45" s="26" customFormat="1" x14ac:dyDescent="0.3">
      <c r="A31" s="37" t="s">
        <v>211</v>
      </c>
      <c r="B31" s="35" t="str">
        <f>IF($B2="","",(VLOOKUP($B2,'Mineral database'!$A$6:LE399949,156,0)))</f>
        <v>Display M118 in Cytomine</v>
      </c>
      <c r="C31" s="25"/>
      <c r="F31" s="44" t="s">
        <v>12</v>
      </c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4" t="s">
        <v>13</v>
      </c>
      <c r="AB31" s="25"/>
      <c r="AC31" s="25"/>
      <c r="AD31" s="25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</row>
    <row r="32" spans="1:45" s="47" customFormat="1" ht="13.8" x14ac:dyDescent="0.3">
      <c r="A32" s="46"/>
      <c r="B32" s="46"/>
      <c r="C32" s="46"/>
      <c r="F32" s="48">
        <f>IF($B2="","",(VLOOKUP($B2,'[2]Mineral database'!$A$6:FS399948,13,0)))</f>
        <v>0</v>
      </c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8">
        <f>IF($B2="","",(VLOOKUP($B2,'[2]Mineral database'!$A$6:FT399948,14,0)))</f>
        <v>0</v>
      </c>
      <c r="AP32" s="49"/>
      <c r="AQ32" s="49"/>
      <c r="AR32" s="49"/>
      <c r="AS32" s="49"/>
    </row>
    <row r="33" spans="1:45" s="26" customFormat="1" ht="11.4" customHeight="1" x14ac:dyDescent="0.3">
      <c r="A33" s="25"/>
      <c r="B33" s="25"/>
      <c r="C33" s="25"/>
      <c r="F33" s="50"/>
      <c r="G33" s="25"/>
      <c r="H33" s="25"/>
      <c r="I33" s="46"/>
      <c r="J33" s="46"/>
      <c r="K33" s="46"/>
      <c r="L33" s="46"/>
      <c r="M33" s="46"/>
      <c r="N33" s="46"/>
      <c r="O33" s="46"/>
      <c r="P33" s="46"/>
      <c r="Q33" s="25"/>
      <c r="R33" s="25"/>
      <c r="S33" s="25"/>
      <c r="T33" s="25"/>
      <c r="U33" s="25"/>
      <c r="V33" s="25"/>
      <c r="W33" s="50"/>
      <c r="AP33" s="43"/>
      <c r="AQ33" s="43"/>
      <c r="AR33" s="43"/>
      <c r="AS33" s="43"/>
    </row>
    <row r="34" spans="1:45" s="26" customFormat="1" x14ac:dyDescent="0.3">
      <c r="A34" s="25"/>
      <c r="B34" s="25"/>
      <c r="C34" s="25"/>
      <c r="F34" s="51" t="s">
        <v>14</v>
      </c>
      <c r="G34" s="52" t="s">
        <v>15</v>
      </c>
      <c r="H34" s="53"/>
      <c r="I34" s="46"/>
      <c r="J34" s="46"/>
      <c r="K34" s="46"/>
      <c r="L34" s="46"/>
      <c r="M34" s="46"/>
      <c r="N34" s="46"/>
      <c r="O34" s="46"/>
      <c r="P34" s="46"/>
      <c r="Q34" s="53"/>
      <c r="R34" s="54" t="s">
        <v>16</v>
      </c>
      <c r="S34" s="44" t="s">
        <v>17</v>
      </c>
      <c r="T34" s="44" t="s">
        <v>18</v>
      </c>
      <c r="U34" s="44" t="s">
        <v>19</v>
      </c>
      <c r="V34" s="55" t="s">
        <v>20</v>
      </c>
      <c r="W34" s="44" t="s">
        <v>21</v>
      </c>
    </row>
    <row r="35" spans="1:45" s="47" customFormat="1" ht="13.8" x14ac:dyDescent="0.3">
      <c r="F35" s="56">
        <f>IF($B2="","",(VLOOKUP($B2,'[2]Mineral database'!$A$6:FU399948,15,0)))</f>
        <v>0</v>
      </c>
      <c r="G35" s="48">
        <f>IF($B2="","",(VLOOKUP($B2,'[2]Mineral database'!$A$6:FV399948,16,0)))</f>
        <v>0</v>
      </c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57">
        <f>IF($B2="","",(VLOOKUP($B2,'[2]Mineral database'!$A$6:FW399948,17,0)))</f>
        <v>0</v>
      </c>
      <c r="S35" s="58">
        <f>IF($B2="","",(VLOOKUP($B2,'[2]Mineral database'!$A$6:FX399948,18,0)))</f>
        <v>0</v>
      </c>
      <c r="T35" s="58">
        <f>IF($B2="","",(VLOOKUP($B2,'[2]Mineral database'!$A$6:FY399948,19,0)))</f>
        <v>0</v>
      </c>
      <c r="U35" s="58">
        <f>IF($B2="","",(VLOOKUP($B2,'[2]Mineral database'!$A$6:FZ399948,20,0)))</f>
        <v>0</v>
      </c>
      <c r="V35" s="59">
        <f>IF($B2="","",(VLOOKUP($B2,'[2]Mineral database'!$A$6:GA399948,21,0)))</f>
        <v>0</v>
      </c>
      <c r="W35" s="58">
        <f>IF($B2="","",(VLOOKUP($B2,'[2]Mineral database'!$A$6:GB399948,22,0)))</f>
        <v>0</v>
      </c>
    </row>
    <row r="36" spans="1:45" s="26" customFormat="1" ht="11.4" customHeight="1" x14ac:dyDescent="0.3">
      <c r="F36" s="50"/>
      <c r="G36" s="60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50"/>
      <c r="S36" s="50"/>
      <c r="T36" s="50"/>
      <c r="U36" s="50"/>
      <c r="V36" s="61"/>
      <c r="W36" s="50"/>
    </row>
    <row r="37" spans="1:45" s="26" customFormat="1" ht="15.6" customHeight="1" x14ac:dyDescent="0.3">
      <c r="B37" s="67" t="s">
        <v>225</v>
      </c>
      <c r="C37" s="67"/>
      <c r="F37" s="51" t="s">
        <v>22</v>
      </c>
      <c r="G37" s="52" t="s">
        <v>23</v>
      </c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1" t="s">
        <v>24</v>
      </c>
      <c r="S37" s="54" t="s">
        <v>25</v>
      </c>
      <c r="T37" s="44" t="s">
        <v>26</v>
      </c>
      <c r="U37" s="44" t="s">
        <v>27</v>
      </c>
      <c r="V37" s="55" t="s">
        <v>28</v>
      </c>
      <c r="W37" s="44" t="s">
        <v>29</v>
      </c>
    </row>
    <row r="38" spans="1:45" s="47" customFormat="1" ht="13.8" customHeight="1" x14ac:dyDescent="0.3">
      <c r="B38" s="67"/>
      <c r="C38" s="67"/>
      <c r="F38" s="56">
        <f>IF($B2="","",(VLOOKUP($B2,'[2]Mineral database'!$A$6:GC399948,23,0)))</f>
        <v>0</v>
      </c>
      <c r="G38" s="48">
        <f>IF($B2="","",(VLOOKUP($B2,'[2]Mineral database'!$A$6:GD399948,24,0)))</f>
        <v>0</v>
      </c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56">
        <f>IF($B2="","",(VLOOKUP($B2,'[2]Mineral database'!$A$6:GE399948,25,0)))</f>
        <v>0</v>
      </c>
      <c r="S38" s="57">
        <f>IF($B2="","",(VLOOKUP($B2,'[2]Mineral database'!$A$6:GF399948,26,0)))</f>
        <v>0</v>
      </c>
      <c r="T38" s="58">
        <f>IF($B2="","",(VLOOKUP($B2,'[2]Mineral database'!$A$6:GG399948,27,0)))</f>
        <v>0</v>
      </c>
      <c r="U38" s="58">
        <f>IF($B2="","",(VLOOKUP($B2,'[2]Mineral database'!$A$6:GH399948,28,0)))</f>
        <v>33.537631259674498</v>
      </c>
      <c r="V38" s="59">
        <f>IF($B2="","",(VLOOKUP($B2,'[2]Mineral database'!$A$6:GI399948,29,0)))</f>
        <v>0</v>
      </c>
      <c r="W38" s="58">
        <f>IF($B2="","",(VLOOKUP($B2,'[2]Mineral database'!$A$6:GJ399948,30,0)))</f>
        <v>0</v>
      </c>
    </row>
    <row r="39" spans="1:45" s="26" customFormat="1" ht="11.4" customHeight="1" x14ac:dyDescent="0.3">
      <c r="B39" s="67"/>
      <c r="C39" s="67"/>
      <c r="F39" s="50"/>
      <c r="G39" s="60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50"/>
      <c r="S39" s="50"/>
      <c r="T39" s="50"/>
      <c r="U39" s="50"/>
      <c r="V39" s="61"/>
      <c r="W39" s="50"/>
    </row>
    <row r="40" spans="1:45" s="26" customFormat="1" ht="15.6" customHeight="1" x14ac:dyDescent="0.3">
      <c r="B40" s="67"/>
      <c r="C40" s="67"/>
      <c r="F40" s="51" t="s">
        <v>30</v>
      </c>
      <c r="G40" s="52" t="s">
        <v>31</v>
      </c>
      <c r="H40" s="51" t="s">
        <v>32</v>
      </c>
      <c r="I40" s="51" t="s">
        <v>33</v>
      </c>
      <c r="J40" s="51" t="s">
        <v>34</v>
      </c>
      <c r="K40" s="51" t="s">
        <v>35</v>
      </c>
      <c r="L40" s="51" t="s">
        <v>36</v>
      </c>
      <c r="M40" s="51" t="s">
        <v>37</v>
      </c>
      <c r="N40" s="51" t="s">
        <v>38</v>
      </c>
      <c r="O40" s="51" t="s">
        <v>39</v>
      </c>
      <c r="P40" s="51" t="s">
        <v>40</v>
      </c>
      <c r="Q40" s="62" t="s">
        <v>41</v>
      </c>
      <c r="R40" s="51" t="s">
        <v>42</v>
      </c>
      <c r="S40" s="54" t="s">
        <v>43</v>
      </c>
      <c r="T40" s="54" t="s">
        <v>44</v>
      </c>
      <c r="U40" s="44" t="s">
        <v>45</v>
      </c>
      <c r="V40" s="55" t="s">
        <v>46</v>
      </c>
      <c r="W40" s="44" t="s">
        <v>47</v>
      </c>
    </row>
    <row r="41" spans="1:45" s="47" customFormat="1" ht="13.8" customHeight="1" x14ac:dyDescent="0.3">
      <c r="B41" s="67"/>
      <c r="C41" s="67"/>
      <c r="F41" s="56">
        <f>IF($B2="","",(VLOOKUP($B2,'[2]Mineral database'!$A$6:GK399948,31,0)))</f>
        <v>0</v>
      </c>
      <c r="G41" s="48">
        <f>IF($B2="","",(VLOOKUP($B2,'[2]Mineral database'!$A$6:GL399948,32,0)))</f>
        <v>0</v>
      </c>
      <c r="H41" s="56">
        <f>IF($B2="","",(VLOOKUP($B2,'[2]Mineral database'!$A$6:GM399948,33,0)))</f>
        <v>0</v>
      </c>
      <c r="I41" s="56">
        <f>IF($B2="","",(VLOOKUP($B2,'[2]Mineral database'!$A$6:GN399948,34,0)))</f>
        <v>0</v>
      </c>
      <c r="J41" s="56">
        <f>IF($B2="","",(VLOOKUP($B2,'[2]Mineral database'!$A$6:GO399948,35,0)))</f>
        <v>0</v>
      </c>
      <c r="K41" s="56">
        <f>IF($B2="","",(VLOOKUP($B2,'[2]Mineral database'!$A$6:GP399948,36,0)))</f>
        <v>0</v>
      </c>
      <c r="L41" s="56">
        <f>IF($B2="","",(VLOOKUP($B2,'[2]Mineral database'!$A$6:GQ399948,37,0)))</f>
        <v>0</v>
      </c>
      <c r="M41" s="56">
        <f>IF($B2="","",(VLOOKUP($B2,'[2]Mineral database'!$A$6:GR399948,38,0)))</f>
        <v>0</v>
      </c>
      <c r="N41" s="56">
        <f>IF($B2="","",(VLOOKUP($B2,'[2]Mineral database'!$A$6:GS399948,39,0)))</f>
        <v>0</v>
      </c>
      <c r="O41" s="56">
        <f>IF($B2="","",(VLOOKUP($B2,'[2]Mineral database'!$A$6:GT399948,40,0)))</f>
        <v>0</v>
      </c>
      <c r="P41" s="56">
        <f>IF($B2="","",(VLOOKUP($B2,'[2]Mineral database'!$A$6:GU399948,41,0)))</f>
        <v>66.462368740325402</v>
      </c>
      <c r="Q41" s="63">
        <f>IF($B2="","",(VLOOKUP($B2,'[2]Mineral database'!$A$6:GV399948,42,0)))</f>
        <v>0</v>
      </c>
      <c r="R41" s="56">
        <f>IF($B2="","",(VLOOKUP($B2,'[2]Mineral database'!$A$6:GW399948,43,0)))</f>
        <v>0</v>
      </c>
      <c r="S41" s="57">
        <f>IF($B2="","",(VLOOKUP($B2,'[2]Mineral database'!$A$6:GX399948,44,0)))</f>
        <v>0</v>
      </c>
      <c r="T41" s="57">
        <f>IF($B2="","",(VLOOKUP($B2,'[2]Mineral database'!$A$6:GY399948,45,0)))</f>
        <v>0</v>
      </c>
      <c r="U41" s="58">
        <f>IF($B2="","",(VLOOKUP($B2,'[2]Mineral database'!$A$6:GZ399948,46,0)))</f>
        <v>0</v>
      </c>
      <c r="V41" s="59">
        <f>IF($B2="","",(VLOOKUP($B2,'[2]Mineral database'!$A$6:HA399948,47,0)))</f>
        <v>0</v>
      </c>
      <c r="W41" s="58">
        <f>IF($B2="","",(VLOOKUP($B2,'[2]Mineral database'!$A$6:HB399948,48,0)))</f>
        <v>0</v>
      </c>
    </row>
    <row r="42" spans="1:45" s="26" customFormat="1" ht="11.4" customHeight="1" x14ac:dyDescent="0.3">
      <c r="B42" s="67"/>
      <c r="C42" s="67"/>
      <c r="F42" s="50"/>
      <c r="G42" s="60"/>
      <c r="H42" s="50"/>
      <c r="I42" s="50"/>
      <c r="J42" s="50"/>
      <c r="K42" s="50"/>
      <c r="L42" s="50"/>
      <c r="M42" s="50"/>
      <c r="N42" s="50"/>
      <c r="O42" s="50"/>
      <c r="P42" s="50"/>
      <c r="Q42" s="61"/>
      <c r="R42" s="50"/>
      <c r="S42" s="50"/>
      <c r="T42" s="50"/>
      <c r="U42" s="50"/>
      <c r="V42" s="61"/>
      <c r="W42" s="50"/>
    </row>
    <row r="43" spans="1:45" s="26" customFormat="1" ht="15.6" customHeight="1" x14ac:dyDescent="0.3">
      <c r="B43" s="67"/>
      <c r="C43" s="67"/>
      <c r="F43" s="51" t="s">
        <v>48</v>
      </c>
      <c r="G43" s="52" t="s">
        <v>49</v>
      </c>
      <c r="H43" s="51" t="s">
        <v>50</v>
      </c>
      <c r="I43" s="51" t="s">
        <v>51</v>
      </c>
      <c r="J43" s="51" t="s">
        <v>52</v>
      </c>
      <c r="K43" s="51" t="s">
        <v>212</v>
      </c>
      <c r="L43" s="51" t="s">
        <v>54</v>
      </c>
      <c r="M43" s="51" t="s">
        <v>55</v>
      </c>
      <c r="N43" s="51" t="s">
        <v>56</v>
      </c>
      <c r="O43" s="51" t="s">
        <v>57</v>
      </c>
      <c r="P43" s="51" t="s">
        <v>58</v>
      </c>
      <c r="Q43" s="62" t="s">
        <v>59</v>
      </c>
      <c r="R43" s="51" t="s">
        <v>60</v>
      </c>
      <c r="S43" s="51" t="s">
        <v>61</v>
      </c>
      <c r="T43" s="54" t="s">
        <v>62</v>
      </c>
      <c r="U43" s="54" t="s">
        <v>63</v>
      </c>
      <c r="V43" s="55" t="s">
        <v>64</v>
      </c>
      <c r="W43" s="44" t="s">
        <v>65</v>
      </c>
    </row>
    <row r="44" spans="1:45" s="47" customFormat="1" ht="13.8" customHeight="1" x14ac:dyDescent="0.3">
      <c r="B44" s="67"/>
      <c r="C44" s="67"/>
      <c r="F44" s="56">
        <f>IF($B2="","",(VLOOKUP($B2,'[2]Mineral database'!$A$6:HC399948,49,0)))</f>
        <v>0</v>
      </c>
      <c r="G44" s="48">
        <f>IF($B2="","",(VLOOKUP($B2,'[2]Mineral database'!$A$6:HD399948,50,0)))</f>
        <v>0</v>
      </c>
      <c r="H44" s="56">
        <f>IF($B2="","",(VLOOKUP($B2,'[2]Mineral database'!$A$6:HE399948,51,0)))</f>
        <v>0</v>
      </c>
      <c r="I44" s="56">
        <f>IF($B2="","",(VLOOKUP($B2,'[2]Mineral database'!$A$6:HF399948,52,0)))</f>
        <v>0</v>
      </c>
      <c r="J44" s="56">
        <f>IF($B2="","",(VLOOKUP($B2,'[2]Mineral database'!$A$6:HG399948,53,0)))</f>
        <v>0</v>
      </c>
      <c r="K44" s="56">
        <f>IF($B2="","",(VLOOKUP($B2,'[2]Mineral database'!$A$6:HH399948,54,0)))</f>
        <v>0</v>
      </c>
      <c r="L44" s="56">
        <f>IF($B2="","",(VLOOKUP($B2,'[2]Mineral database'!$A$6:HI399948,55,0)))</f>
        <v>0</v>
      </c>
      <c r="M44" s="56">
        <f>IF($B2="","",(VLOOKUP($B2,'[2]Mineral database'!$A$6:HJ399948,56,0)))</f>
        <v>0</v>
      </c>
      <c r="N44" s="56">
        <f>IF($B2="","",(VLOOKUP($B2,'[2]Mineral database'!$A$6:HK399948,57,0)))</f>
        <v>0</v>
      </c>
      <c r="O44" s="56">
        <f>IF($B2="","",(VLOOKUP($B2,'[2]Mineral database'!$A$6:HL399948,58,0)))</f>
        <v>0</v>
      </c>
      <c r="P44" s="56">
        <f>IF($B2="","",(VLOOKUP($B2,'[2]Mineral database'!$A$6:HM399948,59,0)))</f>
        <v>0</v>
      </c>
      <c r="Q44" s="63">
        <f>IF($B2="","",(VLOOKUP($B2,'[2]Mineral database'!$A$6:HN399948,60,0)))</f>
        <v>0</v>
      </c>
      <c r="R44" s="56">
        <f>IF($B2="","",(VLOOKUP($B2,'[2]Mineral database'!$A$6:HO399948,61,0)))</f>
        <v>0</v>
      </c>
      <c r="S44" s="56">
        <f>IF($B2="","",(VLOOKUP($B2,'[2]Mineral database'!$A$6:HP399948,62,0)))</f>
        <v>0</v>
      </c>
      <c r="T44" s="57">
        <f>IF($B2="","",(VLOOKUP($B2,'[2]Mineral database'!$A$6:HQ399948,63,0)))</f>
        <v>0</v>
      </c>
      <c r="U44" s="57">
        <f>IF($B2="","",(VLOOKUP($B2,'[2]Mineral database'!$A$6:HR399948,64,0)))</f>
        <v>0</v>
      </c>
      <c r="V44" s="59">
        <f>IF($B2="","",(VLOOKUP($B2,'[2]Mineral database'!$A$6:HS399948,65,0)))</f>
        <v>0</v>
      </c>
      <c r="W44" s="58">
        <f>IF($B2="","",(VLOOKUP($B2,'[2]Mineral database'!$A$6:HT399948,66,0)))</f>
        <v>0</v>
      </c>
    </row>
    <row r="45" spans="1:45" s="26" customFormat="1" ht="11.4" customHeight="1" x14ac:dyDescent="0.3">
      <c r="B45" s="67"/>
      <c r="C45" s="67"/>
      <c r="F45" s="50"/>
      <c r="G45" s="60"/>
      <c r="H45" s="50"/>
      <c r="I45" s="50"/>
      <c r="J45" s="50"/>
      <c r="K45" s="50"/>
      <c r="L45" s="50"/>
      <c r="M45" s="50"/>
      <c r="N45" s="50"/>
      <c r="O45" s="50"/>
      <c r="P45" s="50"/>
      <c r="Q45" s="61"/>
      <c r="R45" s="50"/>
      <c r="S45" s="50"/>
      <c r="T45" s="50"/>
      <c r="U45" s="50"/>
      <c r="V45" s="61"/>
      <c r="W45" s="50"/>
    </row>
    <row r="46" spans="1:45" s="26" customFormat="1" x14ac:dyDescent="0.3">
      <c r="B46" s="67"/>
      <c r="C46" s="67"/>
      <c r="F46" s="51" t="s">
        <v>66</v>
      </c>
      <c r="G46" s="52" t="s">
        <v>67</v>
      </c>
      <c r="H46" s="51" t="s">
        <v>100</v>
      </c>
      <c r="I46" s="51" t="s">
        <v>68</v>
      </c>
      <c r="J46" s="51" t="s">
        <v>69</v>
      </c>
      <c r="K46" s="51" t="s">
        <v>70</v>
      </c>
      <c r="L46" s="51" t="s">
        <v>71</v>
      </c>
      <c r="M46" s="51" t="s">
        <v>72</v>
      </c>
      <c r="N46" s="51" t="s">
        <v>73</v>
      </c>
      <c r="O46" s="51" t="s">
        <v>74</v>
      </c>
      <c r="P46" s="51" t="s">
        <v>75</v>
      </c>
      <c r="Q46" s="62" t="s">
        <v>76</v>
      </c>
      <c r="R46" s="51" t="s">
        <v>213</v>
      </c>
      <c r="S46" s="51" t="s">
        <v>78</v>
      </c>
      <c r="T46" s="51" t="s">
        <v>79</v>
      </c>
      <c r="U46" s="51" t="s">
        <v>80</v>
      </c>
      <c r="V46" s="55" t="s">
        <v>81</v>
      </c>
      <c r="W46" s="44" t="s">
        <v>82</v>
      </c>
    </row>
    <row r="47" spans="1:45" s="47" customFormat="1" ht="13.8" x14ac:dyDescent="0.3">
      <c r="F47" s="56">
        <f>IF($B2="","",(VLOOKUP($B2,'[2]Mineral database'!$A$6:HU399948,67,0)))</f>
        <v>0</v>
      </c>
      <c r="G47" s="48">
        <f>IF($B2="","",(VLOOKUP($B2,'[2]Mineral database'!$A$6:HV399948,68,0)))</f>
        <v>0</v>
      </c>
      <c r="H47" s="56">
        <f>IF($B2="","",(VLOOKUP($B2,'[2]Mineral database'!$A$6:JC399948,101,0)))</f>
        <v>0</v>
      </c>
      <c r="I47" s="56">
        <f>IF($B2="","",(VLOOKUP($B2,'[2]Mineral database'!$A$6:HW399948,69,0)))</f>
        <v>0</v>
      </c>
      <c r="J47" s="56">
        <f>IF($B2="","",(VLOOKUP($B2,'[2]Mineral database'!$A$6:HX399948,70,0)))</f>
        <v>0</v>
      </c>
      <c r="K47" s="56">
        <f>IF($B2="","",(VLOOKUP($B2,'[2]Mineral database'!$A$6:HY399948,71,0)))</f>
        <v>0</v>
      </c>
      <c r="L47" s="56">
        <f>IF($B2="","",(VLOOKUP($B2,'[2]Mineral database'!$A$6:HZ399948,72,0)))</f>
        <v>0</v>
      </c>
      <c r="M47" s="56">
        <f>IF($B2="","",(VLOOKUP($B2,'[2]Mineral database'!$A$6:IA399948,73,0)))</f>
        <v>0</v>
      </c>
      <c r="N47" s="56">
        <f>IF($B2="","",(VLOOKUP($B2,'[2]Mineral database'!$A$6:IB399948,74,0)))</f>
        <v>0</v>
      </c>
      <c r="O47" s="56">
        <f>IF($B2="","",(VLOOKUP($B2,'[2]Mineral database'!$A$6:IC399948,75,0)))</f>
        <v>0</v>
      </c>
      <c r="P47" s="56">
        <f>IF($B2="","",(VLOOKUP($B2,'[2]Mineral database'!$A$6:ID399948,76,0)))</f>
        <v>0</v>
      </c>
      <c r="Q47" s="63">
        <f>IF($B2="","",(VLOOKUP($B2,'[2]Mineral database'!$A$6:IE399948,77,0)))</f>
        <v>0</v>
      </c>
      <c r="R47" s="56">
        <f>IF($B2="","",(VLOOKUP($B2,'[2]Mineral database'!$A$6:IF399948,78,0)))</f>
        <v>0</v>
      </c>
      <c r="S47" s="56">
        <f>IF($B2="","",(VLOOKUP($B2,'[2]Mineral database'!$A$6:IG399948,79,0)))</f>
        <v>0</v>
      </c>
      <c r="T47" s="56">
        <f>IF($B2="","",(VLOOKUP($B2,'[2]Mineral database'!$A$6:IH399948,80,0)))</f>
        <v>0</v>
      </c>
      <c r="U47" s="56">
        <f>IF($B2="","",(VLOOKUP($B2,'[2]Mineral database'!$A$6:II399948,81,0)))</f>
        <v>0</v>
      </c>
      <c r="V47" s="59">
        <f>IF($B2="","",(VLOOKUP($B2,'[2]Mineral database'!$A$6:IJ399948,82,0)))</f>
        <v>0</v>
      </c>
      <c r="W47" s="58">
        <f>IF($B2="","",(VLOOKUP($B2,'[2]Mineral database'!$A$6:IK399948,83,0)))</f>
        <v>0</v>
      </c>
    </row>
    <row r="48" spans="1:45" s="26" customFormat="1" ht="11.4" customHeight="1" x14ac:dyDescent="0.3">
      <c r="F48" s="50"/>
      <c r="G48" s="60"/>
      <c r="H48" s="50"/>
      <c r="I48" s="50"/>
      <c r="J48" s="50"/>
      <c r="K48" s="50"/>
      <c r="L48" s="50"/>
      <c r="M48" s="50"/>
      <c r="N48" s="50"/>
      <c r="O48" s="50"/>
      <c r="P48" s="50"/>
      <c r="Q48" s="61"/>
      <c r="R48" s="50"/>
      <c r="S48" s="50"/>
      <c r="T48" s="50"/>
      <c r="U48" s="50"/>
      <c r="V48" s="61"/>
      <c r="W48" s="50"/>
    </row>
    <row r="49" spans="1:23" s="26" customFormat="1" x14ac:dyDescent="0.3">
      <c r="A49" s="66" t="s">
        <v>226</v>
      </c>
      <c r="B49" s="66"/>
      <c r="C49" s="66"/>
      <c r="D49" s="66"/>
      <c r="F49" s="51" t="s">
        <v>83</v>
      </c>
      <c r="G49" s="52" t="s">
        <v>84</v>
      </c>
      <c r="H49" s="51" t="s">
        <v>115</v>
      </c>
      <c r="I49" s="51" t="s">
        <v>85</v>
      </c>
      <c r="J49" s="51" t="s">
        <v>86</v>
      </c>
      <c r="K49" s="51" t="s">
        <v>87</v>
      </c>
      <c r="L49" s="51" t="s">
        <v>88</v>
      </c>
      <c r="M49" s="51" t="s">
        <v>89</v>
      </c>
      <c r="N49" s="51" t="s">
        <v>90</v>
      </c>
      <c r="O49" s="51" t="s">
        <v>91</v>
      </c>
      <c r="P49" s="51" t="s">
        <v>92</v>
      </c>
      <c r="Q49" s="62" t="s">
        <v>93</v>
      </c>
      <c r="R49" s="51" t="s">
        <v>94</v>
      </c>
      <c r="S49" s="51" t="s">
        <v>95</v>
      </c>
      <c r="T49" s="51" t="s">
        <v>96</v>
      </c>
      <c r="U49" s="51" t="s">
        <v>97</v>
      </c>
      <c r="V49" s="55" t="s">
        <v>98</v>
      </c>
      <c r="W49" s="44" t="s">
        <v>99</v>
      </c>
    </row>
    <row r="50" spans="1:23" s="47" customFormat="1" ht="13.8" x14ac:dyDescent="0.3">
      <c r="A50" s="66"/>
      <c r="B50" s="66"/>
      <c r="C50" s="66"/>
      <c r="D50" s="66"/>
      <c r="F50" s="56">
        <f>IF($B2="","",(VLOOKUP($B2,'[2]Mineral database'!$A$6:IL399948,84,0)))</f>
        <v>0</v>
      </c>
      <c r="G50" s="48">
        <f>IF($B2="","",(VLOOKUP($B2,'[2]Mineral database'!$A$6:IM399948,85,0)))</f>
        <v>0</v>
      </c>
      <c r="H50" s="56">
        <f>IF($B2="","",(VLOOKUP($B2,'[2]Mineral database'!$A$6:JR399948,116,0)))</f>
        <v>0</v>
      </c>
      <c r="I50" s="56">
        <f>IF($B2="","",(VLOOKUP($B2,'[2]Mineral database'!$A$6:IN399948,86,0)))</f>
        <v>0</v>
      </c>
      <c r="J50" s="56">
        <f>IF($B2="","",(VLOOKUP($B2,'[2]Mineral database'!$A$6:IO399948,87,0)))</f>
        <v>0</v>
      </c>
      <c r="K50" s="56">
        <f>IF($B2="","",(VLOOKUP($B2,'[2]Mineral database'!$A$6:IP399948,88,0)))</f>
        <v>0</v>
      </c>
      <c r="L50" s="56">
        <f>IF($B2="","",(VLOOKUP($B2,'[2]Mineral database'!$A$6:IQ399948,89,0)))</f>
        <v>0</v>
      </c>
      <c r="M50" s="56">
        <f>IF($B2="","",(VLOOKUP($B2,'[2]Mineral database'!$A$6:IR399948,90,0)))</f>
        <v>0</v>
      </c>
      <c r="N50" s="56">
        <f>IF($B2="","",(VLOOKUP($B2,'[2]Mineral database'!$A$6:IS399948,91,0)))</f>
        <v>0</v>
      </c>
      <c r="O50" s="56">
        <f>IF($B2="","",(VLOOKUP($B2,'[2]Mineral database'!$A$6:IT399948,92,0)))</f>
        <v>0</v>
      </c>
      <c r="P50" s="56">
        <f>IF($B2="","",(VLOOKUP($B2,'[2]Mineral database'!$A$6:IU399948,93,0)))</f>
        <v>0</v>
      </c>
      <c r="Q50" s="63">
        <f>IF($B2="","",(VLOOKUP($B2,'[2]Mineral database'!$A$6:IV399948,94,0)))</f>
        <v>0</v>
      </c>
      <c r="R50" s="56">
        <f>IF($B2="","",(VLOOKUP($B2,'[2]Mineral database'!$A$6:IW399948,95,0)))</f>
        <v>0</v>
      </c>
      <c r="S50" s="56">
        <f>IF($B2="","",(VLOOKUP($B2,'[2]Mineral database'!$A$6:IX399948,96,0)))</f>
        <v>0</v>
      </c>
      <c r="T50" s="56">
        <f>IF($B2="","",(VLOOKUP($B2,'[2]Mineral database'!$A$6:IY399948,97,0)))</f>
        <v>0</v>
      </c>
      <c r="U50" s="56">
        <f>IF($B2="","",(VLOOKUP($B2,'[2]Mineral database'!$A$6:IZ399948,98,0)))</f>
        <v>0</v>
      </c>
      <c r="V50" s="59">
        <f>IF($B2="","",(VLOOKUP($B2,'[2]Mineral database'!$A$6:JA399948,99,0)))</f>
        <v>0</v>
      </c>
      <c r="W50" s="58">
        <f>IF($B2="","",(VLOOKUP($B2,'[2]Mineral database'!$A$6:JB399948,100,0)))</f>
        <v>0</v>
      </c>
    </row>
    <row r="51" spans="1:23" s="26" customFormat="1" ht="11.4" customHeight="1" x14ac:dyDescent="0.3">
      <c r="A51" s="66"/>
      <c r="B51" s="66"/>
      <c r="C51" s="66"/>
      <c r="D51" s="66"/>
      <c r="F51" s="25"/>
      <c r="G51" s="25"/>
      <c r="H51" s="25"/>
      <c r="I51" s="50"/>
      <c r="J51" s="50"/>
      <c r="K51" s="50"/>
      <c r="L51" s="50"/>
      <c r="M51" s="50"/>
      <c r="N51" s="50"/>
      <c r="O51" s="50"/>
      <c r="P51" s="50"/>
      <c r="Q51" s="61"/>
      <c r="R51" s="50"/>
      <c r="S51" s="50"/>
      <c r="T51" s="50"/>
      <c r="U51" s="50"/>
      <c r="V51" s="61"/>
    </row>
    <row r="52" spans="1:23" s="26" customFormat="1" x14ac:dyDescent="0.3">
      <c r="F52" s="25"/>
      <c r="G52" s="25"/>
      <c r="H52" s="25"/>
      <c r="I52" s="51" t="s">
        <v>101</v>
      </c>
      <c r="J52" s="51" t="s">
        <v>102</v>
      </c>
      <c r="K52" s="51" t="s">
        <v>103</v>
      </c>
      <c r="L52" s="51" t="s">
        <v>104</v>
      </c>
      <c r="M52" s="51" t="s">
        <v>105</v>
      </c>
      <c r="N52" s="51" t="s">
        <v>106</v>
      </c>
      <c r="O52" s="51" t="s">
        <v>107</v>
      </c>
      <c r="P52" s="51" t="s">
        <v>108</v>
      </c>
      <c r="Q52" s="62" t="s">
        <v>109</v>
      </c>
      <c r="R52" s="51" t="s">
        <v>110</v>
      </c>
      <c r="S52" s="51" t="s">
        <v>111</v>
      </c>
      <c r="T52" s="51" t="s">
        <v>112</v>
      </c>
      <c r="U52" s="51" t="s">
        <v>113</v>
      </c>
      <c r="V52" s="51" t="s">
        <v>114</v>
      </c>
    </row>
    <row r="53" spans="1:23" s="47" customFormat="1" ht="13.8" x14ac:dyDescent="0.3">
      <c r="F53" s="46"/>
      <c r="G53" s="46"/>
      <c r="H53" s="46"/>
      <c r="I53" s="56">
        <f>IF($B2="","",(VLOOKUP($B2,'[2]Mineral database'!$A$6:JD399948,102,0)))</f>
        <v>0</v>
      </c>
      <c r="J53" s="56">
        <f>IF($B2="","",(VLOOKUP($B2,'[2]Mineral database'!$A$6:JE399948,103,0)))</f>
        <v>0</v>
      </c>
      <c r="K53" s="56">
        <f>IF($B2="","",(VLOOKUP($B2,'[2]Mineral database'!$A$6:JF399948,104,0)))</f>
        <v>0</v>
      </c>
      <c r="L53" s="56">
        <f>IF($B2="","",(VLOOKUP($B2,'[2]Mineral database'!$A$6:JG399948,105,0)))</f>
        <v>0</v>
      </c>
      <c r="M53" s="56">
        <f>IF($B2="","",(VLOOKUP($B2,'[2]Mineral database'!$A$6:JH399948,106,0)))</f>
        <v>0</v>
      </c>
      <c r="N53" s="56">
        <f>IF($B2="","",(VLOOKUP($B2,'[2]Mineral database'!$A$6:JI399948,107,0)))</f>
        <v>0</v>
      </c>
      <c r="O53" s="56">
        <f>IF($B2="","",(VLOOKUP($B2,'[2]Mineral database'!$A$6:JJ399948,108,0)))</f>
        <v>0</v>
      </c>
      <c r="P53" s="56">
        <f>IF($B2="","",(VLOOKUP($B2,'[2]Mineral database'!$A$6:JK399948,109,0)))</f>
        <v>0</v>
      </c>
      <c r="Q53" s="63">
        <f>IF($B2="","",(VLOOKUP($B2,'[2]Mineral database'!$A$6:JL399948,110,0)))</f>
        <v>0</v>
      </c>
      <c r="R53" s="56">
        <f>IF($B2="","",(VLOOKUP($B2,'[2]Mineral database'!$A$6:JM399948,111,0)))</f>
        <v>0</v>
      </c>
      <c r="S53" s="56">
        <f>IF($B2="","",(VLOOKUP($B2,'[2]Mineral database'!$A$6:JN399948,112,0)))</f>
        <v>0</v>
      </c>
      <c r="T53" s="56">
        <f>IF($B2="","",(VLOOKUP($B2,'[2]Mineral database'!$A$6:JO399948,113,0)))</f>
        <v>0</v>
      </c>
      <c r="U53" s="56">
        <f>IF($B2="","",(VLOOKUP($B2,'[2]Mineral database'!$A$6:JP399948,114,0)))</f>
        <v>0</v>
      </c>
      <c r="V53" s="56">
        <f>IF($B2="","",(VLOOKUP($B2,'[2]Mineral database'!$A$6:JQ399948,115,0)))</f>
        <v>0</v>
      </c>
    </row>
    <row r="54" spans="1:23" s="26" customFormat="1" ht="11.4" customHeight="1" x14ac:dyDescent="0.3">
      <c r="F54" s="25"/>
      <c r="G54" s="25"/>
      <c r="H54" s="25"/>
      <c r="I54" s="50"/>
      <c r="J54" s="50"/>
      <c r="K54" s="50"/>
      <c r="L54" s="50"/>
      <c r="M54" s="50"/>
      <c r="N54" s="50"/>
      <c r="O54" s="50"/>
      <c r="P54" s="50"/>
      <c r="Q54" s="61"/>
      <c r="R54" s="50"/>
      <c r="S54" s="50"/>
      <c r="T54" s="50"/>
      <c r="U54" s="50"/>
      <c r="V54" s="61"/>
    </row>
    <row r="55" spans="1:23" s="26" customFormat="1" x14ac:dyDescent="0.3">
      <c r="F55" s="25"/>
      <c r="G55" s="25"/>
      <c r="H55" s="25"/>
      <c r="I55" s="51" t="s">
        <v>116</v>
      </c>
      <c r="J55" s="51" t="s">
        <v>117</v>
      </c>
      <c r="K55" s="51" t="s">
        <v>118</v>
      </c>
      <c r="L55" s="51" t="s">
        <v>119</v>
      </c>
      <c r="M55" s="51" t="s">
        <v>120</v>
      </c>
      <c r="N55" s="51" t="s">
        <v>121</v>
      </c>
      <c r="O55" s="51" t="s">
        <v>122</v>
      </c>
      <c r="P55" s="51" t="s">
        <v>123</v>
      </c>
      <c r="Q55" s="62" t="s">
        <v>124</v>
      </c>
      <c r="R55" s="51" t="s">
        <v>125</v>
      </c>
      <c r="S55" s="51" t="s">
        <v>126</v>
      </c>
      <c r="T55" s="51" t="s">
        <v>127</v>
      </c>
      <c r="U55" s="51" t="s">
        <v>128</v>
      </c>
      <c r="V55" s="62" t="s">
        <v>214</v>
      </c>
      <c r="W55" s="51" t="s">
        <v>130</v>
      </c>
    </row>
    <row r="56" spans="1:23" s="47" customFormat="1" ht="13.8" x14ac:dyDescent="0.3">
      <c r="F56" s="46"/>
      <c r="G56" s="46"/>
      <c r="H56" s="46"/>
      <c r="I56" s="64">
        <f>IF($B2="","",(VLOOKUP($B2,'[2]Mineral database'!$A$6:JS399948,117,0)))</f>
        <v>0</v>
      </c>
      <c r="J56" s="64">
        <f>IF($B2="","",(VLOOKUP($B2,'[2]Mineral database'!$A$6:JT399948,118,0)))</f>
        <v>0</v>
      </c>
      <c r="K56" s="64">
        <f>IF($B2="","",(VLOOKUP($B2,'[2]Mineral database'!$A$6:JU399948,119,0)))</f>
        <v>0</v>
      </c>
      <c r="L56" s="64">
        <f>IF($B2="","",(VLOOKUP($B2,'[2]Mineral database'!$A$6:JV399948,120,0)))</f>
        <v>0</v>
      </c>
      <c r="M56" s="64">
        <f>IF($B2="","",(VLOOKUP($B2,'[2]Mineral database'!$A$6:JW399948,121,0)))</f>
        <v>0</v>
      </c>
      <c r="N56" s="64">
        <f>IF($B2="","",(VLOOKUP($B2,'[2]Mineral database'!$A$6:JX399948,122,0)))</f>
        <v>0</v>
      </c>
      <c r="O56" s="64">
        <f>IF($B2="","",(VLOOKUP($B2,'[2]Mineral database'!$A$6:JY399948,123,0)))</f>
        <v>0</v>
      </c>
      <c r="P56" s="64">
        <f>IF($B2="","",(VLOOKUP($B2,'[2]Mineral database'!$A$6:JZ399948,124,0)))</f>
        <v>0</v>
      </c>
      <c r="Q56" s="64">
        <f>IF($B2="","",(VLOOKUP($B2,'[2]Mineral database'!$A$6:KA399948,125,0)))</f>
        <v>0</v>
      </c>
      <c r="R56" s="64">
        <f>IF($B2="","",(VLOOKUP($B2,'[2]Mineral database'!$A$6:KB399948,126,0)))</f>
        <v>0</v>
      </c>
      <c r="S56" s="64">
        <f>IF($B2="","",(VLOOKUP($B2,'[2]Mineral database'!$A$6:KC399948,127,0)))</f>
        <v>0</v>
      </c>
      <c r="T56" s="64">
        <f>IF($B2="","",(VLOOKUP($B2,'[2]Mineral database'!$A$6:KD399948,128,0)))</f>
        <v>0</v>
      </c>
      <c r="U56" s="64">
        <f>IF($B2="","",(VLOOKUP($B2,'[2]Mineral database'!$A$6:KE399948,129,0)))</f>
        <v>0</v>
      </c>
      <c r="V56" s="64">
        <f>IF($B2="","",(VLOOKUP($B2,'[2]Mineral database'!$A$6:KF399948,130,0)))</f>
        <v>0</v>
      </c>
      <c r="W56" s="64">
        <f>IF($B2="","",(VLOOKUP($B2,'[2]Mineral database'!$A$6:KG399948,131,0)))</f>
        <v>0</v>
      </c>
    </row>
    <row r="57" spans="1:23" s="26" customFormat="1" x14ac:dyDescent="0.3"/>
    <row r="58" spans="1:23" s="26" customFormat="1" x14ac:dyDescent="0.3"/>
    <row r="59" spans="1:23" s="26" customFormat="1" x14ac:dyDescent="0.3"/>
    <row r="60" spans="1:23" x14ac:dyDescent="0.3"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</row>
    <row r="61" spans="1:23" x14ac:dyDescent="0.3"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</row>
    <row r="62" spans="1:23" x14ac:dyDescent="0.3"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</row>
    <row r="63" spans="1:23" x14ac:dyDescent="0.3"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</row>
    <row r="64" spans="1:23" x14ac:dyDescent="0.3"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</row>
    <row r="65" spans="5:22" x14ac:dyDescent="0.3"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</row>
    <row r="66" spans="5:22" x14ac:dyDescent="0.3"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</row>
    <row r="67" spans="5:22" x14ac:dyDescent="0.3"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</row>
    <row r="68" spans="5:22" x14ac:dyDescent="0.3"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</row>
    <row r="69" spans="5:22" x14ac:dyDescent="0.3"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</row>
    <row r="70" spans="5:22" x14ac:dyDescent="0.3"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</row>
    <row r="71" spans="5:22" x14ac:dyDescent="0.3"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</row>
    <row r="72" spans="5:22" x14ac:dyDescent="0.3"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</row>
    <row r="73" spans="5:22" x14ac:dyDescent="0.3"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</row>
    <row r="74" spans="5:22" x14ac:dyDescent="0.3"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</row>
    <row r="75" spans="5:22" x14ac:dyDescent="0.3"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</row>
    <row r="76" spans="5:22" x14ac:dyDescent="0.3"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</row>
    <row r="77" spans="5:22" x14ac:dyDescent="0.3"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</row>
    <row r="78" spans="5:22" x14ac:dyDescent="0.3"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</row>
    <row r="79" spans="5:22" x14ac:dyDescent="0.3"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</row>
    <row r="80" spans="5:22" x14ac:dyDescent="0.3"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</row>
    <row r="81" spans="5:22" x14ac:dyDescent="0.3"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</row>
    <row r="82" spans="5:22" x14ac:dyDescent="0.3"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</row>
    <row r="83" spans="5:22" x14ac:dyDescent="0.3"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</row>
    <row r="84" spans="5:22" x14ac:dyDescent="0.3"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</row>
    <row r="85" spans="5:22" x14ac:dyDescent="0.3"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</row>
    <row r="86" spans="5:22" x14ac:dyDescent="0.3"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</row>
    <row r="87" spans="5:22" x14ac:dyDescent="0.3"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</row>
    <row r="88" spans="5:22" x14ac:dyDescent="0.3"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</row>
    <row r="89" spans="5:22" x14ac:dyDescent="0.3"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</row>
    <row r="90" spans="5:22" x14ac:dyDescent="0.3"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</row>
    <row r="91" spans="5:22" x14ac:dyDescent="0.3"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</row>
    <row r="92" spans="5:22" x14ac:dyDescent="0.3"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</row>
    <row r="93" spans="5:22" x14ac:dyDescent="0.3"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</row>
    <row r="94" spans="5:22" x14ac:dyDescent="0.3"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</row>
    <row r="95" spans="5:22" x14ac:dyDescent="0.3"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</row>
    <row r="96" spans="5:22" x14ac:dyDescent="0.3"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</row>
    <row r="97" spans="5:22" x14ac:dyDescent="0.3"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</row>
    <row r="98" spans="5:22" x14ac:dyDescent="0.3"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</row>
    <row r="99" spans="5:22" x14ac:dyDescent="0.3"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</row>
    <row r="100" spans="5:22" x14ac:dyDescent="0.3"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</row>
    <row r="101" spans="5:22" x14ac:dyDescent="0.3"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</row>
    <row r="102" spans="5:22" x14ac:dyDescent="0.3"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</row>
    <row r="103" spans="5:22" x14ac:dyDescent="0.3"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</row>
    <row r="104" spans="5:22" x14ac:dyDescent="0.3"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</row>
    <row r="105" spans="5:22" x14ac:dyDescent="0.3"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</row>
    <row r="106" spans="5:22" x14ac:dyDescent="0.3"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</row>
    <row r="107" spans="5:22" x14ac:dyDescent="0.3"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</row>
    <row r="108" spans="5:22" x14ac:dyDescent="0.3"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</row>
    <row r="109" spans="5:22" x14ac:dyDescent="0.3"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</row>
    <row r="110" spans="5:22" x14ac:dyDescent="0.3"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</row>
    <row r="111" spans="5:22" x14ac:dyDescent="0.3"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</row>
    <row r="112" spans="5:22" x14ac:dyDescent="0.3"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</row>
    <row r="113" spans="5:22" x14ac:dyDescent="0.3"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</row>
    <row r="114" spans="5:22" x14ac:dyDescent="0.3"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</row>
    <row r="115" spans="5:22" x14ac:dyDescent="0.3"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</row>
    <row r="116" spans="5:22" x14ac:dyDescent="0.3"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</row>
    <row r="117" spans="5:22" x14ac:dyDescent="0.3"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</row>
    <row r="118" spans="5:22" x14ac:dyDescent="0.3"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</row>
    <row r="119" spans="5:22" x14ac:dyDescent="0.3"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</row>
    <row r="120" spans="5:22" x14ac:dyDescent="0.3"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</row>
    <row r="121" spans="5:22" x14ac:dyDescent="0.3"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</row>
    <row r="122" spans="5:22" x14ac:dyDescent="0.3"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</row>
    <row r="123" spans="5:22" x14ac:dyDescent="0.3"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</row>
    <row r="124" spans="5:22" x14ac:dyDescent="0.3"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</row>
    <row r="125" spans="5:22" x14ac:dyDescent="0.3"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</row>
    <row r="126" spans="5:22" x14ac:dyDescent="0.3"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</row>
    <row r="127" spans="5:22" x14ac:dyDescent="0.3"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</row>
    <row r="128" spans="5:22" x14ac:dyDescent="0.3"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</row>
    <row r="129" spans="5:22" x14ac:dyDescent="0.3"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</row>
    <row r="130" spans="5:22" x14ac:dyDescent="0.3"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</row>
    <row r="131" spans="5:22" x14ac:dyDescent="0.3"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</row>
    <row r="132" spans="5:22" x14ac:dyDescent="0.3"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</row>
    <row r="133" spans="5:22" x14ac:dyDescent="0.3"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</row>
    <row r="134" spans="5:22" x14ac:dyDescent="0.3"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</row>
    <row r="135" spans="5:22" x14ac:dyDescent="0.3"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</row>
    <row r="136" spans="5:22" x14ac:dyDescent="0.3"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</row>
    <row r="137" spans="5:22" x14ac:dyDescent="0.3"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</row>
    <row r="138" spans="5:22" x14ac:dyDescent="0.3"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</row>
    <row r="139" spans="5:22" x14ac:dyDescent="0.3"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</row>
    <row r="140" spans="5:22" x14ac:dyDescent="0.3"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</row>
    <row r="141" spans="5:22" x14ac:dyDescent="0.3"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</row>
    <row r="142" spans="5:22" x14ac:dyDescent="0.3"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</row>
    <row r="143" spans="5:22" x14ac:dyDescent="0.3"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</row>
    <row r="144" spans="5:22" x14ac:dyDescent="0.3"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  <row r="145" spans="5:22" x14ac:dyDescent="0.3"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</row>
    <row r="146" spans="5:22" x14ac:dyDescent="0.3"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</row>
    <row r="147" spans="5:22" x14ac:dyDescent="0.3"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</row>
    <row r="148" spans="5:22" x14ac:dyDescent="0.3"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</row>
    <row r="149" spans="5:22" x14ac:dyDescent="0.3"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</row>
    <row r="150" spans="5:22" x14ac:dyDescent="0.3"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</row>
    <row r="151" spans="5:22" x14ac:dyDescent="0.3"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</row>
    <row r="152" spans="5:22" x14ac:dyDescent="0.3"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</row>
    <row r="153" spans="5:22" x14ac:dyDescent="0.3"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</row>
    <row r="154" spans="5:22" x14ac:dyDescent="0.3"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</row>
    <row r="155" spans="5:22" x14ac:dyDescent="0.3"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</row>
    <row r="156" spans="5:22" x14ac:dyDescent="0.3"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</row>
    <row r="157" spans="5:22" x14ac:dyDescent="0.3"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</row>
    <row r="158" spans="5:22" x14ac:dyDescent="0.3"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</row>
    <row r="159" spans="5:22" x14ac:dyDescent="0.3"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</row>
    <row r="160" spans="5:22" x14ac:dyDescent="0.3"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</row>
    <row r="161" spans="5:22" x14ac:dyDescent="0.3"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</row>
    <row r="162" spans="5:22" x14ac:dyDescent="0.3"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</row>
    <row r="163" spans="5:22" x14ac:dyDescent="0.3"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</row>
    <row r="164" spans="5:22" x14ac:dyDescent="0.3"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</row>
    <row r="165" spans="5:22" x14ac:dyDescent="0.3"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</row>
    <row r="166" spans="5:22" x14ac:dyDescent="0.3"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</row>
    <row r="167" spans="5:22" x14ac:dyDescent="0.3"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</row>
    <row r="168" spans="5:22" x14ac:dyDescent="0.3"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</row>
    <row r="169" spans="5:22" x14ac:dyDescent="0.3"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</row>
    <row r="170" spans="5:22" x14ac:dyDescent="0.3"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</row>
    <row r="171" spans="5:22" x14ac:dyDescent="0.3"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</row>
    <row r="172" spans="5:22" x14ac:dyDescent="0.3"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</row>
    <row r="173" spans="5:22" x14ac:dyDescent="0.3"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</row>
    <row r="174" spans="5:22" x14ac:dyDescent="0.3"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</row>
    <row r="175" spans="5:22" x14ac:dyDescent="0.3"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</row>
    <row r="176" spans="5:22" x14ac:dyDescent="0.3"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</row>
    <row r="177" spans="5:22" x14ac:dyDescent="0.3"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</row>
    <row r="178" spans="5:22" x14ac:dyDescent="0.3"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</row>
    <row r="179" spans="5:22" x14ac:dyDescent="0.3"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</row>
    <row r="180" spans="5:22" x14ac:dyDescent="0.3"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</row>
    <row r="181" spans="5:22" x14ac:dyDescent="0.3"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</row>
    <row r="182" spans="5:22" x14ac:dyDescent="0.3"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</row>
    <row r="183" spans="5:22" x14ac:dyDescent="0.3"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</row>
    <row r="184" spans="5:22" x14ac:dyDescent="0.3"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</row>
    <row r="185" spans="5:22" x14ac:dyDescent="0.3"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</row>
    <row r="186" spans="5:22" x14ac:dyDescent="0.3"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</row>
    <row r="187" spans="5:22" x14ac:dyDescent="0.3"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</row>
    <row r="188" spans="5:22" x14ac:dyDescent="0.3"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</row>
    <row r="189" spans="5:22" x14ac:dyDescent="0.3"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</row>
    <row r="190" spans="5:22" x14ac:dyDescent="0.3"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</row>
    <row r="191" spans="5:22" x14ac:dyDescent="0.3"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</row>
    <row r="192" spans="5:22" x14ac:dyDescent="0.3"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</row>
    <row r="193" spans="5:22" x14ac:dyDescent="0.3"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</row>
    <row r="194" spans="5:22" x14ac:dyDescent="0.3"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</row>
    <row r="195" spans="5:22" x14ac:dyDescent="0.3"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</row>
    <row r="196" spans="5:22" x14ac:dyDescent="0.3"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</row>
    <row r="197" spans="5:22" x14ac:dyDescent="0.3"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</row>
    <row r="198" spans="5:22" x14ac:dyDescent="0.3"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</row>
    <row r="199" spans="5:22" x14ac:dyDescent="0.3"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</row>
    <row r="200" spans="5:22" x14ac:dyDescent="0.3"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</row>
    <row r="201" spans="5:22" x14ac:dyDescent="0.3"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</row>
    <row r="202" spans="5:22" x14ac:dyDescent="0.3"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</row>
    <row r="203" spans="5:22" x14ac:dyDescent="0.3"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</row>
    <row r="204" spans="5:22" x14ac:dyDescent="0.3"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</row>
    <row r="205" spans="5:22" x14ac:dyDescent="0.3"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</row>
    <row r="206" spans="5:22" x14ac:dyDescent="0.3"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</row>
    <row r="207" spans="5:22" x14ac:dyDescent="0.3"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</row>
    <row r="208" spans="5:22" x14ac:dyDescent="0.3"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</row>
    <row r="209" spans="5:22" x14ac:dyDescent="0.3"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</row>
    <row r="210" spans="5:22" x14ac:dyDescent="0.3"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</row>
    <row r="211" spans="5:22" x14ac:dyDescent="0.3"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</row>
    <row r="212" spans="5:22" x14ac:dyDescent="0.3"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</row>
    <row r="213" spans="5:22" x14ac:dyDescent="0.3"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</row>
    <row r="214" spans="5:22" x14ac:dyDescent="0.3"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</row>
    <row r="215" spans="5:22" x14ac:dyDescent="0.3"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</row>
    <row r="216" spans="5:22" x14ac:dyDescent="0.3"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</row>
    <row r="217" spans="5:22" x14ac:dyDescent="0.3"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</row>
    <row r="218" spans="5:22" x14ac:dyDescent="0.3"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</row>
    <row r="219" spans="5:22" x14ac:dyDescent="0.3"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</row>
    <row r="220" spans="5:22" x14ac:dyDescent="0.3"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</row>
    <row r="221" spans="5:22" x14ac:dyDescent="0.3"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</row>
    <row r="222" spans="5:22" x14ac:dyDescent="0.3"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</row>
    <row r="223" spans="5:22" x14ac:dyDescent="0.3"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</row>
    <row r="224" spans="5:22" x14ac:dyDescent="0.3"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</row>
    <row r="225" spans="5:22" x14ac:dyDescent="0.3"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</row>
    <row r="226" spans="5:22" x14ac:dyDescent="0.3"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</row>
    <row r="227" spans="5:22" x14ac:dyDescent="0.3"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</row>
    <row r="228" spans="5:22" x14ac:dyDescent="0.3"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</row>
    <row r="229" spans="5:22" x14ac:dyDescent="0.3"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</row>
    <row r="230" spans="5:22" x14ac:dyDescent="0.3"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</row>
    <row r="231" spans="5:22" x14ac:dyDescent="0.3"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</row>
    <row r="232" spans="5:22" x14ac:dyDescent="0.3"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</row>
    <row r="233" spans="5:22" x14ac:dyDescent="0.3"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</row>
    <row r="234" spans="5:22" x14ac:dyDescent="0.3"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</row>
    <row r="235" spans="5:22" x14ac:dyDescent="0.3"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</row>
    <row r="236" spans="5:22" x14ac:dyDescent="0.3"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</row>
    <row r="237" spans="5:22" x14ac:dyDescent="0.3"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</row>
    <row r="238" spans="5:22" x14ac:dyDescent="0.3"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</row>
    <row r="239" spans="5:22" x14ac:dyDescent="0.3"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</row>
    <row r="240" spans="5:22" x14ac:dyDescent="0.3"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</row>
    <row r="241" spans="5:22" x14ac:dyDescent="0.3"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</row>
    <row r="242" spans="5:22" x14ac:dyDescent="0.3"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</row>
    <row r="243" spans="5:22" x14ac:dyDescent="0.3"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</row>
    <row r="244" spans="5:22" x14ac:dyDescent="0.3"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</row>
    <row r="245" spans="5:22" x14ac:dyDescent="0.3"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</row>
    <row r="246" spans="5:22" x14ac:dyDescent="0.3"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</row>
    <row r="247" spans="5:22" x14ac:dyDescent="0.3"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</row>
    <row r="248" spans="5:22" x14ac:dyDescent="0.3"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</row>
    <row r="249" spans="5:22" x14ac:dyDescent="0.3"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</row>
    <row r="250" spans="5:22" x14ac:dyDescent="0.3"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</row>
    <row r="251" spans="5:22" x14ac:dyDescent="0.3"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</row>
    <row r="252" spans="5:22" x14ac:dyDescent="0.3"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</row>
    <row r="253" spans="5:22" x14ac:dyDescent="0.3"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</row>
    <row r="254" spans="5:22" x14ac:dyDescent="0.3"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</row>
    <row r="255" spans="5:22" x14ac:dyDescent="0.3"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</row>
    <row r="256" spans="5:22" x14ac:dyDescent="0.3"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</row>
    <row r="257" spans="5:22" x14ac:dyDescent="0.3"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</row>
    <row r="258" spans="5:22" x14ac:dyDescent="0.3"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</row>
    <row r="259" spans="5:22" x14ac:dyDescent="0.3"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</row>
    <row r="260" spans="5:22" x14ac:dyDescent="0.3"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</row>
    <row r="261" spans="5:22" x14ac:dyDescent="0.3"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</row>
    <row r="262" spans="5:22" x14ac:dyDescent="0.3"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</row>
    <row r="263" spans="5:22" x14ac:dyDescent="0.3"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</row>
    <row r="264" spans="5:22" x14ac:dyDescent="0.3"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</row>
    <row r="265" spans="5:22" x14ac:dyDescent="0.3"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</row>
    <row r="266" spans="5:22" x14ac:dyDescent="0.3"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</row>
    <row r="267" spans="5:22" x14ac:dyDescent="0.3"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</row>
    <row r="268" spans="5:22" x14ac:dyDescent="0.3"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</row>
    <row r="269" spans="5:22" x14ac:dyDescent="0.3"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</row>
    <row r="270" spans="5:22" x14ac:dyDescent="0.3"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</row>
    <row r="271" spans="5:22" x14ac:dyDescent="0.3"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</row>
    <row r="272" spans="5:22" x14ac:dyDescent="0.3"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</row>
    <row r="273" spans="5:22" x14ac:dyDescent="0.3"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</row>
    <row r="274" spans="5:22" x14ac:dyDescent="0.3"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</row>
    <row r="275" spans="5:22" x14ac:dyDescent="0.3"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</row>
    <row r="276" spans="5:22" x14ac:dyDescent="0.3"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</row>
    <row r="277" spans="5:22" x14ac:dyDescent="0.3"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</row>
    <row r="278" spans="5:22" x14ac:dyDescent="0.3"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</row>
    <row r="279" spans="5:22" x14ac:dyDescent="0.3"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</row>
    <row r="280" spans="5:22" x14ac:dyDescent="0.3"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</row>
    <row r="281" spans="5:22" x14ac:dyDescent="0.3"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</row>
    <row r="282" spans="5:22" x14ac:dyDescent="0.3"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</row>
    <row r="283" spans="5:22" x14ac:dyDescent="0.3"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</row>
    <row r="284" spans="5:22" x14ac:dyDescent="0.3"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</row>
    <row r="285" spans="5:22" x14ac:dyDescent="0.3"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</row>
    <row r="286" spans="5:22" x14ac:dyDescent="0.3"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</row>
    <row r="287" spans="5:22" x14ac:dyDescent="0.3"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</row>
    <row r="288" spans="5:22" x14ac:dyDescent="0.3"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</row>
    <row r="289" spans="5:22" x14ac:dyDescent="0.3"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</row>
    <row r="290" spans="5:22" x14ac:dyDescent="0.3"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</row>
    <row r="291" spans="5:22" x14ac:dyDescent="0.3"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</row>
    <row r="292" spans="5:22" x14ac:dyDescent="0.3"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</row>
    <row r="293" spans="5:22" x14ac:dyDescent="0.3"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</row>
    <row r="294" spans="5:22" x14ac:dyDescent="0.3"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</row>
    <row r="295" spans="5:22" x14ac:dyDescent="0.3"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</row>
    <row r="296" spans="5:22" x14ac:dyDescent="0.3"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</row>
    <row r="297" spans="5:22" x14ac:dyDescent="0.3"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</row>
    <row r="298" spans="5:22" x14ac:dyDescent="0.3"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</row>
    <row r="299" spans="5:22" x14ac:dyDescent="0.3"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</row>
    <row r="300" spans="5:22" x14ac:dyDescent="0.3"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</row>
    <row r="301" spans="5:22" x14ac:dyDescent="0.3"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</row>
    <row r="302" spans="5:22" x14ac:dyDescent="0.3"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</row>
    <row r="303" spans="5:22" x14ac:dyDescent="0.3"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</row>
    <row r="304" spans="5:22" x14ac:dyDescent="0.3"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</row>
    <row r="305" spans="5:22" x14ac:dyDescent="0.3"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</row>
    <row r="306" spans="5:22" x14ac:dyDescent="0.3"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</row>
    <row r="307" spans="5:22" x14ac:dyDescent="0.3"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</row>
    <row r="308" spans="5:22" x14ac:dyDescent="0.3">
      <c r="E308" s="26"/>
      <c r="F308" s="26"/>
      <c r="G308" s="26"/>
    </row>
    <row r="309" spans="5:22" x14ac:dyDescent="0.3">
      <c r="E309" s="26"/>
      <c r="F309" s="26"/>
      <c r="G309" s="26"/>
    </row>
    <row r="310" spans="5:22" x14ac:dyDescent="0.3">
      <c r="E310" s="26"/>
      <c r="F310" s="26"/>
      <c r="G310" s="26"/>
    </row>
    <row r="311" spans="5:22" x14ac:dyDescent="0.3">
      <c r="E311" s="26"/>
      <c r="F311" s="26"/>
      <c r="G311" s="26"/>
    </row>
  </sheetData>
  <mergeCells count="31">
    <mergeCell ref="F19:Y19"/>
    <mergeCell ref="A49:D51"/>
    <mergeCell ref="A29:B29"/>
    <mergeCell ref="D29:Y29"/>
    <mergeCell ref="A7:B7"/>
    <mergeCell ref="D7:Y7"/>
    <mergeCell ref="D8:D16"/>
    <mergeCell ref="F8:Y8"/>
    <mergeCell ref="F9:Y9"/>
    <mergeCell ref="F10:Y10"/>
    <mergeCell ref="F11:Y11"/>
    <mergeCell ref="F12:Y12"/>
    <mergeCell ref="F13:Y13"/>
    <mergeCell ref="A14:B14"/>
    <mergeCell ref="F16:Y16"/>
    <mergeCell ref="E2:J5"/>
    <mergeCell ref="B37:C46"/>
    <mergeCell ref="A20:B20"/>
    <mergeCell ref="F20:Y20"/>
    <mergeCell ref="F21:Y21"/>
    <mergeCell ref="D22:D26"/>
    <mergeCell ref="F22:Y22"/>
    <mergeCell ref="F23:Y23"/>
    <mergeCell ref="F24:Y24"/>
    <mergeCell ref="F25:Y25"/>
    <mergeCell ref="F26:Y26"/>
    <mergeCell ref="F14:Y14"/>
    <mergeCell ref="F15:Y15"/>
    <mergeCell ref="D17:D21"/>
    <mergeCell ref="F17:Y17"/>
    <mergeCell ref="F18:Y18"/>
  </mergeCells>
  <conditionalFormatting sqref="I53:V53 I56:W56 AP32:AS33 M32:W32 M31:V31 AE30:AS31 M33:P35">
    <cfRule type="cellIs" dxfId="9" priority="3" operator="greaterThan">
      <formula>0</formula>
    </cfRule>
  </conditionalFormatting>
  <conditionalFormatting sqref="F41:W41">
    <cfRule type="cellIs" dxfId="8" priority="10" operator="greaterThan">
      <formula>0</formula>
    </cfRule>
  </conditionalFormatting>
  <conditionalFormatting sqref="F38:W38">
    <cfRule type="cellIs" dxfId="7" priority="9" operator="greaterThan">
      <formula>0</formula>
    </cfRule>
  </conditionalFormatting>
  <conditionalFormatting sqref="F35:H35 Q35:W35">
    <cfRule type="cellIs" dxfId="6" priority="8" operator="greaterThan">
      <formula>0</formula>
    </cfRule>
  </conditionalFormatting>
  <conditionalFormatting sqref="G32:V32 I33:P35">
    <cfRule type="cellIs" dxfId="5" priority="7" operator="greaterThan">
      <formula>0</formula>
    </cfRule>
  </conditionalFormatting>
  <conditionalFormatting sqref="F44:W44">
    <cfRule type="cellIs" dxfId="4" priority="6" operator="greaterThan">
      <formula>0</formula>
    </cfRule>
  </conditionalFormatting>
  <conditionalFormatting sqref="F47:W47">
    <cfRule type="cellIs" dxfId="3" priority="5" operator="greaterThan">
      <formula>0</formula>
    </cfRule>
  </conditionalFormatting>
  <conditionalFormatting sqref="F50:W50">
    <cfRule type="cellIs" dxfId="2" priority="4" operator="greaterThan">
      <formula>0</formula>
    </cfRule>
  </conditionalFormatting>
  <conditionalFormatting sqref="F32">
    <cfRule type="cellIs" dxfId="1" priority="2" operator="greaterThan">
      <formula>0</formula>
    </cfRule>
  </conditionalFormatting>
  <conditionalFormatting sqref="W32">
    <cfRule type="cellIs" dxfId="0" priority="1" operator="greaterThan">
      <formula>0</formula>
    </cfRule>
  </conditionalFormatting>
  <dataValidations count="1">
    <dataValidation type="list" allowBlank="1" showInputMessage="1" prompt="Enter the first letters and select from the drop-down list." sqref="B2" xr:uid="{1B04E003-042B-4842-8027-E945D3E49B21}">
      <formula1>IF(B2&lt;&gt;"",OFFSET(F_MineralList,MATCH(B2&amp;"*",F_MineralList,0)-1,,COUNTIF(F_MineralList,B2&amp;"*"),1),F_MineralList)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44C50-1756-4E87-8EF6-15CF3FFB884A}">
  <sheetPr>
    <tabColor rgb="FFFFC000"/>
  </sheetPr>
  <dimension ref="B2:I50"/>
  <sheetViews>
    <sheetView tabSelected="1" zoomScale="70" zoomScaleNormal="70" workbookViewId="0">
      <selection activeCell="F16" sqref="F16"/>
    </sheetView>
  </sheetViews>
  <sheetFormatPr baseColWidth="10" defaultRowHeight="13.8" x14ac:dyDescent="0.25"/>
  <cols>
    <col min="1" max="16384" width="11.5546875" style="65"/>
  </cols>
  <sheetData>
    <row r="2" spans="2:9" s="85" customFormat="1" ht="22.2" customHeight="1" x14ac:dyDescent="0.3">
      <c r="B2" s="84" t="s">
        <v>215</v>
      </c>
      <c r="C2" s="84"/>
      <c r="D2" s="84"/>
      <c r="F2" s="84" t="s">
        <v>216</v>
      </c>
      <c r="G2" s="84"/>
      <c r="H2" s="84"/>
      <c r="I2" s="84"/>
    </row>
    <row r="3" spans="2:9" s="85" customFormat="1" ht="22.2" customHeight="1" x14ac:dyDescent="0.3">
      <c r="B3" s="85" t="s">
        <v>217</v>
      </c>
      <c r="F3" s="85" t="s">
        <v>183</v>
      </c>
    </row>
    <row r="9" spans="2:9" x14ac:dyDescent="0.25">
      <c r="B9" s="65" t="s">
        <v>227</v>
      </c>
      <c r="F9" s="65" t="s">
        <v>227</v>
      </c>
    </row>
    <row r="50" spans="8:8" ht="14.4" x14ac:dyDescent="0.3">
      <c r="H50"/>
    </row>
  </sheetData>
  <mergeCells count="2">
    <mergeCell ref="B2:D2"/>
    <mergeCell ref="F2:I2"/>
  </mergeCells>
  <hyperlinks>
    <hyperlink ref="F3" r:id="rId1" location="/project/459608819/image/487211129?viewer=cyoe0s9he" xr:uid="{AFC24F01-999D-4757-826C-FDEFF5F37CC4}"/>
    <hyperlink ref="B3" r:id="rId2" location="/project/459608819/image/484154345?viewer=uga179pcp" display="M137" xr:uid="{B2CEC7B3-38D3-487A-9A00-B4C33D4D93B7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pVersion xmlns="43573350-4d79-45c8-a825-70879060108e" xsi:nil="true"/>
    <Teams_Channel_Section_Location xmlns="43573350-4d79-45c8-a825-70879060108e" xsi:nil="true"/>
    <Math_Settings xmlns="43573350-4d79-45c8-a825-70879060108e" xsi:nil="true"/>
    <Has_Teacher_Only_SectionGroup xmlns="43573350-4d79-45c8-a825-70879060108e" xsi:nil="true"/>
    <Invited_Students xmlns="43573350-4d79-45c8-a825-70879060108e" xsi:nil="true"/>
    <Self_Registration_Enabled xmlns="43573350-4d79-45c8-a825-70879060108e" xsi:nil="true"/>
    <Invited_Teachers xmlns="43573350-4d79-45c8-a825-70879060108e" xsi:nil="true"/>
    <DefaultSectionNames xmlns="43573350-4d79-45c8-a825-70879060108e" xsi:nil="true"/>
    <TeamsChannelId xmlns="43573350-4d79-45c8-a825-70879060108e" xsi:nil="true"/>
    <Templates xmlns="43573350-4d79-45c8-a825-70879060108e" xsi:nil="true"/>
    <NotebookType xmlns="43573350-4d79-45c8-a825-70879060108e" xsi:nil="true"/>
    <FolderType xmlns="43573350-4d79-45c8-a825-70879060108e" xsi:nil="true"/>
    <CultureName xmlns="43573350-4d79-45c8-a825-70879060108e" xsi:nil="true"/>
    <Students xmlns="43573350-4d79-45c8-a825-70879060108e">
      <UserInfo>
        <DisplayName/>
        <AccountId xsi:nil="true"/>
        <AccountType/>
      </UserInfo>
    </Students>
    <Student_Groups xmlns="43573350-4d79-45c8-a825-70879060108e">
      <UserInfo>
        <DisplayName/>
        <AccountId xsi:nil="true"/>
        <AccountType/>
      </UserInfo>
    </Student_Groups>
    <Distribution_Groups xmlns="43573350-4d79-45c8-a825-70879060108e" xsi:nil="true"/>
    <LMS_Mappings xmlns="43573350-4d79-45c8-a825-70879060108e" xsi:nil="true"/>
    <IsNotebookLocked xmlns="43573350-4d79-45c8-a825-70879060108e" xsi:nil="true"/>
    <Is_Collaboration_Space_Locked xmlns="43573350-4d79-45c8-a825-70879060108e" xsi:nil="true"/>
    <Owner xmlns="43573350-4d79-45c8-a825-70879060108e">
      <UserInfo>
        <DisplayName/>
        <AccountId xsi:nil="true"/>
        <AccountType/>
      </UserInfo>
    </Owner>
    <Teachers xmlns="43573350-4d79-45c8-a825-70879060108e">
      <UserInfo>
        <DisplayName/>
        <AccountId xsi:nil="true"/>
        <AccountType/>
      </UserInfo>
    </Teach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CB4CCB9CA830046A9792506F18BAFF2" ma:contentTypeVersion="33" ma:contentTypeDescription="Een nieuw document maken." ma:contentTypeScope="" ma:versionID="7946c834100041437386846141e9ed96">
  <xsd:schema xmlns:xsd="http://www.w3.org/2001/XMLSchema" xmlns:xs="http://www.w3.org/2001/XMLSchema" xmlns:p="http://schemas.microsoft.com/office/2006/metadata/properties" xmlns:ns3="43573350-4d79-45c8-a825-70879060108e" xmlns:ns4="1e068ca2-1bb4-41fa-8b17-5a6a06928ff3" targetNamespace="http://schemas.microsoft.com/office/2006/metadata/properties" ma:root="true" ma:fieldsID="42661e0d2b10354c0699bac6538c3f03" ns3:_="" ns4:_="">
    <xsd:import namespace="43573350-4d79-45c8-a825-70879060108e"/>
    <xsd:import namespace="1e068ca2-1bb4-41fa-8b17-5a6a06928ff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NotebookType" minOccurs="0"/>
                <xsd:element ref="ns3:FolderType" minOccurs="0"/>
                <xsd:element ref="ns3:CultureName" minOccurs="0"/>
                <xsd:element ref="ns3:AppVersion" minOccurs="0"/>
                <xsd:element ref="ns3:TeamsChannelId" minOccurs="0"/>
                <xsd:element ref="ns3:Owner" minOccurs="0"/>
                <xsd:element ref="ns3:Math_Settings" minOccurs="0"/>
                <xsd:element ref="ns3:DefaultSectionNames" minOccurs="0"/>
                <xsd:element ref="ns3:Templates" minOccurs="0"/>
                <xsd:element ref="ns3:Teachers" minOccurs="0"/>
                <xsd:element ref="ns3:Students" minOccurs="0"/>
                <xsd:element ref="ns3:Student_Groups" minOccurs="0"/>
                <xsd:element ref="ns3:Distribution_Groups" minOccurs="0"/>
                <xsd:element ref="ns3:LMS_Mappings" minOccurs="0"/>
                <xsd:element ref="ns3:Invited_Teachers" minOccurs="0"/>
                <xsd:element ref="ns3:Invited_Students" minOccurs="0"/>
                <xsd:element ref="ns3:Self_Registration_Enabled" minOccurs="0"/>
                <xsd:element ref="ns3:Has_Teacher_Only_SectionGroup" minOccurs="0"/>
                <xsd:element ref="ns3:Is_Collaboration_Space_Locked" minOccurs="0"/>
                <xsd:element ref="ns3:IsNotebookLocked" minOccurs="0"/>
                <xsd:element ref="ns3:Teams_Channel_Section_Loca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573350-4d79-45c8-a825-70879060108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NotebookType" ma:index="14" nillable="true" ma:displayName="Notebook Type" ma:internalName="NotebookType">
      <xsd:simpleType>
        <xsd:restriction base="dms:Text"/>
      </xsd:simpleType>
    </xsd:element>
    <xsd:element name="FolderType" ma:index="15" nillable="true" ma:displayName="Folder Type" ma:internalName="FolderType">
      <xsd:simpleType>
        <xsd:restriction base="dms:Text"/>
      </xsd:simpleType>
    </xsd:element>
    <xsd:element name="CultureName" ma:index="16" nillable="true" ma:displayName="Culture Name" ma:internalName="CultureName">
      <xsd:simpleType>
        <xsd:restriction base="dms:Text"/>
      </xsd:simpleType>
    </xsd:element>
    <xsd:element name="AppVersion" ma:index="17" nillable="true" ma:displayName="App Version" ma:internalName="AppVersion">
      <xsd:simpleType>
        <xsd:restriction base="dms:Text"/>
      </xsd:simpleType>
    </xsd:element>
    <xsd:element name="TeamsChannelId" ma:index="18" nillable="true" ma:displayName="Teams Channel Id" ma:internalName="TeamsChannelId">
      <xsd:simpleType>
        <xsd:restriction base="dms:Text"/>
      </xsd:simpleType>
    </xsd:element>
    <xsd:element name="Owner" ma:index="19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ath_Settings" ma:index="20" nillable="true" ma:displayName="Math Settings" ma:internalName="Math_Settings">
      <xsd:simpleType>
        <xsd:restriction base="dms:Text"/>
      </xsd:simpleType>
    </xsd:element>
    <xsd:element name="DefaultSectionNames" ma:index="21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Templates" ma:index="22" nillable="true" ma:displayName="Templates" ma:internalName="Templates">
      <xsd:simpleType>
        <xsd:restriction base="dms:Note">
          <xsd:maxLength value="255"/>
        </xsd:restriction>
      </xsd:simpleType>
    </xsd:element>
    <xsd:element name="Teachers" ma:index="23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24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25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istribution_Groups" ma:index="26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27" nillable="true" ma:displayName="LMS Mappings" ma:internalName="LMS_Mappings">
      <xsd:simpleType>
        <xsd:restriction base="dms:Note">
          <xsd:maxLength value="255"/>
        </xsd:restriction>
      </xsd:simpleType>
    </xsd:element>
    <xsd:element name="Invited_Teachers" ma:index="28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9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30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31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32" nillable="true" ma:displayName="Is Collaboration Space Locked" ma:internalName="Is_Collaboration_Space_Locked">
      <xsd:simpleType>
        <xsd:restriction base="dms:Boolean"/>
      </xsd:simpleType>
    </xsd:element>
    <xsd:element name="IsNotebookLocked" ma:index="33" nillable="true" ma:displayName="Is Notebook Locked" ma:internalName="IsNotebookLocked">
      <xsd:simpleType>
        <xsd:restriction base="dms:Boolean"/>
      </xsd:simpleType>
    </xsd:element>
    <xsd:element name="Teams_Channel_Section_Location" ma:index="34" nillable="true" ma:displayName="Teams Channel Section Location" ma:internalName="Teams_Channel_Section_Location">
      <xsd:simpleType>
        <xsd:restriction base="dms:Text"/>
      </xsd:simpleType>
    </xsd:element>
    <xsd:element name="MediaServiceAutoTags" ma:index="35" nillable="true" ma:displayName="Tags" ma:internalName="MediaServiceAutoTags" ma:readOnly="true">
      <xsd:simpleType>
        <xsd:restriction base="dms:Text"/>
      </xsd:simpleType>
    </xsd:element>
    <xsd:element name="MediaServiceGenerationTime" ma:index="3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3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4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068ca2-1bb4-41fa-8b17-5a6a06928f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int-hash delen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66EA32-77C0-4329-86B5-B9B757A69E51}">
  <ds:schemaRefs>
    <ds:schemaRef ds:uri="http://schemas.microsoft.com/office/2006/metadata/properties"/>
    <ds:schemaRef ds:uri="43573350-4d79-45c8-a825-70879060108e"/>
    <ds:schemaRef ds:uri="http://schemas.microsoft.com/office/infopath/2007/PartnerControls"/>
    <ds:schemaRef ds:uri="http://purl.org/dc/terms/"/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1e068ca2-1bb4-41fa-8b17-5a6a06928ff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60CF087-010D-4AFF-8A1C-8CCBD06867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F81090-4AC4-4D2F-A86E-4FB2C84ECD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573350-4d79-45c8-a825-70879060108e"/>
    <ds:schemaRef ds:uri="1e068ca2-1bb4-41fa-8b17-5a6a06928f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Mineral database</vt:lpstr>
      <vt:lpstr>Mineral Description</vt:lpstr>
      <vt:lpstr>Photo of Polished Block</vt:lpstr>
      <vt:lpstr>M118_</vt:lpstr>
      <vt:lpstr>M137_</vt:lpstr>
      <vt:lpstr>maplage_mineraldata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2023-01-05T22:07:06Z</dcterms:created>
  <dcterms:modified xsi:type="dcterms:W3CDTF">2023-01-05T22:44:05Z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0x0101000CB4CCB9CA830046A9792506F18BAFF2</vt:lpwstr>
  </property>
</Properties>
</file>